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EstaPastaDeTrabalho" defaultThemeVersion="124226"/>
  <mc:AlternateContent xmlns:mc="http://schemas.openxmlformats.org/markup-compatibility/2006">
    <mc:Choice Requires="x15">
      <x15ac:absPath xmlns:x15ac="http://schemas.microsoft.com/office/spreadsheetml/2010/11/ac" url="X:\1-Andamento\21018 - Cordeirópolis - Anel Viário\Quantidades\007 - T7 Aterro Rumo\"/>
    </mc:Choice>
  </mc:AlternateContent>
  <xr:revisionPtr revIDLastSave="0" documentId="13_ncr:1_{D7C91925-FB31-4BFD-85EE-CE45054722CD}" xr6:coauthVersionLast="47" xr6:coauthVersionMax="47" xr10:uidLastSave="{00000000-0000-0000-0000-000000000000}"/>
  <bookViews>
    <workbookView xWindow="-120" yWindow="-120" windowWidth="29040" windowHeight="15840" tabRatio="905" activeTab="1" xr2:uid="{00000000-000D-0000-FFFF-FFFF00000000}"/>
  </bookViews>
  <sheets>
    <sheet name="CRONOGRAMA" sheetId="32" r:id="rId1"/>
    <sheet name="RESUMO" sheetId="20" r:id="rId2"/>
    <sheet name="Orçamento" sheetId="3" r:id="rId3"/>
    <sheet name="SINAPI" sheetId="28" r:id="rId4"/>
    <sheet name="CDHU" sheetId="25" r:id="rId5"/>
    <sheet name="DERSP" sheetId="18" r:id="rId6"/>
    <sheet name="SICRO" sheetId="31" state="hidden" r:id="rId7"/>
    <sheet name="SIURB" sheetId="29" state="hidden" r:id="rId8"/>
    <sheet name="BDI" sheetId="21" state="hidden" r:id="rId9"/>
    <sheet name="MC_TERR" sheetId="6" r:id="rId10"/>
    <sheet name="MC_DRE" sheetId="26" r:id="rId11"/>
    <sheet name="MC_PAV" sheetId="13" r:id="rId12"/>
    <sheet name="MC_SIN_VERT" sheetId="8" r:id="rId13"/>
    <sheet name="MC_SIN_HOR" sheetId="9" r:id="rId14"/>
    <sheet name="MC_DISP_SEG" sheetId="10" r:id="rId15"/>
    <sheet name="OBRAS" sheetId="11" state="hidden" r:id="rId16"/>
    <sheet name="MC_PAISAG" sheetId="12" r:id="rId17"/>
    <sheet name="ILU" sheetId="27" r:id="rId18"/>
    <sheet name="MC_CONT" sheetId="3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I">#REF!</definedName>
    <definedName name="\S">[1]COMPOS1!#REF!</definedName>
    <definedName name="____PL1">#REF!</definedName>
    <definedName name="___PL1">#REF!</definedName>
    <definedName name="__PL1">#REF!</definedName>
    <definedName name="_01_09_96">#REF!</definedName>
    <definedName name="_xlnm._FilterDatabase" localSheetId="4" hidden="1">CDHU!$A$8:$N$4228</definedName>
    <definedName name="_xlnm._FilterDatabase" localSheetId="5" hidden="1">DERSP!$A$8:$D$2162</definedName>
    <definedName name="_xlnm._FilterDatabase" localSheetId="17" hidden="1">ILU!$D$3:$M$41</definedName>
    <definedName name="_xlnm._FilterDatabase" localSheetId="14" hidden="1">MC_DISP_SEG!$A$3:$D$23</definedName>
    <definedName name="_xlnm._FilterDatabase" localSheetId="10" hidden="1">MC_DRE!$A$1:$K$486</definedName>
    <definedName name="_xlnm._FilterDatabase" localSheetId="11" hidden="1">MC_PAV!$B$31:$L$123</definedName>
    <definedName name="_xlnm._FilterDatabase" localSheetId="9" hidden="1">MC_TERR!$A$24:$G$59</definedName>
    <definedName name="_xlnm._FilterDatabase" localSheetId="2" hidden="1">Orçamento!$A$6:$V$153</definedName>
    <definedName name="_xlnm._FilterDatabase" localSheetId="6" hidden="1">SICRO!$A$3:$D$6348</definedName>
    <definedName name="_xlnm._FilterDatabase" localSheetId="3" hidden="1">SINAPI!$A$2:$D$7528</definedName>
    <definedName name="_xlnm._FilterDatabase" localSheetId="7" hidden="1">SIURB!$A$2:$D$3506</definedName>
    <definedName name="_PL1">#REF!</definedName>
    <definedName name="a">#REF!</definedName>
    <definedName name="AA">[2]!AA</definedName>
    <definedName name="AAA">[2]!AAA</definedName>
    <definedName name="ALTA">'[3]PRO-08'!#REF!</definedName>
    <definedName name="amarela">#REF!</definedName>
    <definedName name="_xlnm.Print_Area" localSheetId="0">CRONOGRAMA!$A$2:$L$36</definedName>
    <definedName name="_xlnm.Print_Area" localSheetId="16">MC_PAISAG!$B$1:$O$18</definedName>
    <definedName name="_xlnm.Print_Area" localSheetId="11">MC_PAV!$A$1:$O$54</definedName>
    <definedName name="_xlnm.Print_Area" localSheetId="12">MC_SIN_VERT!$A$1:$T$40</definedName>
    <definedName name="_xlnm.Print_Area" localSheetId="9">MC_TERR!$A$1:$M$70</definedName>
    <definedName name="_xlnm.Print_Area" localSheetId="2">Orçamento!$A$1:$I$161</definedName>
    <definedName name="_xlnm.Print_Area" localSheetId="1">RESUMO!$B$3:$H$31</definedName>
    <definedName name="Arial" localSheetId="0">#REF!</definedName>
    <definedName name="Arial" localSheetId="5">DERSP!$A$2:$D$2</definedName>
    <definedName name="Arial" localSheetId="17">#REF!</definedName>
    <definedName name="Arial" localSheetId="10">#REF!</definedName>
    <definedName name="Arial" localSheetId="1">#REF!</definedName>
    <definedName name="Arial">#REF!</definedName>
    <definedName name="azul">#REF!</definedName>
    <definedName name="AZULSINAL">#REF!</definedName>
    <definedName name="_xlnm.Database" localSheetId="0">#REF!</definedName>
    <definedName name="_xlnm.Database" localSheetId="5">#REF!</definedName>
    <definedName name="_xlnm.Database" localSheetId="17">#REF!</definedName>
    <definedName name="_xlnm.Database" localSheetId="10">#REF!</definedName>
    <definedName name="_xlnm.Database" localSheetId="1">#REF!</definedName>
    <definedName name="_xlnm.Database">#REF!</definedName>
    <definedName name="BDI">[4]R_GERAL!$B$23</definedName>
    <definedName name="BG">#REF!</definedName>
    <definedName name="BGU">#REF!</definedName>
    <definedName name="CBU">#REF!</definedName>
    <definedName name="CBUII">#REF!</definedName>
    <definedName name="CBUQB">#REF!</definedName>
    <definedName name="CBUQc">#REF!</definedName>
    <definedName name="cliente">'[5]Dados Iniciais'!$B$1</definedName>
    <definedName name="code">'[5]Dados Iniciais'!$B$10</definedName>
    <definedName name="_xlnm.Criteria">#REF!</definedName>
    <definedName name="CRITÉRIOS_IM">#REF!</definedName>
    <definedName name="d">#REF!</definedName>
    <definedName name="dadinho">#REF!</definedName>
    <definedName name="DADOS">#REF!</definedName>
    <definedName name="Data_Final">#REF!</definedName>
    <definedName name="Data_Início">#REF!</definedName>
    <definedName name="DGA">'[3]PRO-08'!#REF!</definedName>
    <definedName name="DJ">#REF!</definedName>
    <definedName name="ECJ">#REF!</definedName>
    <definedName name="EJ">#REF!</definedName>
    <definedName name="EXA">'[3]PRO-08'!#REF!</definedName>
    <definedName name="Extenso">[2]!Extenso</definedName>
    <definedName name="fc1a">'[3]PRO-08'!#REF!</definedName>
    <definedName name="FC2A">'[3]PRO-08'!#REF!</definedName>
    <definedName name="FC3A">'[3]PRO-08'!#REF!</definedName>
    <definedName name="GH">'[5]Dados Iniciais'!$B$8</definedName>
    <definedName name="hi">#REF!</definedName>
    <definedName name="IM">#REF!</definedName>
    <definedName name="LILASDRENA">#REF!</definedName>
    <definedName name="Medição">#REF!</definedName>
    <definedName name="módulo1.Extenso">[2]!módulo1.Extenso</definedName>
    <definedName name="NTEI">'[3]PRO-08'!#REF!</definedName>
    <definedName name="OPA">'[3]PRO-08'!#REF!</definedName>
    <definedName name="PassaExtenso">[6]!PassaExtenso</definedName>
    <definedName name="pesquisa">#REF!</definedName>
    <definedName name="PINTURA">[7]DADOS!$A$2:$A$4</definedName>
    <definedName name="PL">#REF!</definedName>
    <definedName name="QQ_2">[2]!QQ_2</definedName>
    <definedName name="RBV">[8]Teor!$C$3:$C$7</definedName>
    <definedName name="REG">#REF!</definedName>
    <definedName name="REGULA">#REF!</definedName>
    <definedName name="RESUMO">[2]!RESUMO</definedName>
    <definedName name="revisão">'[9]Dados Iniciais'!$B$8</definedName>
    <definedName name="RMA">'[3]PRO-08'!#REF!</definedName>
    <definedName name="rodovia">'[5]Dados Iniciais'!$B$2</definedName>
    <definedName name="RS">#REF!</definedName>
    <definedName name="sbg">#REF!</definedName>
    <definedName name="SBTC">#REF!</definedName>
    <definedName name="SECCIONADA">#REF!</definedName>
    <definedName name="SinalizacaodeObras2" localSheetId="0">#REF!</definedName>
    <definedName name="SinalizacaodeObras2" localSheetId="17">#REF!</definedName>
    <definedName name="SinalizacaodeObras2" localSheetId="10">#REF!</definedName>
    <definedName name="SinalizacaodeObras2" localSheetId="1">#REF!</definedName>
    <definedName name="SinalizacaodeObras2">#REF!</definedName>
    <definedName name="Teor">[8]Teor!$A$3:$A$7</definedName>
    <definedName name="TIPOS" localSheetId="0">#REF!</definedName>
    <definedName name="TIPOS" localSheetId="5">#REF!</definedName>
    <definedName name="TIPOS" localSheetId="17">#REF!</definedName>
    <definedName name="TIPOS" localSheetId="10">#REF!</definedName>
    <definedName name="TIPOS" localSheetId="16">#REF!</definedName>
    <definedName name="TIPOS" localSheetId="1">[10]Plan1!$A$2:$A$127</definedName>
    <definedName name="TIPOS">#REF!</definedName>
    <definedName name="_xlnm.Print_Titles" localSheetId="2">Orçamento!$1:$6</definedName>
    <definedName name="_xlnm.Print_Titles" localSheetId="7">SIURB!$2:$2</definedName>
    <definedName name="TPM">#REF!</definedName>
    <definedName name="trecho">'[9]Dados Iniciais'!$B$3</definedName>
    <definedName name="Vazios">[8]Teor!$B$3:$B$7</definedName>
    <definedName name="verde">#REF!</definedName>
    <definedName name="verdepav">#REF!</definedName>
    <definedName name="WEWRWR">[2]!WEWRWR</definedName>
    <definedName name="x">[8]Equipamentos!#REF!</definedName>
    <definedName name="XXX">[2]!XXX</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3" l="1"/>
  <c r="G11" i="3"/>
  <c r="G10" i="3"/>
  <c r="I10" i="3" s="1"/>
  <c r="G9" i="3"/>
  <c r="H9" i="3" s="1"/>
  <c r="H10" i="3" l="1"/>
  <c r="H11" i="3"/>
  <c r="I11" i="3"/>
  <c r="H5" i="32"/>
  <c r="I5" i="32" s="1"/>
  <c r="J5" i="32" s="1"/>
  <c r="K5" i="32" s="1"/>
  <c r="L5" i="32" s="1"/>
  <c r="M5" i="32" s="1"/>
  <c r="D153" i="3"/>
  <c r="A13" i="3"/>
  <c r="A14" i="3" s="1"/>
  <c r="A15" i="3" s="1"/>
  <c r="A16" i="3" s="1"/>
  <c r="A17" i="3" s="1"/>
  <c r="A18" i="3" s="1"/>
  <c r="A9" i="3"/>
  <c r="A10" i="3" s="1"/>
  <c r="A11" i="3" s="1"/>
  <c r="N8" i="32" l="1"/>
  <c r="K8" i="3"/>
  <c r="H91" i="3"/>
  <c r="H90" i="3"/>
  <c r="H26" i="3"/>
  <c r="H28" i="3"/>
  <c r="H147" i="3"/>
  <c r="H21" i="3"/>
  <c r="H104" i="3"/>
  <c r="H22" i="3"/>
  <c r="I22" i="3" s="1"/>
  <c r="I9" i="3" l="1"/>
  <c r="G40" i="27"/>
  <c r="D4231" i="25"/>
  <c r="H60" i="3" l="1"/>
  <c r="H77" i="3"/>
  <c r="H61" i="3"/>
  <c r="H42" i="3"/>
  <c r="H59" i="3"/>
  <c r="H43" i="3"/>
  <c r="H58" i="3"/>
  <c r="H108" i="3"/>
  <c r="H87" i="3"/>
  <c r="H88" i="3"/>
  <c r="H89" i="3"/>
  <c r="H151" i="3"/>
  <c r="T147" i="3"/>
  <c r="H57" i="3" l="1"/>
  <c r="H79" i="3"/>
  <c r="H50" i="3"/>
  <c r="H45" i="3"/>
  <c r="H31" i="3"/>
  <c r="H32" i="3"/>
  <c r="I147" i="3"/>
  <c r="D5" i="10" l="1"/>
  <c r="E16" i="30"/>
  <c r="H97" i="3" l="1"/>
  <c r="H20" i="3"/>
  <c r="C29" i="6" l="1"/>
  <c r="F28" i="6" l="1"/>
  <c r="F29" i="6"/>
  <c r="A6" i="10" l="1"/>
  <c r="Q114" i="3"/>
  <c r="F7" i="30"/>
  <c r="F10" i="30"/>
  <c r="F13" i="30"/>
  <c r="N14" i="32"/>
  <c r="N17" i="32"/>
  <c r="N23" i="32"/>
  <c r="N20" i="32"/>
  <c r="N26" i="32"/>
  <c r="N29" i="32"/>
  <c r="N32" i="32"/>
  <c r="N35" i="32"/>
  <c r="B2" i="32"/>
  <c r="H25" i="3" l="1"/>
  <c r="H149" i="3"/>
  <c r="H145" i="3"/>
  <c r="H144" i="3"/>
  <c r="H74" i="3" l="1"/>
  <c r="G4" i="18" l="1"/>
  <c r="F4" i="18"/>
  <c r="H14" i="3" l="1"/>
  <c r="I14" i="3" s="1"/>
  <c r="H86" i="3"/>
  <c r="H15" i="3"/>
  <c r="I15" i="3" s="1"/>
  <c r="H51" i="3"/>
  <c r="H138" i="3"/>
  <c r="H23" i="3"/>
  <c r="H52" i="3"/>
  <c r="H33" i="3"/>
  <c r="H53" i="3"/>
  <c r="H101" i="3"/>
  <c r="I6" i="3"/>
  <c r="D8" i="21"/>
  <c r="D6" i="21"/>
  <c r="D5" i="21"/>
  <c r="D4" i="21"/>
  <c r="D7" i="21" s="1"/>
  <c r="D9" i="21" l="1"/>
  <c r="D10" i="21" s="1"/>
  <c r="I495" i="26"/>
  <c r="K495" i="26" s="1"/>
  <c r="I496" i="26"/>
  <c r="K496" i="26" s="1"/>
  <c r="I497" i="26"/>
  <c r="K497" i="26" s="1"/>
  <c r="I526" i="26"/>
  <c r="K526" i="26" s="1"/>
  <c r="I533" i="26"/>
  <c r="K533" i="26" s="1"/>
  <c r="I534" i="26"/>
  <c r="K534" i="26" s="1"/>
  <c r="I535" i="26"/>
  <c r="K535" i="26" s="1"/>
  <c r="I537" i="26"/>
  <c r="K537" i="26" s="1"/>
  <c r="A428" i="26"/>
  <c r="A425" i="26"/>
  <c r="A408" i="26"/>
  <c r="A409" i="26"/>
  <c r="A410" i="26"/>
  <c r="A413" i="26"/>
  <c r="A415" i="26"/>
  <c r="A407" i="26"/>
  <c r="D428" i="26"/>
  <c r="D427" i="26"/>
  <c r="D426" i="26"/>
  <c r="D425" i="26"/>
  <c r="D423" i="26"/>
  <c r="G426" i="26" s="1"/>
  <c r="I418" i="26"/>
  <c r="B418" i="26"/>
  <c r="D418" i="26"/>
  <c r="D417" i="26"/>
  <c r="I417" i="26" s="1"/>
  <c r="D411" i="26"/>
  <c r="D410" i="26"/>
  <c r="D405" i="26"/>
  <c r="G425" i="26" l="1"/>
  <c r="G427" i="26" s="1"/>
  <c r="I426" i="26"/>
  <c r="I411" i="26"/>
  <c r="I427" i="26" l="1"/>
  <c r="G428" i="26"/>
  <c r="I428" i="26" s="1"/>
  <c r="I538" i="26" l="1"/>
  <c r="K538" i="26" s="1"/>
  <c r="C52" i="6" l="1"/>
  <c r="C53" i="6" s="1"/>
  <c r="E50" i="6"/>
  <c r="K24" i="3"/>
  <c r="C54" i="6" l="1"/>
  <c r="T25" i="3" s="1"/>
  <c r="C56" i="6"/>
  <c r="M5" i="6"/>
  <c r="F56" i="6" l="1"/>
  <c r="T27" i="3"/>
  <c r="F54" i="6"/>
  <c r="C55" i="6"/>
  <c r="C57" i="6"/>
  <c r="T28" i="3" s="1"/>
  <c r="K41" i="3"/>
  <c r="K49" i="3"/>
  <c r="K82" i="3"/>
  <c r="K83" i="3"/>
  <c r="K92" i="3"/>
  <c r="K95" i="3"/>
  <c r="K96" i="3"/>
  <c r="K100" i="3"/>
  <c r="K103" i="3"/>
  <c r="K107" i="3"/>
  <c r="K109" i="3"/>
  <c r="K110" i="3"/>
  <c r="K120" i="3"/>
  <c r="K130" i="3"/>
  <c r="K136" i="3"/>
  <c r="K139" i="3"/>
  <c r="K143" i="3"/>
  <c r="G4230" i="25"/>
  <c r="D4230" i="25" s="1"/>
  <c r="T146" i="3"/>
  <c r="F9" i="30"/>
  <c r="F16" i="30"/>
  <c r="F14" i="30"/>
  <c r="F11" i="30"/>
  <c r="P28" i="3"/>
  <c r="F15" i="30" l="1"/>
  <c r="I151" i="3"/>
  <c r="F12" i="30"/>
  <c r="T145" i="3"/>
  <c r="F8" i="30"/>
  <c r="F6" i="30"/>
  <c r="F5" i="30"/>
  <c r="L16" i="27"/>
  <c r="G979" i="29"/>
  <c r="F6" i="27"/>
  <c r="N29" i="27" l="1"/>
  <c r="N25" i="27"/>
  <c r="N16" i="27"/>
  <c r="N6" i="27"/>
  <c r="J41" i="27"/>
  <c r="L41" i="27" s="1"/>
  <c r="J40" i="27"/>
  <c r="L40" i="27" s="1"/>
  <c r="J39" i="27"/>
  <c r="L39" i="27" s="1"/>
  <c r="M37" i="27"/>
  <c r="J37" i="27"/>
  <c r="G37" i="27"/>
  <c r="M36" i="27"/>
  <c r="J36" i="27"/>
  <c r="G36" i="27"/>
  <c r="M35" i="27"/>
  <c r="J35" i="27"/>
  <c r="G35" i="27"/>
  <c r="M34" i="27"/>
  <c r="J34" i="27"/>
  <c r="L34" i="27" s="1"/>
  <c r="M33" i="27"/>
  <c r="J33" i="27"/>
  <c r="L33" i="27" s="1"/>
  <c r="M32" i="27"/>
  <c r="J32" i="27"/>
  <c r="L32" i="27" s="1"/>
  <c r="M31" i="27"/>
  <c r="J31" i="27"/>
  <c r="L31" i="27" s="1"/>
  <c r="M30" i="27"/>
  <c r="J30" i="27"/>
  <c r="L30" i="27" s="1"/>
  <c r="J27" i="27"/>
  <c r="G27" i="27"/>
  <c r="G26" i="27"/>
  <c r="M23" i="27"/>
  <c r="G23" i="27"/>
  <c r="M22" i="27"/>
  <c r="G22" i="27"/>
  <c r="R21" i="27"/>
  <c r="G21" i="27" s="1"/>
  <c r="Q21" i="27"/>
  <c r="O21" i="27"/>
  <c r="M21" i="27"/>
  <c r="M20" i="27"/>
  <c r="G20" i="27"/>
  <c r="J23" i="27"/>
  <c r="L23" i="27" s="1"/>
  <c r="N15" i="27"/>
  <c r="J14" i="27"/>
  <c r="L14" i="27" s="1"/>
  <c r="J13" i="27"/>
  <c r="L13" i="27" s="1"/>
  <c r="J11" i="27"/>
  <c r="L11" i="27" s="1"/>
  <c r="J10" i="27"/>
  <c r="L10" i="27" s="1"/>
  <c r="J8" i="27"/>
  <c r="G8" i="27"/>
  <c r="J7" i="27"/>
  <c r="G7" i="27"/>
  <c r="F41" i="27"/>
  <c r="M16" i="27"/>
  <c r="F34" i="27"/>
  <c r="F16" i="27"/>
  <c r="F15" i="27"/>
  <c r="M15" i="27"/>
  <c r="F40" i="27"/>
  <c r="F39" i="27"/>
  <c r="F29" i="27"/>
  <c r="H40" i="27"/>
  <c r="H39" i="27"/>
  <c r="H41" i="27"/>
  <c r="L37" i="27" l="1"/>
  <c r="L36" i="27"/>
  <c r="L7" i="27"/>
  <c r="N30" i="27"/>
  <c r="N10" i="27"/>
  <c r="N14" i="27"/>
  <c r="N23" i="27"/>
  <c r="L27" i="27"/>
  <c r="L35" i="27"/>
  <c r="N41" i="27"/>
  <c r="N31" i="27"/>
  <c r="N32" i="27"/>
  <c r="N13" i="27"/>
  <c r="N33" i="27"/>
  <c r="J20" i="27"/>
  <c r="L20" i="27" s="1"/>
  <c r="L26" i="27"/>
  <c r="L8" i="27"/>
  <c r="J21" i="27"/>
  <c r="L21" i="27" s="1"/>
  <c r="J22" i="27"/>
  <c r="L22" i="27" s="1"/>
  <c r="N39" i="27" l="1"/>
  <c r="N19" i="27"/>
  <c r="I138" i="3"/>
  <c r="N40" i="27"/>
  <c r="N34" i="27"/>
  <c r="N11" i="27"/>
  <c r="N37" i="27"/>
  <c r="N36" i="27"/>
  <c r="N7" i="27"/>
  <c r="N8" i="27"/>
  <c r="N26" i="27"/>
  <c r="N20" i="27"/>
  <c r="N35" i="27"/>
  <c r="N21" i="27"/>
  <c r="I314" i="26"/>
  <c r="D326" i="26" s="1"/>
  <c r="D315" i="26"/>
  <c r="D316" i="26" s="1"/>
  <c r="D320" i="26" l="1"/>
  <c r="D322" i="26" s="1"/>
  <c r="I323" i="26"/>
  <c r="I520" i="26" s="1"/>
  <c r="D325" i="26"/>
  <c r="I325" i="26" s="1"/>
  <c r="G322" i="26"/>
  <c r="G321" i="26"/>
  <c r="G320" i="26"/>
  <c r="I326" i="26"/>
  <c r="K520" i="26" l="1"/>
  <c r="I43" i="3"/>
  <c r="I320" i="26"/>
  <c r="D321" i="26"/>
  <c r="I321" i="26" s="1"/>
  <c r="I322" i="26"/>
  <c r="D403" i="26" l="1"/>
  <c r="I59" i="26"/>
  <c r="D64" i="26" s="1"/>
  <c r="I64" i="26" s="1"/>
  <c r="I2" i="26"/>
  <c r="D4" i="26" s="1"/>
  <c r="D486" i="26"/>
  <c r="G485" i="26"/>
  <c r="D485" i="26"/>
  <c r="G484" i="26"/>
  <c r="D484" i="26"/>
  <c r="D483" i="26"/>
  <c r="D482" i="26"/>
  <c r="D481" i="26"/>
  <c r="D480" i="26"/>
  <c r="I480" i="26" s="1"/>
  <c r="D479" i="26"/>
  <c r="L478" i="26"/>
  <c r="D478" i="26"/>
  <c r="D477" i="26"/>
  <c r="G481" i="26" s="1"/>
  <c r="D476" i="26"/>
  <c r="G486" i="26" s="1"/>
  <c r="D474" i="26"/>
  <c r="G473" i="26"/>
  <c r="D473" i="26"/>
  <c r="G472" i="26"/>
  <c r="D472" i="26"/>
  <c r="D467" i="26"/>
  <c r="G466" i="26"/>
  <c r="G467" i="26" s="1"/>
  <c r="D466" i="26"/>
  <c r="G465" i="26"/>
  <c r="D465" i="26"/>
  <c r="G460" i="26"/>
  <c r="D460" i="26"/>
  <c r="I453" i="26"/>
  <c r="D454" i="26" s="1"/>
  <c r="I454" i="26" s="1"/>
  <c r="I450" i="26"/>
  <c r="D451" i="26" s="1"/>
  <c r="I451" i="26" s="1"/>
  <c r="D449" i="26"/>
  <c r="I449" i="26" s="1"/>
  <c r="D448" i="26"/>
  <c r="I448" i="26" s="1"/>
  <c r="D447" i="26"/>
  <c r="I447" i="26" s="1"/>
  <c r="D446" i="26"/>
  <c r="I446" i="26" s="1"/>
  <c r="D445" i="26"/>
  <c r="G444" i="26"/>
  <c r="G445" i="26" s="1"/>
  <c r="D444" i="26"/>
  <c r="G442" i="26"/>
  <c r="D442" i="26"/>
  <c r="G441" i="26"/>
  <c r="D441" i="26"/>
  <c r="G440" i="26"/>
  <c r="D440" i="26"/>
  <c r="D439" i="26"/>
  <c r="D438" i="26"/>
  <c r="D437" i="26"/>
  <c r="D436" i="26"/>
  <c r="I436" i="26" s="1"/>
  <c r="D435" i="26"/>
  <c r="D434" i="26"/>
  <c r="D433" i="26"/>
  <c r="D432" i="26"/>
  <c r="G439" i="26" s="1"/>
  <c r="D430" i="26"/>
  <c r="G435" i="26" s="1"/>
  <c r="D416" i="26"/>
  <c r="I416" i="26" s="1"/>
  <c r="D415" i="26"/>
  <c r="I415" i="26" s="1"/>
  <c r="D414" i="26"/>
  <c r="D413" i="26"/>
  <c r="D412" i="26"/>
  <c r="D409" i="26"/>
  <c r="D408" i="26"/>
  <c r="D407" i="26"/>
  <c r="G413" i="26"/>
  <c r="D400" i="26"/>
  <c r="I400" i="26" s="1"/>
  <c r="I505" i="26" s="1"/>
  <c r="K505" i="26" s="1"/>
  <c r="G399" i="26"/>
  <c r="D399" i="26"/>
  <c r="D398" i="26"/>
  <c r="I398" i="26" s="1"/>
  <c r="D397" i="26"/>
  <c r="I397" i="26" s="1"/>
  <c r="D396" i="26"/>
  <c r="I396" i="26" s="1"/>
  <c r="G395" i="26"/>
  <c r="D395" i="26"/>
  <c r="D394" i="26"/>
  <c r="G393" i="26"/>
  <c r="G394" i="26" s="1"/>
  <c r="D393" i="26"/>
  <c r="D386" i="26"/>
  <c r="I386" i="26" s="1"/>
  <c r="D384" i="26"/>
  <c r="I384" i="26" s="1"/>
  <c r="D379" i="26"/>
  <c r="I379" i="26" s="1"/>
  <c r="D378" i="26"/>
  <c r="I378" i="26" s="1"/>
  <c r="D377" i="26"/>
  <c r="I377" i="26" s="1"/>
  <c r="D376" i="26"/>
  <c r="I376" i="26" s="1"/>
  <c r="D375" i="26"/>
  <c r="I375" i="26" s="1"/>
  <c r="D374" i="26"/>
  <c r="I374" i="26" s="1"/>
  <c r="D373" i="26"/>
  <c r="I373" i="26" s="1"/>
  <c r="D372" i="26"/>
  <c r="D371" i="26"/>
  <c r="G372" i="26" s="1"/>
  <c r="D369" i="26"/>
  <c r="I369" i="26" s="1"/>
  <c r="D368" i="26"/>
  <c r="I368" i="26" s="1"/>
  <c r="D367" i="26"/>
  <c r="I367" i="26" s="1"/>
  <c r="D366" i="26"/>
  <c r="I366" i="26" s="1"/>
  <c r="D365" i="26"/>
  <c r="I365" i="26" s="1"/>
  <c r="D364" i="26"/>
  <c r="I364" i="26" s="1"/>
  <c r="D363" i="26"/>
  <c r="I363" i="26" s="1"/>
  <c r="D362" i="26"/>
  <c r="D361" i="26"/>
  <c r="G362" i="26" s="1"/>
  <c r="D359" i="26"/>
  <c r="D358" i="26"/>
  <c r="D357" i="26"/>
  <c r="I357" i="26" s="1"/>
  <c r="I532" i="26" s="1"/>
  <c r="K532" i="26" s="1"/>
  <c r="G356" i="26"/>
  <c r="G358" i="26" s="1"/>
  <c r="D356" i="26"/>
  <c r="D342" i="26"/>
  <c r="G350" i="26" s="1"/>
  <c r="D328" i="26"/>
  <c r="G336" i="26" s="1"/>
  <c r="D313" i="26"/>
  <c r="D312" i="26"/>
  <c r="I310" i="26"/>
  <c r="I524" i="26" s="1"/>
  <c r="K524" i="26" s="1"/>
  <c r="D310" i="26"/>
  <c r="D309" i="26"/>
  <c r="D308" i="26"/>
  <c r="D307" i="26"/>
  <c r="D306" i="26"/>
  <c r="D301" i="26"/>
  <c r="D302" i="26" s="1"/>
  <c r="D299" i="26"/>
  <c r="D298" i="26"/>
  <c r="I296" i="26"/>
  <c r="I523" i="26" s="1"/>
  <c r="K523" i="26" s="1"/>
  <c r="D293" i="26"/>
  <c r="D292" i="26"/>
  <c r="D295" i="26" s="1"/>
  <c r="D287" i="26"/>
  <c r="D288" i="26" s="1"/>
  <c r="G285" i="26"/>
  <c r="D285" i="26"/>
  <c r="D284" i="26"/>
  <c r="I284" i="26" s="1"/>
  <c r="G283" i="26"/>
  <c r="D283" i="26"/>
  <c r="G282" i="26"/>
  <c r="D282" i="26"/>
  <c r="D279" i="26"/>
  <c r="I279" i="26" s="1"/>
  <c r="D278" i="26"/>
  <c r="I278" i="26" s="1"/>
  <c r="G277" i="26"/>
  <c r="D277" i="26"/>
  <c r="D276" i="26"/>
  <c r="I276" i="26" s="1"/>
  <c r="D275" i="26"/>
  <c r="I275" i="26" s="1"/>
  <c r="G274" i="26"/>
  <c r="D274" i="26"/>
  <c r="G273" i="26"/>
  <c r="D273" i="26"/>
  <c r="D271" i="26"/>
  <c r="I271" i="26" s="1"/>
  <c r="D270" i="26"/>
  <c r="D269" i="26"/>
  <c r="D268" i="26"/>
  <c r="G267" i="26"/>
  <c r="D267" i="26"/>
  <c r="D266" i="26"/>
  <c r="D265" i="26"/>
  <c r="D264" i="26"/>
  <c r="H263" i="26"/>
  <c r="G270" i="26" s="1"/>
  <c r="D260" i="26"/>
  <c r="I260" i="26" s="1"/>
  <c r="D259" i="26"/>
  <c r="D258" i="26"/>
  <c r="D257" i="26"/>
  <c r="I257" i="26" s="1"/>
  <c r="D256" i="26"/>
  <c r="D255" i="26"/>
  <c r="I255" i="26" s="1"/>
  <c r="D254" i="26"/>
  <c r="I254" i="26" s="1"/>
  <c r="G253" i="26"/>
  <c r="D253" i="26"/>
  <c r="I253" i="26" s="1"/>
  <c r="D252" i="26"/>
  <c r="D251" i="26"/>
  <c r="D250" i="26"/>
  <c r="D249" i="26"/>
  <c r="D248" i="26"/>
  <c r="H247" i="26"/>
  <c r="D244" i="26"/>
  <c r="I244" i="26" s="1"/>
  <c r="G243" i="26"/>
  <c r="D243" i="26"/>
  <c r="G242" i="26"/>
  <c r="D242" i="26"/>
  <c r="D241" i="26"/>
  <c r="I241" i="26" s="1"/>
  <c r="G240" i="26"/>
  <c r="D240" i="26"/>
  <c r="D239" i="26"/>
  <c r="I239" i="26" s="1"/>
  <c r="D238" i="26"/>
  <c r="I238" i="26" s="1"/>
  <c r="G237" i="26"/>
  <c r="D237" i="26"/>
  <c r="G236" i="26"/>
  <c r="D236" i="26"/>
  <c r="D235" i="26"/>
  <c r="D234" i="26"/>
  <c r="D233" i="26"/>
  <c r="D232" i="26"/>
  <c r="H230" i="26"/>
  <c r="D228" i="26"/>
  <c r="I228" i="26" s="1"/>
  <c r="G227" i="26"/>
  <c r="D227" i="26"/>
  <c r="G226" i="26"/>
  <c r="D226" i="26"/>
  <c r="D225" i="26"/>
  <c r="I225" i="26" s="1"/>
  <c r="G224" i="26"/>
  <c r="D224" i="26"/>
  <c r="D223" i="26"/>
  <c r="I223" i="26" s="1"/>
  <c r="D222" i="26"/>
  <c r="I222" i="26" s="1"/>
  <c r="G221" i="26"/>
  <c r="D221" i="26"/>
  <c r="G220" i="26"/>
  <c r="D220" i="26"/>
  <c r="D219" i="26"/>
  <c r="D218" i="26"/>
  <c r="D217" i="26"/>
  <c r="D216" i="26"/>
  <c r="H214" i="26"/>
  <c r="G218" i="26" s="1"/>
  <c r="D212" i="26"/>
  <c r="I212" i="26" s="1"/>
  <c r="G211" i="26"/>
  <c r="D211" i="26"/>
  <c r="G210" i="26"/>
  <c r="D210" i="26"/>
  <c r="D209" i="26"/>
  <c r="I209" i="26" s="1"/>
  <c r="G208" i="26"/>
  <c r="D208" i="26"/>
  <c r="D207" i="26"/>
  <c r="I207" i="26" s="1"/>
  <c r="D206" i="26"/>
  <c r="I206" i="26" s="1"/>
  <c r="G205" i="26"/>
  <c r="D205" i="26"/>
  <c r="G204" i="26"/>
  <c r="D204" i="26"/>
  <c r="D203" i="26"/>
  <c r="D202" i="26"/>
  <c r="D201" i="26"/>
  <c r="D200" i="26"/>
  <c r="H198" i="26"/>
  <c r="G200" i="26" s="1"/>
  <c r="D196" i="26"/>
  <c r="I196" i="26" s="1"/>
  <c r="I536" i="26" s="1"/>
  <c r="K536" i="26" s="1"/>
  <c r="G195" i="26"/>
  <c r="D195" i="26"/>
  <c r="G194" i="26"/>
  <c r="D194" i="26"/>
  <c r="D193" i="26"/>
  <c r="I193" i="26" s="1"/>
  <c r="G192" i="26"/>
  <c r="D192" i="26"/>
  <c r="D191" i="26"/>
  <c r="I191" i="26" s="1"/>
  <c r="D190" i="26"/>
  <c r="I190" i="26" s="1"/>
  <c r="G189" i="26"/>
  <c r="D189" i="26"/>
  <c r="G188" i="26"/>
  <c r="D188" i="26"/>
  <c r="D187" i="26"/>
  <c r="G186" i="26"/>
  <c r="G187" i="26" s="1"/>
  <c r="D186" i="26"/>
  <c r="H184" i="26"/>
  <c r="D182" i="26"/>
  <c r="I182" i="26" s="1"/>
  <c r="D181" i="26"/>
  <c r="I181" i="26" s="1"/>
  <c r="D180" i="26"/>
  <c r="I180" i="26" s="1"/>
  <c r="D179" i="26"/>
  <c r="I179" i="26" s="1"/>
  <c r="D178" i="26"/>
  <c r="I178" i="26" s="1"/>
  <c r="D176" i="26"/>
  <c r="I176" i="26" s="1"/>
  <c r="G175" i="26"/>
  <c r="D175" i="26"/>
  <c r="G174" i="26"/>
  <c r="D174" i="26"/>
  <c r="D173" i="26"/>
  <c r="I173" i="26" s="1"/>
  <c r="G172" i="26"/>
  <c r="D172" i="26"/>
  <c r="D171" i="26"/>
  <c r="I171" i="26" s="1"/>
  <c r="D170" i="26"/>
  <c r="I170" i="26" s="1"/>
  <c r="G169" i="26"/>
  <c r="D169" i="26"/>
  <c r="G168" i="26"/>
  <c r="D168" i="26"/>
  <c r="G167" i="26"/>
  <c r="D167" i="26"/>
  <c r="G166" i="26"/>
  <c r="D166" i="26"/>
  <c r="G165" i="26"/>
  <c r="D165" i="26"/>
  <c r="G164" i="26"/>
  <c r="D164" i="26"/>
  <c r="D161" i="26"/>
  <c r="I161" i="26" s="1"/>
  <c r="G160" i="26"/>
  <c r="D160" i="26"/>
  <c r="G159" i="26"/>
  <c r="D159" i="26"/>
  <c r="D158" i="26"/>
  <c r="I158" i="26" s="1"/>
  <c r="G157" i="26"/>
  <c r="D157" i="26"/>
  <c r="D156" i="26"/>
  <c r="I156" i="26" s="1"/>
  <c r="D155" i="26"/>
  <c r="I155" i="26" s="1"/>
  <c r="G154" i="26"/>
  <c r="D154" i="26"/>
  <c r="G153" i="26"/>
  <c r="D153" i="26"/>
  <c r="G152" i="26"/>
  <c r="D152" i="26"/>
  <c r="G151" i="26"/>
  <c r="D151" i="26"/>
  <c r="G150" i="26"/>
  <c r="D150" i="26"/>
  <c r="G149" i="26"/>
  <c r="D149" i="26"/>
  <c r="D146" i="26"/>
  <c r="I146" i="26" s="1"/>
  <c r="D142" i="26"/>
  <c r="D144" i="26" s="1"/>
  <c r="I144" i="26" s="1"/>
  <c r="G141" i="26"/>
  <c r="G140" i="26"/>
  <c r="G139" i="26"/>
  <c r="G137" i="26"/>
  <c r="G136" i="26"/>
  <c r="G135" i="26"/>
  <c r="D135" i="26"/>
  <c r="D141" i="26" s="1"/>
  <c r="D133" i="26"/>
  <c r="I133" i="26" s="1"/>
  <c r="D132" i="26"/>
  <c r="I132" i="26" s="1"/>
  <c r="D129" i="26"/>
  <c r="I129" i="26" s="1"/>
  <c r="D128" i="26"/>
  <c r="I128" i="26" s="1"/>
  <c r="D125" i="26"/>
  <c r="D124" i="26"/>
  <c r="D122" i="26"/>
  <c r="G124" i="26" s="1"/>
  <c r="D120" i="26"/>
  <c r="D119" i="26"/>
  <c r="D117" i="26"/>
  <c r="G119" i="26" s="1"/>
  <c r="G120" i="26" s="1"/>
  <c r="G115" i="26"/>
  <c r="D115" i="26"/>
  <c r="G114" i="26"/>
  <c r="G113" i="26"/>
  <c r="D113" i="26"/>
  <c r="G112" i="26"/>
  <c r="D112" i="26"/>
  <c r="I112" i="26" s="1"/>
  <c r="G111" i="26"/>
  <c r="D110" i="26"/>
  <c r="G109" i="26"/>
  <c r="G110" i="26" s="1"/>
  <c r="D109" i="26"/>
  <c r="D114" i="26"/>
  <c r="G106" i="26"/>
  <c r="G105" i="26"/>
  <c r="G104" i="26"/>
  <c r="G103" i="26"/>
  <c r="G102" i="26"/>
  <c r="G101" i="26"/>
  <c r="G100" i="26"/>
  <c r="G99" i="26"/>
  <c r="D94" i="26"/>
  <c r="I94" i="26" s="1"/>
  <c r="D92" i="26"/>
  <c r="I92" i="26" s="1"/>
  <c r="D91" i="26"/>
  <c r="I91" i="26" s="1"/>
  <c r="D90" i="26"/>
  <c r="I90" i="26" s="1"/>
  <c r="D89" i="26"/>
  <c r="I89" i="26" s="1"/>
  <c r="D88" i="26"/>
  <c r="I88" i="26" s="1"/>
  <c r="D83" i="26"/>
  <c r="D84" i="26" s="1"/>
  <c r="D78" i="26"/>
  <c r="D80" i="26" s="1"/>
  <c r="I80" i="26" s="1"/>
  <c r="D76" i="26"/>
  <c r="I76" i="26" s="1"/>
  <c r="D75" i="26"/>
  <c r="I75" i="26" s="1"/>
  <c r="I528" i="26" s="1"/>
  <c r="K528" i="26" s="1"/>
  <c r="D74" i="26"/>
  <c r="I74" i="26" s="1"/>
  <c r="D73" i="26"/>
  <c r="I73" i="26" s="1"/>
  <c r="D72" i="26"/>
  <c r="I72" i="26" s="1"/>
  <c r="D69" i="26"/>
  <c r="I69" i="26" s="1"/>
  <c r="D67" i="26"/>
  <c r="I67" i="26" s="1"/>
  <c r="D66" i="26"/>
  <c r="I66" i="26" s="1"/>
  <c r="D68" i="26"/>
  <c r="I68" i="26" s="1"/>
  <c r="D58" i="26"/>
  <c r="I58" i="26" s="1"/>
  <c r="D57" i="26"/>
  <c r="I57" i="26" s="1"/>
  <c r="D56" i="26"/>
  <c r="I56" i="26" s="1"/>
  <c r="D55" i="26"/>
  <c r="I55" i="26" s="1"/>
  <c r="D53" i="26"/>
  <c r="I53" i="26" s="1"/>
  <c r="D52" i="26"/>
  <c r="I52" i="26" s="1"/>
  <c r="D51" i="26"/>
  <c r="I51" i="26" s="1"/>
  <c r="D50" i="26"/>
  <c r="I50" i="26" s="1"/>
  <c r="D48" i="26"/>
  <c r="I48" i="26" s="1"/>
  <c r="D47" i="26"/>
  <c r="I47" i="26" s="1"/>
  <c r="D46" i="26"/>
  <c r="I46" i="26" s="1"/>
  <c r="D45" i="26"/>
  <c r="I45" i="26" s="1"/>
  <c r="D43" i="26"/>
  <c r="I43" i="26" s="1"/>
  <c r="D42" i="26"/>
  <c r="I42" i="26" s="1"/>
  <c r="D41" i="26"/>
  <c r="I41" i="26" s="1"/>
  <c r="D40" i="26"/>
  <c r="I40" i="26" s="1"/>
  <c r="D38" i="26"/>
  <c r="I38" i="26" s="1"/>
  <c r="D37" i="26"/>
  <c r="I37" i="26" s="1"/>
  <c r="D36" i="26"/>
  <c r="I36" i="26" s="1"/>
  <c r="D35" i="26"/>
  <c r="I35" i="26" s="1"/>
  <c r="D28" i="26"/>
  <c r="I28" i="26" s="1"/>
  <c r="D27" i="26"/>
  <c r="I27" i="26" s="1"/>
  <c r="G26" i="26"/>
  <c r="D26" i="26"/>
  <c r="G25" i="26"/>
  <c r="D25" i="26"/>
  <c r="G24" i="26"/>
  <c r="D24" i="26"/>
  <c r="D22" i="26"/>
  <c r="I22" i="26" s="1"/>
  <c r="D21" i="26"/>
  <c r="I21" i="26" s="1"/>
  <c r="G20" i="26"/>
  <c r="D20" i="26"/>
  <c r="D17" i="26"/>
  <c r="I17" i="26" s="1"/>
  <c r="D16" i="26"/>
  <c r="I16" i="26" s="1"/>
  <c r="D15" i="26"/>
  <c r="I15" i="26" s="1"/>
  <c r="G12" i="26"/>
  <c r="D12" i="26"/>
  <c r="D8" i="26"/>
  <c r="I8" i="26" s="1"/>
  <c r="D7" i="26"/>
  <c r="I7" i="26" s="1"/>
  <c r="C541" i="26"/>
  <c r="C540" i="26"/>
  <c r="J541" i="26"/>
  <c r="D61" i="26" l="1"/>
  <c r="I61" i="26" s="1"/>
  <c r="G438" i="26"/>
  <c r="I438" i="26" s="1"/>
  <c r="K438" i="26" s="1"/>
  <c r="D3" i="26"/>
  <c r="K241" i="26"/>
  <c r="K448" i="26"/>
  <c r="K209" i="26"/>
  <c r="K193" i="26"/>
  <c r="K400" i="26"/>
  <c r="K181" i="26"/>
  <c r="K173" i="26"/>
  <c r="K278" i="26"/>
  <c r="K375" i="26"/>
  <c r="K158" i="26"/>
  <c r="K365" i="26"/>
  <c r="K257" i="26"/>
  <c r="K225" i="26"/>
  <c r="D60" i="26"/>
  <c r="I60" i="26" s="1"/>
  <c r="I531" i="26"/>
  <c r="K531" i="26" s="1"/>
  <c r="D62" i="26"/>
  <c r="I62" i="26" s="1"/>
  <c r="A417" i="26"/>
  <c r="I441" i="26"/>
  <c r="K441" i="26" s="1"/>
  <c r="I485" i="26"/>
  <c r="K485" i="26" s="1"/>
  <c r="K422" i="26"/>
  <c r="I444" i="26"/>
  <c r="K444" i="26" s="1"/>
  <c r="I237" i="26"/>
  <c r="K237" i="26" s="1"/>
  <c r="G407" i="26"/>
  <c r="G409" i="26"/>
  <c r="I409" i="26" s="1"/>
  <c r="K409" i="26" s="1"/>
  <c r="I25" i="26"/>
  <c r="K25" i="26" s="1"/>
  <c r="I277" i="26"/>
  <c r="K277" i="26" s="1"/>
  <c r="I109" i="26"/>
  <c r="K109" i="26" s="1"/>
  <c r="I24" i="26"/>
  <c r="I484" i="26"/>
  <c r="K484" i="26" s="1"/>
  <c r="N478" i="26"/>
  <c r="G437" i="26"/>
  <c r="I437" i="26" s="1"/>
  <c r="K437" i="26" s="1"/>
  <c r="K155" i="26"/>
  <c r="K322" i="26"/>
  <c r="I399" i="26"/>
  <c r="I529" i="26" s="1"/>
  <c r="K529" i="26" s="1"/>
  <c r="I274" i="26"/>
  <c r="K274" i="26" s="1"/>
  <c r="I486" i="26"/>
  <c r="K486" i="26" s="1"/>
  <c r="K319" i="26"/>
  <c r="K318" i="26"/>
  <c r="K317" i="26"/>
  <c r="K316" i="26"/>
  <c r="K324" i="26"/>
  <c r="K315" i="26"/>
  <c r="K314" i="26"/>
  <c r="K323" i="26"/>
  <c r="K321" i="26"/>
  <c r="K320" i="26"/>
  <c r="K326" i="26"/>
  <c r="K325" i="26"/>
  <c r="I221" i="26"/>
  <c r="K221" i="26" s="1"/>
  <c r="I273" i="26"/>
  <c r="K273" i="26" s="1"/>
  <c r="G410" i="26"/>
  <c r="I410" i="26" s="1"/>
  <c r="I113" i="26"/>
  <c r="K113" i="26" s="1"/>
  <c r="G412" i="26"/>
  <c r="I412" i="26" s="1"/>
  <c r="I440" i="26"/>
  <c r="K440" i="26" s="1"/>
  <c r="I141" i="26"/>
  <c r="K141" i="26" s="1"/>
  <c r="G268" i="26"/>
  <c r="I268" i="26" s="1"/>
  <c r="I503" i="26" s="1"/>
  <c r="G433" i="26"/>
  <c r="G434" i="26" s="1"/>
  <c r="I434" i="26" s="1"/>
  <c r="K434" i="26" s="1"/>
  <c r="I114" i="26"/>
  <c r="K114" i="26" s="1"/>
  <c r="G269" i="26"/>
  <c r="I269" i="26" s="1"/>
  <c r="K269" i="26" s="1"/>
  <c r="G414" i="26"/>
  <c r="I414" i="26" s="1"/>
  <c r="I110" i="26"/>
  <c r="K110" i="26" s="1"/>
  <c r="H262" i="26"/>
  <c r="G266" i="26" s="1"/>
  <c r="I266" i="26" s="1"/>
  <c r="K266" i="26" s="1"/>
  <c r="I356" i="26"/>
  <c r="K356" i="26" s="1"/>
  <c r="I218" i="26"/>
  <c r="K218" i="26" s="1"/>
  <c r="G299" i="26"/>
  <c r="I299" i="26" s="1"/>
  <c r="I372" i="26"/>
  <c r="K372" i="26" s="1"/>
  <c r="I175" i="26"/>
  <c r="K175" i="26" s="1"/>
  <c r="I236" i="26"/>
  <c r="K236" i="26" s="1"/>
  <c r="I242" i="26"/>
  <c r="K242" i="26" s="1"/>
  <c r="G306" i="26"/>
  <c r="I306" i="26" s="1"/>
  <c r="K306" i="26" s="1"/>
  <c r="I362" i="26"/>
  <c r="K362" i="26" s="1"/>
  <c r="I481" i="26"/>
  <c r="K481" i="26" s="1"/>
  <c r="I20" i="26"/>
  <c r="K20" i="26" s="1"/>
  <c r="I150" i="26"/>
  <c r="I166" i="26"/>
  <c r="K166" i="26" s="1"/>
  <c r="I186" i="26"/>
  <c r="K186" i="26" s="1"/>
  <c r="I174" i="26"/>
  <c r="K174" i="26" s="1"/>
  <c r="I159" i="26"/>
  <c r="I167" i="26"/>
  <c r="K167" i="26" s="1"/>
  <c r="I188" i="26"/>
  <c r="K188" i="26" s="1"/>
  <c r="G217" i="26"/>
  <c r="I217" i="26" s="1"/>
  <c r="K217" i="26" s="1"/>
  <c r="G219" i="26"/>
  <c r="I219" i="26" s="1"/>
  <c r="K219" i="26" s="1"/>
  <c r="G312" i="26"/>
  <c r="I312" i="26" s="1"/>
  <c r="K312" i="26" s="1"/>
  <c r="I282" i="26"/>
  <c r="K282" i="26" s="1"/>
  <c r="I439" i="26"/>
  <c r="G313" i="26"/>
  <c r="I313" i="26" s="1"/>
  <c r="K313" i="26" s="1"/>
  <c r="I472" i="26"/>
  <c r="K472" i="26" s="1"/>
  <c r="I168" i="26"/>
  <c r="K168" i="26" s="1"/>
  <c r="I124" i="26"/>
  <c r="K124" i="26" s="1"/>
  <c r="I154" i="26"/>
  <c r="K154" i="26" s="1"/>
  <c r="D63" i="26"/>
  <c r="I63" i="26" s="1"/>
  <c r="I511" i="26" s="1"/>
  <c r="I160" i="26"/>
  <c r="K160" i="26" s="1"/>
  <c r="I195" i="26"/>
  <c r="K195" i="26" s="1"/>
  <c r="I224" i="26"/>
  <c r="K224" i="26" s="1"/>
  <c r="I243" i="26"/>
  <c r="K243" i="26" s="1"/>
  <c r="I200" i="26"/>
  <c r="K200" i="26" s="1"/>
  <c r="I208" i="26"/>
  <c r="K208" i="26" s="1"/>
  <c r="I226" i="26"/>
  <c r="K226" i="26" s="1"/>
  <c r="G292" i="26"/>
  <c r="I292" i="26" s="1"/>
  <c r="K292" i="26" s="1"/>
  <c r="I393" i="26"/>
  <c r="D85" i="26"/>
  <c r="I85" i="26" s="1"/>
  <c r="I172" i="26"/>
  <c r="K172" i="26" s="1"/>
  <c r="I227" i="26"/>
  <c r="K227" i="26" s="1"/>
  <c r="I270" i="26"/>
  <c r="K270" i="26" s="1"/>
  <c r="G294" i="26"/>
  <c r="I435" i="26"/>
  <c r="K435" i="26" s="1"/>
  <c r="G295" i="26"/>
  <c r="I295" i="26" s="1"/>
  <c r="G202" i="26"/>
  <c r="I202" i="26" s="1"/>
  <c r="K202" i="26" s="1"/>
  <c r="I283" i="26"/>
  <c r="K283" i="26" s="1"/>
  <c r="I152" i="26"/>
  <c r="I445" i="26"/>
  <c r="K445" i="26" s="1"/>
  <c r="I465" i="26"/>
  <c r="K465" i="26" s="1"/>
  <c r="I467" i="26"/>
  <c r="K467" i="26" s="1"/>
  <c r="I165" i="26"/>
  <c r="I151" i="26"/>
  <c r="K151" i="26" s="1"/>
  <c r="I210" i="26"/>
  <c r="K210" i="26" s="1"/>
  <c r="I204" i="26"/>
  <c r="K204" i="26" s="1"/>
  <c r="I240" i="26"/>
  <c r="K240" i="26" s="1"/>
  <c r="D136" i="26"/>
  <c r="I136" i="26" s="1"/>
  <c r="K136" i="26" s="1"/>
  <c r="I135" i="26"/>
  <c r="K135" i="26" s="1"/>
  <c r="I26" i="26"/>
  <c r="K26" i="26" s="1"/>
  <c r="I194" i="26"/>
  <c r="K194" i="26" s="1"/>
  <c r="I413" i="26"/>
  <c r="I460" i="26"/>
  <c r="K460" i="26" s="1"/>
  <c r="D294" i="26"/>
  <c r="I211" i="26"/>
  <c r="K211" i="26" s="1"/>
  <c r="I473" i="26"/>
  <c r="K473" i="26" s="1"/>
  <c r="D9" i="26"/>
  <c r="I9" i="26" s="1"/>
  <c r="K9" i="26" s="1"/>
  <c r="I189" i="26"/>
  <c r="K189" i="26" s="1"/>
  <c r="I12" i="26"/>
  <c r="I83" i="26"/>
  <c r="I153" i="26"/>
  <c r="K153" i="26" s="1"/>
  <c r="I220" i="26"/>
  <c r="K220" i="26" s="1"/>
  <c r="G474" i="26"/>
  <c r="I474" i="26" s="1"/>
  <c r="K474" i="26" s="1"/>
  <c r="D95" i="26"/>
  <c r="I95" i="26" s="1"/>
  <c r="K95" i="26" s="1"/>
  <c r="I285" i="26"/>
  <c r="G308" i="26"/>
  <c r="I308" i="26" s="1"/>
  <c r="K308" i="26" s="1"/>
  <c r="G216" i="26"/>
  <c r="I216" i="26" s="1"/>
  <c r="K216" i="26" s="1"/>
  <c r="G298" i="26"/>
  <c r="I298" i="26" s="1"/>
  <c r="K298" i="26" s="1"/>
  <c r="I119" i="26"/>
  <c r="K119" i="26" s="1"/>
  <c r="G309" i="26"/>
  <c r="I309" i="26" s="1"/>
  <c r="K309" i="26" s="1"/>
  <c r="I466" i="26"/>
  <c r="I149" i="26"/>
  <c r="K149" i="26" s="1"/>
  <c r="I192" i="26"/>
  <c r="K192" i="26" s="1"/>
  <c r="I394" i="26"/>
  <c r="K394" i="26" s="1"/>
  <c r="I157" i="26"/>
  <c r="K157" i="26" s="1"/>
  <c r="I164" i="26"/>
  <c r="K164" i="26" s="1"/>
  <c r="I395" i="26"/>
  <c r="K395" i="26" s="1"/>
  <c r="I442" i="26"/>
  <c r="K442" i="26" s="1"/>
  <c r="K468" i="26"/>
  <c r="K457" i="26"/>
  <c r="K10" i="26"/>
  <c r="K404" i="26"/>
  <c r="K199" i="26"/>
  <c r="K464" i="26"/>
  <c r="K456" i="26"/>
  <c r="K213" i="26"/>
  <c r="K177" i="26"/>
  <c r="K463" i="26"/>
  <c r="K455" i="26"/>
  <c r="K403" i="26"/>
  <c r="K371" i="26"/>
  <c r="K198" i="26"/>
  <c r="K162" i="26"/>
  <c r="K148" i="26"/>
  <c r="K142" i="26"/>
  <c r="K462" i="26"/>
  <c r="K346" i="26"/>
  <c r="K332" i="26"/>
  <c r="K281" i="26"/>
  <c r="K261" i="26"/>
  <c r="K477" i="26"/>
  <c r="K461" i="26"/>
  <c r="K432" i="26"/>
  <c r="K370" i="26"/>
  <c r="K345" i="26"/>
  <c r="K361" i="26"/>
  <c r="K344" i="26"/>
  <c r="K330" i="26"/>
  <c r="K304" i="26"/>
  <c r="K290" i="26"/>
  <c r="K87" i="26"/>
  <c r="K476" i="26"/>
  <c r="K453" i="26"/>
  <c r="K431" i="26"/>
  <c r="K396" i="26"/>
  <c r="K343" i="26"/>
  <c r="K329" i="26"/>
  <c r="K303" i="26"/>
  <c r="K289" i="26"/>
  <c r="K134" i="26"/>
  <c r="K430" i="26"/>
  <c r="K360" i="26"/>
  <c r="K302" i="26"/>
  <c r="K288" i="26"/>
  <c r="K245" i="26"/>
  <c r="K475" i="26"/>
  <c r="K352" i="26"/>
  <c r="K342" i="26"/>
  <c r="K338" i="26"/>
  <c r="K328" i="26"/>
  <c r="K311" i="26"/>
  <c r="K230" i="26"/>
  <c r="K185" i="26"/>
  <c r="K122" i="26"/>
  <c r="K117" i="26"/>
  <c r="K71" i="26"/>
  <c r="K471" i="26"/>
  <c r="K429" i="26"/>
  <c r="K392" i="26"/>
  <c r="K310" i="26"/>
  <c r="K301" i="26"/>
  <c r="K470" i="26"/>
  <c r="K459" i="26"/>
  <c r="K391" i="26"/>
  <c r="K229" i="26"/>
  <c r="K215" i="26"/>
  <c r="K126" i="26"/>
  <c r="K381" i="26"/>
  <c r="K291" i="26"/>
  <c r="K116" i="26"/>
  <c r="K34" i="26"/>
  <c r="K297" i="26"/>
  <c r="K123" i="26"/>
  <c r="K61" i="26"/>
  <c r="K47" i="26"/>
  <c r="K42" i="26"/>
  <c r="K14" i="26"/>
  <c r="K287" i="26"/>
  <c r="K280" i="26"/>
  <c r="K263" i="26"/>
  <c r="K255" i="26"/>
  <c r="K238" i="26"/>
  <c r="K163" i="26"/>
  <c r="K147" i="26"/>
  <c r="K108" i="26"/>
  <c r="K94" i="26"/>
  <c r="K13" i="26"/>
  <c r="K2" i="26"/>
  <c r="K15" i="26"/>
  <c r="K286" i="26"/>
  <c r="K121" i="26"/>
  <c r="K107" i="26"/>
  <c r="K19" i="26"/>
  <c r="K18" i="26"/>
  <c r="K72" i="26"/>
  <c r="K44" i="26"/>
  <c r="K305" i="26"/>
  <c r="K93" i="26"/>
  <c r="K6" i="26"/>
  <c r="K48" i="26"/>
  <c r="K272" i="26"/>
  <c r="K197" i="26"/>
  <c r="K145" i="26"/>
  <c r="K300" i="26"/>
  <c r="K253" i="26"/>
  <c r="K184" i="26"/>
  <c r="K133" i="26"/>
  <c r="K127" i="26"/>
  <c r="K59" i="26"/>
  <c r="K331" i="26"/>
  <c r="K214" i="26"/>
  <c r="K98" i="26"/>
  <c r="K23" i="26"/>
  <c r="K11" i="26"/>
  <c r="K355" i="26"/>
  <c r="K131" i="26"/>
  <c r="K183" i="26"/>
  <c r="K54" i="26"/>
  <c r="K469" i="26"/>
  <c r="K207" i="26"/>
  <c r="K458" i="26"/>
  <c r="K390" i="26"/>
  <c r="K247" i="26"/>
  <c r="K231" i="26"/>
  <c r="K223" i="26"/>
  <c r="K118" i="26"/>
  <c r="K451" i="26"/>
  <c r="K443" i="26"/>
  <c r="K228" i="26"/>
  <c r="K130" i="26"/>
  <c r="K89" i="26"/>
  <c r="K77" i="26"/>
  <c r="K57" i="26"/>
  <c r="K43" i="26"/>
  <c r="K88" i="26"/>
  <c r="K82" i="26"/>
  <c r="K39" i="26"/>
  <c r="K112" i="26"/>
  <c r="K260" i="26"/>
  <c r="K4" i="26"/>
  <c r="K64" i="26"/>
  <c r="K171" i="26"/>
  <c r="K29" i="26"/>
  <c r="K128" i="26"/>
  <c r="K90" i="26"/>
  <c r="K45" i="26"/>
  <c r="K66" i="26"/>
  <c r="K212" i="26"/>
  <c r="K41" i="26"/>
  <c r="K129" i="26"/>
  <c r="K27" i="26"/>
  <c r="K75" i="26"/>
  <c r="K8" i="26"/>
  <c r="K35" i="26"/>
  <c r="K69" i="26"/>
  <c r="K144" i="26"/>
  <c r="K7" i="26"/>
  <c r="K67" i="26"/>
  <c r="K37" i="26"/>
  <c r="K58" i="26"/>
  <c r="K146" i="26"/>
  <c r="K52" i="26"/>
  <c r="K53" i="26"/>
  <c r="K56" i="26"/>
  <c r="K38" i="26"/>
  <c r="K62" i="26"/>
  <c r="K222" i="26"/>
  <c r="K376" i="26"/>
  <c r="K68" i="26"/>
  <c r="K46" i="26"/>
  <c r="K16" i="26"/>
  <c r="K50" i="26"/>
  <c r="K60" i="26"/>
  <c r="K73" i="26"/>
  <c r="K161" i="26"/>
  <c r="K3" i="26"/>
  <c r="K55" i="26"/>
  <c r="K36" i="26"/>
  <c r="K40" i="26"/>
  <c r="K51" i="26"/>
  <c r="D30" i="26"/>
  <c r="I30" i="26" s="1"/>
  <c r="K30" i="26" s="1"/>
  <c r="G201" i="26"/>
  <c r="I201" i="26" s="1"/>
  <c r="K201" i="26" s="1"/>
  <c r="K244" i="26"/>
  <c r="K364" i="26"/>
  <c r="K373" i="26"/>
  <c r="K384" i="26"/>
  <c r="G258" i="26"/>
  <c r="I258" i="26" s="1"/>
  <c r="H246" i="26"/>
  <c r="G256" i="26"/>
  <c r="I256" i="26" s="1"/>
  <c r="K256" i="26" s="1"/>
  <c r="G252" i="26"/>
  <c r="I252" i="26" s="1"/>
  <c r="K252" i="26" s="1"/>
  <c r="K275" i="26"/>
  <c r="K386" i="26"/>
  <c r="K397" i="26"/>
  <c r="K454" i="26"/>
  <c r="K276" i="26"/>
  <c r="D333" i="26"/>
  <c r="D340" i="26"/>
  <c r="D339" i="26"/>
  <c r="I337" i="26"/>
  <c r="I521" i="26" s="1"/>
  <c r="K521" i="26" s="1"/>
  <c r="D334" i="26"/>
  <c r="K327" i="26"/>
  <c r="K366" i="26"/>
  <c r="G233" i="26"/>
  <c r="I233" i="26" s="1"/>
  <c r="K233" i="26" s="1"/>
  <c r="G235" i="26"/>
  <c r="I235" i="26" s="1"/>
  <c r="K235" i="26" s="1"/>
  <c r="G232" i="26"/>
  <c r="I232" i="26" s="1"/>
  <c r="K232" i="26" s="1"/>
  <c r="D31" i="26"/>
  <c r="I31" i="26" s="1"/>
  <c r="K31" i="26" s="1"/>
  <c r="I78" i="26"/>
  <c r="K78" i="26" s="1"/>
  <c r="I84" i="26"/>
  <c r="K84" i="26" s="1"/>
  <c r="D86" i="26"/>
  <c r="I86" i="26" s="1"/>
  <c r="K86" i="26" s="1"/>
  <c r="D102" i="26"/>
  <c r="I102" i="26" s="1"/>
  <c r="K102" i="26" s="1"/>
  <c r="D99" i="26"/>
  <c r="I99" i="26" s="1"/>
  <c r="K99" i="26" s="1"/>
  <c r="D103" i="26"/>
  <c r="I103" i="26" s="1"/>
  <c r="K103" i="26" s="1"/>
  <c r="D100" i="26"/>
  <c r="I100" i="26" s="1"/>
  <c r="K100" i="26" s="1"/>
  <c r="K165" i="26"/>
  <c r="K182" i="26"/>
  <c r="K49" i="26"/>
  <c r="K97" i="26"/>
  <c r="G125" i="26"/>
  <c r="I125" i="26" s="1"/>
  <c r="I515" i="26" s="1"/>
  <c r="K515" i="26" s="1"/>
  <c r="K132" i="26"/>
  <c r="D143" i="26"/>
  <c r="I143" i="26" s="1"/>
  <c r="K143" i="26" s="1"/>
  <c r="I358" i="26"/>
  <c r="K358" i="26" s="1"/>
  <c r="G359" i="26"/>
  <c r="I359" i="26" s="1"/>
  <c r="K359" i="26" s="1"/>
  <c r="K398" i="26"/>
  <c r="K374" i="26"/>
  <c r="K159" i="26"/>
  <c r="K170" i="26"/>
  <c r="D5" i="26"/>
  <c r="D79" i="26"/>
  <c r="K91" i="26"/>
  <c r="K190" i="26"/>
  <c r="G203" i="26"/>
  <c r="I203" i="26" s="1"/>
  <c r="K203" i="26" s="1"/>
  <c r="G259" i="26"/>
  <c r="I259" i="26" s="1"/>
  <c r="K284" i="26"/>
  <c r="K357" i="26"/>
  <c r="K367" i="26"/>
  <c r="K480" i="26"/>
  <c r="K21" i="26"/>
  <c r="D32" i="26"/>
  <c r="I32" i="26" s="1"/>
  <c r="K32" i="26" s="1"/>
  <c r="I120" i="26"/>
  <c r="I514" i="26" s="1"/>
  <c r="K514" i="26" s="1"/>
  <c r="K176" i="26"/>
  <c r="K196" i="26"/>
  <c r="K271" i="26"/>
  <c r="K285" i="26"/>
  <c r="K393" i="26"/>
  <c r="K446" i="26"/>
  <c r="K191" i="26"/>
  <c r="I267" i="26"/>
  <c r="K267" i="26" s="1"/>
  <c r="K368" i="26"/>
  <c r="K377" i="26"/>
  <c r="K447" i="26"/>
  <c r="K156" i="26"/>
  <c r="K254" i="26"/>
  <c r="D33" i="26"/>
  <c r="I33" i="26" s="1"/>
  <c r="K33" i="26" s="1"/>
  <c r="K65" i="26"/>
  <c r="D70" i="26"/>
  <c r="I70" i="26" s="1"/>
  <c r="K70" i="26" s="1"/>
  <c r="D104" i="26"/>
  <c r="I104" i="26" s="1"/>
  <c r="I115" i="26"/>
  <c r="K115" i="26" s="1"/>
  <c r="I205" i="26"/>
  <c r="K205" i="26" s="1"/>
  <c r="K279" i="26"/>
  <c r="K369" i="26"/>
  <c r="K378" i="26"/>
  <c r="K436" i="26"/>
  <c r="K179" i="26"/>
  <c r="I187" i="26"/>
  <c r="K187" i="26" s="1"/>
  <c r="G234" i="26"/>
  <c r="I234" i="26" s="1"/>
  <c r="K234" i="26" s="1"/>
  <c r="K296" i="26"/>
  <c r="D347" i="26"/>
  <c r="D354" i="26"/>
  <c r="D353" i="26"/>
  <c r="I351" i="26"/>
  <c r="I522" i="26" s="1"/>
  <c r="D348" i="26"/>
  <c r="K341" i="26"/>
  <c r="K379" i="26"/>
  <c r="K449" i="26"/>
  <c r="K180" i="26"/>
  <c r="K380" i="26"/>
  <c r="K450" i="26"/>
  <c r="K239" i="26"/>
  <c r="K76" i="26"/>
  <c r="D101" i="26"/>
  <c r="I101" i="26" s="1"/>
  <c r="D105" i="26"/>
  <c r="I169" i="26"/>
  <c r="K169" i="26" s="1"/>
  <c r="K206" i="26"/>
  <c r="K363" i="26"/>
  <c r="G293" i="26"/>
  <c r="I293" i="26" s="1"/>
  <c r="K293" i="26" s="1"/>
  <c r="G307" i="26"/>
  <c r="I307" i="26" s="1"/>
  <c r="K307" i="26" s="1"/>
  <c r="D382" i="26"/>
  <c r="I382" i="26" s="1"/>
  <c r="K382" i="26" s="1"/>
  <c r="D452" i="26"/>
  <c r="I452" i="26" s="1"/>
  <c r="K452" i="26" s="1"/>
  <c r="M478" i="26"/>
  <c r="G334" i="26"/>
  <c r="G348" i="26"/>
  <c r="D387" i="26"/>
  <c r="I387" i="26" s="1"/>
  <c r="K387" i="26" s="1"/>
  <c r="G482" i="26"/>
  <c r="I482" i="26" s="1"/>
  <c r="D329" i="26"/>
  <c r="D343" i="26"/>
  <c r="D383" i="26"/>
  <c r="I383" i="26" s="1"/>
  <c r="K383" i="26" s="1"/>
  <c r="G479" i="26"/>
  <c r="I479" i="26" s="1"/>
  <c r="K479" i="26" s="1"/>
  <c r="G339" i="26"/>
  <c r="G353" i="26"/>
  <c r="D111" i="26"/>
  <c r="I111" i="26" s="1"/>
  <c r="K111" i="26" s="1"/>
  <c r="G335" i="26"/>
  <c r="G349" i="26"/>
  <c r="D388" i="26"/>
  <c r="I388" i="26" s="1"/>
  <c r="K388" i="26" s="1"/>
  <c r="G483" i="26"/>
  <c r="I483" i="26" s="1"/>
  <c r="G340" i="26"/>
  <c r="G354" i="26"/>
  <c r="D389" i="26"/>
  <c r="I389" i="26" s="1"/>
  <c r="K389" i="26" s="1"/>
  <c r="G478" i="26"/>
  <c r="I478" i="26" s="1"/>
  <c r="K478" i="26" s="1"/>
  <c r="G333" i="26"/>
  <c r="G347" i="26"/>
  <c r="D385" i="26"/>
  <c r="I385" i="26" s="1"/>
  <c r="K385" i="26" s="1"/>
  <c r="K522" i="26" l="1"/>
  <c r="I42" i="3"/>
  <c r="I509" i="26"/>
  <c r="K509" i="26" s="1"/>
  <c r="I5" i="26"/>
  <c r="K511" i="26"/>
  <c r="I45" i="3"/>
  <c r="K503" i="26"/>
  <c r="I74" i="3"/>
  <c r="K418" i="26"/>
  <c r="K410" i="26"/>
  <c r="K411" i="26"/>
  <c r="K414" i="26"/>
  <c r="K413" i="26"/>
  <c r="K428" i="26"/>
  <c r="K412" i="26"/>
  <c r="I77" i="3"/>
  <c r="D96" i="26"/>
  <c r="I96" i="26" s="1"/>
  <c r="I516" i="26"/>
  <c r="K516" i="26" s="1"/>
  <c r="I508" i="26"/>
  <c r="K508" i="26" s="1"/>
  <c r="I530" i="26"/>
  <c r="K530" i="26" s="1"/>
  <c r="I501" i="26"/>
  <c r="K501" i="26" s="1"/>
  <c r="I500" i="26"/>
  <c r="I519" i="26"/>
  <c r="K519" i="26" s="1"/>
  <c r="I512" i="26"/>
  <c r="K512" i="26" s="1"/>
  <c r="I513" i="26"/>
  <c r="K513" i="26" s="1"/>
  <c r="K150" i="26"/>
  <c r="K24" i="26"/>
  <c r="K466" i="26"/>
  <c r="K83" i="26"/>
  <c r="K295" i="26"/>
  <c r="K12" i="26"/>
  <c r="K63" i="26"/>
  <c r="K152" i="26"/>
  <c r="K299" i="26"/>
  <c r="K399" i="26"/>
  <c r="I425" i="26"/>
  <c r="G408" i="26"/>
  <c r="I408" i="26" s="1"/>
  <c r="K408" i="26" s="1"/>
  <c r="G264" i="26"/>
  <c r="I264" i="26" s="1"/>
  <c r="K264" i="26" s="1"/>
  <c r="G265" i="26"/>
  <c r="I265" i="26" s="1"/>
  <c r="K265" i="26" s="1"/>
  <c r="I433" i="26"/>
  <c r="K433" i="26" s="1"/>
  <c r="K268" i="26"/>
  <c r="I294" i="26"/>
  <c r="K294" i="26" s="1"/>
  <c r="I407" i="26"/>
  <c r="D137" i="26"/>
  <c r="I348" i="26"/>
  <c r="K348" i="26" s="1"/>
  <c r="K258" i="26"/>
  <c r="I354" i="26"/>
  <c r="K354" i="26" s="1"/>
  <c r="I334" i="26"/>
  <c r="K334" i="26" s="1"/>
  <c r="K125" i="26"/>
  <c r="K259" i="26"/>
  <c r="K482" i="26"/>
  <c r="K351" i="26"/>
  <c r="I105" i="26"/>
  <c r="I517" i="26" s="1"/>
  <c r="K517" i="26" s="1"/>
  <c r="D106" i="26"/>
  <c r="I106" i="26" s="1"/>
  <c r="I353" i="26"/>
  <c r="K353" i="26" s="1"/>
  <c r="K120" i="26"/>
  <c r="K101" i="26"/>
  <c r="I347" i="26"/>
  <c r="K347" i="26" s="1"/>
  <c r="D350" i="26"/>
  <c r="I350" i="26" s="1"/>
  <c r="K350" i="26" s="1"/>
  <c r="D349" i="26"/>
  <c r="I349" i="26" s="1"/>
  <c r="K349" i="26" s="1"/>
  <c r="K337" i="26"/>
  <c r="I339" i="26"/>
  <c r="K339" i="26" s="1"/>
  <c r="I340" i="26"/>
  <c r="I333" i="26"/>
  <c r="D336" i="26"/>
  <c r="I336" i="26" s="1"/>
  <c r="D335" i="26"/>
  <c r="I335" i="26" s="1"/>
  <c r="K335" i="26" s="1"/>
  <c r="I79" i="26"/>
  <c r="I525" i="26" s="1"/>
  <c r="K525" i="26" s="1"/>
  <c r="D81" i="26"/>
  <c r="I81" i="26" s="1"/>
  <c r="I527" i="26" s="1"/>
  <c r="K527" i="26" s="1"/>
  <c r="K5" i="26"/>
  <c r="G251" i="26"/>
  <c r="I251" i="26" s="1"/>
  <c r="K251" i="26" s="1"/>
  <c r="G248" i="26"/>
  <c r="I248" i="26" s="1"/>
  <c r="K248" i="26" s="1"/>
  <c r="G249" i="26"/>
  <c r="I249" i="26" s="1"/>
  <c r="I492" i="26" s="1"/>
  <c r="I52" i="3" s="1"/>
  <c r="G250" i="26"/>
  <c r="I250" i="26" s="1"/>
  <c r="K250" i="26" s="1"/>
  <c r="K426" i="26" l="1"/>
  <c r="N22" i="27"/>
  <c r="K500" i="26"/>
  <c r="N27" i="27"/>
  <c r="I79" i="3"/>
  <c r="T68" i="3"/>
  <c r="K419" i="26"/>
  <c r="K425" i="26"/>
  <c r="K407" i="26"/>
  <c r="K415" i="26"/>
  <c r="K417" i="26"/>
  <c r="K416" i="26"/>
  <c r="K427" i="26"/>
  <c r="I490" i="26"/>
  <c r="I518" i="26"/>
  <c r="K518" i="26" s="1"/>
  <c r="I499" i="26"/>
  <c r="I491" i="26"/>
  <c r="I51" i="3" s="1"/>
  <c r="I493" i="26"/>
  <c r="I494" i="26"/>
  <c r="K494" i="26" s="1"/>
  <c r="I498" i="26"/>
  <c r="D138" i="26"/>
  <c r="I138" i="26" s="1"/>
  <c r="I510" i="26" s="1"/>
  <c r="D139" i="26"/>
  <c r="I137" i="26"/>
  <c r="I502" i="26" s="1"/>
  <c r="K502" i="26" s="1"/>
  <c r="K340" i="26"/>
  <c r="K105" i="26"/>
  <c r="K81" i="26"/>
  <c r="K249" i="26"/>
  <c r="K79" i="26"/>
  <c r="K106" i="26"/>
  <c r="K336" i="26"/>
  <c r="K333" i="26"/>
  <c r="K498" i="26" l="1"/>
  <c r="I59" i="3"/>
  <c r="K499" i="26"/>
  <c r="I60" i="3"/>
  <c r="K510" i="26"/>
  <c r="T44" i="3"/>
  <c r="K493" i="26"/>
  <c r="I53" i="3"/>
  <c r="K492" i="26"/>
  <c r="K491" i="26"/>
  <c r="I539" i="26"/>
  <c r="F57" i="6"/>
  <c r="K137" i="26"/>
  <c r="I139" i="26"/>
  <c r="D140" i="26"/>
  <c r="I140" i="26" s="1"/>
  <c r="I506" i="26" s="1"/>
  <c r="K138" i="26"/>
  <c r="I58" i="3" l="1"/>
  <c r="I540" i="26"/>
  <c r="K490" i="26"/>
  <c r="I50" i="3"/>
  <c r="I507" i="26"/>
  <c r="K507" i="26" s="1"/>
  <c r="M489" i="26"/>
  <c r="K139" i="26"/>
  <c r="I504" i="26"/>
  <c r="I541" i="26"/>
  <c r="K541" i="26" s="1"/>
  <c r="K140" i="26"/>
  <c r="K506" i="26" l="1"/>
  <c r="I61" i="3"/>
  <c r="K539" i="26"/>
  <c r="K540" i="26"/>
  <c r="I57" i="3"/>
  <c r="L489" i="26"/>
  <c r="K504" i="26"/>
  <c r="Q14" i="8"/>
  <c r="Q15" i="8"/>
  <c r="G14" i="8"/>
  <c r="G15" i="8"/>
  <c r="F16" i="8"/>
  <c r="E16" i="9"/>
  <c r="E25" i="9" s="1"/>
  <c r="E7" i="9"/>
  <c r="H6" i="9"/>
  <c r="H4" i="9"/>
  <c r="E6" i="9"/>
  <c r="D14" i="10"/>
  <c r="D9" i="10"/>
  <c r="N12" i="13"/>
  <c r="F15" i="13"/>
  <c r="F14" i="13"/>
  <c r="E16" i="13"/>
  <c r="G16" i="13" s="1"/>
  <c r="P16" i="13" s="1"/>
  <c r="E15" i="13"/>
  <c r="G15" i="13" s="1"/>
  <c r="P15" i="13" s="1"/>
  <c r="E14" i="13"/>
  <c r="G14" i="13" s="1"/>
  <c r="P14" i="13" s="1"/>
  <c r="F26" i="13"/>
  <c r="H26" i="13" l="1"/>
  <c r="H28" i="13" s="1"/>
  <c r="L26" i="13"/>
  <c r="J2" i="13"/>
  <c r="K2" i="13" s="1"/>
  <c r="L2" i="13" s="1"/>
  <c r="M2" i="13" s="1"/>
  <c r="N2" i="13" s="1"/>
  <c r="O2" i="13" s="1"/>
  <c r="I15" i="13" l="1" a="1"/>
  <c r="I15" i="13" s="1"/>
  <c r="K30" i="3" l="1"/>
  <c r="K29" i="3"/>
  <c r="K19" i="3"/>
  <c r="F562" i="18" l="1"/>
  <c r="G562" i="18" s="1"/>
  <c r="E11" i="18" l="1"/>
  <c r="E23" i="18"/>
  <c r="E35" i="18"/>
  <c r="E47" i="18"/>
  <c r="E59" i="18"/>
  <c r="E71" i="18"/>
  <c r="E83" i="18"/>
  <c r="E95" i="18"/>
  <c r="E107" i="18"/>
  <c r="E119" i="18"/>
  <c r="E131" i="18"/>
  <c r="E143" i="18"/>
  <c r="E155" i="18"/>
  <c r="E167" i="18"/>
  <c r="E179" i="18"/>
  <c r="E191" i="18"/>
  <c r="E203" i="18"/>
  <c r="E215" i="18"/>
  <c r="E227" i="18"/>
  <c r="E239" i="18"/>
  <c r="E251" i="18"/>
  <c r="E263" i="18"/>
  <c r="E275" i="18"/>
  <c r="E287" i="18"/>
  <c r="E299" i="18"/>
  <c r="E311" i="18"/>
  <c r="E323" i="18"/>
  <c r="E335" i="18"/>
  <c r="E347" i="18"/>
  <c r="E359" i="18"/>
  <c r="E371" i="18"/>
  <c r="E383" i="18"/>
  <c r="E395" i="18"/>
  <c r="E407" i="18"/>
  <c r="E419" i="18"/>
  <c r="E431" i="18"/>
  <c r="E443" i="18"/>
  <c r="E455" i="18"/>
  <c r="E467" i="18"/>
  <c r="E479" i="18"/>
  <c r="E491" i="18"/>
  <c r="E503" i="18"/>
  <c r="E515" i="18"/>
  <c r="E527" i="18"/>
  <c r="E539" i="18"/>
  <c r="E551" i="18"/>
  <c r="E563" i="18"/>
  <c r="E575" i="18"/>
  <c r="E587" i="18"/>
  <c r="E599" i="18"/>
  <c r="E611" i="18"/>
  <c r="E623" i="18"/>
  <c r="E635" i="18"/>
  <c r="E647" i="18"/>
  <c r="E659" i="18"/>
  <c r="E671" i="18"/>
  <c r="E683" i="18"/>
  <c r="E695" i="18"/>
  <c r="E707" i="18"/>
  <c r="E719" i="18"/>
  <c r="E731" i="18"/>
  <c r="E743" i="18"/>
  <c r="E755" i="18"/>
  <c r="E767" i="18"/>
  <c r="E779" i="18"/>
  <c r="E791" i="18"/>
  <c r="E803" i="18"/>
  <c r="E815" i="18"/>
  <c r="E827" i="18"/>
  <c r="E839" i="18"/>
  <c r="E12" i="18"/>
  <c r="E24" i="18"/>
  <c r="E36" i="18"/>
  <c r="E48" i="18"/>
  <c r="E60" i="18"/>
  <c r="E72" i="18"/>
  <c r="E84" i="18"/>
  <c r="E96" i="18"/>
  <c r="E108" i="18"/>
  <c r="E120" i="18"/>
  <c r="E132" i="18"/>
  <c r="R15" i="3" s="1"/>
  <c r="E144" i="18"/>
  <c r="E156" i="18"/>
  <c r="E168" i="18"/>
  <c r="E180" i="18"/>
  <c r="E192" i="18"/>
  <c r="E204" i="18"/>
  <c r="E216" i="18"/>
  <c r="E228" i="18"/>
  <c r="E240" i="18"/>
  <c r="E252" i="18"/>
  <c r="E264" i="18"/>
  <c r="E276" i="18"/>
  <c r="E288" i="18"/>
  <c r="E300" i="18"/>
  <c r="E312" i="18"/>
  <c r="E324" i="18"/>
  <c r="E336" i="18"/>
  <c r="E348" i="18"/>
  <c r="E360" i="18"/>
  <c r="E372" i="18"/>
  <c r="E384" i="18"/>
  <c r="E396" i="18"/>
  <c r="E408" i="18"/>
  <c r="E420" i="18"/>
  <c r="E432" i="18"/>
  <c r="E444" i="18"/>
  <c r="E456" i="18"/>
  <c r="E468" i="18"/>
  <c r="E480" i="18"/>
  <c r="E492" i="18"/>
  <c r="E504" i="18"/>
  <c r="E516" i="18"/>
  <c r="E528" i="18"/>
  <c r="E540" i="18"/>
  <c r="E552" i="18"/>
  <c r="E564" i="18"/>
  <c r="E576" i="18"/>
  <c r="E588" i="18"/>
  <c r="E600" i="18"/>
  <c r="E612" i="18"/>
  <c r="E624" i="18"/>
  <c r="E636" i="18"/>
  <c r="E648" i="18"/>
  <c r="E660" i="18"/>
  <c r="E672" i="18"/>
  <c r="E684" i="18"/>
  <c r="E696" i="18"/>
  <c r="E708" i="18"/>
  <c r="E720" i="18"/>
  <c r="E732" i="18"/>
  <c r="E744" i="18"/>
  <c r="E756" i="18"/>
  <c r="E768" i="18"/>
  <c r="E780" i="18"/>
  <c r="E792" i="18"/>
  <c r="E804" i="18"/>
  <c r="E816" i="18"/>
  <c r="E828" i="18"/>
  <c r="E840" i="18"/>
  <c r="E852" i="18"/>
  <c r="E864" i="18"/>
  <c r="E876" i="18"/>
  <c r="E888" i="18"/>
  <c r="E900" i="18"/>
  <c r="E912" i="18"/>
  <c r="E924" i="18"/>
  <c r="E936" i="18"/>
  <c r="E948" i="18"/>
  <c r="E960" i="18"/>
  <c r="E972" i="18"/>
  <c r="E984" i="18"/>
  <c r="E996" i="18"/>
  <c r="E1008" i="18"/>
  <c r="E1020" i="18"/>
  <c r="E13" i="18"/>
  <c r="E25" i="18"/>
  <c r="E37" i="18"/>
  <c r="E49" i="18"/>
  <c r="E61" i="18"/>
  <c r="E73" i="18"/>
  <c r="E85" i="18"/>
  <c r="E97" i="18"/>
  <c r="E109" i="18"/>
  <c r="E121" i="18"/>
  <c r="E133" i="18"/>
  <c r="E145" i="18"/>
  <c r="E157" i="18"/>
  <c r="E169" i="18"/>
  <c r="E181" i="18"/>
  <c r="E193" i="18"/>
  <c r="E205" i="18"/>
  <c r="E217" i="18"/>
  <c r="E229" i="18"/>
  <c r="E241" i="18"/>
  <c r="E253" i="18"/>
  <c r="E265" i="18"/>
  <c r="E277" i="18"/>
  <c r="E289" i="18"/>
  <c r="E301" i="18"/>
  <c r="E313" i="18"/>
  <c r="E325" i="18"/>
  <c r="E337" i="18"/>
  <c r="E349" i="18"/>
  <c r="E361" i="18"/>
  <c r="E373" i="18"/>
  <c r="E385" i="18"/>
  <c r="E397" i="18"/>
  <c r="E409" i="18"/>
  <c r="E421" i="18"/>
  <c r="E433" i="18"/>
  <c r="E445" i="18"/>
  <c r="E457" i="18"/>
  <c r="E469" i="18"/>
  <c r="E481" i="18"/>
  <c r="E493" i="18"/>
  <c r="R25" i="3" s="1"/>
  <c r="E505" i="18"/>
  <c r="E517" i="18"/>
  <c r="E529" i="18"/>
  <c r="E541" i="18"/>
  <c r="E553" i="18"/>
  <c r="E565" i="18"/>
  <c r="E577" i="18"/>
  <c r="E589" i="18"/>
  <c r="E601" i="18"/>
  <c r="E613" i="18"/>
  <c r="E625" i="18"/>
  <c r="E637" i="18"/>
  <c r="E649" i="18"/>
  <c r="E661" i="18"/>
  <c r="E673" i="18"/>
  <c r="E685" i="18"/>
  <c r="E697" i="18"/>
  <c r="E709" i="18"/>
  <c r="E721" i="18"/>
  <c r="E733" i="18"/>
  <c r="E745" i="18"/>
  <c r="E757" i="18"/>
  <c r="E769" i="18"/>
  <c r="E781" i="18"/>
  <c r="E793" i="18"/>
  <c r="E805" i="18"/>
  <c r="E817" i="18"/>
  <c r="E829" i="18"/>
  <c r="E841" i="18"/>
  <c r="E853" i="18"/>
  <c r="E865" i="18"/>
  <c r="E877" i="18"/>
  <c r="E889" i="18"/>
  <c r="E901" i="18"/>
  <c r="E913" i="18"/>
  <c r="E925" i="18"/>
  <c r="E937" i="18"/>
  <c r="E949" i="18"/>
  <c r="E961" i="18"/>
  <c r="E973" i="18"/>
  <c r="E985" i="18"/>
  <c r="E997" i="18"/>
  <c r="E1009" i="18"/>
  <c r="E1021" i="18"/>
  <c r="E14" i="18"/>
  <c r="E26" i="18"/>
  <c r="E38" i="18"/>
  <c r="E50" i="18"/>
  <c r="E62" i="18"/>
  <c r="E74" i="18"/>
  <c r="E86" i="18"/>
  <c r="E98" i="18"/>
  <c r="E110" i="18"/>
  <c r="E122" i="18"/>
  <c r="E134" i="18"/>
  <c r="E146" i="18"/>
  <c r="E158" i="18"/>
  <c r="E170" i="18"/>
  <c r="E182" i="18"/>
  <c r="E194" i="18"/>
  <c r="E206" i="18"/>
  <c r="E218" i="18"/>
  <c r="E230" i="18"/>
  <c r="E242" i="18"/>
  <c r="E254" i="18"/>
  <c r="E266" i="18"/>
  <c r="E278" i="18"/>
  <c r="E290" i="18"/>
  <c r="E302" i="18"/>
  <c r="E314" i="18"/>
  <c r="E326" i="18"/>
  <c r="E338" i="18"/>
  <c r="E350" i="18"/>
  <c r="R68" i="3" s="1"/>
  <c r="E362" i="18"/>
  <c r="E374" i="18"/>
  <c r="E386" i="18"/>
  <c r="E398" i="18"/>
  <c r="E410" i="18"/>
  <c r="E422" i="18"/>
  <c r="E434" i="18"/>
  <c r="E446" i="18"/>
  <c r="E458" i="18"/>
  <c r="E470" i="18"/>
  <c r="E482" i="18"/>
  <c r="E494" i="18"/>
  <c r="E506" i="18"/>
  <c r="E518" i="18"/>
  <c r="E530" i="18"/>
  <c r="E542" i="18"/>
  <c r="E554" i="18"/>
  <c r="E566" i="18"/>
  <c r="E578" i="18"/>
  <c r="E590" i="18"/>
  <c r="E602" i="18"/>
  <c r="E614" i="18"/>
  <c r="E626" i="18"/>
  <c r="E638" i="18"/>
  <c r="E650" i="18"/>
  <c r="E662" i="18"/>
  <c r="E674" i="18"/>
  <c r="E686" i="18"/>
  <c r="E698" i="18"/>
  <c r="E710" i="18"/>
  <c r="E722" i="18"/>
  <c r="E734" i="18"/>
  <c r="E746" i="18"/>
  <c r="E758" i="18"/>
  <c r="E770" i="18"/>
  <c r="E782" i="18"/>
  <c r="E794" i="18"/>
  <c r="E806" i="18"/>
  <c r="E818" i="18"/>
  <c r="E830" i="18"/>
  <c r="E842" i="18"/>
  <c r="E854" i="18"/>
  <c r="E866" i="18"/>
  <c r="E878" i="18"/>
  <c r="E890" i="18"/>
  <c r="E902" i="18"/>
  <c r="E914" i="18"/>
  <c r="E926" i="18"/>
  <c r="E938" i="18"/>
  <c r="E950" i="18"/>
  <c r="E962" i="18"/>
  <c r="E974" i="18"/>
  <c r="E986" i="18"/>
  <c r="E998" i="18"/>
  <c r="E1010" i="18"/>
  <c r="E1022" i="18"/>
  <c r="E15" i="18"/>
  <c r="E27" i="18"/>
  <c r="E39" i="18"/>
  <c r="E51" i="18"/>
  <c r="E63" i="18"/>
  <c r="E75" i="18"/>
  <c r="E87" i="18"/>
  <c r="E99" i="18"/>
  <c r="E16" i="18"/>
  <c r="E28" i="18"/>
  <c r="E40" i="18"/>
  <c r="E52" i="18"/>
  <c r="E64" i="18"/>
  <c r="E76" i="18"/>
  <c r="E88" i="18"/>
  <c r="E100" i="18"/>
  <c r="E112" i="18"/>
  <c r="E124" i="18"/>
  <c r="E136" i="18"/>
  <c r="E148" i="18"/>
  <c r="E160" i="18"/>
  <c r="E172" i="18"/>
  <c r="E184" i="18"/>
  <c r="E196" i="18"/>
  <c r="E208" i="18"/>
  <c r="E220" i="18"/>
  <c r="E232" i="18"/>
  <c r="E244" i="18"/>
  <c r="E256" i="18"/>
  <c r="E268" i="18"/>
  <c r="E280" i="18"/>
  <c r="E292" i="18"/>
  <c r="E304" i="18"/>
  <c r="E316" i="18"/>
  <c r="E328" i="18"/>
  <c r="E340" i="18"/>
  <c r="E352" i="18"/>
  <c r="E364" i="18"/>
  <c r="E376" i="18"/>
  <c r="E388" i="18"/>
  <c r="E400" i="18"/>
  <c r="E412" i="18"/>
  <c r="E424" i="18"/>
  <c r="E436" i="18"/>
  <c r="E448" i="18"/>
  <c r="E460" i="18"/>
  <c r="E472" i="18"/>
  <c r="E484" i="18"/>
  <c r="E496" i="18"/>
  <c r="E508" i="18"/>
  <c r="E520" i="18"/>
  <c r="E532" i="18"/>
  <c r="E544" i="18"/>
  <c r="E556" i="18"/>
  <c r="E568" i="18"/>
  <c r="E580" i="18"/>
  <c r="E592" i="18"/>
  <c r="E604" i="18"/>
  <c r="E616" i="18"/>
  <c r="E628" i="18"/>
  <c r="E640" i="18"/>
  <c r="E652" i="18"/>
  <c r="E664" i="18"/>
  <c r="E676" i="18"/>
  <c r="E688" i="18"/>
  <c r="E700" i="18"/>
  <c r="E712" i="18"/>
  <c r="E724" i="18"/>
  <c r="E736" i="18"/>
  <c r="E748" i="18"/>
  <c r="E760" i="18"/>
  <c r="E772" i="18"/>
  <c r="E784" i="18"/>
  <c r="E796" i="18"/>
  <c r="E808" i="18"/>
  <c r="E820" i="18"/>
  <c r="E832" i="18"/>
  <c r="E844" i="18"/>
  <c r="E856" i="18"/>
  <c r="E868" i="18"/>
  <c r="E880" i="18"/>
  <c r="E892" i="18"/>
  <c r="E904" i="18"/>
  <c r="E916" i="18"/>
  <c r="E928" i="18"/>
  <c r="E940" i="18"/>
  <c r="E952" i="18"/>
  <c r="E964" i="18"/>
  <c r="E976" i="18"/>
  <c r="E988" i="18"/>
  <c r="E18" i="18"/>
  <c r="E30" i="18"/>
  <c r="E42" i="18"/>
  <c r="E54" i="18"/>
  <c r="E66" i="18"/>
  <c r="E78" i="18"/>
  <c r="E90" i="18"/>
  <c r="E102" i="18"/>
  <c r="E114" i="18"/>
  <c r="E126" i="18"/>
  <c r="E138" i="18"/>
  <c r="E150" i="18"/>
  <c r="E162" i="18"/>
  <c r="E174" i="18"/>
  <c r="E186" i="18"/>
  <c r="E198" i="18"/>
  <c r="E210" i="18"/>
  <c r="E222" i="18"/>
  <c r="E234" i="18"/>
  <c r="E246" i="18"/>
  <c r="E258" i="18"/>
  <c r="E270" i="18"/>
  <c r="E282" i="18"/>
  <c r="E294" i="18"/>
  <c r="E306" i="18"/>
  <c r="E318" i="18"/>
  <c r="E330" i="18"/>
  <c r="E342" i="18"/>
  <c r="E354" i="18"/>
  <c r="E366" i="18"/>
  <c r="E378" i="18"/>
  <c r="E390" i="18"/>
  <c r="E402" i="18"/>
  <c r="E414" i="18"/>
  <c r="E426" i="18"/>
  <c r="E438" i="18"/>
  <c r="E450" i="18"/>
  <c r="E462" i="18"/>
  <c r="E474" i="18"/>
  <c r="E486" i="18"/>
  <c r="E498" i="18"/>
  <c r="E510" i="18"/>
  <c r="E522" i="18"/>
  <c r="E534" i="18"/>
  <c r="E546" i="18"/>
  <c r="E558" i="18"/>
  <c r="E570" i="18"/>
  <c r="E582" i="18"/>
  <c r="E594" i="18"/>
  <c r="E19" i="18"/>
  <c r="E31" i="18"/>
  <c r="E43" i="18"/>
  <c r="E55" i="18"/>
  <c r="E67" i="18"/>
  <c r="E79" i="18"/>
  <c r="E91" i="18"/>
  <c r="E103" i="18"/>
  <c r="E115" i="18"/>
  <c r="E127" i="18"/>
  <c r="E139" i="18"/>
  <c r="E151" i="18"/>
  <c r="E163" i="18"/>
  <c r="E175" i="18"/>
  <c r="E187" i="18"/>
  <c r="E199" i="18"/>
  <c r="E211" i="18"/>
  <c r="E223" i="18"/>
  <c r="E235" i="18"/>
  <c r="E247" i="18"/>
  <c r="E259" i="18"/>
  <c r="E271" i="18"/>
  <c r="E283" i="18"/>
  <c r="E295" i="18"/>
  <c r="E307" i="18"/>
  <c r="E319" i="18"/>
  <c r="E331" i="18"/>
  <c r="E343" i="18"/>
  <c r="E355" i="18"/>
  <c r="E367" i="18"/>
  <c r="E379" i="18"/>
  <c r="E391" i="18"/>
  <c r="E403" i="18"/>
  <c r="E415" i="18"/>
  <c r="E427" i="18"/>
  <c r="E439" i="18"/>
  <c r="E451" i="18"/>
  <c r="E463" i="18"/>
  <c r="E475" i="18"/>
  <c r="E487" i="18"/>
  <c r="E499" i="18"/>
  <c r="E511" i="18"/>
  <c r="E523" i="18"/>
  <c r="E535" i="18"/>
  <c r="E547" i="18"/>
  <c r="E559" i="18"/>
  <c r="E571" i="18"/>
  <c r="E583" i="18"/>
  <c r="E595" i="18"/>
  <c r="E607" i="18"/>
  <c r="E619" i="18"/>
  <c r="E20" i="18"/>
  <c r="E32" i="18"/>
  <c r="E44" i="18"/>
  <c r="E56" i="18"/>
  <c r="E68" i="18"/>
  <c r="E80" i="18"/>
  <c r="E92" i="18"/>
  <c r="E104" i="18"/>
  <c r="E21" i="18"/>
  <c r="E33" i="18"/>
  <c r="E45" i="18"/>
  <c r="E57" i="18"/>
  <c r="E69" i="18"/>
  <c r="E81" i="18"/>
  <c r="E93" i="18"/>
  <c r="E105" i="18"/>
  <c r="E117" i="18"/>
  <c r="E129" i="18"/>
  <c r="R14" i="3" s="1"/>
  <c r="E141" i="18"/>
  <c r="E153" i="18"/>
  <c r="E165" i="18"/>
  <c r="E177" i="18"/>
  <c r="E189" i="18"/>
  <c r="E201" i="18"/>
  <c r="E213" i="18"/>
  <c r="E225" i="18"/>
  <c r="E237" i="18"/>
  <c r="E249" i="18"/>
  <c r="E261" i="18"/>
  <c r="E273" i="18"/>
  <c r="E285" i="18"/>
  <c r="E297" i="18"/>
  <c r="E309" i="18"/>
  <c r="E321" i="18"/>
  <c r="E333" i="18"/>
  <c r="E22" i="18"/>
  <c r="E34" i="18"/>
  <c r="E46" i="18"/>
  <c r="E58" i="18"/>
  <c r="E70" i="18"/>
  <c r="E82" i="18"/>
  <c r="E94" i="18"/>
  <c r="E106" i="18"/>
  <c r="E118" i="18"/>
  <c r="E130" i="18"/>
  <c r="E142" i="18"/>
  <c r="E154" i="18"/>
  <c r="E166" i="18"/>
  <c r="E178" i="18"/>
  <c r="E190" i="18"/>
  <c r="E202" i="18"/>
  <c r="E214" i="18"/>
  <c r="E226" i="18"/>
  <c r="E238" i="18"/>
  <c r="E250" i="18"/>
  <c r="E262" i="18"/>
  <c r="E274" i="18"/>
  <c r="E286" i="18"/>
  <c r="E298" i="18"/>
  <c r="E310" i="18"/>
  <c r="E322" i="18"/>
  <c r="E334" i="18"/>
  <c r="E346" i="18"/>
  <c r="E358" i="18"/>
  <c r="E370" i="18"/>
  <c r="E382" i="18"/>
  <c r="E394" i="18"/>
  <c r="E406" i="18"/>
  <c r="E418" i="18"/>
  <c r="E430" i="18"/>
  <c r="E17" i="18"/>
  <c r="E125" i="18"/>
  <c r="E173" i="18"/>
  <c r="E221" i="18"/>
  <c r="E269" i="18"/>
  <c r="E317" i="18"/>
  <c r="E357" i="18"/>
  <c r="E393" i="18"/>
  <c r="E429" i="18"/>
  <c r="E461" i="18"/>
  <c r="E489" i="18"/>
  <c r="E519" i="18"/>
  <c r="E548" i="18"/>
  <c r="E574" i="18"/>
  <c r="E605" i="18"/>
  <c r="E629" i="18"/>
  <c r="E646" i="18"/>
  <c r="E668" i="18"/>
  <c r="E690" i="18"/>
  <c r="E711" i="18"/>
  <c r="E729" i="18"/>
  <c r="E751" i="18"/>
  <c r="E773" i="18"/>
  <c r="E790" i="18"/>
  <c r="E812" i="18"/>
  <c r="E834" i="18"/>
  <c r="E851" i="18"/>
  <c r="E871" i="18"/>
  <c r="E887" i="18"/>
  <c r="E907" i="18"/>
  <c r="E923" i="18"/>
  <c r="E943" i="18"/>
  <c r="E959" i="18"/>
  <c r="E979" i="18"/>
  <c r="E995" i="18"/>
  <c r="E1013" i="18"/>
  <c r="E1028" i="18"/>
  <c r="E1040" i="18"/>
  <c r="E1052" i="18"/>
  <c r="E1064" i="18"/>
  <c r="E1076" i="18"/>
  <c r="E1088" i="18"/>
  <c r="E1100" i="18"/>
  <c r="E1112" i="18"/>
  <c r="E1124" i="18"/>
  <c r="E1136" i="18"/>
  <c r="E1148" i="18"/>
  <c r="E1160" i="18"/>
  <c r="E1172" i="18"/>
  <c r="E1184" i="18"/>
  <c r="E1196" i="18"/>
  <c r="E1208" i="18"/>
  <c r="E1220" i="18"/>
  <c r="E1232" i="18"/>
  <c r="E1244" i="18"/>
  <c r="E1256" i="18"/>
  <c r="E1268" i="18"/>
  <c r="E1280" i="18"/>
  <c r="E1292" i="18"/>
  <c r="E1304" i="18"/>
  <c r="E1316" i="18"/>
  <c r="E1328" i="18"/>
  <c r="E1340" i="18"/>
  <c r="E1352" i="18"/>
  <c r="E1364" i="18"/>
  <c r="E1376" i="18"/>
  <c r="E1388" i="18"/>
  <c r="E1400" i="18"/>
  <c r="E1412" i="18"/>
  <c r="E1424" i="18"/>
  <c r="E1436" i="18"/>
  <c r="E1448" i="18"/>
  <c r="E1460" i="18"/>
  <c r="E1472" i="18"/>
  <c r="E1484" i="18"/>
  <c r="E1496" i="18"/>
  <c r="E1508" i="18"/>
  <c r="E1520" i="18"/>
  <c r="E1532" i="18"/>
  <c r="E1544" i="18"/>
  <c r="E1556" i="18"/>
  <c r="E1568" i="18"/>
  <c r="E1580" i="18"/>
  <c r="E1592" i="18"/>
  <c r="E1604" i="18"/>
  <c r="E29" i="18"/>
  <c r="E128" i="18"/>
  <c r="E176" i="18"/>
  <c r="E224" i="18"/>
  <c r="E272" i="18"/>
  <c r="E320" i="18"/>
  <c r="E363" i="18"/>
  <c r="E399" i="18"/>
  <c r="E435" i="18"/>
  <c r="E464" i="18"/>
  <c r="E490" i="18"/>
  <c r="E521" i="18"/>
  <c r="E549" i="18"/>
  <c r="E579" i="18"/>
  <c r="E606" i="18"/>
  <c r="E630" i="18"/>
  <c r="E651" i="18"/>
  <c r="E669" i="18"/>
  <c r="E691" i="18"/>
  <c r="E713" i="18"/>
  <c r="E730" i="18"/>
  <c r="E752" i="18"/>
  <c r="E774" i="18"/>
  <c r="E795" i="18"/>
  <c r="E813" i="18"/>
  <c r="E835" i="18"/>
  <c r="E855" i="18"/>
  <c r="E872" i="18"/>
  <c r="E891" i="18"/>
  <c r="E908" i="18"/>
  <c r="E927" i="18"/>
  <c r="E944" i="18"/>
  <c r="E963" i="18"/>
  <c r="E980" i="18"/>
  <c r="E999" i="18"/>
  <c r="E1014" i="18"/>
  <c r="E1029" i="18"/>
  <c r="E1041" i="18"/>
  <c r="E1053" i="18"/>
  <c r="E1065" i="18"/>
  <c r="E1077" i="18"/>
  <c r="E1089" i="18"/>
  <c r="E1101" i="18"/>
  <c r="E1113" i="18"/>
  <c r="E1125" i="18"/>
  <c r="E1137" i="18"/>
  <c r="E1149" i="18"/>
  <c r="E1161" i="18"/>
  <c r="E1173" i="18"/>
  <c r="E1185" i="18"/>
  <c r="E1197" i="18"/>
  <c r="E1209" i="18"/>
  <c r="E1221" i="18"/>
  <c r="E1233" i="18"/>
  <c r="E1245" i="18"/>
  <c r="E1257" i="18"/>
  <c r="E1269" i="18"/>
  <c r="E1281" i="18"/>
  <c r="E1293" i="18"/>
  <c r="E1305" i="18"/>
  <c r="E1317" i="18"/>
  <c r="E1329" i="18"/>
  <c r="E1341" i="18"/>
  <c r="E1353" i="18"/>
  <c r="E1365" i="18"/>
  <c r="E1377" i="18"/>
  <c r="E1389" i="18"/>
  <c r="E1401" i="18"/>
  <c r="E1413" i="18"/>
  <c r="E1425" i="18"/>
  <c r="E1437" i="18"/>
  <c r="E1449" i="18"/>
  <c r="E1461" i="18"/>
  <c r="E1473" i="18"/>
  <c r="E1485" i="18"/>
  <c r="E1497" i="18"/>
  <c r="E1509" i="18"/>
  <c r="E1521" i="18"/>
  <c r="E1533" i="18"/>
  <c r="E1545" i="18"/>
  <c r="E1557" i="18"/>
  <c r="E1569" i="18"/>
  <c r="E1581" i="18"/>
  <c r="E1593" i="18"/>
  <c r="E1605" i="18"/>
  <c r="E1617" i="18"/>
  <c r="E41" i="18"/>
  <c r="E135" i="18"/>
  <c r="E183" i="18"/>
  <c r="E231" i="18"/>
  <c r="E279" i="18"/>
  <c r="E327" i="18"/>
  <c r="E365" i="18"/>
  <c r="E401" i="18"/>
  <c r="E437" i="18"/>
  <c r="E465" i="18"/>
  <c r="E495" i="18"/>
  <c r="E524" i="18"/>
  <c r="E550" i="18"/>
  <c r="E581" i="18"/>
  <c r="E608" i="18"/>
  <c r="E631" i="18"/>
  <c r="E653" i="18"/>
  <c r="E670" i="18"/>
  <c r="E692" i="18"/>
  <c r="E714" i="18"/>
  <c r="E735" i="18"/>
  <c r="E753" i="18"/>
  <c r="E775" i="18"/>
  <c r="E797" i="18"/>
  <c r="E814" i="18"/>
  <c r="E836" i="18"/>
  <c r="E857" i="18"/>
  <c r="E873" i="18"/>
  <c r="E893" i="18"/>
  <c r="E909" i="18"/>
  <c r="E929" i="18"/>
  <c r="E945" i="18"/>
  <c r="E965" i="18"/>
  <c r="E981" i="18"/>
  <c r="E53" i="18"/>
  <c r="E137" i="18"/>
  <c r="E185" i="18"/>
  <c r="E233" i="18"/>
  <c r="E281" i="18"/>
  <c r="E329" i="18"/>
  <c r="E368" i="18"/>
  <c r="E404" i="18"/>
  <c r="E440" i="18"/>
  <c r="E466" i="18"/>
  <c r="E497" i="18"/>
  <c r="E525" i="18"/>
  <c r="E555" i="18"/>
  <c r="E584" i="18"/>
  <c r="E609" i="18"/>
  <c r="E632" i="18"/>
  <c r="E654" i="18"/>
  <c r="E675" i="18"/>
  <c r="E693" i="18"/>
  <c r="E715" i="18"/>
  <c r="E737" i="18"/>
  <c r="E754" i="18"/>
  <c r="E776" i="18"/>
  <c r="E798" i="18"/>
  <c r="E819" i="18"/>
  <c r="E837" i="18"/>
  <c r="E858" i="18"/>
  <c r="E874" i="18"/>
  <c r="E894" i="18"/>
  <c r="E910" i="18"/>
  <c r="E930" i="18"/>
  <c r="E946" i="18"/>
  <c r="E966" i="18"/>
  <c r="E982" i="18"/>
  <c r="E1001" i="18"/>
  <c r="E1016" i="18"/>
  <c r="E1031" i="18"/>
  <c r="E1043" i="18"/>
  <c r="E1055" i="18"/>
  <c r="E1067" i="18"/>
  <c r="E1079" i="18"/>
  <c r="E1091" i="18"/>
  <c r="E1103" i="18"/>
  <c r="E1115" i="18"/>
  <c r="E1127" i="18"/>
  <c r="E1139" i="18"/>
  <c r="E1151" i="18"/>
  <c r="E1163" i="18"/>
  <c r="E1175" i="18"/>
  <c r="E1187" i="18"/>
  <c r="E1199" i="18"/>
  <c r="E1211" i="18"/>
  <c r="E1223" i="18"/>
  <c r="E1235" i="18"/>
  <c r="E1247" i="18"/>
  <c r="E1259" i="18"/>
  <c r="E1271" i="18"/>
  <c r="E1283" i="18"/>
  <c r="E1295" i="18"/>
  <c r="E1307" i="18"/>
  <c r="E1319" i="18"/>
  <c r="E1331" i="18"/>
  <c r="E1343" i="18"/>
  <c r="E1355" i="18"/>
  <c r="E1367" i="18"/>
  <c r="E1379" i="18"/>
  <c r="E1391" i="18"/>
  <c r="E1403" i="18"/>
  <c r="E1415" i="18"/>
  <c r="E1427" i="18"/>
  <c r="E1439" i="18"/>
  <c r="E1451" i="18"/>
  <c r="E1463" i="18"/>
  <c r="E1475" i="18"/>
  <c r="E1487" i="18"/>
  <c r="E1499" i="18"/>
  <c r="E1511" i="18"/>
  <c r="E1523" i="18"/>
  <c r="E1535" i="18"/>
  <c r="E1547" i="18"/>
  <c r="E1559" i="18"/>
  <c r="E1571" i="18"/>
  <c r="E1583" i="18"/>
  <c r="E1595" i="18"/>
  <c r="E1607" i="18"/>
  <c r="E65" i="18"/>
  <c r="E140" i="18"/>
  <c r="E188" i="18"/>
  <c r="E236" i="18"/>
  <c r="E284" i="18"/>
  <c r="E332" i="18"/>
  <c r="E369" i="18"/>
  <c r="E405" i="18"/>
  <c r="E441" i="18"/>
  <c r="E471" i="18"/>
  <c r="E500" i="18"/>
  <c r="E526" i="18"/>
  <c r="E557" i="18"/>
  <c r="E585" i="18"/>
  <c r="E610" i="18"/>
  <c r="E633" i="18"/>
  <c r="E655" i="18"/>
  <c r="E677" i="18"/>
  <c r="E694" i="18"/>
  <c r="E716" i="18"/>
  <c r="E738" i="18"/>
  <c r="E759" i="18"/>
  <c r="E777" i="18"/>
  <c r="E799" i="18"/>
  <c r="E821" i="18"/>
  <c r="E838" i="18"/>
  <c r="E859" i="18"/>
  <c r="E875" i="18"/>
  <c r="E895" i="18"/>
  <c r="E911" i="18"/>
  <c r="E931" i="18"/>
  <c r="E947" i="18"/>
  <c r="E967" i="18"/>
  <c r="E983" i="18"/>
  <c r="E1002" i="18"/>
  <c r="E1017" i="18"/>
  <c r="E1032" i="18"/>
  <c r="E1044" i="18"/>
  <c r="E1056" i="18"/>
  <c r="E1068" i="18"/>
  <c r="E1080" i="18"/>
  <c r="E1092" i="18"/>
  <c r="E1104" i="18"/>
  <c r="E1116" i="18"/>
  <c r="E1128" i="18"/>
  <c r="E1140" i="18"/>
  <c r="E1152" i="18"/>
  <c r="E1164" i="18"/>
  <c r="E1176" i="18"/>
  <c r="E1188" i="18"/>
  <c r="E1200" i="18"/>
  <c r="E1212" i="18"/>
  <c r="E1224" i="18"/>
  <c r="E1236" i="18"/>
  <c r="E1248" i="18"/>
  <c r="E1260" i="18"/>
  <c r="E1272" i="18"/>
  <c r="E1284" i="18"/>
  <c r="E1296" i="18"/>
  <c r="E1308" i="18"/>
  <c r="E1320" i="18"/>
  <c r="E1332" i="18"/>
  <c r="E77" i="18"/>
  <c r="E147" i="18"/>
  <c r="E195" i="18"/>
  <c r="E243" i="18"/>
  <c r="E291" i="18"/>
  <c r="E339" i="18"/>
  <c r="E375" i="18"/>
  <c r="E411" i="18"/>
  <c r="E442" i="18"/>
  <c r="E473" i="18"/>
  <c r="E501" i="18"/>
  <c r="E531" i="18"/>
  <c r="E560" i="18"/>
  <c r="E586" i="18"/>
  <c r="E615" i="18"/>
  <c r="E634" i="18"/>
  <c r="E656" i="18"/>
  <c r="E678" i="18"/>
  <c r="E699" i="18"/>
  <c r="E717" i="18"/>
  <c r="E739" i="18"/>
  <c r="E761" i="18"/>
  <c r="E778" i="18"/>
  <c r="E800" i="18"/>
  <c r="E822" i="18"/>
  <c r="E843" i="18"/>
  <c r="E860" i="18"/>
  <c r="E879" i="18"/>
  <c r="E896" i="18"/>
  <c r="E915" i="18"/>
  <c r="E932" i="18"/>
  <c r="E951" i="18"/>
  <c r="E968" i="18"/>
  <c r="E987" i="18"/>
  <c r="E1003" i="18"/>
  <c r="E1018" i="18"/>
  <c r="E1033" i="18"/>
  <c r="E1045" i="18"/>
  <c r="E1057" i="18"/>
  <c r="E1069" i="18"/>
  <c r="E1081" i="18"/>
  <c r="E1093" i="18"/>
  <c r="E1105" i="18"/>
  <c r="E1117" i="18"/>
  <c r="E1129" i="18"/>
  <c r="E1141" i="18"/>
  <c r="E1153" i="18"/>
  <c r="E1165" i="18"/>
  <c r="E1177" i="18"/>
  <c r="E1189" i="18"/>
  <c r="E1201" i="18"/>
  <c r="E1213" i="18"/>
  <c r="E1225" i="18"/>
  <c r="E1237" i="18"/>
  <c r="E1249" i="18"/>
  <c r="E1261" i="18"/>
  <c r="E1273" i="18"/>
  <c r="E1285" i="18"/>
  <c r="E1297" i="18"/>
  <c r="E1309" i="18"/>
  <c r="E1321" i="18"/>
  <c r="E1333" i="18"/>
  <c r="E1345" i="18"/>
  <c r="E1357" i="18"/>
  <c r="E1369" i="18"/>
  <c r="E1381" i="18"/>
  <c r="E1393" i="18"/>
  <c r="E1405" i="18"/>
  <c r="E1417" i="18"/>
  <c r="E89" i="18"/>
  <c r="E149" i="18"/>
  <c r="E197" i="18"/>
  <c r="E245" i="18"/>
  <c r="E293" i="18"/>
  <c r="E341" i="18"/>
  <c r="E377" i="18"/>
  <c r="E413" i="18"/>
  <c r="E447" i="18"/>
  <c r="E476" i="18"/>
  <c r="E502" i="18"/>
  <c r="E533" i="18"/>
  <c r="E561" i="18"/>
  <c r="E591" i="18"/>
  <c r="E617" i="18"/>
  <c r="E639" i="18"/>
  <c r="E657" i="18"/>
  <c r="E679" i="18"/>
  <c r="E701" i="18"/>
  <c r="E718" i="18"/>
  <c r="E740" i="18"/>
  <c r="E762" i="18"/>
  <c r="E783" i="18"/>
  <c r="E801" i="18"/>
  <c r="E823" i="18"/>
  <c r="E845" i="18"/>
  <c r="E861" i="18"/>
  <c r="E881" i="18"/>
  <c r="E897" i="18"/>
  <c r="E917" i="18"/>
  <c r="E933" i="18"/>
  <c r="E953" i="18"/>
  <c r="E969" i="18"/>
  <c r="E989" i="18"/>
  <c r="E1004" i="18"/>
  <c r="E1019" i="18"/>
  <c r="E1034" i="18"/>
  <c r="E1046" i="18"/>
  <c r="E1058" i="18"/>
  <c r="E1070" i="18"/>
  <c r="E1082" i="18"/>
  <c r="E1094" i="18"/>
  <c r="E1106" i="18"/>
  <c r="E1118" i="18"/>
  <c r="E1130" i="18"/>
  <c r="E1142" i="18"/>
  <c r="E1154" i="18"/>
  <c r="E1166" i="18"/>
  <c r="E1178" i="18"/>
  <c r="E1190" i="18"/>
  <c r="E1202" i="18"/>
  <c r="E1214" i="18"/>
  <c r="E1226" i="18"/>
  <c r="E1238" i="18"/>
  <c r="E1250" i="18"/>
  <c r="E1262" i="18"/>
  <c r="E1274" i="18"/>
  <c r="E1286" i="18"/>
  <c r="E1298" i="18"/>
  <c r="E1310" i="18"/>
  <c r="E1322" i="18"/>
  <c r="E1334" i="18"/>
  <c r="E1346" i="18"/>
  <c r="E101" i="18"/>
  <c r="E152" i="18"/>
  <c r="E200" i="18"/>
  <c r="E248" i="18"/>
  <c r="E296" i="18"/>
  <c r="E344" i="18"/>
  <c r="E380" i="18"/>
  <c r="E416" i="18"/>
  <c r="E449" i="18"/>
  <c r="E477" i="18"/>
  <c r="E507" i="18"/>
  <c r="E536" i="18"/>
  <c r="E562" i="18"/>
  <c r="E593" i="18"/>
  <c r="E618" i="18"/>
  <c r="E641" i="18"/>
  <c r="E658" i="18"/>
  <c r="E680" i="18"/>
  <c r="E702" i="18"/>
  <c r="E723" i="18"/>
  <c r="E741" i="18"/>
  <c r="E763" i="18"/>
  <c r="E785" i="18"/>
  <c r="E802" i="18"/>
  <c r="E824" i="18"/>
  <c r="E846" i="18"/>
  <c r="E862" i="18"/>
  <c r="E882" i="18"/>
  <c r="E898" i="18"/>
  <c r="E918" i="18"/>
  <c r="E934" i="18"/>
  <c r="E954" i="18"/>
  <c r="E970" i="18"/>
  <c r="E990" i="18"/>
  <c r="E1005" i="18"/>
  <c r="E1023" i="18"/>
  <c r="E1035" i="18"/>
  <c r="E1047" i="18"/>
  <c r="E1059" i="18"/>
  <c r="E1071" i="18"/>
  <c r="E1083" i="18"/>
  <c r="E1095" i="18"/>
  <c r="E1107" i="18"/>
  <c r="E1119" i="18"/>
  <c r="E1131" i="18"/>
  <c r="E111" i="18"/>
  <c r="E159" i="18"/>
  <c r="E207" i="18"/>
  <c r="E255" i="18"/>
  <c r="E303" i="18"/>
  <c r="E345" i="18"/>
  <c r="E381" i="18"/>
  <c r="E417" i="18"/>
  <c r="E452" i="18"/>
  <c r="E478" i="18"/>
  <c r="E509" i="18"/>
  <c r="E537" i="18"/>
  <c r="E567" i="18"/>
  <c r="E596" i="18"/>
  <c r="E620" i="18"/>
  <c r="E642" i="18"/>
  <c r="E663" i="18"/>
  <c r="E681" i="18"/>
  <c r="E703" i="18"/>
  <c r="E725" i="18"/>
  <c r="E742" i="18"/>
  <c r="E764" i="18"/>
  <c r="E786" i="18"/>
  <c r="E807" i="18"/>
  <c r="E825" i="18"/>
  <c r="E847" i="18"/>
  <c r="E863" i="18"/>
  <c r="E883" i="18"/>
  <c r="E899" i="18"/>
  <c r="E919" i="18"/>
  <c r="E113" i="18"/>
  <c r="E161" i="18"/>
  <c r="E209" i="18"/>
  <c r="E257" i="18"/>
  <c r="E305" i="18"/>
  <c r="E351" i="18"/>
  <c r="E387" i="18"/>
  <c r="E423" i="18"/>
  <c r="E453" i="18"/>
  <c r="E483" i="18"/>
  <c r="E512" i="18"/>
  <c r="E538" i="18"/>
  <c r="E569" i="18"/>
  <c r="E597" i="18"/>
  <c r="E621" i="18"/>
  <c r="E643" i="18"/>
  <c r="E665" i="18"/>
  <c r="E682" i="18"/>
  <c r="E704" i="18"/>
  <c r="E726" i="18"/>
  <c r="E747" i="18"/>
  <c r="E765" i="18"/>
  <c r="E787" i="18"/>
  <c r="E809" i="18"/>
  <c r="E826" i="18"/>
  <c r="E848" i="18"/>
  <c r="E867" i="18"/>
  <c r="E116" i="18"/>
  <c r="E164" i="18"/>
  <c r="E212" i="18"/>
  <c r="E260" i="18"/>
  <c r="E308" i="18"/>
  <c r="E353" i="18"/>
  <c r="E389" i="18"/>
  <c r="E425" i="18"/>
  <c r="E454" i="18"/>
  <c r="E485" i="18"/>
  <c r="E513" i="18"/>
  <c r="E543" i="18"/>
  <c r="E572" i="18"/>
  <c r="E598" i="18"/>
  <c r="E622" i="18"/>
  <c r="E644" i="18"/>
  <c r="E666" i="18"/>
  <c r="E687" i="18"/>
  <c r="E705" i="18"/>
  <c r="E727" i="18"/>
  <c r="E749" i="18"/>
  <c r="E766" i="18"/>
  <c r="E788" i="18"/>
  <c r="E810" i="18"/>
  <c r="E831" i="18"/>
  <c r="E849" i="18"/>
  <c r="E869" i="18"/>
  <c r="E885" i="18"/>
  <c r="E905" i="18"/>
  <c r="E123" i="18"/>
  <c r="E573" i="18"/>
  <c r="E833" i="18"/>
  <c r="E941" i="18"/>
  <c r="E993" i="18"/>
  <c r="E1030" i="18"/>
  <c r="E1061" i="18"/>
  <c r="E1087" i="18"/>
  <c r="E1120" i="18"/>
  <c r="E1145" i="18"/>
  <c r="E1169" i="18"/>
  <c r="E1193" i="18"/>
  <c r="E1217" i="18"/>
  <c r="E1241" i="18"/>
  <c r="E1265" i="18"/>
  <c r="E1289" i="18"/>
  <c r="E1313" i="18"/>
  <c r="E1337" i="18"/>
  <c r="E1358" i="18"/>
  <c r="E1374" i="18"/>
  <c r="E1394" i="18"/>
  <c r="E1410" i="18"/>
  <c r="E1429" i="18"/>
  <c r="E1444" i="18"/>
  <c r="E1459" i="18"/>
  <c r="E1477" i="18"/>
  <c r="E1492" i="18"/>
  <c r="E1507" i="18"/>
  <c r="E1525" i="18"/>
  <c r="E1540" i="18"/>
  <c r="E1555" i="18"/>
  <c r="E1573" i="18"/>
  <c r="E1588" i="18"/>
  <c r="E1603" i="18"/>
  <c r="E1619" i="18"/>
  <c r="E1631" i="18"/>
  <c r="E1643" i="18"/>
  <c r="E1655" i="18"/>
  <c r="E1667" i="18"/>
  <c r="E1679" i="18"/>
  <c r="E1691" i="18"/>
  <c r="E1703" i="18"/>
  <c r="E1715" i="18"/>
  <c r="E1727" i="18"/>
  <c r="E1739" i="18"/>
  <c r="E1751" i="18"/>
  <c r="E1763" i="18"/>
  <c r="E1775" i="18"/>
  <c r="E1787" i="18"/>
  <c r="E1799" i="18"/>
  <c r="E1811" i="18"/>
  <c r="E1823" i="18"/>
  <c r="E1835" i="18"/>
  <c r="E1847" i="18"/>
  <c r="E1859" i="18"/>
  <c r="E1871" i="18"/>
  <c r="E1883" i="18"/>
  <c r="E1895" i="18"/>
  <c r="E1907" i="18"/>
  <c r="E1919" i="18"/>
  <c r="E1931" i="18"/>
  <c r="E1943" i="18"/>
  <c r="E1955" i="18"/>
  <c r="E1967" i="18"/>
  <c r="E1979" i="18"/>
  <c r="E1991" i="18"/>
  <c r="E2003" i="18"/>
  <c r="E2015" i="18"/>
  <c r="E2027" i="18"/>
  <c r="E2039" i="18"/>
  <c r="E2051" i="18"/>
  <c r="E2063" i="18"/>
  <c r="E2075" i="18"/>
  <c r="E2087" i="18"/>
  <c r="E2099" i="18"/>
  <c r="E2111" i="18"/>
  <c r="E2123" i="18"/>
  <c r="E2135" i="18"/>
  <c r="E171" i="18"/>
  <c r="E603" i="18"/>
  <c r="E850" i="18"/>
  <c r="E942" i="18"/>
  <c r="E994" i="18"/>
  <c r="E1036" i="18"/>
  <c r="E1062" i="18"/>
  <c r="E1090" i="18"/>
  <c r="E1121" i="18"/>
  <c r="E1146" i="18"/>
  <c r="E1170" i="18"/>
  <c r="E1194" i="18"/>
  <c r="E1218" i="18"/>
  <c r="E1242" i="18"/>
  <c r="E1266" i="18"/>
  <c r="E1290" i="18"/>
  <c r="E1314" i="18"/>
  <c r="E1338" i="18"/>
  <c r="E1359" i="18"/>
  <c r="E1375" i="18"/>
  <c r="E1395" i="18"/>
  <c r="E1411" i="18"/>
  <c r="E1430" i="18"/>
  <c r="E1445" i="18"/>
  <c r="E1462" i="18"/>
  <c r="E1478" i="18"/>
  <c r="E1493" i="18"/>
  <c r="E1510" i="18"/>
  <c r="E1526" i="18"/>
  <c r="E1541" i="18"/>
  <c r="E1558" i="18"/>
  <c r="E1574" i="18"/>
  <c r="E1589" i="18"/>
  <c r="E1606" i="18"/>
  <c r="E1620" i="18"/>
  <c r="E1632" i="18"/>
  <c r="E1644" i="18"/>
  <c r="E1656" i="18"/>
  <c r="E1668" i="18"/>
  <c r="E1680" i="18"/>
  <c r="E1692" i="18"/>
  <c r="E1704" i="18"/>
  <c r="E1716" i="18"/>
  <c r="E1728" i="18"/>
  <c r="E1740" i="18"/>
  <c r="E1752" i="18"/>
  <c r="E1764" i="18"/>
  <c r="E1776" i="18"/>
  <c r="E1788" i="18"/>
  <c r="E1800" i="18"/>
  <c r="E1812" i="18"/>
  <c r="E1824" i="18"/>
  <c r="E1836" i="18"/>
  <c r="E1848" i="18"/>
  <c r="E1860" i="18"/>
  <c r="E1872" i="18"/>
  <c r="E1884" i="18"/>
  <c r="E1896" i="18"/>
  <c r="E1908" i="18"/>
  <c r="E1920" i="18"/>
  <c r="E1932" i="18"/>
  <c r="E1944" i="18"/>
  <c r="E1956" i="18"/>
  <c r="E1968" i="18"/>
  <c r="E1980" i="18"/>
  <c r="E1992" i="18"/>
  <c r="E2004" i="18"/>
  <c r="E2016" i="18"/>
  <c r="E2028" i="18"/>
  <c r="E2040" i="18"/>
  <c r="E2052" i="18"/>
  <c r="E2064" i="18"/>
  <c r="E2076" i="18"/>
  <c r="E2088" i="18"/>
  <c r="E2100" i="18"/>
  <c r="E2112" i="18"/>
  <c r="E2124" i="18"/>
  <c r="E2136" i="18"/>
  <c r="E219" i="18"/>
  <c r="E627" i="18"/>
  <c r="E870" i="18"/>
  <c r="E955" i="18"/>
  <c r="E1000" i="18"/>
  <c r="E1037" i="18"/>
  <c r="E1063" i="18"/>
  <c r="E1096" i="18"/>
  <c r="E1122" i="18"/>
  <c r="E1147" i="18"/>
  <c r="E1171" i="18"/>
  <c r="E1195" i="18"/>
  <c r="E1219" i="18"/>
  <c r="E1243" i="18"/>
  <c r="E1267" i="18"/>
  <c r="E1291" i="18"/>
  <c r="E1315" i="18"/>
  <c r="E1339" i="18"/>
  <c r="E1360" i="18"/>
  <c r="E1378" i="18"/>
  <c r="E1396" i="18"/>
  <c r="E1414" i="18"/>
  <c r="E1431" i="18"/>
  <c r="E1446" i="18"/>
  <c r="E1464" i="18"/>
  <c r="E1479" i="18"/>
  <c r="E1494" i="18"/>
  <c r="E1512" i="18"/>
  <c r="E1527" i="18"/>
  <c r="E1542" i="18"/>
  <c r="E1560" i="18"/>
  <c r="E1575" i="18"/>
  <c r="E1590" i="18"/>
  <c r="E1608" i="18"/>
  <c r="E1621" i="18"/>
  <c r="E1633" i="18"/>
  <c r="E1645" i="18"/>
  <c r="E1657" i="18"/>
  <c r="E1669" i="18"/>
  <c r="E1681" i="18"/>
  <c r="E1693" i="18"/>
  <c r="E1705" i="18"/>
  <c r="E1717" i="18"/>
  <c r="E1729" i="18"/>
  <c r="E1741" i="18"/>
  <c r="E1753" i="18"/>
  <c r="E1765" i="18"/>
  <c r="E1777" i="18"/>
  <c r="E1789" i="18"/>
  <c r="E1801" i="18"/>
  <c r="E1813" i="18"/>
  <c r="E1825" i="18"/>
  <c r="E1837" i="18"/>
  <c r="E1849" i="18"/>
  <c r="E1861" i="18"/>
  <c r="E1873" i="18"/>
  <c r="E1885" i="18"/>
  <c r="E1897" i="18"/>
  <c r="E1909" i="18"/>
  <c r="E1921" i="18"/>
  <c r="E1933" i="18"/>
  <c r="E1945" i="18"/>
  <c r="E1957" i="18"/>
  <c r="E1969" i="18"/>
  <c r="E1981" i="18"/>
  <c r="E1993" i="18"/>
  <c r="E2005" i="18"/>
  <c r="E2017" i="18"/>
  <c r="E2029" i="18"/>
  <c r="E2041" i="18"/>
  <c r="E2053" i="18"/>
  <c r="E2065" i="18"/>
  <c r="E2077" i="18"/>
  <c r="E2089" i="18"/>
  <c r="E2101" i="18"/>
  <c r="E2113" i="18"/>
  <c r="E2125" i="18"/>
  <c r="E2137" i="18"/>
  <c r="E267" i="18"/>
  <c r="E645" i="18"/>
  <c r="E884" i="18"/>
  <c r="E956" i="18"/>
  <c r="E1006" i="18"/>
  <c r="E1038" i="18"/>
  <c r="E1066" i="18"/>
  <c r="E1097" i="18"/>
  <c r="E1123" i="18"/>
  <c r="E1150" i="18"/>
  <c r="E1174" i="18"/>
  <c r="E1198" i="18"/>
  <c r="E1222" i="18"/>
  <c r="E1246" i="18"/>
  <c r="E1270" i="18"/>
  <c r="E1294" i="18"/>
  <c r="E1318" i="18"/>
  <c r="E1342" i="18"/>
  <c r="E1361" i="18"/>
  <c r="E1380" i="18"/>
  <c r="E1397" i="18"/>
  <c r="E1416" i="18"/>
  <c r="E1432" i="18"/>
  <c r="E1447" i="18"/>
  <c r="E1465" i="18"/>
  <c r="E1480" i="18"/>
  <c r="E1495" i="18"/>
  <c r="E1513" i="18"/>
  <c r="E1528" i="18"/>
  <c r="E1543" i="18"/>
  <c r="E1561" i="18"/>
  <c r="E1576" i="18"/>
  <c r="E1591" i="18"/>
  <c r="E1609" i="18"/>
  <c r="E1622" i="18"/>
  <c r="E1634" i="18"/>
  <c r="E1646" i="18"/>
  <c r="E1658" i="18"/>
  <c r="E1670" i="18"/>
  <c r="E1682" i="18"/>
  <c r="E1694" i="18"/>
  <c r="E1706" i="18"/>
  <c r="E1718" i="18"/>
  <c r="E1730" i="18"/>
  <c r="E1742" i="18"/>
  <c r="E1754" i="18"/>
  <c r="E1766" i="18"/>
  <c r="E1778" i="18"/>
  <c r="E1790" i="18"/>
  <c r="E1802" i="18"/>
  <c r="E1814" i="18"/>
  <c r="E1826" i="18"/>
  <c r="E1838" i="18"/>
  <c r="E1850" i="18"/>
  <c r="E1862" i="18"/>
  <c r="E1874" i="18"/>
  <c r="E1886" i="18"/>
  <c r="E1898" i="18"/>
  <c r="E1910" i="18"/>
  <c r="E1922" i="18"/>
  <c r="E1934" i="18"/>
  <c r="E1946" i="18"/>
  <c r="E1958" i="18"/>
  <c r="E1970" i="18"/>
  <c r="E1982" i="18"/>
  <c r="E1994" i="18"/>
  <c r="E2006" i="18"/>
  <c r="E2018" i="18"/>
  <c r="E2030" i="18"/>
  <c r="E2042" i="18"/>
  <c r="E2054" i="18"/>
  <c r="E2066" i="18"/>
  <c r="E2078" i="18"/>
  <c r="E2090" i="18"/>
  <c r="E2102" i="18"/>
  <c r="E2114" i="18"/>
  <c r="E2126" i="18"/>
  <c r="E10" i="18"/>
  <c r="E315" i="18"/>
  <c r="E667" i="18"/>
  <c r="E886" i="18"/>
  <c r="E957" i="18"/>
  <c r="E1007" i="18"/>
  <c r="E1039" i="18"/>
  <c r="E1072" i="18"/>
  <c r="E1098" i="18"/>
  <c r="E1126" i="18"/>
  <c r="E1155" i="18"/>
  <c r="E1179" i="18"/>
  <c r="E1203" i="18"/>
  <c r="E1227" i="18"/>
  <c r="E1251" i="18"/>
  <c r="E1275" i="18"/>
  <c r="E1299" i="18"/>
  <c r="E1323" i="18"/>
  <c r="E1344" i="18"/>
  <c r="E1362" i="18"/>
  <c r="E1382" i="18"/>
  <c r="E1398" i="18"/>
  <c r="E1418" i="18"/>
  <c r="E1433" i="18"/>
  <c r="E1450" i="18"/>
  <c r="E1466" i="18"/>
  <c r="E1481" i="18"/>
  <c r="E1498" i="18"/>
  <c r="E1514" i="18"/>
  <c r="E1529" i="18"/>
  <c r="E1546" i="18"/>
  <c r="E1562" i="18"/>
  <c r="E1577" i="18"/>
  <c r="E1594" i="18"/>
  <c r="E1610" i="18"/>
  <c r="E1623" i="18"/>
  <c r="E1635" i="18"/>
  <c r="E1647" i="18"/>
  <c r="E1659" i="18"/>
  <c r="E1671" i="18"/>
  <c r="E1683" i="18"/>
  <c r="E1695" i="18"/>
  <c r="E1707" i="18"/>
  <c r="E1719" i="18"/>
  <c r="E1731" i="18"/>
  <c r="E1743" i="18"/>
  <c r="E1755" i="18"/>
  <c r="E1767" i="18"/>
  <c r="E1779" i="18"/>
  <c r="E1791" i="18"/>
  <c r="E1803" i="18"/>
  <c r="E1815" i="18"/>
  <c r="E1827" i="18"/>
  <c r="E1839" i="18"/>
  <c r="E1851" i="18"/>
  <c r="E1863" i="18"/>
  <c r="E1875" i="18"/>
  <c r="E1887" i="18"/>
  <c r="E1899" i="18"/>
  <c r="E1911" i="18"/>
  <c r="E1923" i="18"/>
  <c r="E1935" i="18"/>
  <c r="E1947" i="18"/>
  <c r="E1959" i="18"/>
  <c r="E1971" i="18"/>
  <c r="E1983" i="18"/>
  <c r="E1995" i="18"/>
  <c r="E2007" i="18"/>
  <c r="E2019" i="18"/>
  <c r="E2031" i="18"/>
  <c r="E2043" i="18"/>
  <c r="E2055" i="18"/>
  <c r="E2067" i="18"/>
  <c r="E2079" i="18"/>
  <c r="E2091" i="18"/>
  <c r="E2103" i="18"/>
  <c r="E2115" i="18"/>
  <c r="E2127" i="18"/>
  <c r="E2010" i="18"/>
  <c r="E2070" i="18"/>
  <c r="E2106" i="18"/>
  <c r="E2130" i="18"/>
  <c r="E1963" i="18"/>
  <c r="E2023" i="18"/>
  <c r="E2059" i="18"/>
  <c r="E2095" i="18"/>
  <c r="E356" i="18"/>
  <c r="E689" i="18"/>
  <c r="E903" i="18"/>
  <c r="E958" i="18"/>
  <c r="E1011" i="18"/>
  <c r="E1042" i="18"/>
  <c r="E1073" i="18"/>
  <c r="E1099" i="18"/>
  <c r="E1132" i="18"/>
  <c r="E1156" i="18"/>
  <c r="E1180" i="18"/>
  <c r="E1204" i="18"/>
  <c r="E1228" i="18"/>
  <c r="E1252" i="18"/>
  <c r="E1276" i="18"/>
  <c r="E1300" i="18"/>
  <c r="E1324" i="18"/>
  <c r="E1347" i="18"/>
  <c r="E1363" i="18"/>
  <c r="E1383" i="18"/>
  <c r="E1399" i="18"/>
  <c r="E1419" i="18"/>
  <c r="E1434" i="18"/>
  <c r="E1452" i="18"/>
  <c r="E1467" i="18"/>
  <c r="E1482" i="18"/>
  <c r="E1500" i="18"/>
  <c r="E1515" i="18"/>
  <c r="E1530" i="18"/>
  <c r="E1548" i="18"/>
  <c r="E1563" i="18"/>
  <c r="E1578" i="18"/>
  <c r="E1596" i="18"/>
  <c r="E1611" i="18"/>
  <c r="E1624" i="18"/>
  <c r="E1636" i="18"/>
  <c r="E1648" i="18"/>
  <c r="E1660" i="18"/>
  <c r="E1672" i="18"/>
  <c r="E1684" i="18"/>
  <c r="E1696" i="18"/>
  <c r="E1708" i="18"/>
  <c r="E1720" i="18"/>
  <c r="E1732" i="18"/>
  <c r="E1744" i="18"/>
  <c r="E1756" i="18"/>
  <c r="E1768" i="18"/>
  <c r="E1780" i="18"/>
  <c r="E1792" i="18"/>
  <c r="E1804" i="18"/>
  <c r="E1816" i="18"/>
  <c r="E1828" i="18"/>
  <c r="E1840" i="18"/>
  <c r="E1852" i="18"/>
  <c r="E1864" i="18"/>
  <c r="E1876" i="18"/>
  <c r="E1888" i="18"/>
  <c r="E1900" i="18"/>
  <c r="E1912" i="18"/>
  <c r="E1924" i="18"/>
  <c r="E1936" i="18"/>
  <c r="E1948" i="18"/>
  <c r="E1960" i="18"/>
  <c r="E1972" i="18"/>
  <c r="E1984" i="18"/>
  <c r="E1996" i="18"/>
  <c r="E2008" i="18"/>
  <c r="E2020" i="18"/>
  <c r="E2032" i="18"/>
  <c r="E2044" i="18"/>
  <c r="E2056" i="18"/>
  <c r="E2068" i="18"/>
  <c r="E2080" i="18"/>
  <c r="E2092" i="18"/>
  <c r="E2104" i="18"/>
  <c r="E2116" i="18"/>
  <c r="E2128" i="18"/>
  <c r="E392" i="18"/>
  <c r="E706" i="18"/>
  <c r="E906" i="18"/>
  <c r="E971" i="18"/>
  <c r="E1012" i="18"/>
  <c r="E1048" i="18"/>
  <c r="E1074" i="18"/>
  <c r="E1102" i="18"/>
  <c r="E1133" i="18"/>
  <c r="E1157" i="18"/>
  <c r="E1181" i="18"/>
  <c r="E1205" i="18"/>
  <c r="E1229" i="18"/>
  <c r="E1253" i="18"/>
  <c r="E1277" i="18"/>
  <c r="E1301" i="18"/>
  <c r="E1325" i="18"/>
  <c r="E1348" i="18"/>
  <c r="E1366" i="18"/>
  <c r="E1384" i="18"/>
  <c r="E1402" i="18"/>
  <c r="E1420" i="18"/>
  <c r="E1435" i="18"/>
  <c r="E1453" i="18"/>
  <c r="E1468" i="18"/>
  <c r="E1483" i="18"/>
  <c r="E1501" i="18"/>
  <c r="E1516" i="18"/>
  <c r="E1531" i="18"/>
  <c r="E1549" i="18"/>
  <c r="E1564" i="18"/>
  <c r="E1579" i="18"/>
  <c r="E1597" i="18"/>
  <c r="E1612" i="18"/>
  <c r="E1625" i="18"/>
  <c r="E1637" i="18"/>
  <c r="E1649" i="18"/>
  <c r="E1661" i="18"/>
  <c r="E1673" i="18"/>
  <c r="E1685" i="18"/>
  <c r="E1697" i="18"/>
  <c r="E1709" i="18"/>
  <c r="E1721" i="18"/>
  <c r="E1733" i="18"/>
  <c r="E1745" i="18"/>
  <c r="E1757" i="18"/>
  <c r="E1769" i="18"/>
  <c r="E1781" i="18"/>
  <c r="E1793" i="18"/>
  <c r="E1805" i="18"/>
  <c r="E1817" i="18"/>
  <c r="E1829" i="18"/>
  <c r="E1841" i="18"/>
  <c r="E1853" i="18"/>
  <c r="E1865" i="18"/>
  <c r="E1877" i="18"/>
  <c r="E1889" i="18"/>
  <c r="E1901" i="18"/>
  <c r="E1913" i="18"/>
  <c r="E1925" i="18"/>
  <c r="E1937" i="18"/>
  <c r="E1949" i="18"/>
  <c r="E1961" i="18"/>
  <c r="E1973" i="18"/>
  <c r="E1985" i="18"/>
  <c r="E1997" i="18"/>
  <c r="E2009" i="18"/>
  <c r="E2021" i="18"/>
  <c r="E2033" i="18"/>
  <c r="E2045" i="18"/>
  <c r="E2057" i="18"/>
  <c r="E2069" i="18"/>
  <c r="E2081" i="18"/>
  <c r="E2093" i="18"/>
  <c r="E2105" i="18"/>
  <c r="E2117" i="18"/>
  <c r="E2129" i="18"/>
  <c r="E2034" i="18"/>
  <c r="E2082" i="18"/>
  <c r="E2118" i="18"/>
  <c r="E1975" i="18"/>
  <c r="E2011" i="18"/>
  <c r="E2047" i="18"/>
  <c r="E2083" i="18"/>
  <c r="E2107" i="18"/>
  <c r="E428" i="18"/>
  <c r="E728" i="18"/>
  <c r="E920" i="18"/>
  <c r="E975" i="18"/>
  <c r="E1015" i="18"/>
  <c r="E1049" i="18"/>
  <c r="E1075" i="18"/>
  <c r="E1108" i="18"/>
  <c r="E1134" i="18"/>
  <c r="E1158" i="18"/>
  <c r="E1182" i="18"/>
  <c r="E1206" i="18"/>
  <c r="E1230" i="18"/>
  <c r="E1254" i="18"/>
  <c r="E1278" i="18"/>
  <c r="E1302" i="18"/>
  <c r="E1326" i="18"/>
  <c r="E1349" i="18"/>
  <c r="E1368" i="18"/>
  <c r="E1385" i="18"/>
  <c r="E1404" i="18"/>
  <c r="E1421" i="18"/>
  <c r="E1438" i="18"/>
  <c r="E1454" i="18"/>
  <c r="E1469" i="18"/>
  <c r="E1486" i="18"/>
  <c r="E1502" i="18"/>
  <c r="E1517" i="18"/>
  <c r="E1534" i="18"/>
  <c r="E1550" i="18"/>
  <c r="E1565" i="18"/>
  <c r="E1582" i="18"/>
  <c r="E1598" i="18"/>
  <c r="E1613" i="18"/>
  <c r="E1626" i="18"/>
  <c r="E1638" i="18"/>
  <c r="E1650" i="18"/>
  <c r="E1662" i="18"/>
  <c r="E1674" i="18"/>
  <c r="E1686" i="18"/>
  <c r="E1698" i="18"/>
  <c r="E1710" i="18"/>
  <c r="E1722" i="18"/>
  <c r="E1734" i="18"/>
  <c r="E1746" i="18"/>
  <c r="E1758" i="18"/>
  <c r="E1770" i="18"/>
  <c r="E1782" i="18"/>
  <c r="E1794" i="18"/>
  <c r="E1806" i="18"/>
  <c r="E1818" i="18"/>
  <c r="E1830" i="18"/>
  <c r="E1842" i="18"/>
  <c r="E1854" i="18"/>
  <c r="E1866" i="18"/>
  <c r="E1878" i="18"/>
  <c r="E1890" i="18"/>
  <c r="E1902" i="18"/>
  <c r="E1914" i="18"/>
  <c r="E1926" i="18"/>
  <c r="E1938" i="18"/>
  <c r="E1950" i="18"/>
  <c r="E1962" i="18"/>
  <c r="E1974" i="18"/>
  <c r="E1986" i="18"/>
  <c r="E1998" i="18"/>
  <c r="E2022" i="18"/>
  <c r="E2046" i="18"/>
  <c r="E2058" i="18"/>
  <c r="E2094" i="18"/>
  <c r="E459" i="18"/>
  <c r="E750" i="18"/>
  <c r="E921" i="18"/>
  <c r="E977" i="18"/>
  <c r="E1024" i="18"/>
  <c r="E1050" i="18"/>
  <c r="E1078" i="18"/>
  <c r="E1109" i="18"/>
  <c r="E1135" i="18"/>
  <c r="E1159" i="18"/>
  <c r="E1183" i="18"/>
  <c r="E1207" i="18"/>
  <c r="E1231" i="18"/>
  <c r="E1255" i="18"/>
  <c r="E1279" i="18"/>
  <c r="E1303" i="18"/>
  <c r="E1327" i="18"/>
  <c r="E1350" i="18"/>
  <c r="E1370" i="18"/>
  <c r="E1386" i="18"/>
  <c r="E1406" i="18"/>
  <c r="E1422" i="18"/>
  <c r="E1440" i="18"/>
  <c r="E1455" i="18"/>
  <c r="E1470" i="18"/>
  <c r="E1488" i="18"/>
  <c r="E1503" i="18"/>
  <c r="E1518" i="18"/>
  <c r="E1536" i="18"/>
  <c r="E1551" i="18"/>
  <c r="E1566" i="18"/>
  <c r="E1584" i="18"/>
  <c r="E1599" i="18"/>
  <c r="E1614" i="18"/>
  <c r="E1627" i="18"/>
  <c r="E1639" i="18"/>
  <c r="E1651" i="18"/>
  <c r="E1663" i="18"/>
  <c r="E1675" i="18"/>
  <c r="E1687" i="18"/>
  <c r="E1699" i="18"/>
  <c r="E1711" i="18"/>
  <c r="E1723" i="18"/>
  <c r="E1735" i="18"/>
  <c r="E1747" i="18"/>
  <c r="E1759" i="18"/>
  <c r="E1771" i="18"/>
  <c r="E1783" i="18"/>
  <c r="E1795" i="18"/>
  <c r="E1807" i="18"/>
  <c r="E1819" i="18"/>
  <c r="E1831" i="18"/>
  <c r="E1843" i="18"/>
  <c r="E1855" i="18"/>
  <c r="E1867" i="18"/>
  <c r="E1879" i="18"/>
  <c r="E1891" i="18"/>
  <c r="E1903" i="18"/>
  <c r="E1915" i="18"/>
  <c r="E1927" i="18"/>
  <c r="E1939" i="18"/>
  <c r="E1951" i="18"/>
  <c r="E1987" i="18"/>
  <c r="E1999" i="18"/>
  <c r="E2035" i="18"/>
  <c r="E2071" i="18"/>
  <c r="E488" i="18"/>
  <c r="E771" i="18"/>
  <c r="E922" i="18"/>
  <c r="E978" i="18"/>
  <c r="E1025" i="18"/>
  <c r="E1051" i="18"/>
  <c r="E1084" i="18"/>
  <c r="E1110" i="18"/>
  <c r="E1138" i="18"/>
  <c r="E1162" i="18"/>
  <c r="E1186" i="18"/>
  <c r="E1210" i="18"/>
  <c r="E1234" i="18"/>
  <c r="E1258" i="18"/>
  <c r="E1282" i="18"/>
  <c r="E1306" i="18"/>
  <c r="E1330" i="18"/>
  <c r="E1351" i="18"/>
  <c r="E1371" i="18"/>
  <c r="E1387" i="18"/>
  <c r="E1407" i="18"/>
  <c r="E1423" i="18"/>
  <c r="E1441" i="18"/>
  <c r="E1456" i="18"/>
  <c r="E1471" i="18"/>
  <c r="E1489" i="18"/>
  <c r="E1504" i="18"/>
  <c r="E1519" i="18"/>
  <c r="E1537" i="18"/>
  <c r="E1552" i="18"/>
  <c r="E1567" i="18"/>
  <c r="E1585" i="18"/>
  <c r="E1600" i="18"/>
  <c r="E1615" i="18"/>
  <c r="E1628" i="18"/>
  <c r="E1640" i="18"/>
  <c r="E1652" i="18"/>
  <c r="E1664" i="18"/>
  <c r="E1676" i="18"/>
  <c r="E1688" i="18"/>
  <c r="E1700" i="18"/>
  <c r="E1712" i="18"/>
  <c r="E1724" i="18"/>
  <c r="E1736" i="18"/>
  <c r="E1748" i="18"/>
  <c r="E1760" i="18"/>
  <c r="E1772" i="18"/>
  <c r="E1784" i="18"/>
  <c r="E1796" i="18"/>
  <c r="E1808" i="18"/>
  <c r="E1820" i="18"/>
  <c r="E1832" i="18"/>
  <c r="E1844" i="18"/>
  <c r="E1856" i="18"/>
  <c r="E1868" i="18"/>
  <c r="E514" i="18"/>
  <c r="E789" i="18"/>
  <c r="E935" i="18"/>
  <c r="E991" i="18"/>
  <c r="E1026" i="18"/>
  <c r="E1054" i="18"/>
  <c r="E1085" i="18"/>
  <c r="E1111" i="18"/>
  <c r="E1143" i="18"/>
  <c r="E1167" i="18"/>
  <c r="E1191" i="18"/>
  <c r="E1215" i="18"/>
  <c r="E1239" i="18"/>
  <c r="E1263" i="18"/>
  <c r="E1287" i="18"/>
  <c r="E1311" i="18"/>
  <c r="E1335" i="18"/>
  <c r="E1354" i="18"/>
  <c r="E1372" i="18"/>
  <c r="E1390" i="18"/>
  <c r="E1408" i="18"/>
  <c r="E1426" i="18"/>
  <c r="E1442" i="18"/>
  <c r="E1457" i="18"/>
  <c r="E1474" i="18"/>
  <c r="E545" i="18"/>
  <c r="E1240" i="18"/>
  <c r="E1476" i="18"/>
  <c r="E1572" i="18"/>
  <c r="E1654" i="18"/>
  <c r="E1726" i="18"/>
  <c r="E1798" i="18"/>
  <c r="E1870" i="18"/>
  <c r="E1918" i="18"/>
  <c r="E1966" i="18"/>
  <c r="E2014" i="18"/>
  <c r="E2062" i="18"/>
  <c r="E2110" i="18"/>
  <c r="E2024" i="18"/>
  <c r="E2119" i="18"/>
  <c r="E1881" i="18"/>
  <c r="E1977" i="18"/>
  <c r="E2025" i="18"/>
  <c r="E2073" i="18"/>
  <c r="E811" i="18"/>
  <c r="E1264" i="18"/>
  <c r="E1490" i="18"/>
  <c r="E1586" i="18"/>
  <c r="E1665" i="18"/>
  <c r="E1737" i="18"/>
  <c r="E1809" i="18"/>
  <c r="E1880" i="18"/>
  <c r="E1928" i="18"/>
  <c r="E1976" i="18"/>
  <c r="E2072" i="18"/>
  <c r="E939" i="18"/>
  <c r="E1288" i="18"/>
  <c r="E1491" i="18"/>
  <c r="E1587" i="18"/>
  <c r="E1666" i="18"/>
  <c r="E1738" i="18"/>
  <c r="E1810" i="18"/>
  <c r="E1929" i="18"/>
  <c r="E2120" i="18"/>
  <c r="E1821" i="18"/>
  <c r="E1882" i="18"/>
  <c r="E1978" i="18"/>
  <c r="E2026" i="18"/>
  <c r="E2074" i="18"/>
  <c r="E2121" i="18"/>
  <c r="E1027" i="18"/>
  <c r="E1602" i="18"/>
  <c r="E1750" i="18"/>
  <c r="E1892" i="18"/>
  <c r="E2036" i="18"/>
  <c r="E2122" i="18"/>
  <c r="E1833" i="18"/>
  <c r="E1941" i="18"/>
  <c r="E1989" i="18"/>
  <c r="E2085" i="18"/>
  <c r="E2131" i="18"/>
  <c r="E2086" i="18"/>
  <c r="E2132" i="18"/>
  <c r="E1538" i="18"/>
  <c r="E1845" i="18"/>
  <c r="E2048" i="18"/>
  <c r="E1774" i="18"/>
  <c r="E1953" i="18"/>
  <c r="E2134" i="18"/>
  <c r="E1553" i="18"/>
  <c r="E1857" i="18"/>
  <c r="E1714" i="18"/>
  <c r="E2108" i="18"/>
  <c r="E1797" i="18"/>
  <c r="E1965" i="18"/>
  <c r="E992" i="18"/>
  <c r="E1312" i="18"/>
  <c r="E1505" i="18"/>
  <c r="E1601" i="18"/>
  <c r="E1677" i="18"/>
  <c r="E1749" i="18"/>
  <c r="E1930" i="18"/>
  <c r="E1506" i="18"/>
  <c r="E1678" i="18"/>
  <c r="E1822" i="18"/>
  <c r="E1940" i="18"/>
  <c r="E2084" i="18"/>
  <c r="E1336" i="18"/>
  <c r="E1988" i="18"/>
  <c r="E1990" i="18"/>
  <c r="E1629" i="18"/>
  <c r="E1773" i="18"/>
  <c r="E2000" i="18"/>
  <c r="E1539" i="18"/>
  <c r="E2001" i="18"/>
  <c r="E1641" i="18"/>
  <c r="E1906" i="18"/>
  <c r="E1916" i="18"/>
  <c r="E1570" i="18"/>
  <c r="E2109" i="18"/>
  <c r="E1060" i="18"/>
  <c r="E1356" i="18"/>
  <c r="E1522" i="18"/>
  <c r="E1616" i="18"/>
  <c r="E1689" i="18"/>
  <c r="E1761" i="18"/>
  <c r="E1893" i="18"/>
  <c r="E2037" i="18"/>
  <c r="E1392" i="18"/>
  <c r="E1904" i="18"/>
  <c r="E2096" i="18"/>
  <c r="E1702" i="18"/>
  <c r="E1905" i="18"/>
  <c r="E2049" i="18"/>
  <c r="E1428" i="18"/>
  <c r="E1954" i="18"/>
  <c r="E1964" i="18"/>
  <c r="E1216" i="18"/>
  <c r="E1086" i="18"/>
  <c r="E1373" i="18"/>
  <c r="E1524" i="18"/>
  <c r="E1618" i="18"/>
  <c r="E1690" i="18"/>
  <c r="E1762" i="18"/>
  <c r="E1834" i="18"/>
  <c r="E1894" i="18"/>
  <c r="E1942" i="18"/>
  <c r="E2038" i="18"/>
  <c r="E1952" i="18"/>
  <c r="E2133" i="18"/>
  <c r="E1630" i="18"/>
  <c r="E2097" i="18"/>
  <c r="E1785" i="18"/>
  <c r="E2050" i="18"/>
  <c r="E1858" i="18"/>
  <c r="E1653" i="18"/>
  <c r="E1917" i="18"/>
  <c r="E1114" i="18"/>
  <c r="E1701" i="18"/>
  <c r="E1168" i="18"/>
  <c r="E2002" i="18"/>
  <c r="E2060" i="18"/>
  <c r="E1725" i="18"/>
  <c r="E2061" i="18"/>
  <c r="E1144" i="18"/>
  <c r="E1409" i="18"/>
  <c r="E1846" i="18"/>
  <c r="E1713" i="18"/>
  <c r="E2098" i="18"/>
  <c r="E1786" i="18"/>
  <c r="E1458" i="18"/>
  <c r="E2013" i="18"/>
  <c r="E1192" i="18"/>
  <c r="E1443" i="18"/>
  <c r="E1554" i="18"/>
  <c r="E1642" i="18"/>
  <c r="E2012" i="18"/>
  <c r="E1869" i="18"/>
  <c r="B10" i="21" l="1"/>
  <c r="H72" i="3" l="1"/>
  <c r="I72" i="3" s="1"/>
  <c r="H71" i="3"/>
  <c r="I71" i="3" s="1"/>
  <c r="H66" i="3"/>
  <c r="I66" i="3" s="1"/>
  <c r="H67" i="3"/>
  <c r="I67" i="3" s="1"/>
  <c r="H68" i="3"/>
  <c r="H81" i="3"/>
  <c r="I81" i="3" s="1"/>
  <c r="H78" i="3"/>
  <c r="I78" i="3" s="1"/>
  <c r="H76" i="3"/>
  <c r="I76" i="3" s="1"/>
  <c r="H80" i="3"/>
  <c r="I80" i="3" s="1"/>
  <c r="H64" i="3"/>
  <c r="I64" i="3" s="1"/>
  <c r="H48" i="3"/>
  <c r="I48" i="3" s="1"/>
  <c r="H65" i="3"/>
  <c r="I65" i="3" s="1"/>
  <c r="I25" i="3"/>
  <c r="H27" i="3"/>
  <c r="I27" i="3" s="1"/>
  <c r="H105" i="3"/>
  <c r="H106" i="3"/>
  <c r="H115" i="3"/>
  <c r="I115" i="3" s="1"/>
  <c r="H114" i="3"/>
  <c r="I114" i="3" s="1"/>
  <c r="H119" i="3"/>
  <c r="I119" i="3" s="1"/>
  <c r="H118" i="3"/>
  <c r="I118" i="3" s="1"/>
  <c r="H111" i="3"/>
  <c r="I111" i="3" s="1"/>
  <c r="H117" i="3"/>
  <c r="I117" i="3" s="1"/>
  <c r="H113" i="3"/>
  <c r="I113" i="3" s="1"/>
  <c r="H116" i="3"/>
  <c r="I116" i="3" s="1"/>
  <c r="H112" i="3"/>
  <c r="I112" i="3" s="1"/>
  <c r="H99" i="3"/>
  <c r="H121" i="3"/>
  <c r="I121" i="3" s="1"/>
  <c r="H133" i="3"/>
  <c r="I133" i="3" s="1"/>
  <c r="H135" i="3"/>
  <c r="I135" i="3" s="1"/>
  <c r="H125" i="3"/>
  <c r="I125" i="3" s="1"/>
  <c r="H141" i="3"/>
  <c r="I141" i="3" s="1"/>
  <c r="H142" i="3"/>
  <c r="I142" i="3" s="1"/>
  <c r="H123" i="3"/>
  <c r="I123" i="3" s="1"/>
  <c r="H131" i="3"/>
  <c r="I131" i="3" s="1"/>
  <c r="H140" i="3"/>
  <c r="I140" i="3" s="1"/>
  <c r="H134" i="3"/>
  <c r="I134" i="3" s="1"/>
  <c r="H124" i="3"/>
  <c r="I124" i="3" s="1"/>
  <c r="H137" i="3"/>
  <c r="I137" i="3" s="1"/>
  <c r="H126" i="3"/>
  <c r="I126" i="3" s="1"/>
  <c r="H127" i="3"/>
  <c r="I127" i="3" s="1"/>
  <c r="H122" i="3"/>
  <c r="I122" i="3" s="1"/>
  <c r="H128" i="3"/>
  <c r="I128" i="3" s="1"/>
  <c r="H129" i="3"/>
  <c r="I129" i="3" s="1"/>
  <c r="H132" i="3"/>
  <c r="I132" i="3" s="1"/>
  <c r="I144" i="3"/>
  <c r="I145" i="3"/>
  <c r="H146" i="3"/>
  <c r="I146" i="3" s="1"/>
  <c r="H152" i="3"/>
  <c r="I152" i="3" s="1"/>
  <c r="H148" i="3"/>
  <c r="I148" i="3" s="1"/>
  <c r="I149" i="3"/>
  <c r="H150" i="3"/>
  <c r="I150" i="3" s="1"/>
  <c r="H46" i="3"/>
  <c r="I46" i="3" s="1"/>
  <c r="H73" i="3"/>
  <c r="I73" i="3" s="1"/>
  <c r="H56" i="3"/>
  <c r="I56" i="3" s="1"/>
  <c r="H40" i="3"/>
  <c r="I40" i="3" s="1"/>
  <c r="H47" i="3"/>
  <c r="I47" i="3" s="1"/>
  <c r="H38" i="3"/>
  <c r="I38" i="3" s="1"/>
  <c r="H39" i="3"/>
  <c r="I39" i="3" s="1"/>
  <c r="H35" i="3"/>
  <c r="I35" i="3" s="1"/>
  <c r="H62" i="3"/>
  <c r="I62" i="3" s="1"/>
  <c r="H69" i="3"/>
  <c r="I69" i="3" s="1"/>
  <c r="H70" i="3"/>
  <c r="H13" i="3"/>
  <c r="H17" i="3"/>
  <c r="H34" i="3"/>
  <c r="H16" i="3"/>
  <c r="I68" i="3" l="1"/>
  <c r="I28" i="3"/>
  <c r="I26" i="3"/>
  <c r="I70" i="3"/>
  <c r="H94" i="3"/>
  <c r="H93" i="3"/>
  <c r="H55" i="3"/>
  <c r="I24" i="3" l="1"/>
  <c r="H16" i="20" s="1"/>
  <c r="H36" i="3"/>
  <c r="H37" i="3" l="1"/>
  <c r="I37" i="3" s="1"/>
  <c r="I36" i="3"/>
  <c r="I33" i="3"/>
  <c r="I34" i="3"/>
  <c r="I55" i="3"/>
  <c r="I108" i="3" l="1"/>
  <c r="K10" i="12"/>
  <c r="H14" i="9"/>
  <c r="K39" i="8"/>
  <c r="K37" i="8"/>
  <c r="K36" i="8"/>
  <c r="K35" i="8"/>
  <c r="M42" i="13"/>
  <c r="M41" i="13"/>
  <c r="M38" i="13"/>
  <c r="M33" i="13"/>
  <c r="M34" i="13"/>
  <c r="M45" i="13"/>
  <c r="M46" i="13"/>
  <c r="M47" i="13"/>
  <c r="M48" i="13"/>
  <c r="J12" i="13"/>
  <c r="I12" i="13"/>
  <c r="F26" i="6"/>
  <c r="F35" i="6"/>
  <c r="F36" i="6"/>
  <c r="F37" i="6"/>
  <c r="F39" i="6"/>
  <c r="F40" i="6"/>
  <c r="F41" i="6"/>
  <c r="F42" i="6"/>
  <c r="F45" i="6"/>
  <c r="F46" i="6"/>
  <c r="F47" i="6"/>
  <c r="F49" i="6"/>
  <c r="I14" i="13" l="1" a="1"/>
  <c r="I14" i="13" s="1"/>
  <c r="L10" i="12"/>
  <c r="K38" i="8"/>
  <c r="K33" i="8"/>
  <c r="H18" i="3" l="1"/>
  <c r="H54" i="3"/>
  <c r="H44" i="3"/>
  <c r="H84" i="3"/>
  <c r="H85" i="3"/>
  <c r="H102" i="3"/>
  <c r="H98" i="3"/>
  <c r="I105" i="3" l="1"/>
  <c r="I106" i="3"/>
  <c r="I44" i="3"/>
  <c r="I54" i="3"/>
  <c r="T8" i="8"/>
  <c r="T9" i="8"/>
  <c r="T10" i="8"/>
  <c r="T11" i="8"/>
  <c r="T12" i="8"/>
  <c r="T13" i="8"/>
  <c r="T7" i="8"/>
  <c r="T104" i="3" l="1"/>
  <c r="R104" i="3"/>
  <c r="I104" i="3"/>
  <c r="I31" i="3"/>
  <c r="I32" i="3"/>
  <c r="T16" i="8"/>
  <c r="E25" i="11" l="1"/>
  <c r="J72" i="11" s="1"/>
  <c r="E17" i="11"/>
  <c r="G17" i="11" s="1"/>
  <c r="O17" i="11"/>
  <c r="Q17" i="11"/>
  <c r="V17" i="11"/>
  <c r="E15" i="9"/>
  <c r="AD13" i="8"/>
  <c r="K72" i="11" l="1"/>
  <c r="K70" i="11"/>
  <c r="X17" i="11"/>
  <c r="S17" i="11"/>
  <c r="I17" i="11"/>
  <c r="E27" i="11" l="1"/>
  <c r="E15" i="11" l="1"/>
  <c r="G15" i="11" s="1"/>
  <c r="V9" i="11"/>
  <c r="V10" i="11"/>
  <c r="V11" i="11"/>
  <c r="V12" i="11"/>
  <c r="V13" i="11"/>
  <c r="V15" i="11"/>
  <c r="V16" i="11"/>
  <c r="V18" i="11"/>
  <c r="V19" i="11"/>
  <c r="Q14" i="11"/>
  <c r="Q15" i="11"/>
  <c r="Q16" i="11"/>
  <c r="Q18" i="11"/>
  <c r="Q19" i="11"/>
  <c r="O14" i="11"/>
  <c r="O15" i="11"/>
  <c r="O16" i="11"/>
  <c r="O18" i="11"/>
  <c r="E16" i="11"/>
  <c r="I16" i="11" s="1"/>
  <c r="Q13" i="11"/>
  <c r="E13" i="11"/>
  <c r="M13" i="11" s="1"/>
  <c r="O13" i="11"/>
  <c r="S16" i="11" l="1"/>
  <c r="S13" i="11"/>
  <c r="X16" i="11"/>
  <c r="I13" i="11"/>
  <c r="X18" i="11"/>
  <c r="S18" i="11"/>
  <c r="S14" i="11"/>
  <c r="S15" i="11"/>
  <c r="X13" i="11"/>
  <c r="G16" i="11"/>
  <c r="X15" i="11"/>
  <c r="K16" i="11"/>
  <c r="M16" i="11"/>
  <c r="G13" i="11"/>
  <c r="Z9" i="11"/>
  <c r="Q9" i="11"/>
  <c r="U9" i="11" s="1"/>
  <c r="O9" i="11"/>
  <c r="X9" i="11" s="1"/>
  <c r="E9" i="11"/>
  <c r="E14" i="9"/>
  <c r="E5" i="9"/>
  <c r="S9" i="11" l="1"/>
  <c r="G9" i="11"/>
  <c r="K9" i="11"/>
  <c r="M9" i="11"/>
  <c r="R9" i="11"/>
  <c r="I9" i="11"/>
  <c r="T9" i="11"/>
  <c r="W9" i="11"/>
  <c r="Y9" i="11"/>
  <c r="AB12" i="8" l="1"/>
  <c r="AB8" i="8"/>
  <c r="AB9" i="8"/>
  <c r="AB10" i="8"/>
  <c r="AB11" i="8"/>
  <c r="AB13" i="8"/>
  <c r="W8" i="8"/>
  <c r="W9" i="8"/>
  <c r="W10" i="8"/>
  <c r="W11" i="8"/>
  <c r="W12" i="8"/>
  <c r="W13" i="8"/>
  <c r="S13" i="8"/>
  <c r="K13" i="8"/>
  <c r="I13" i="8" l="1"/>
  <c r="G13" i="8"/>
  <c r="Q13" i="8"/>
  <c r="L6" i="6" l="1"/>
  <c r="M6" i="6"/>
  <c r="Q10" i="11" l="1"/>
  <c r="Q11" i="11"/>
  <c r="Q12" i="11"/>
  <c r="O11" i="11"/>
  <c r="X11" i="11" s="1"/>
  <c r="O12" i="11"/>
  <c r="X12" i="11" s="1"/>
  <c r="O19" i="11"/>
  <c r="X19" i="11" s="1"/>
  <c r="E26" i="11"/>
  <c r="J73" i="11" s="1"/>
  <c r="E28" i="11"/>
  <c r="J71" i="11" s="1"/>
  <c r="E11" i="11"/>
  <c r="I11" i="11" s="1"/>
  <c r="E12" i="11"/>
  <c r="I12" i="11" s="1"/>
  <c r="H15" i="9"/>
  <c r="H13" i="9"/>
  <c r="E13" i="9"/>
  <c r="E24" i="9" s="1"/>
  <c r="H24" i="9" l="1"/>
  <c r="G36" i="9" s="1"/>
  <c r="I99" i="3" s="1"/>
  <c r="K71" i="11"/>
  <c r="K73" i="11"/>
  <c r="G11" i="11"/>
  <c r="M11" i="11"/>
  <c r="K11" i="11"/>
  <c r="S19" i="11"/>
  <c r="S12" i="11"/>
  <c r="G12" i="11"/>
  <c r="K12" i="11"/>
  <c r="M12" i="11"/>
  <c r="S11" i="11"/>
  <c r="K26" i="13"/>
  <c r="I26" i="13"/>
  <c r="I16" i="13" a="1"/>
  <c r="I16" i="13" s="1"/>
  <c r="M12" i="13"/>
  <c r="L12" i="13"/>
  <c r="K12" i="13"/>
  <c r="J15" i="13" l="1" a="1"/>
  <c r="J15" i="13" s="1"/>
  <c r="H36" i="9"/>
  <c r="K28" i="13"/>
  <c r="L50" i="13" s="1"/>
  <c r="I28" i="13"/>
  <c r="L51" i="13" s="1"/>
  <c r="J14" i="13" a="1"/>
  <c r="J14" i="13" s="1"/>
  <c r="K16" i="13" a="1"/>
  <c r="K16" i="13" s="1"/>
  <c r="J17" i="13" a="1"/>
  <c r="J17" i="13" s="1"/>
  <c r="K17" i="13" a="1"/>
  <c r="K17" i="13" s="1"/>
  <c r="I17" i="13" a="1"/>
  <c r="I17" i="13" s="1"/>
  <c r="G18" i="13"/>
  <c r="J16" i="13" a="1"/>
  <c r="J16" i="13" s="1"/>
  <c r="J18" i="13" l="1"/>
  <c r="L14" i="13" a="1"/>
  <c r="L14" i="13" s="1"/>
  <c r="L15" i="13" a="1"/>
  <c r="L15" i="13" s="1"/>
  <c r="K14" i="13" a="1"/>
  <c r="K14" i="13" s="1"/>
  <c r="K15" i="13" a="1"/>
  <c r="K15" i="13" s="1"/>
  <c r="I94" i="3"/>
  <c r="F55" i="6"/>
  <c r="L16" i="13" a="1"/>
  <c r="L16" i="13" s="1"/>
  <c r="L17" i="13" a="1"/>
  <c r="L17" i="13" s="1"/>
  <c r="L28" i="13"/>
  <c r="I18" i="13"/>
  <c r="L36" i="13" s="1"/>
  <c r="L37" i="13"/>
  <c r="I86" i="3" s="1"/>
  <c r="M17" i="13" a="1"/>
  <c r="M17" i="13" s="1"/>
  <c r="M16" i="13" a="1"/>
  <c r="M16" i="13" s="1"/>
  <c r="M52" i="13" l="1"/>
  <c r="I93" i="3"/>
  <c r="M50" i="13"/>
  <c r="K18" i="13"/>
  <c r="L39" i="13" s="1"/>
  <c r="M14" i="13" a="1"/>
  <c r="M14" i="13" s="1"/>
  <c r="M15" i="13" a="1"/>
  <c r="M15" i="13" s="1"/>
  <c r="N14" i="13" a="1"/>
  <c r="N14" i="13" s="1"/>
  <c r="N15" i="13" a="1"/>
  <c r="N15" i="13" s="1"/>
  <c r="I87" i="3"/>
  <c r="M36" i="13"/>
  <c r="M51" i="13"/>
  <c r="L18" i="13"/>
  <c r="L40" i="13" s="1"/>
  <c r="N17" i="13" a="1"/>
  <c r="N17" i="13" s="1"/>
  <c r="N16" i="13" a="1"/>
  <c r="N16" i="13" s="1"/>
  <c r="M18" i="13" l="1"/>
  <c r="L44" i="13" s="1"/>
  <c r="I85" i="3"/>
  <c r="O14" i="13" a="1"/>
  <c r="O14" i="13" s="1"/>
  <c r="O15" i="13" a="1"/>
  <c r="O15" i="13" s="1"/>
  <c r="M37" i="13"/>
  <c r="I88" i="3"/>
  <c r="M39" i="13"/>
  <c r="N18" i="13"/>
  <c r="L43" i="13" s="1"/>
  <c r="O17" i="13" a="1"/>
  <c r="O17" i="13" s="1"/>
  <c r="O16" i="13" a="1"/>
  <c r="O16" i="13" s="1"/>
  <c r="I89" i="3" l="1"/>
  <c r="M40" i="13"/>
  <c r="M44" i="13"/>
  <c r="O18" i="13"/>
  <c r="L32" i="13" s="1"/>
  <c r="N31" i="13" s="1"/>
  <c r="V14" i="11"/>
  <c r="X14" i="11" s="1"/>
  <c r="V8" i="11"/>
  <c r="O10" i="11"/>
  <c r="E24" i="11"/>
  <c r="J74" i="11" s="1"/>
  <c r="E19" i="11"/>
  <c r="E18" i="11"/>
  <c r="I18" i="8"/>
  <c r="M43" i="13" l="1"/>
  <c r="I90" i="3"/>
  <c r="I91" i="3"/>
  <c r="M35" i="13"/>
  <c r="M49" i="13"/>
  <c r="K74" i="11"/>
  <c r="G18" i="11"/>
  <c r="I18" i="11"/>
  <c r="S10" i="11"/>
  <c r="X10" i="11"/>
  <c r="G19" i="11"/>
  <c r="I19" i="11"/>
  <c r="M18" i="11"/>
  <c r="K18" i="11"/>
  <c r="M19" i="11"/>
  <c r="K19" i="11"/>
  <c r="S8" i="8"/>
  <c r="S9" i="8"/>
  <c r="S10" i="8"/>
  <c r="S11" i="8"/>
  <c r="S12" i="8"/>
  <c r="H16" i="8"/>
  <c r="P84" i="3"/>
  <c r="I84" i="3" l="1"/>
  <c r="M32" i="13"/>
  <c r="Q8" i="8"/>
  <c r="Q11" i="8"/>
  <c r="Q12" i="8"/>
  <c r="Q10" i="8"/>
  <c r="Q9" i="8"/>
  <c r="N84" i="3"/>
  <c r="U14" i="11" l="1"/>
  <c r="O8" i="11"/>
  <c r="E10" i="11"/>
  <c r="I10" i="11" s="1"/>
  <c r="E14" i="11"/>
  <c r="G14" i="11" s="1"/>
  <c r="E8" i="11"/>
  <c r="H20" i="11"/>
  <c r="F20" i="11"/>
  <c r="Z14" i="11"/>
  <c r="Z10" i="11"/>
  <c r="T10" i="11"/>
  <c r="Z8" i="11"/>
  <c r="Q8" i="11"/>
  <c r="U8" i="11" s="1"/>
  <c r="D22" i="10"/>
  <c r="E29" i="9"/>
  <c r="E30" i="9"/>
  <c r="D17" i="10"/>
  <c r="D19" i="10"/>
  <c r="D18" i="10"/>
  <c r="H9" i="9"/>
  <c r="E9" i="9"/>
  <c r="Y10" i="8"/>
  <c r="AC10" i="8"/>
  <c r="AD11" i="8"/>
  <c r="I27" i="8"/>
  <c r="G27" i="8"/>
  <c r="E27" i="8"/>
  <c r="Y24" i="8"/>
  <c r="Y27" i="8" s="1"/>
  <c r="T24" i="8"/>
  <c r="V24" i="8" s="1"/>
  <c r="N27" i="8"/>
  <c r="H24" i="8"/>
  <c r="J16" i="8"/>
  <c r="I12" i="8"/>
  <c r="X11" i="8"/>
  <c r="R10" i="8"/>
  <c r="V9" i="8"/>
  <c r="I9" i="8"/>
  <c r="I8" i="8"/>
  <c r="AD7" i="8"/>
  <c r="X7" i="8"/>
  <c r="I7" i="8"/>
  <c r="L5" i="6"/>
  <c r="D23" i="10" l="1"/>
  <c r="K8" i="11"/>
  <c r="M8" i="11"/>
  <c r="K14" i="11"/>
  <c r="M14" i="11"/>
  <c r="K10" i="11"/>
  <c r="M10" i="11"/>
  <c r="I8" i="11"/>
  <c r="R14" i="11"/>
  <c r="W10" i="11"/>
  <c r="G10" i="8"/>
  <c r="I10" i="8"/>
  <c r="R7" i="8"/>
  <c r="S7" i="8"/>
  <c r="S16" i="8" s="1"/>
  <c r="K34" i="8" s="1"/>
  <c r="G11" i="8"/>
  <c r="I11" i="8"/>
  <c r="P12" i="8"/>
  <c r="V10" i="8"/>
  <c r="AA10" i="8"/>
  <c r="G8" i="8"/>
  <c r="AA9" i="8"/>
  <c r="AC7" i="8"/>
  <c r="R8" i="11"/>
  <c r="W8" i="11"/>
  <c r="I14" i="11"/>
  <c r="G8" i="11"/>
  <c r="S8" i="11"/>
  <c r="W14" i="11"/>
  <c r="T8" i="11"/>
  <c r="Y14" i="11"/>
  <c r="Z20" i="11"/>
  <c r="X8" i="11"/>
  <c r="G10" i="11"/>
  <c r="R10" i="11"/>
  <c r="Y10" i="11"/>
  <c r="V20" i="11"/>
  <c r="U10" i="11"/>
  <c r="Y8" i="11"/>
  <c r="T14" i="11"/>
  <c r="Q20" i="11"/>
  <c r="H8" i="9"/>
  <c r="H10" i="9" s="1"/>
  <c r="G35" i="9" s="1"/>
  <c r="E4" i="9"/>
  <c r="E8" i="9" s="1"/>
  <c r="E10" i="9" s="1"/>
  <c r="AA11" i="8"/>
  <c r="K7" i="8"/>
  <c r="V11" i="8"/>
  <c r="Y8" i="8"/>
  <c r="AB7" i="8"/>
  <c r="U24" i="8"/>
  <c r="U27" i="8" s="1"/>
  <c r="K8" i="8"/>
  <c r="P10" i="8"/>
  <c r="X10" i="8"/>
  <c r="V8" i="8"/>
  <c r="AC11" i="8"/>
  <c r="X24" i="8"/>
  <c r="X27" i="8" s="1"/>
  <c r="Q7" i="8"/>
  <c r="Q16" i="8" s="1"/>
  <c r="J40" i="8" s="1"/>
  <c r="P9" i="8"/>
  <c r="O24" i="8"/>
  <c r="AC24" i="8"/>
  <c r="AC27" i="8" s="1"/>
  <c r="R24" i="8"/>
  <c r="R27" i="8" s="1"/>
  <c r="V12" i="8"/>
  <c r="AA8" i="8"/>
  <c r="K9" i="8"/>
  <c r="P7" i="8"/>
  <c r="V7" i="8"/>
  <c r="Y12" i="8"/>
  <c r="Y11" i="8"/>
  <c r="X9" i="8"/>
  <c r="X8" i="8"/>
  <c r="AA7" i="8"/>
  <c r="AD12" i="8"/>
  <c r="AD10" i="8"/>
  <c r="AD9" i="8"/>
  <c r="AD8" i="8"/>
  <c r="Q24" i="8"/>
  <c r="Q27" i="8" s="1"/>
  <c r="W24" i="8"/>
  <c r="W27" i="8" s="1"/>
  <c r="AB24" i="8"/>
  <c r="AB27" i="8" s="1"/>
  <c r="W7" i="8"/>
  <c r="Y9" i="8"/>
  <c r="AA12" i="8"/>
  <c r="K12" i="8"/>
  <c r="K10" i="8"/>
  <c r="R12" i="8"/>
  <c r="R11" i="8"/>
  <c r="R9" i="8"/>
  <c r="R8" i="8"/>
  <c r="Y7" i="8"/>
  <c r="X12" i="8"/>
  <c r="AC12" i="8"/>
  <c r="AC9" i="8"/>
  <c r="AC8" i="8"/>
  <c r="P24" i="8"/>
  <c r="P27" i="8" s="1"/>
  <c r="AA24" i="8"/>
  <c r="AA27" i="8" s="1"/>
  <c r="P11" i="8"/>
  <c r="P8" i="8"/>
  <c r="K11" i="8"/>
  <c r="Z24" i="8"/>
  <c r="Z27" i="8" s="1"/>
  <c r="J24" i="8"/>
  <c r="J27" i="8" s="1"/>
  <c r="Z16" i="8"/>
  <c r="G9" i="8"/>
  <c r="G12" i="8"/>
  <c r="O16" i="8"/>
  <c r="H27" i="8"/>
  <c r="V27" i="8"/>
  <c r="U16" i="8"/>
  <c r="T27" i="8"/>
  <c r="G7" i="8"/>
  <c r="F24" i="8"/>
  <c r="F27" i="8" s="1"/>
  <c r="H35" i="9" l="1"/>
  <c r="I98" i="3"/>
  <c r="K40" i="8"/>
  <c r="I102" i="3"/>
  <c r="G16" i="8"/>
  <c r="J32" i="8" s="1"/>
  <c r="J34" i="11"/>
  <c r="Y20" i="11"/>
  <c r="M20" i="11"/>
  <c r="I16" i="8"/>
  <c r="K20" i="11"/>
  <c r="V16" i="8"/>
  <c r="AC16" i="8"/>
  <c r="W16" i="8"/>
  <c r="J35" i="11"/>
  <c r="AD16" i="8"/>
  <c r="K16" i="8"/>
  <c r="W20" i="11"/>
  <c r="U20" i="11"/>
  <c r="I20" i="11"/>
  <c r="G20" i="11"/>
  <c r="S20" i="11"/>
  <c r="J42" i="11" s="1"/>
  <c r="T20" i="11"/>
  <c r="R20" i="11"/>
  <c r="X20" i="11"/>
  <c r="P16" i="8"/>
  <c r="AA16" i="8"/>
  <c r="R16" i="8"/>
  <c r="Y16" i="8"/>
  <c r="AB16" i="8"/>
  <c r="K32" i="8" l="1"/>
  <c r="K42" i="11"/>
  <c r="J61" i="11"/>
  <c r="K35" i="11"/>
  <c r="J38" i="11"/>
  <c r="J40" i="11" s="1"/>
  <c r="I101" i="3" l="1"/>
  <c r="K40" i="11"/>
  <c r="K61" i="11"/>
  <c r="K38" i="11"/>
  <c r="K34" i="11"/>
  <c r="K16" i="6"/>
  <c r="J16" i="6"/>
  <c r="I16" i="6"/>
  <c r="H16" i="6"/>
  <c r="G16" i="6"/>
  <c r="F16" i="6"/>
  <c r="E16" i="6"/>
  <c r="C33" i="6" s="1"/>
  <c r="D16" i="6"/>
  <c r="C16" i="6"/>
  <c r="I20" i="3" l="1"/>
  <c r="T20" i="3"/>
  <c r="C30" i="6"/>
  <c r="C31" i="6" s="1"/>
  <c r="C48" i="6"/>
  <c r="L16" i="6"/>
  <c r="M16" i="6"/>
  <c r="P13" i="3"/>
  <c r="R23" i="3" l="1"/>
  <c r="T13" i="3"/>
  <c r="R13" i="3"/>
  <c r="F48" i="6"/>
  <c r="R16" i="3"/>
  <c r="T17" i="3"/>
  <c r="I23" i="3"/>
  <c r="C32" i="6"/>
  <c r="M21" i="6"/>
  <c r="M22" i="6"/>
  <c r="C43" i="6" s="1"/>
  <c r="C38" i="6" s="1"/>
  <c r="P23" i="3"/>
  <c r="T23" i="3" l="1"/>
  <c r="E5795" i="31"/>
  <c r="F147" i="18"/>
  <c r="E5459" i="31"/>
  <c r="I21" i="3"/>
  <c r="G24" i="6"/>
  <c r="F25" i="6"/>
  <c r="I17" i="3"/>
  <c r="I16" i="3"/>
  <c r="F27" i="6"/>
  <c r="I13" i="3"/>
  <c r="F30" i="6"/>
  <c r="O27" i="8"/>
  <c r="T21" i="3" l="1"/>
  <c r="F32" i="6"/>
  <c r="R18" i="3"/>
  <c r="R22" i="3"/>
  <c r="R21" i="3"/>
  <c r="I18" i="3"/>
  <c r="F33" i="6"/>
  <c r="F44" i="6"/>
  <c r="F43" i="6"/>
  <c r="F38" i="6"/>
  <c r="E26" i="9"/>
  <c r="P22" i="3"/>
  <c r="I12" i="3" l="1"/>
  <c r="H12" i="20" s="1"/>
  <c r="C9" i="32" s="1"/>
  <c r="H9" i="32" s="1"/>
  <c r="F31" i="6"/>
  <c r="G34" i="9"/>
  <c r="H34" i="9" l="1"/>
  <c r="I97" i="3"/>
  <c r="T22" i="3"/>
  <c r="I33" i="9"/>
  <c r="N11" i="32"/>
  <c r="I19" i="3" l="1"/>
  <c r="H14" i="20" s="1"/>
  <c r="C12" i="32" s="1"/>
  <c r="E17" i="10"/>
  <c r="E23" i="10"/>
  <c r="E19" i="10"/>
  <c r="E22" i="10"/>
  <c r="E18" i="10"/>
  <c r="I12" i="32" l="1"/>
  <c r="H12" i="32"/>
  <c r="C15" i="32" l="1"/>
  <c r="H15" i="32" l="1"/>
  <c r="H36" i="32" s="1"/>
  <c r="I120" i="3"/>
  <c r="I143" i="3" l="1"/>
  <c r="I136" i="3"/>
  <c r="I30" i="3"/>
  <c r="I63" i="3"/>
  <c r="I49" i="3"/>
  <c r="I100" i="3"/>
  <c r="I75" i="3"/>
  <c r="I92" i="3"/>
  <c r="I41" i="3"/>
  <c r="I82" i="3"/>
  <c r="H20" i="20" s="1"/>
  <c r="I83" i="3"/>
  <c r="I29" i="3"/>
  <c r="I95" i="3"/>
  <c r="H22" i="20" s="1"/>
  <c r="I96" i="3"/>
  <c r="I107" i="3"/>
  <c r="H24" i="20" s="1"/>
  <c r="I103" i="3"/>
  <c r="I109" i="3"/>
  <c r="H26" i="20" s="1"/>
  <c r="I110" i="3"/>
  <c r="I130" i="3"/>
  <c r="H28" i="20" l="1"/>
  <c r="C33" i="32" s="1"/>
  <c r="H18" i="20"/>
  <c r="C18" i="32" s="1"/>
  <c r="I139" i="3"/>
  <c r="C21" i="32"/>
  <c r="C30" i="32"/>
  <c r="C27" i="32"/>
  <c r="C24" i="32"/>
  <c r="J18" i="32" l="1"/>
  <c r="K18" i="32"/>
  <c r="I18" i="32"/>
  <c r="M30" i="32"/>
  <c r="K27" i="32"/>
  <c r="L24" i="32"/>
  <c r="M24" i="32"/>
  <c r="J33" i="32"/>
  <c r="I33" i="32"/>
  <c r="L21" i="32"/>
  <c r="K21" i="32"/>
  <c r="I153" i="3" l="1"/>
  <c r="K11" i="3" s="1"/>
  <c r="L36" i="32"/>
  <c r="K36" i="32"/>
  <c r="I36" i="32"/>
  <c r="M36" i="32"/>
  <c r="J36" i="32"/>
  <c r="K9" i="3" l="1"/>
  <c r="K10" i="3"/>
  <c r="H10" i="20"/>
  <c r="K104" i="3"/>
  <c r="C6" i="32" l="1"/>
  <c r="C36" i="32" s="1"/>
  <c r="K47" i="3"/>
  <c r="L2" i="3"/>
  <c r="K50" i="3"/>
  <c r="K64" i="3"/>
  <c r="K141" i="3"/>
  <c r="K58" i="3"/>
  <c r="K25" i="3"/>
  <c r="K128" i="3"/>
  <c r="K108" i="3"/>
  <c r="K73" i="3"/>
  <c r="K57" i="3"/>
  <c r="K91" i="3"/>
  <c r="K45" i="3"/>
  <c r="K76" i="3"/>
  <c r="K39" i="3"/>
  <c r="K114" i="3"/>
  <c r="K134" i="3"/>
  <c r="K51" i="3"/>
  <c r="K151" i="3"/>
  <c r="K133" i="3"/>
  <c r="K67" i="3"/>
  <c r="K23" i="3"/>
  <c r="K93" i="3"/>
  <c r="K144" i="3"/>
  <c r="K129" i="3"/>
  <c r="K98" i="3"/>
  <c r="K132" i="3"/>
  <c r="K42" i="3"/>
  <c r="K14" i="3"/>
  <c r="K94" i="3"/>
  <c r="K71" i="3"/>
  <c r="K22" i="3"/>
  <c r="K21" i="3"/>
  <c r="K127" i="3"/>
  <c r="K99" i="3"/>
  <c r="K80" i="3"/>
  <c r="K36" i="3"/>
  <c r="K20" i="3"/>
  <c r="K105" i="3"/>
  <c r="K31" i="3"/>
  <c r="K124" i="3"/>
  <c r="K74" i="3"/>
  <c r="K37" i="3"/>
  <c r="H31" i="20"/>
  <c r="K118" i="3"/>
  <c r="K142" i="3"/>
  <c r="K125" i="3"/>
  <c r="K152" i="3"/>
  <c r="K59" i="3"/>
  <c r="K137" i="3"/>
  <c r="K87" i="3"/>
  <c r="K116" i="3"/>
  <c r="K44" i="3"/>
  <c r="K56" i="3"/>
  <c r="K27" i="3"/>
  <c r="K138" i="3"/>
  <c r="K90" i="3"/>
  <c r="K140" i="3"/>
  <c r="K68" i="3"/>
  <c r="K46" i="3"/>
  <c r="K26" i="3"/>
  <c r="K149" i="3"/>
  <c r="K32" i="3"/>
  <c r="K106" i="3"/>
  <c r="K15" i="3"/>
  <c r="K62" i="3"/>
  <c r="K43" i="3"/>
  <c r="K79" i="3"/>
  <c r="K123" i="3"/>
  <c r="K69" i="3"/>
  <c r="K111" i="3"/>
  <c r="K135" i="3"/>
  <c r="K38" i="3"/>
  <c r="K40" i="3"/>
  <c r="K34" i="3"/>
  <c r="K53" i="3"/>
  <c r="K28" i="3"/>
  <c r="K48" i="3"/>
  <c r="K112" i="3"/>
  <c r="K18" i="3"/>
  <c r="K126" i="3"/>
  <c r="K122" i="3"/>
  <c r="K55" i="3"/>
  <c r="K60" i="3"/>
  <c r="K66" i="3"/>
  <c r="K78" i="3"/>
  <c r="K145" i="3"/>
  <c r="K65" i="3"/>
  <c r="K54" i="3"/>
  <c r="K150" i="3"/>
  <c r="K146" i="3"/>
  <c r="K148" i="3"/>
  <c r="K81" i="3"/>
  <c r="K88" i="3"/>
  <c r="K117" i="3"/>
  <c r="K16" i="3"/>
  <c r="K101" i="3"/>
  <c r="K84" i="3"/>
  <c r="K89" i="3"/>
  <c r="K121" i="3"/>
  <c r="K17" i="3"/>
  <c r="K35" i="3"/>
  <c r="K70" i="3"/>
  <c r="K85" i="3"/>
  <c r="K72" i="3"/>
  <c r="K119" i="3"/>
  <c r="K33" i="3"/>
  <c r="K86" i="3"/>
  <c r="K131" i="3"/>
  <c r="K61" i="3"/>
  <c r="K115" i="3"/>
  <c r="K97" i="3"/>
  <c r="K77" i="3"/>
  <c r="K102" i="3"/>
  <c r="K113" i="3"/>
  <c r="K147" i="3"/>
  <c r="K13" i="3"/>
  <c r="I6" i="32"/>
  <c r="D6" i="32"/>
  <c r="D36" i="32" s="1"/>
  <c r="J6" i="32"/>
  <c r="G6" i="32"/>
  <c r="G36" i="32" s="1"/>
  <c r="E6" i="32"/>
  <c r="E36" i="32" s="1"/>
  <c r="F6" i="32"/>
  <c r="F36" i="32" s="1"/>
  <c r="G10" i="20" l="1"/>
  <c r="G12" i="20"/>
  <c r="G20" i="20"/>
  <c r="G26" i="20"/>
  <c r="G24" i="20"/>
  <c r="G22" i="20"/>
  <c r="G16" i="20"/>
  <c r="G18" i="20"/>
  <c r="G14" i="20"/>
  <c r="G28" i="20"/>
  <c r="E6" i="10"/>
  <c r="E9" i="10"/>
  <c r="E12" i="10"/>
  <c r="E7" i="10"/>
  <c r="E8" i="10"/>
  <c r="E11" i="10"/>
  <c r="E4" i="10"/>
  <c r="E10" i="10"/>
  <c r="E14" i="10"/>
  <c r="E13" i="10"/>
  <c r="E5" i="10"/>
  <c r="C13" i="32"/>
  <c r="C34" i="32"/>
  <c r="C22" i="32"/>
  <c r="C31" i="32"/>
  <c r="C25" i="32"/>
  <c r="C10" i="32"/>
  <c r="C19" i="32"/>
  <c r="C28" i="32"/>
  <c r="C16" i="32"/>
  <c r="C7" i="32"/>
  <c r="G31"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Samuel Freitas</author>
  </authors>
  <commentList>
    <comment ref="C38" authorId="0" shapeId="0" xr:uid="{CBA9D6D6-01F3-40BC-A695-EDA628822CFA}">
      <text>
        <r>
          <rPr>
            <b/>
            <sz val="9"/>
            <color indexed="81"/>
            <rFont val="Segoe UI"/>
            <family val="2"/>
          </rPr>
          <t>NO DESCRITIVO DO SINAPI PEDE-SE PARA TIRAR O 1º KM</t>
        </r>
        <r>
          <rPr>
            <sz val="9"/>
            <color indexed="81"/>
            <rFont val="Segoe U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Samuel</author>
  </authors>
  <commentList>
    <comment ref="D117" authorId="0" shapeId="0" xr:uid="{4294DEDD-EA74-4A4B-9BAB-0420DC51BEE3}">
      <text>
        <r>
          <rPr>
            <b/>
            <sz val="9"/>
            <color indexed="81"/>
            <rFont val="Segoe UI"/>
            <family val="2"/>
          </rPr>
          <t>Saída de Descida dagua</t>
        </r>
        <r>
          <rPr>
            <sz val="9"/>
            <color indexed="81"/>
            <rFont val="Segoe UI"/>
            <family val="2"/>
          </rPr>
          <t xml:space="preserve">
</t>
        </r>
      </text>
    </comment>
    <comment ref="D122" authorId="0" shapeId="0" xr:uid="{3AF3D86F-C7E5-4618-A980-9110DCF52DC6}">
      <text>
        <r>
          <rPr>
            <b/>
            <sz val="9"/>
            <color indexed="81"/>
            <rFont val="Segoe UI"/>
            <family val="2"/>
          </rPr>
          <t>Saída de Descida dagua</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Samuel Freitas</author>
  </authors>
  <commentList>
    <comment ref="L52" authorId="0" shapeId="0" xr:uid="{5A9C6C14-06A2-43C0-B3B2-F9F98BD86AF3}">
      <text>
        <r>
          <rPr>
            <b/>
            <sz val="9"/>
            <color indexed="81"/>
            <rFont val="Segoe UI"/>
            <family val="2"/>
          </rPr>
          <t>A FORMA ESTA INCLUSA NA COMPOSIÇÃO SINAPI</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Samuel Freitas</author>
  </authors>
  <commentList>
    <comment ref="D12" authorId="0" shapeId="0" xr:uid="{5BE76BB2-074E-4591-ADBB-2F0BBCE864CC}">
      <text>
        <r>
          <rPr>
            <sz val="9"/>
            <color indexed="81"/>
            <rFont val="Segoe UI"/>
            <family val="2"/>
          </rPr>
          <t xml:space="preserve">A Barreira rigida prevista em projeto será deve ser computada com item da própria OAE.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Samuel Freitas</author>
  </authors>
  <commentList>
    <comment ref="G7" authorId="0" shapeId="0" xr:uid="{17E54897-283A-47AC-A019-C08621171263}">
      <text>
        <r>
          <rPr>
            <b/>
            <sz val="9"/>
            <color indexed="81"/>
            <rFont val="Segoe UI"/>
            <family val="2"/>
          </rPr>
          <t>extensão do poste + incremento para ligações</t>
        </r>
        <r>
          <rPr>
            <sz val="9"/>
            <color indexed="81"/>
            <rFont val="Segoe UI"/>
            <family val="2"/>
          </rPr>
          <t xml:space="preserve">
</t>
        </r>
      </text>
    </comment>
    <comment ref="G35" authorId="0" shapeId="0" xr:uid="{8C0E3BC6-9602-400C-9020-F0884B28A64C}">
      <text>
        <r>
          <rPr>
            <b/>
            <sz val="9"/>
            <color indexed="81"/>
            <rFont val="Segoe UI"/>
            <family val="2"/>
          </rPr>
          <t>altura do poste</t>
        </r>
        <r>
          <rPr>
            <sz val="9"/>
            <color indexed="81"/>
            <rFont val="Segoe UI"/>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Samuel Freitas</author>
  </authors>
  <commentList>
    <comment ref="E16" authorId="0" shapeId="0" xr:uid="{21F65856-4D3F-4766-BC96-4373333BA92F}">
      <text>
        <r>
          <rPr>
            <b/>
            <sz val="9"/>
            <color indexed="81"/>
            <rFont val="Segoe UI"/>
            <family val="2"/>
          </rPr>
          <t>Dimensão média do apoio em EVA conforme Det.6 e quadro da folha C3-002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<sst xmlns="http://schemas.openxmlformats.org/spreadsheetml/2006/main" count="72195" uniqueCount="44101">
  <si>
    <t>Unidade</t>
  </si>
  <si>
    <t>Preço Unitário</t>
  </si>
  <si>
    <t>m</t>
  </si>
  <si>
    <t>un</t>
  </si>
  <si>
    <t xml:space="preserve">DEMOLICAO DE CONCRETO ARMADO                                                   </t>
  </si>
  <si>
    <t>conjunto</t>
  </si>
  <si>
    <t>kg</t>
  </si>
  <si>
    <t xml:space="preserve">SUPORTE MADEIRA TRATADA 0,10X0,10M                                             </t>
  </si>
  <si>
    <t>FORN./INSTAL. BALIZ. (CATADIOPTRICO) P/BAR. RIGIDA C/PEL. GT+GT, CONF. OP-06-05</t>
  </si>
  <si>
    <t>Código</t>
  </si>
  <si>
    <t>Discriminação</t>
  </si>
  <si>
    <t>Quantidades</t>
  </si>
  <si>
    <t>Preço Total</t>
  </si>
  <si>
    <t>-</t>
  </si>
  <si>
    <t>TOTAL</t>
  </si>
  <si>
    <t>21.05.01</t>
  </si>
  <si>
    <t>22.03.04</t>
  </si>
  <si>
    <t>24.05.01</t>
  </si>
  <si>
    <t>24.07.01</t>
  </si>
  <si>
    <t>24.07.07</t>
  </si>
  <si>
    <t>28.06.19</t>
  </si>
  <si>
    <t xml:space="preserve">FORN.TRANS.INST.ATENUADOR DE IMPACT.NBR 15486 100 KMH PARALELO L&lt;=40CM.        </t>
  </si>
  <si>
    <t>QUADRO RESUMO DE CÁLCULO DE VOLUMES DE TERRAPLENAGEM</t>
  </si>
  <si>
    <t>VOLUME (m³)</t>
  </si>
  <si>
    <t>MATERIAL DE DEMOLIÇÃO</t>
  </si>
  <si>
    <t>CORTE 3ª CAT.</t>
  </si>
  <si>
    <t>VOLUMES TOTAIS</t>
  </si>
  <si>
    <t>EMPRÉSTIMO  = (ATERRO - CORTE)</t>
  </si>
  <si>
    <t>Resumo</t>
  </si>
  <si>
    <t>Descrição</t>
  </si>
  <si>
    <t>Quantidade</t>
  </si>
  <si>
    <t>Distancia</t>
  </si>
  <si>
    <t>un </t>
  </si>
  <si>
    <t>TRANSPORTE DE 1/2 CATEGORIA ATE 10 KM </t>
  </si>
  <si>
    <t>m </t>
  </si>
  <si>
    <t>Empréstimo</t>
  </si>
  <si>
    <t>Material Excedente (Bota Fora)</t>
  </si>
  <si>
    <t>Unid.</t>
  </si>
  <si>
    <t>m³</t>
  </si>
  <si>
    <t>m²</t>
  </si>
  <si>
    <t>m3</t>
  </si>
  <si>
    <t>m2</t>
  </si>
  <si>
    <t>RESUMO DE QUANTIDADES</t>
  </si>
  <si>
    <t>SINALIZAÇÃO  VERTICAL  DE REGULAMENTAÇÃO E ADVERTÊNCIA</t>
  </si>
  <si>
    <t>Quantidade de Placas</t>
  </si>
  <si>
    <t>Quantidade de suportes</t>
  </si>
  <si>
    <t>Dimensões</t>
  </si>
  <si>
    <t>Área</t>
  </si>
  <si>
    <t>a colocar</t>
  </si>
  <si>
    <t>a retirar</t>
  </si>
  <si>
    <t>a remanejar</t>
  </si>
  <si>
    <t>Tipo Sup.</t>
  </si>
  <si>
    <t>Comp.</t>
  </si>
  <si>
    <t>comp.</t>
  </si>
  <si>
    <t>altura</t>
  </si>
  <si>
    <t>Ø</t>
  </si>
  <si>
    <t>QTD.</t>
  </si>
  <si>
    <t>(unit.)</t>
  </si>
  <si>
    <t>QTD</t>
  </si>
  <si>
    <t>PE (m)</t>
  </si>
  <si>
    <t>PM (m)</t>
  </si>
  <si>
    <t>PI (kg)</t>
  </si>
  <si>
    <t>PC (m)</t>
  </si>
  <si>
    <t>PM</t>
  </si>
  <si>
    <t>0,00</t>
  </si>
  <si>
    <t>T O T A L</t>
  </si>
  <si>
    <t>SINALIZAÇÃO  VERTICAL  INDICATIVA</t>
  </si>
  <si>
    <t>PP (m)</t>
  </si>
  <si>
    <r>
      <t>m</t>
    </r>
    <r>
      <rPr>
        <vertAlign val="superscript"/>
        <sz val="10"/>
        <color indexed="8"/>
        <rFont val="Arial"/>
        <family val="2"/>
      </rPr>
      <t>2</t>
    </r>
  </si>
  <si>
    <t>FORN. E TRANSPORTE DE PLACA DE ACO GT+AI </t>
  </si>
  <si>
    <t>FORN. E TRANSPORTE DE PLACA MOD.ALUMINIO GT+GT </t>
  </si>
  <si>
    <t>COLOCACAO DE PLACA EM SUP. MADEIRA/METALICO-SOLO </t>
  </si>
  <si>
    <t>COLOCACAO DE PLACA AEREA EM PORTICOS OU SEMI-PORTICO </t>
  </si>
  <si>
    <t>RETIRADA DE PLACA DE SOLO EM SUPORTE DE MADEIRA OU METALICO </t>
  </si>
  <si>
    <t>RETIRADA DE PLACA AEREA </t>
  </si>
  <si>
    <t>FORN.TRANSP. MONTAG PLACA ALUM.E NUCLEO POLIET. BAIXA DENSIDADE ESP.3MM GT+GT </t>
  </si>
  <si>
    <t>FORN.TRANSP. MONTAG PLACA ALUM.E NUCLEO POLIET. BAIXA DENSIDADE ESP.3MM GT+AI </t>
  </si>
  <si>
    <t>FORN.,TRANSP.E FIXACAO DE PORTICO TUB.MET.VAO DE 15,20M </t>
  </si>
  <si>
    <t>FORN.TRANSP. E FIXACAO DE PORTICO TUB.MET. VAO DE 15,90M </t>
  </si>
  <si>
    <t>FORN., TRANSP. E FIXACAO DE PORTICO TUB. MET. VAO DE 18,80M </t>
  </si>
  <si>
    <t>FORN.TRANSP. E FIXACAO DE PORTICO TUBULAR METALICO COM VAO DE 19,20M </t>
  </si>
  <si>
    <t>FORN., TRANSP. E FIXACAO DE PORTICO TUB. MET. COM VAO DE 22,40M </t>
  </si>
  <si>
    <t>FORN.,TRANSP.E FIXACAO DE PORTICO TUBULAR METALICO VAO DE 22,60M </t>
  </si>
  <si>
    <t>FORN., TRANSP. E FIX. DE SEMI-PORT TUB. EM BALANCO VAO DE 5,10M </t>
  </si>
  <si>
    <t>FORN.,TRANSP.E FIXACAO DE SEMI-PORTICO TUBULAR MET.EM BALANCO COM VAO 6,00M </t>
  </si>
  <si>
    <t>FORN., TRANSP. E FIX. DE SEMI-PORT TUB. EM BALANCO VAO DE 8,60M </t>
  </si>
  <si>
    <t>FORN.,TRANSP.E FIXACAO DE SEMI-PORTICO TUBULAR MET.EM BALANCO COM VAO 8,30M </t>
  </si>
  <si>
    <t>FORN., TRANSP. E FIX. DE SEMI-PORT TUB. EM BALANCO DUPLO 5,10M </t>
  </si>
  <si>
    <t>FORN.,TRANSP.E FIXACAO DE SEMI-PORTICO TUB. MET.EM BALANCO DUPLO COM VAO 6,00M </t>
  </si>
  <si>
    <t>FORN., TRANSP. E FIX. DE SEMI-PORT TUB. EM BALANCO DUPLO 8,60M </t>
  </si>
  <si>
    <t>FORN.,TRANSP.E FIXACAO DE SEMI-PORTICO TUB.MET.EM BALANCO DUPLO COM VAO 8,30M </t>
  </si>
  <si>
    <t>FORN.,TRANSP.E FIXACAO DE SEMI-PORTICO TUBULAR MET.EM BALANCO COM VAO 4,90M </t>
  </si>
  <si>
    <t>RETIRADA DE SUPORTE DE MADEIRA TRATADA </t>
  </si>
  <si>
    <t>SUPORTE MADEIRA TRATADA 0,10X0,10M </t>
  </si>
  <si>
    <t>SUPORTE DE PERFIL METALICO GALVANIZADO. </t>
  </si>
  <si>
    <t>kg </t>
  </si>
  <si>
    <t>SUPORTE TUBULAR GALVANIZADO 2 1/2" </t>
  </si>
  <si>
    <t>SUPORTE DE PLACAS DE SOLO ECOLOGICO E COLAPSIVEL 75X75MM. </t>
  </si>
  <si>
    <t>SUPORTE DE PLACA DE SOLO ECOLÍGICO E COLAPSIVEL 100 X 100MM </t>
  </si>
  <si>
    <t>SUPORTE DE PLACA DE SOLO ECOLÓGICO E COLAPSIVEL 70 X 150MM </t>
  </si>
  <si>
    <t>CONFECCAO, MONTAGEM E INSTALACAO DE PLACA INSTITUCIONAL </t>
  </si>
  <si>
    <t>PINTURA ANTI PICHACAO A BASE DE AGUA PARA PLACA DE SINALIZACAO </t>
  </si>
  <si>
    <t>FORN. E TRANSPORTE DE PLACA DE ACO GT+GT</t>
  </si>
  <si>
    <t>FORN. E TRANSPORTE DE PLACA DE ALUMINIO GT+AI</t>
  </si>
  <si>
    <t>FORN.TRANSP.INSTAL.PLC CHAPA DE LAMINADO FENOL MELAM. C/ACAB. GTP+GTP,MOD.AçO</t>
  </si>
  <si>
    <t>Quant</t>
  </si>
  <si>
    <t>X</t>
  </si>
  <si>
    <t>Pintura Amarela</t>
  </si>
  <si>
    <t>Processo</t>
  </si>
  <si>
    <t>Tacha Amarela</t>
  </si>
  <si>
    <t>Número do Detalhe no Desenho</t>
  </si>
  <si>
    <t>Tipo de Sinalização</t>
  </si>
  <si>
    <t>Espessura (m)</t>
  </si>
  <si>
    <t>Comprimento (m)</t>
  </si>
  <si>
    <t>Área (m²)</t>
  </si>
  <si>
    <t>de Pintura</t>
  </si>
  <si>
    <t>Espaçamento (un.)</t>
  </si>
  <si>
    <t>Nº tacha (un.)</t>
  </si>
  <si>
    <t>Tipo de Tacha</t>
  </si>
  <si>
    <t xml:space="preserve">Dupla contínua </t>
  </si>
  <si>
    <t>Mecânico</t>
  </si>
  <si>
    <t>Bidirecional Amarela</t>
  </si>
  <si>
    <t>ZPA - Canalização</t>
  </si>
  <si>
    <t>Manual</t>
  </si>
  <si>
    <t>Monodirecional Amarela</t>
  </si>
  <si>
    <r>
      <t xml:space="preserve">ZPA - ilha </t>
    </r>
    <r>
      <rPr>
        <sz val="11"/>
        <color indexed="60"/>
        <rFont val="Calibri"/>
        <family val="2"/>
      </rPr>
      <t>*</t>
    </r>
  </si>
  <si>
    <t>Área Total Mecânico</t>
  </si>
  <si>
    <t>Total Bidirecional amarela</t>
  </si>
  <si>
    <t>Área Total Manual</t>
  </si>
  <si>
    <t>Total Monodirecional amarela</t>
  </si>
  <si>
    <t>Área Total Amarela</t>
  </si>
  <si>
    <t>Total Amarela</t>
  </si>
  <si>
    <t>Pintura Branca</t>
  </si>
  <si>
    <t>Tacha Branca</t>
  </si>
  <si>
    <t xml:space="preserve">Contínua (bordo) </t>
  </si>
  <si>
    <t>Monodirecional Branca</t>
  </si>
  <si>
    <t>Linha de Retenção</t>
  </si>
  <si>
    <t>Total Branca</t>
  </si>
  <si>
    <t>Área Total Branca</t>
  </si>
  <si>
    <t>unidade</t>
  </si>
  <si>
    <t>quantidade</t>
  </si>
  <si>
    <t>RESUMO SINALIZAÇÃO HORIZONTAL</t>
  </si>
  <si>
    <t>código</t>
  </si>
  <si>
    <t>ANCORAGEM SIMPLES</t>
  </si>
  <si>
    <t>TELA ANTI-OFUSCANTE</t>
  </si>
  <si>
    <t>BALIZADOR-TIPO</t>
  </si>
  <si>
    <t>REMOÇÃO DEF.SEM.SIMPLES</t>
  </si>
  <si>
    <t>ÁREA DA SEÇÃO PLENA</t>
  </si>
  <si>
    <t>CONCRETO 30MPa</t>
  </si>
  <si>
    <t>LASTRO DE CONCRETO 10MPa</t>
  </si>
  <si>
    <t>FORMA</t>
  </si>
  <si>
    <t>TERMINAL CHANFRADO PARA BARREIRA SIMPLES BAIXA C=4,00 (1m + 3m ALT VAR.)</t>
  </si>
  <si>
    <t>REMOÇÃO</t>
  </si>
  <si>
    <t>CONTÍNUA (BORDO)</t>
  </si>
  <si>
    <t>SECCIONADA (2,00 x 2,00)</t>
  </si>
  <si>
    <t>BARREIRA RÍGIDA SIMPLES RETIRAR
A= 0,190m²</t>
  </si>
  <si>
    <t>TRANSIÇÃO DUPLA ONDA</t>
  </si>
  <si>
    <t>UNID</t>
  </si>
  <si>
    <t>M</t>
  </si>
  <si>
    <t>M3</t>
  </si>
  <si>
    <t>SINALIZAÇÃO  VERTICAL  DE SINALIZAÇÃO DE OBRAS</t>
  </si>
  <si>
    <t>SERVIÇO:</t>
  </si>
  <si>
    <t>Area de Taludes de Aterro</t>
  </si>
  <si>
    <t>=</t>
  </si>
  <si>
    <t xml:space="preserve"> m²</t>
  </si>
  <si>
    <t>Area de Taludes de Corte</t>
  </si>
  <si>
    <t>Área de Canteiros</t>
  </si>
  <si>
    <t>RESUMO</t>
  </si>
  <si>
    <t>MEIO AMBIENTE (PAISAGISMO)</t>
  </si>
  <si>
    <t>verif.</t>
  </si>
  <si>
    <t>VERIF.</t>
  </si>
  <si>
    <t>SOLO</t>
  </si>
  <si>
    <t>AÉREA</t>
  </si>
  <si>
    <r>
      <t>m</t>
    </r>
    <r>
      <rPr>
        <vertAlign val="superscript"/>
        <sz val="11"/>
        <color rgb="FFC00000"/>
        <rFont val="Arial"/>
        <family val="2"/>
      </rPr>
      <t>3</t>
    </r>
    <r>
      <rPr>
        <sz val="11"/>
        <color rgb="FFC00000"/>
        <rFont val="Arial"/>
        <family val="2"/>
      </rPr>
      <t>*km</t>
    </r>
  </si>
  <si>
    <t>ÁREA</t>
  </si>
  <si>
    <t>FASE 1</t>
  </si>
  <si>
    <t>FASE 2</t>
  </si>
  <si>
    <t>FASE 3</t>
  </si>
  <si>
    <t>A REMANEJAR</t>
  </si>
  <si>
    <t>FASE 4</t>
  </si>
  <si>
    <t>LAMELA</t>
  </si>
  <si>
    <t>TELA</t>
  </si>
  <si>
    <t>DISPOSITIVOS DE BLOQUEIO/DESVIO/ALERTA</t>
  </si>
  <si>
    <t>ELEMENTO</t>
  </si>
  <si>
    <t>CONE</t>
  </si>
  <si>
    <t>BARREIRA RIGIDA MOVEL</t>
  </si>
  <si>
    <t>ESTRUTURA DO PAVIMENTO FLEXÍVEL</t>
  </si>
  <si>
    <t>REVESTIMENTO</t>
  </si>
  <si>
    <t>BASE</t>
  </si>
  <si>
    <t>SUB BASE</t>
  </si>
  <si>
    <t>REGULAR. DO SUBLEITO</t>
  </si>
  <si>
    <t>PINTURA</t>
  </si>
  <si>
    <t>IMPRIMAÇÃO</t>
  </si>
  <si>
    <t>SOLUÇÃO</t>
  </si>
  <si>
    <t>PAVIMENTO TIPO I</t>
  </si>
  <si>
    <t>PAVIMENTAÇÃO</t>
  </si>
  <si>
    <t>QUANTITATIVO DAS SOLUÇÕES DO PAVIMENTO NOVO</t>
  </si>
  <si>
    <t>LOCALIZAÇÃO</t>
  </si>
  <si>
    <t>EXT.</t>
  </si>
  <si>
    <t>LARG.</t>
  </si>
  <si>
    <t>LOCAL</t>
  </si>
  <si>
    <t>EST. INIC.</t>
  </si>
  <si>
    <t>EST. FINAL</t>
  </si>
  <si>
    <t>CALÇADA</t>
  </si>
  <si>
    <t>CONSUMOS MÉDIOS</t>
  </si>
  <si>
    <t>LASTRO
m³/m</t>
  </si>
  <si>
    <t>FORMA
m²/m</t>
  </si>
  <si>
    <t>R-1</t>
  </si>
  <si>
    <t>Seccionada (1,00 X 1,00)</t>
  </si>
  <si>
    <t>BARREIRA MÓVEL</t>
  </si>
  <si>
    <t>C-01</t>
  </si>
  <si>
    <t>TAMBOR</t>
  </si>
  <si>
    <t>Quant.</t>
  </si>
  <si>
    <t>R-24a</t>
  </si>
  <si>
    <t>C-02</t>
  </si>
  <si>
    <t>BARREIRA DUPLA BAIXA</t>
  </si>
  <si>
    <t>A COLOCAR</t>
  </si>
  <si>
    <t>LAMELAS (BARREIRA VERTICAL)</t>
  </si>
  <si>
    <t>em https://www.sinaweb.com.br/produto/barreira-vertical, acessado 18/08/2021 14:36</t>
  </si>
  <si>
    <t>TAMBOR (BARRIL)</t>
  </si>
  <si>
    <t>COTAÇÃO-001</t>
  </si>
  <si>
    <t>COTAÇÃO-002</t>
  </si>
  <si>
    <t>ITEM01</t>
  </si>
  <si>
    <t>VOLUMES LÍQUIDOS - EMPRESTIMO/BOTA FORA</t>
  </si>
  <si>
    <t>BARREIRA SIMPLES BAIXA</t>
  </si>
  <si>
    <t>BOLETIM REFERENCIAL DE CUSTOS - TABELA DE SERVIÇOS</t>
  </si>
  <si>
    <t>UN</t>
  </si>
  <si>
    <t>M2</t>
  </si>
  <si>
    <t>Limpeza manual do terreno, inclusive troncos até 5 cm de diâmetro, com caminhão à disposição dentro da obra, até o raio de 1 km</t>
  </si>
  <si>
    <t>02.09.130</t>
  </si>
  <si>
    <t>05.10.021</t>
  </si>
  <si>
    <t>05.10.022</t>
  </si>
  <si>
    <t>05.10.024</t>
  </si>
  <si>
    <t>05.10.025</t>
  </si>
  <si>
    <t>05.10.026</t>
  </si>
  <si>
    <t>Escavação e carga mecanizada para exploração de solo em jazida</t>
  </si>
  <si>
    <t>07.01.060</t>
  </si>
  <si>
    <t>07.01.120</t>
  </si>
  <si>
    <t>Carga e remoção de terra até a distância média de 1 km</t>
  </si>
  <si>
    <t>Espalhamento de solo em bota-fora com compactação sem controle</t>
  </si>
  <si>
    <t>07.12.010</t>
  </si>
  <si>
    <t>07.12.030</t>
  </si>
  <si>
    <t>07.12.040</t>
  </si>
  <si>
    <t>Forma plana em compensado para estrutura convencional</t>
  </si>
  <si>
    <t>Concreto usinado, fck = 20 MPa</t>
  </si>
  <si>
    <t>Lastro de pedra britada</t>
  </si>
  <si>
    <t>54.01.030</t>
  </si>
  <si>
    <t>54.01.050</t>
  </si>
  <si>
    <t>Compactação do subleito mínimo de 95% do PN</t>
  </si>
  <si>
    <t>Base de brita graduada</t>
  </si>
  <si>
    <t>54.01.220</t>
  </si>
  <si>
    <t>Base de bica corrida</t>
  </si>
  <si>
    <t>54.01.230</t>
  </si>
  <si>
    <t>Base de macadame betuminoso</t>
  </si>
  <si>
    <t>54.01.300</t>
  </si>
  <si>
    <t>54.01.400</t>
  </si>
  <si>
    <t>54.01.410</t>
  </si>
  <si>
    <t>Varrição de pavimento para recapeamento</t>
  </si>
  <si>
    <t>Camada de rolamento em concreto betuminoso usinado quente - CBUQ</t>
  </si>
  <si>
    <t>54.03.221</t>
  </si>
  <si>
    <t>Imprimação betuminosa ligante</t>
  </si>
  <si>
    <t>Imprimação betuminosa impermeabilizante</t>
  </si>
  <si>
    <t>54.03.250</t>
  </si>
  <si>
    <t>Revestimento de pré-misturado a quente</t>
  </si>
  <si>
    <t>54.03.260</t>
  </si>
  <si>
    <t>Revestimento de pré-misturado a frio</t>
  </si>
  <si>
    <t>54.06.040</t>
  </si>
  <si>
    <t>54.06.100</t>
  </si>
  <si>
    <t>54.06.160</t>
  </si>
  <si>
    <t>Defensa semimaleavel simples</t>
  </si>
  <si>
    <t>Sinalizacao horizontal</t>
  </si>
  <si>
    <t>Sinalizacao vertical</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</si>
  <si>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</si>
  <si>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</si>
  <si>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</si>
  <si>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</si>
  <si>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</si>
  <si>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</si>
  <si>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</si>
  <si>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</si>
  <si>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</si>
  <si>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</si>
  <si>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</si>
  <si>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</si>
  <si>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</si>
  <si>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</si>
  <si>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Tacha tipo I bidirecional refletiva</t>
  </si>
  <si>
    <t>Tacha tipo I monodirecional refletiva</t>
  </si>
  <si>
    <r>
      <rPr>
        <sz val="10"/>
        <rFont val="Arial"/>
        <family val="2"/>
      </rPr>
      <t>Transporte de solo de 1ª e 2ª categoria por caminhão para distâncias
superiores ao 2° km até o 3° km</t>
    </r>
  </si>
  <si>
    <r>
      <rPr>
        <sz val="10"/>
        <rFont val="Arial"/>
        <family val="2"/>
      </rPr>
      <t>Transporte de solo de 1ª e 2ª categoria por caminhão para distâncias
superiores ao 3° km até o 5° km</t>
    </r>
  </si>
  <si>
    <r>
      <rPr>
        <sz val="10"/>
        <rFont val="Arial"/>
        <family val="2"/>
      </rPr>
      <t>Transporte de solo de 1ª e 2ª categoria por caminhão para distâncias
superiores ao 10° km até o 15° km</t>
    </r>
  </si>
  <si>
    <r>
      <rPr>
        <sz val="10"/>
        <rFont val="Arial"/>
        <family val="2"/>
      </rPr>
      <t>Transporte de solo de 1ª e 2ª categoria por caminhão para distâncias
superiores ao 15° km até o 20° km</t>
    </r>
  </si>
  <si>
    <r>
      <rPr>
        <sz val="10"/>
        <rFont val="Arial"/>
        <family val="2"/>
      </rPr>
      <t>Transporte de solo de 1ª e 2ª categoria por caminhão para distâncias
superiores ao 20° km</t>
    </r>
  </si>
  <si>
    <r>
      <rPr>
        <sz val="10"/>
        <rFont val="Arial"/>
        <family val="2"/>
      </rPr>
      <t>Escavação e carga mecanizada em solo de 2ª categoria, em campo
aberto</t>
    </r>
  </si>
  <si>
    <r>
      <rPr>
        <sz val="10"/>
        <rFont val="Arial"/>
        <family val="2"/>
      </rPr>
      <t>Compactação de aterro mecanizado mínimo de 95% PN, sem
fornecimento de solo em áreas fechadas</t>
    </r>
  </si>
  <si>
    <r>
      <rPr>
        <sz val="10"/>
        <rFont val="Arial"/>
        <family val="2"/>
      </rPr>
      <t>Compactação de aterro mecanizado mínimo de 95% PN, sem
fornecimento de solo em campo aberto</t>
    </r>
  </si>
  <si>
    <r>
      <rPr>
        <sz val="10"/>
        <rFont val="Arial"/>
        <family val="2"/>
      </rPr>
      <t>Compactação de aterro mecanizado a 100% PN, sem fornecimento de
solo em campo aberto</t>
    </r>
  </si>
  <si>
    <r>
      <rPr>
        <sz val="10"/>
        <rFont val="Arial"/>
        <family val="2"/>
      </rPr>
      <t>Aterro mecanizado por compensação, solo de 1ª categoria em campo
aberto, sem compactação do aterro</t>
    </r>
  </si>
  <si>
    <r>
      <rPr>
        <sz val="10"/>
        <rFont val="Arial"/>
        <family val="2"/>
      </rPr>
      <t>Regularização e compactação mecanizada de superfície, sem controle do
proctor normal</t>
    </r>
  </si>
  <si>
    <r>
      <rPr>
        <sz val="10"/>
        <rFont val="Arial"/>
        <family val="2"/>
      </rPr>
      <t>Abertura e preparo de caixa até 40 cm, compactação do subleito mínimo
de 95% do PN e transporte até o raio de 1 km</t>
    </r>
  </si>
  <si>
    <r>
      <rPr>
        <sz val="10"/>
        <rFont val="Arial"/>
        <family val="2"/>
      </rPr>
      <t>Pavimento de concreto rolado (concreto pobre) para base de pavimento
rígido</t>
    </r>
  </si>
  <si>
    <r>
      <rPr>
        <sz val="10"/>
        <rFont val="Arial"/>
        <family val="2"/>
      </rPr>
      <t>Abertura de caixa até 25 cm, inclui escavação, compactação, transporte
e preparo do sub-leito</t>
    </r>
  </si>
  <si>
    <r>
      <rPr>
        <sz val="10"/>
        <rFont val="Arial"/>
        <family val="2"/>
      </rPr>
      <t>Sinalização horizontal em tinta a base de resina acrílica emulsionada em
água</t>
    </r>
  </si>
  <si>
    <r>
      <rPr>
        <sz val="10"/>
        <rFont val="Arial"/>
        <family val="2"/>
      </rPr>
      <t>Placa para sinalização viária em chapa de aço, totalmente refletiva com
película IA/IA - área até 2,0 m²</t>
    </r>
  </si>
  <si>
    <t>CDHU</t>
  </si>
  <si>
    <t>Limpeza mecanizada do terreno, inclusive troncos até 15 cm de diâmetro, com caminhão à disposição dentro e fora da obra, com
transporte no raio de até 1 km</t>
  </si>
  <si>
    <t>Restauração de pavimento asfáltico com concreto betuminoso usinado
quente - CBUQ</t>
  </si>
  <si>
    <t>CONCRETO</t>
  </si>
  <si>
    <t>RESUMO DE QUANTIDADES - DISPOSITIVOS DE SEGURANÇA E ACESSIBILIDADE</t>
  </si>
  <si>
    <r>
      <t>m</t>
    </r>
    <r>
      <rPr>
        <vertAlign val="superscript"/>
        <sz val="10"/>
        <rFont val="Calibri"/>
        <family val="2"/>
      </rPr>
      <t>3</t>
    </r>
  </si>
  <si>
    <t>Escavação Mecânica</t>
  </si>
  <si>
    <t>Reaterro Compactado</t>
  </si>
  <si>
    <t>Escoramento Descontínuo</t>
  </si>
  <si>
    <r>
      <t>m</t>
    </r>
    <r>
      <rPr>
        <vertAlign val="superscript"/>
        <sz val="10"/>
        <rFont val="Calibri"/>
        <family val="2"/>
      </rPr>
      <t>2</t>
    </r>
  </si>
  <si>
    <t>Escoramento Contínuo</t>
  </si>
  <si>
    <t>Escavação mecânica</t>
  </si>
  <si>
    <t>Concreto fck=10MPa</t>
  </si>
  <si>
    <t>Concreto fck=25MPa</t>
  </si>
  <si>
    <t>Aço CA-50</t>
  </si>
  <si>
    <t>POÇO DE VISITA</t>
  </si>
  <si>
    <t>UND</t>
  </si>
  <si>
    <t>SECRETARIA DE LOGÍSTICA E TRANSPORTES</t>
  </si>
  <si>
    <t>DEPARTAMENTO DE ESTRADAS DE RODAGEM DO ESTADO DE SÃO PAULO</t>
  </si>
  <si>
    <t>Subitem</t>
  </si>
  <si>
    <t>Nome</t>
  </si>
  <si>
    <t xml:space="preserve">SONDAGEM A PERCUSSAO ATE 15M                                                   </t>
  </si>
  <si>
    <t xml:space="preserve">SONDAGEM A PERC. ATE 15M LOC. ALAG.&lt;50CM                                       </t>
  </si>
  <si>
    <t xml:space="preserve">SONDAGEM A  PERCUSSAO DE 15 A 30M                                              </t>
  </si>
  <si>
    <t xml:space="preserve">SONDAGEM A PERC.15A30M LOC.ALAG.&lt;50CM                                          </t>
  </si>
  <si>
    <t xml:space="preserve">SONDAGEM PERCUSSAO SUPERIOR A 30M                                              </t>
  </si>
  <si>
    <t xml:space="preserve">SONDAGEM PERC.+30M LOC.ALAG.&lt;50CM                                              </t>
  </si>
  <si>
    <t xml:space="preserve">TAXA FIXA INSTALACAO SONDAGEM PERCUSSAO                                        </t>
  </si>
  <si>
    <t xml:space="preserve">TAXA FIXA INSTALACAO SONDAGEM ROTATIVA                                         </t>
  </si>
  <si>
    <t xml:space="preserve">TRANSPORTE DE EQUIPAMENTO DE SONDAGEM                                          </t>
  </si>
  <si>
    <t>km*equip</t>
  </si>
  <si>
    <t xml:space="preserve">DESLOCAMENTO DE EQUIPAMENTO DE SONDAGEM                                        </t>
  </si>
  <si>
    <t xml:space="preserve">PLATAFORMA OU BANQUETA SOND.PERCUSSAO                                          </t>
  </si>
  <si>
    <t>equip</t>
  </si>
  <si>
    <t xml:space="preserve">PLATAFORMA OU BANQUETA P/ SOND. ROTATIVA                                       </t>
  </si>
  <si>
    <t xml:space="preserve">FLUTUANTE PARA SONDAGEM                                                        </t>
  </si>
  <si>
    <t>obra</t>
  </si>
  <si>
    <t xml:space="preserve">INSTAL.SONDAGEM PERCUSSAO S/ FLUTUANTE                                         </t>
  </si>
  <si>
    <t>sond</t>
  </si>
  <si>
    <t xml:space="preserve">INSTALACAO SONDAGEM ROTATIVA S/FLUTUANTE                                       </t>
  </si>
  <si>
    <t xml:space="preserve">SONDAGEM ROTATIVA SOLO 57,10MM (AX)                                            </t>
  </si>
  <si>
    <t xml:space="preserve">SONDAGEM ROTATIVA SOLO 73,00MM (BX)                                            </t>
  </si>
  <si>
    <t xml:space="preserve">SONDAGEM ROTATIVA SOLO 88,90MM (NX)                                            </t>
  </si>
  <si>
    <t xml:space="preserve">SONDAGEM ROTATIVA SOLO 114,30MM (HX)                                           </t>
  </si>
  <si>
    <t xml:space="preserve">SONDAGEM ROTATIVA ROCHA ALT.57,1MM (AX)                                        </t>
  </si>
  <si>
    <t xml:space="preserve">SONDAGEM ROTATIVA ROCHA ALT.73,0MM (BX)                                        </t>
  </si>
  <si>
    <t xml:space="preserve">SONDAGEM ROTATIVA ROCHA ALT.88,9MM (NX)                                        </t>
  </si>
  <si>
    <t xml:space="preserve">SONDAGEM ROTATIVA ROCHA ALT.114,3MM (HX)                                       </t>
  </si>
  <si>
    <t xml:space="preserve">SONDAGEM ROTATIVA ROCHA SA 57,10MM (AX)                                        </t>
  </si>
  <si>
    <t xml:space="preserve">SONDAGEM ROTATIVA ROCHA SA 73,00MM (BX)                                        </t>
  </si>
  <si>
    <t xml:space="preserve">SONDAGEM ROTATIVA ROCHA SA 88,9MM (NX)                                         </t>
  </si>
  <si>
    <t xml:space="preserve">SONDAGEM ROTATIVA ROCHA SA 114,30MM (HX)                                       </t>
  </si>
  <si>
    <t xml:space="preserve">SONDAGEM A TRADO PROFUNDIDADE ATE 5M                                           </t>
  </si>
  <si>
    <t xml:space="preserve">SONDAGEM A TRADO PROFUNDIDADE 5 A 10M                                          </t>
  </si>
  <si>
    <t xml:space="preserve">DETER. COORDENADAS COM GPS2 (CONTROLE BASICO) PRECISAO MINIMA DE 2 ORDEM.      </t>
  </si>
  <si>
    <t xml:space="preserve">DETER. COORDENADAS COM GPS3 (CONTROLE BASICO) PRECISAO MINIMA DE 2 ORDEM.      </t>
  </si>
  <si>
    <t xml:space="preserve">TRANSPORTE COORDENADAS ATRAVES DE POLIGONAIS CLASSE II P DA NBR 13.133         </t>
  </si>
  <si>
    <t>km</t>
  </si>
  <si>
    <t xml:space="preserve">IMPLANTACAO DE POLIGONAIS CLASSE III P DA NBR 13.133.                          </t>
  </si>
  <si>
    <t xml:space="preserve">TRANSPORTE DE REFERENCIA DE NIVEL ATRAVES NIVELAMENTO GEOMETRICO 4 MM K.       </t>
  </si>
  <si>
    <t xml:space="preserve">TRANSPORTE DE REFERENCIA DE NIVEL ATRAVES NIVELAMENTO GEOMETRICO CLASSE IN.    </t>
  </si>
  <si>
    <t>LEV. PLANIALTIMETRICO E CADASTRAL, POLIGONAL CLASSE II PAC ESC. 1:500 ATE 1 HA.</t>
  </si>
  <si>
    <t>LEV. PLANIALTIMETRICO E CADASTRAL, POLIGONAL CLASSE II PAC ESC. 1:1000 ATE 1HA.</t>
  </si>
  <si>
    <t>LEV. PLANIALTIMETRICO E CADASTRAL, POLIGONAL CLASSE II PAC ESC. 1:500 ALEM 1HA.</t>
  </si>
  <si>
    <t>ha</t>
  </si>
  <si>
    <t xml:space="preserve">LEV. PLANIALTIMETRICO E CADASTRAL, POLIGONAL CLASSE II PAC ESC.1:1000 ALEM 1HA </t>
  </si>
  <si>
    <t xml:space="preserve">LEV. PLANIALTIMETRICO DE FAVELAS COM AREA ATE 2000 M2 C/POLIG. AUXILIAR        </t>
  </si>
  <si>
    <t xml:space="preserve">LEV. PLANIALTIMETRICO DE FAVELAS COM AREA ALEM 2000 M2 C/POLIG.AUXILIAR        </t>
  </si>
  <si>
    <t>LEV. PLANIALT. SECOES TRANSV. A PARTIR DE LINHA BASE EXISTENTE NIV. GEOMETRICO.</t>
  </si>
  <si>
    <t xml:space="preserve">LEVANT. PLANIALTIMETRICO CADASTRAL FAIXAS ATE 30M CLASSE II PAC DA NBR 13.133  </t>
  </si>
  <si>
    <t>LEVANT. PLANIALTIMETRICO CADASTRAL FAIXAS DE 30 A 60 M CLASSE II PAC NBR 13.133</t>
  </si>
  <si>
    <t xml:space="preserve">LEVANT. PLANIALTIMETRICO CADASTRAL FAIXAS ALEM 60M CLASSE II PAC DA NBR 13.133 </t>
  </si>
  <si>
    <t xml:space="preserve">MATERIALIZACAO DE LINHA BASE PROJETADA C/ ESTAQUEAMENTO DE 20 EM 20 M.         </t>
  </si>
  <si>
    <t>IMPL. E CADASTRO PLANIALT. LINHA BASE VIA EXISTENTE ESTAQUEAMENTO DE 20 EM 20 M</t>
  </si>
  <si>
    <t xml:space="preserve">CADASTRO DE PVA, PVE, BL E TL                                                  </t>
  </si>
  <si>
    <t xml:space="preserve">CADASTRO DE OBRA DE ARTE CORRENTE (GALERIA E BUEIRO) E INTERFERENCIAS          </t>
  </si>
  <si>
    <t xml:space="preserve">LEV.CAD.ESTRUT. EM CONCRETO, PONTES E VIADUTOS, DETALHADO PECAS ESTRUTURAIS    </t>
  </si>
  <si>
    <t>tramo</t>
  </si>
  <si>
    <t xml:space="preserve">CADASTRO DE PROPRIEDADE PARA DESAPROPRIACAO URBANA.                            </t>
  </si>
  <si>
    <t xml:space="preserve">CADASTRO DE PROPRIEDADE PARA DESAPROPRIACAO RURAL ATE 5000 M2.                 </t>
  </si>
  <si>
    <t xml:space="preserve">CADASTRO DE PROPRIEDADE PARA DESAPROPRIACAO RURAL ALEM 5000 M2.                </t>
  </si>
  <si>
    <t xml:space="preserve">ABERTURA DE PICADA COM LARGURA SUFICIENTE PARA LEVANTAMENTO TOPOGRAFICO.       </t>
  </si>
  <si>
    <t xml:space="preserve">LEVANTAMENTO DE SECOES TOPOBATIMETRICOS.                                       </t>
  </si>
  <si>
    <t xml:space="preserve">LEVANTAMENTO TOPOBATIMETRICO, MODO CONTINUO COM ECOBATIMETRO, POSIC.COM GPS    </t>
  </si>
  <si>
    <t xml:space="preserve">LEVANTAMENTO DE BATIMETRIA ESPECIAL                                            </t>
  </si>
  <si>
    <t>equipe.dia</t>
  </si>
  <si>
    <t>FORN. EQUIP.TOP., 1 TECN., 2 AUX., 1 NIVEL. C/ NIVEL AUT. ESTACAO TOTAL E VEIC.</t>
  </si>
  <si>
    <t>equipe.mes</t>
  </si>
  <si>
    <t xml:space="preserve">MARC.CONC. TRONCO PIR. DE 10X10CM T/ 30X30CM B/ 40CM H, PINO/CHAPA COLADA TOPO </t>
  </si>
  <si>
    <t xml:space="preserve">MOBILIZACAO / DESMOBILIZACAO - DE EQUIPE E EQUIP. DE TOPOGRAFIA A 50 E 150KM   </t>
  </si>
  <si>
    <t xml:space="preserve">MOBILIZACAO / DESMOBILIZACAO - EQUIPE E EQUIP. DE TOPOGRAFIA ENTRE 151E300KM   </t>
  </si>
  <si>
    <t xml:space="preserve">MOBILIZACAO / DESMOBILIZACAO - EQUIPE E EQUIP. TOPOGRAFIA ENTRE 301E600KM      </t>
  </si>
  <si>
    <t xml:space="preserve">MOBILIZACAO DE AERONAVE DENTRO DO ESTADO.                                      </t>
  </si>
  <si>
    <t>global</t>
  </si>
  <si>
    <t xml:space="preserve">COBERTURA FOTOGRAFICA POR AREA FOTOGRAFADA, VOO NA ESCALA 1:20.000             </t>
  </si>
  <si>
    <t xml:space="preserve">REVELACAO DE FOTOS AEREAS INCLUSIVE ARQUIVO DIGITAL E FOTOINDICE.              </t>
  </si>
  <si>
    <t xml:space="preserve">RESTITUICAO VOO AEROFOTOGRAMETRICO ESC. ATE 5X SUPERIOR AO DO VOO, ESC.1:5.000 </t>
  </si>
  <si>
    <t>ORTOFOTOCARTA VOO AEROFOTOGRAMETRICO ESC. ATE 5X SUPERIOR AO DO VOO, ESC.1:5000</t>
  </si>
  <si>
    <t>ORTOFOTOCARTA VOO AEROFOTOGRAMETRICO ESC. ATE 5X SUPERIOR AO DO VOO, ESC.1:1000</t>
  </si>
  <si>
    <t xml:space="preserve">APOIO CAMPO AEROF. DETERM. NUM. DE PONTOS P/ RESIST. EM ESC. ATE 5X MAIOR.     </t>
  </si>
  <si>
    <t>21.03.01</t>
  </si>
  <si>
    <t xml:space="preserve">REMOCAO CERCA ARAME,INCL.TRANSPORTE                                            </t>
  </si>
  <si>
    <t>21.03.02</t>
  </si>
  <si>
    <t xml:space="preserve">REMOCAO DE DEFENSA METALICA SIMPLES                                            </t>
  </si>
  <si>
    <t>21.03.03</t>
  </si>
  <si>
    <t xml:space="preserve">REMOCAO DE DEFENSA METALICA DUPLA                                              </t>
  </si>
  <si>
    <t>21.03.04</t>
  </si>
  <si>
    <t xml:space="preserve">REMOCAO DEFENSA MET.SIMPLES P/ REINST.                                         </t>
  </si>
  <si>
    <t>21.03.05</t>
  </si>
  <si>
    <t xml:space="preserve">REMOCAO DEFENSA METALICA DUPLA P/ REINST                                       </t>
  </si>
  <si>
    <t>21.03.06</t>
  </si>
  <si>
    <t xml:space="preserve">REMOCAO CANALIZACAO D&gt;=0,60M                                                   </t>
  </si>
  <si>
    <t>21.03.07</t>
  </si>
  <si>
    <t xml:space="preserve">REMOCAO CANALIZACAO D&lt;0,60M                                                    </t>
  </si>
  <si>
    <t>21.03.08</t>
  </si>
  <si>
    <t xml:space="preserve">REMOCAO E TRANSPORTE DE GUIA PRE-MOLDADA                                       </t>
  </si>
  <si>
    <t>21.03.09</t>
  </si>
  <si>
    <t xml:space="preserve">REMOCAO DE ESTACA DE EUCALIPTO                                                 </t>
  </si>
  <si>
    <t>21.03.10</t>
  </si>
  <si>
    <t xml:space="preserve">REMOCAO DE TACHA REFLETIVA                                                     </t>
  </si>
  <si>
    <t>21.03.11</t>
  </si>
  <si>
    <t xml:space="preserve">REMOCAO DE PINTURA TERMOPLÁSTICA DE VIA                                        </t>
  </si>
  <si>
    <t>21.03.11.01</t>
  </si>
  <si>
    <t xml:space="preserve">REMOCAO DE PINTURA ACRIL.  DEMARC.DE VIA POR PROCESSO MANUAL                   </t>
  </si>
  <si>
    <t xml:space="preserve">REMOCAO DE SINALIZACAO HORIZONTAL POR FRESAGEM                                 </t>
  </si>
  <si>
    <t>21.04.01</t>
  </si>
  <si>
    <t xml:space="preserve">CERCA DE ARAME FARPADO C/ 4 FIOS                                               </t>
  </si>
  <si>
    <t>21.04.02</t>
  </si>
  <si>
    <t xml:space="preserve">CERCA DE ARAME FARPADO C/ 6 FIOS                                               </t>
  </si>
  <si>
    <t>21.04.03</t>
  </si>
  <si>
    <t xml:space="preserve">CERCA ARAME FARPADO POR REAPROVEITAMENTO                                       </t>
  </si>
  <si>
    <t>21.05.02</t>
  </si>
  <si>
    <t xml:space="preserve">DEMOLICAO DE CONCRETO SIMPLES                                                  </t>
  </si>
  <si>
    <t>21.05.04</t>
  </si>
  <si>
    <t xml:space="preserve">DEMOLICAO PAV.RIG.INCL.TRANSP. ATE 1 KM                                        </t>
  </si>
  <si>
    <t>21.05.05</t>
  </si>
  <si>
    <t xml:space="preserve">DEMOLICAO DE EDIFICACAO EM ALVENARIA                                           </t>
  </si>
  <si>
    <t>21.05.06</t>
  </si>
  <si>
    <t xml:space="preserve">DEMOLICAO DE EDIFICACAO EM MADEIRA                                             </t>
  </si>
  <si>
    <t>21.05.07</t>
  </si>
  <si>
    <t xml:space="preserve">DEMOLICAO PAVIMENTOFLEXIVEL C/TRANSPORT                                        </t>
  </si>
  <si>
    <t>21.07.01</t>
  </si>
  <si>
    <t xml:space="preserve">ABERTURA DE POCO DE INSPECAO ATE 1,5M DE PROFUNDIDADE                          </t>
  </si>
  <si>
    <t>21.07.02</t>
  </si>
  <si>
    <t xml:space="preserve">ENSAIO DE UMIDADE NATURAL                                                      </t>
  </si>
  <si>
    <t>21.07.03</t>
  </si>
  <si>
    <t xml:space="preserve">ENSAIO DE DENSIDADE NATURAL                                                    </t>
  </si>
  <si>
    <t>21.07.04</t>
  </si>
  <si>
    <t xml:space="preserve">ANALISE GRANULOMETRICA POR PENEIRAMENTO E SEDIMENTACAO.                        </t>
  </si>
  <si>
    <t>21.07.05</t>
  </si>
  <si>
    <t xml:space="preserve">ENSAIO DE CBR 5 PONTOS E.N.                                                    </t>
  </si>
  <si>
    <t>21.07.06</t>
  </si>
  <si>
    <t xml:space="preserve">ENSAIO DE CBR 5 PONTOS E.I.                                                    </t>
  </si>
  <si>
    <t>21.07.07</t>
  </si>
  <si>
    <t xml:space="preserve">CLASSIFICACAO MCT (PERDA POR IMERSAO E MINI MCV).                              </t>
  </si>
  <si>
    <t>21.07.12</t>
  </si>
  <si>
    <t xml:space="preserve">CLASSIFICACAO MCT - METODO PASTILHA                                            </t>
  </si>
  <si>
    <t>21.07.13</t>
  </si>
  <si>
    <t xml:space="preserve">ENSAIO DE CBR 1 PONTO MOLDADO NA UMIDADE OTIMA DE COMPACTACAO (E.N.)           </t>
  </si>
  <si>
    <t>21.07.14</t>
  </si>
  <si>
    <t xml:space="preserve">ENSAIO DE COMPACTACAO - PROCTOR.                                               </t>
  </si>
  <si>
    <t>21.07.15</t>
  </si>
  <si>
    <t xml:space="preserve">GRANULOMETRIA POR PENEIRAMENTO SIMPLES (SEM SEDIMENTACAO).                     </t>
  </si>
  <si>
    <t xml:space="preserve">LIMPEZA DE DRENAGEM DA PLATAFORMA                                              </t>
  </si>
  <si>
    <t xml:space="preserve">LIMPEZA DE BUEIROS DIAMETRO ATE 80CM                                           </t>
  </si>
  <si>
    <t xml:space="preserve">LIMPEZA DE BUEIROS DIAMETRO ATE 100CM                                          </t>
  </si>
  <si>
    <t xml:space="preserve">LIMPEZA DE BUEIROS DIAMETRO ATE 120CM                                          </t>
  </si>
  <si>
    <t xml:space="preserve">LIMPEZA DE BUEIROS DIAMETRO ATE 150CM                                          </t>
  </si>
  <si>
    <t xml:space="preserve">LIMPEZA DE GALERIA                                                             </t>
  </si>
  <si>
    <t xml:space="preserve">DEMOLICAO E RETIRADA DE GUARDA-CORPO                                           </t>
  </si>
  <si>
    <t xml:space="preserve">LIMPEZA DE BUEIROS DIAMETRO ATE 60CM                                           </t>
  </si>
  <si>
    <t xml:space="preserve">LIMPEZA DE DRENAGEM FORA DA PLATAFORMA                                         </t>
  </si>
  <si>
    <t xml:space="preserve">LIMP.TERRENO SEM DESTOCAMENTO DE ARVORES                                       </t>
  </si>
  <si>
    <t xml:space="preserve">LIMP.TERRENO C/DEST.ARV.PERIMETRO&lt;=78CM                                        </t>
  </si>
  <si>
    <t xml:space="preserve">LIMP. MANUAL TERRENO AMONT. DE MATERIAL                                        </t>
  </si>
  <si>
    <t xml:space="preserve">DERRUBADA E DEST.ARV.C/PERIMETRO&gt;78CM                                          </t>
  </si>
  <si>
    <t xml:space="preserve">DEST.ARV.COM PERIMETRO MAIOR QUE 78CM                                          </t>
  </si>
  <si>
    <t xml:space="preserve">RASPAGEM DO TERRENO                                                            </t>
  </si>
  <si>
    <t xml:space="preserve">ESCAVACAO E CARGA DE MATERIAL DE 1/2A CATEGORIA                                </t>
  </si>
  <si>
    <t xml:space="preserve">ESCAV.CARGA MATERIAL 2 CAT.C/EXPLOSIVO                                         </t>
  </si>
  <si>
    <t xml:space="preserve">ESCAVACAO E CARGA MATERIAL  3 CATEGORIA                                        </t>
  </si>
  <si>
    <t xml:space="preserve">ESCAV.CARGA SOLO MOLE SOB LAMINA D´AGUA                                        </t>
  </si>
  <si>
    <t xml:space="preserve">CARGA DE MATERIAL LIMPEZA                                                      </t>
  </si>
  <si>
    <t xml:space="preserve">ESCAV.,CARGA E DESC.MAT.SIL-ARG.NO CORTE                                       </t>
  </si>
  <si>
    <t xml:space="preserve">AQUIS.MAT.ESPAL.CONF.ROLAGEM MAT.SIL.ARG                                       </t>
  </si>
  <si>
    <t xml:space="preserve">ESPALHAMENTO/REGULARIZACAO/COMPACTACAO DE MATERIAL EM BOTA-FORA.               </t>
  </si>
  <si>
    <t xml:space="preserve">ESCAVAÇÃO OU DESMONTE E CARGA COM EQUIPAMENTO HIDRAULICO (PICÃO)               </t>
  </si>
  <si>
    <t xml:space="preserve">TRANSPORTE DE 1/2 CATEGORIA ATE 1 KM                                           </t>
  </si>
  <si>
    <t xml:space="preserve">TRANSPORTE DE 1/2 CATEGORIA ATE 2 KM                                           </t>
  </si>
  <si>
    <t xml:space="preserve">TRANSPORTE DE 1/2 CATEGORIA ATE 5 KM                                           </t>
  </si>
  <si>
    <t xml:space="preserve">TRANSPORTE DE 1/2 CATEGORIA ATE 10 KM                                          </t>
  </si>
  <si>
    <t xml:space="preserve">TRANSPORTE DE 1/2 CATEGORIA ATE 15 KM                                          </t>
  </si>
  <si>
    <t xml:space="preserve">TRANSPORTE DE 1/2 CATEGORIA ALEM DE 15KM                                       </t>
  </si>
  <si>
    <t xml:space="preserve">TRANSPORTE DE 3 CATEGORIA ATE 1 KM                                             </t>
  </si>
  <si>
    <t xml:space="preserve">TRANSPORTE DE 3 CATEGORIA ALEM 1 KM                                            </t>
  </si>
  <si>
    <t xml:space="preserve">TRANSPORTE DE SOLO MOLE ATE 2 KM                                               </t>
  </si>
  <si>
    <t xml:space="preserve">TRANSPORTE DE SOLO MOLE ALEM 2 KM                                              </t>
  </si>
  <si>
    <t xml:space="preserve">TRANSPORTE MATERIAL DE LIMPEZA ATE 1 KM                                        </t>
  </si>
  <si>
    <t xml:space="preserve">TRANSPORTE MATERIAL DE LIMP.ALEM DE 1 KM                                       </t>
  </si>
  <si>
    <t xml:space="preserve">COMPACTACAO DE ATERRO MAIOR/IGUAL 95% PS                                       </t>
  </si>
  <si>
    <t xml:space="preserve">RETALUDAMENTO MANUAL                                                           </t>
  </si>
  <si>
    <t xml:space="preserve">FUNDACAO DE ATERRO C/AREIA LAVADA                                              </t>
  </si>
  <si>
    <t xml:space="preserve">FUNDACAO DE ATERRO C/PED.RACHAO                                                </t>
  </si>
  <si>
    <t xml:space="preserve">ESPALH.ADENS.MATERIAL DE FUND.DE ATERRO                                        </t>
  </si>
  <si>
    <t xml:space="preserve">VALETA DE PROTECAO MANUAL                                                      </t>
  </si>
  <si>
    <t xml:space="preserve">GEOGRELHA POLIETILENO RESIST. TRANSV. 5 KN/M - RESIST. LONGIT. 30 KN/M         </t>
  </si>
  <si>
    <t xml:space="preserve">GEOGRELHA POLIETILENO RESIST. TRANSV. 5 KN/M - RESIST. LONGIT. 50 KN/M         </t>
  </si>
  <si>
    <t xml:space="preserve">GEOGRELHA POLIETILENO RESIST. TRANSV. 5 KN/M - RESIST. LONGIT. 80 KN/M         </t>
  </si>
  <si>
    <t xml:space="preserve">GEOGRELHA POLIETILENO RESIST. TRANSV. 5 KN/M - RESIST. LONGIT. 100 KN/M        </t>
  </si>
  <si>
    <t xml:space="preserve">GEOGRELHA POLIETILENO RESIST. TRANSV. 5 KN/M - RESIST. LONGIT. 150 KN/M        </t>
  </si>
  <si>
    <t xml:space="preserve">GEOGRELHA POLIETILENO RESIST. TRANSV. 5 KN/M - RESIST. LONGIT. 200 KN/M        </t>
  </si>
  <si>
    <t xml:space="preserve">GEOGRELHA POLIETILENO RESIST. TRANSV. 15 KN/M - RESIST. LONGIT. 30 KN/M        </t>
  </si>
  <si>
    <t xml:space="preserve">GEOGRELHA POLIETILENO RESIST. TRANSV. 15 KN/M - RESIST. LONGIT. 50 KN/M        </t>
  </si>
  <si>
    <t xml:space="preserve">GEOGRELHA POLIETILENO RESIST. TRANSV. 15 KN/M - RESIST. LONGIT. 80 KN/M.       </t>
  </si>
  <si>
    <t xml:space="preserve">GEOGRELHA POLIETILENO RESIST. TRANSV. 15 KN/M - RESIST. LONGIT. 100 KN/M.      </t>
  </si>
  <si>
    <t xml:space="preserve">GEOGRELHA POLIETILENO RESIST. TRANSV. 15 KN/M - RESIST. LONGIT. 150 KN/M.      </t>
  </si>
  <si>
    <t xml:space="preserve">GEOGRELHA POLIETILENO RESIST. TRANSV. 15 KN/M - RESIST. LONGIT. 200 KN/M.      </t>
  </si>
  <si>
    <t xml:space="preserve">GEOGRELHA POLIETILENO RESIST. TRANSV. 20 KN/M - RESIST. LONGIT. 30 KN/M.       </t>
  </si>
  <si>
    <t xml:space="preserve">GEOGRELHA POLIETILENO RESIST. TRANSV. 20 KN/M - RESIST. LONGIT. 50 KN/M.       </t>
  </si>
  <si>
    <t xml:space="preserve">GEOGRELHA POLIETILENO RESIST. TRANSV. 20 KN/M - RESIST. LONGIT. 80 KN/M.       </t>
  </si>
  <si>
    <t xml:space="preserve">GEOGRELHA POLIETILENO RESIST. TRANSV. 20 KN/M - RESIST. LONGIT. 100 KN/M.      </t>
  </si>
  <si>
    <t xml:space="preserve">GEOGRELHA POLIETILENO RESIST. TRANSV. 20 KN/M - RESIST. LONGIT. 150 KN/M.      </t>
  </si>
  <si>
    <t xml:space="preserve">GEOGRELHA POLIETILENO RESIST. TRANSV. 20 KN/M - RESIST. LONGIT. 200 KN/M.      </t>
  </si>
  <si>
    <t xml:space="preserve">GEOGRELHA POLIETILENO RESIST. TRANSV. 30 KN/M - RESIST. LONGIT. 30 KN/M.       </t>
  </si>
  <si>
    <t xml:space="preserve">GEOGRELHA POLIETILENO RESIST. TRANSV. 30 KN/M - RESIST. LONGIT. 50 KN/M.       </t>
  </si>
  <si>
    <t xml:space="preserve">GEOGRELHA POLIETILENO RESIST. TRANSV. 30 KN/M - RESIST. LONGIT. 80 KN/M.       </t>
  </si>
  <si>
    <t xml:space="preserve">GEOGRELHA POLIETILENO RESIST. TRANSV. 30 KN/M - RESIST. LONGIT. 100 KN/M.      </t>
  </si>
  <si>
    <t xml:space="preserve">GEOGRELHA POLIETILENO RESIST. TRANSV. 30 KN/M - RESIST. LONGIT. 150 KN/M.      </t>
  </si>
  <si>
    <t xml:space="preserve">GEOGRELHA POLIETILENO RESIST. TRANSV. 30 KN/M - RESIST. LONGIT. 200 KN/M.      </t>
  </si>
  <si>
    <t xml:space="preserve">GEOGRELHA POLIETILENO RESIST. TRANSV. 50 KN/M - RESIST. LONGIT. 50 KN/M        </t>
  </si>
  <si>
    <t xml:space="preserve">GEOGRELHA POLIETILENO RESIST. TRANSV. 50 KN/M - RESIST. LONGIT. 80 KN/M        </t>
  </si>
  <si>
    <t xml:space="preserve">GEOGRELHA POLIETILENO RESIST. TRANSV. 50 KN/M - RESIST. LONGIT. 100 KN/M       </t>
  </si>
  <si>
    <t xml:space="preserve">GEOGRELHA POLIETILENO RESIST. TRANSV. 50 KN/M - RESIST. LONGIT. 150 KN/M       </t>
  </si>
  <si>
    <t xml:space="preserve">GEOGRELHA POLIETILENO RESIST. TRANSV. 50 KN/M - RESIST. LONGIT. 200 KN/M       </t>
  </si>
  <si>
    <t xml:space="preserve">GEOGRELHA POLIETILENO RESIST. TRANSV. 100 KN/M - RESIST. LONGIT. 100 KN/M      </t>
  </si>
  <si>
    <t xml:space="preserve">GEOGRELHA POLIETILENO RESIST. TRANSV. 100 KN/M - RESIST. LONGIT. 150 KN/M      </t>
  </si>
  <si>
    <t xml:space="preserve">GEOGRELHA POLIETILENO RESIST. TRANSV. 100 KN/M - RESIST. LONGIT. 200 KN/M      </t>
  </si>
  <si>
    <t xml:space="preserve">GEOGRELHA POLIETILENO RESIST. TRANSV. 150 KN/M - RESIST. LONGIT. 150 KN/M      </t>
  </si>
  <si>
    <t xml:space="preserve">GEOGRELHA POLIETILENO RESIST. TRANSV. 150 KN/M - RESIST. LONGIT. 200 KN/M      </t>
  </si>
  <si>
    <t xml:space="preserve">GEOGRELHA POLIETILENO RESIST. TRANSV. 200 KN/M - RESIST. LONGIT. 200 KN/M.     </t>
  </si>
  <si>
    <t xml:space="preserve">GEOGRELHA PVC RESIST. TRANSV. 20 KN/M - RESIST. LONGIT. 40 KN/M.               </t>
  </si>
  <si>
    <t xml:space="preserve">GEOGRELHA PVC RESIST. TRANSV. 20 KN/M - RESIST. LONGIT. 60 KN/M.               </t>
  </si>
  <si>
    <t xml:space="preserve">GEOGRELHA PVC RESIST. TRANSV. 20 KN/M - RESIST. LONGIT. 90 KN/M.               </t>
  </si>
  <si>
    <t xml:space="preserve">GEOGRELHA PVC RESIST. TRANSV. 20 KN/M - RESIST. LONGIT. 120 KN/M.              </t>
  </si>
  <si>
    <t xml:space="preserve">GEOGRELHA PVC RESIST. TRANSV. 30 KN/M - RESIST. LONGIT. 40 KN/M.               </t>
  </si>
  <si>
    <t xml:space="preserve">GEOGRELHA PVC RESIST. TRANSV. 30 KN/M - RESIST. LONGIT. 60 KN/M.               </t>
  </si>
  <si>
    <t xml:space="preserve">GEOGRELHA PVC RESIST. TRANSV. 30 KN/M - RESIST. LONGIT. 90 KN/M.               </t>
  </si>
  <si>
    <t xml:space="preserve">GEOGRELHA PVC RESIST. TRANSV. 30 KN/M - RESIST. LONGIT. 120 KN/M.              </t>
  </si>
  <si>
    <t xml:space="preserve">MELH/PREPARO SUB-LEITO - 100% EN                                               </t>
  </si>
  <si>
    <t xml:space="preserve">MELH/PREPARO SUB-LEITO - 100% EI                                               </t>
  </si>
  <si>
    <t xml:space="preserve">REFORCO SUB-LEITO ESCAV. SOLO ESCOLHIDO                                        </t>
  </si>
  <si>
    <t xml:space="preserve">REFORCO DO SUB-LEITO - TRANSPORTE ATE 1 KM                                     </t>
  </si>
  <si>
    <t xml:space="preserve">REFORCO DO SUB-LEITO - TRANSPORTE ATE 2 KM                                     </t>
  </si>
  <si>
    <t xml:space="preserve">REFORCO DO SUB-LEITO - TRANSPORTE ATE 5KM                                      </t>
  </si>
  <si>
    <t xml:space="preserve">REFORCO DE SUB-LEITO - TRANSPORTE ATE 10 KM                                    </t>
  </si>
  <si>
    <t xml:space="preserve">REFORCO DO SUB-LEITO - TRANSPORTE ATE 15 KM                                    </t>
  </si>
  <si>
    <t xml:space="preserve">REFORCO DOE SUB-LEITO - TRANSPORTE + 15KM                                      </t>
  </si>
  <si>
    <t xml:space="preserve">REFORCO DE SUB-LEITO COMPACTACAO 100% EI                                       </t>
  </si>
  <si>
    <t xml:space="preserve">REFORCO DE SUB-LEITO COMPACT 100% EN                                           </t>
  </si>
  <si>
    <t xml:space="preserve">SUB-BASE OU BASE DE SOLO CIM.3%-USINA COM TRANSP.JAZIDA ATE LOCAL APLICACAO    </t>
  </si>
  <si>
    <t xml:space="preserve">SUB BASE OU BASE SOLO CIM.4%-USINA COM TRANSP.JAZIDA ATE LOCAL APLICACAO       </t>
  </si>
  <si>
    <t xml:space="preserve">SUB BASE OU BASE SOLO CIM.5%-USINA COM TRANSP.JAZIDA ATE LOCAL APLICACAO       </t>
  </si>
  <si>
    <t xml:space="preserve">SUB BASE OU BASE SOLO CIM.6%-USINA COM TRANSP. JAZIDA ATE LOCAL APLICACAO      </t>
  </si>
  <si>
    <t xml:space="preserve">SUB BASE OU BASE SOLO CIM.7%-SINA COM TRANSP.JAZIDA ATE LOCAL APLICACAO        </t>
  </si>
  <si>
    <t xml:space="preserve">SUB BASE OU BASE SOLO CIM.8%-USINA COM TRANSP.JAZIDA ATE LOCAL APLICACAO       </t>
  </si>
  <si>
    <t xml:space="preserve">SUB BASE OU BASE SOLO CIM.9%-USINA COM TRANSP.JAZIDA ATE LOCAL APLICACAO       </t>
  </si>
  <si>
    <t xml:space="preserve">SUB BASE OU BASE SOLO CIM.10%-USINA COM TRANSP.JAZIDA ATE LOCAL APLICACAO      </t>
  </si>
  <si>
    <t xml:space="preserve">SUB BASE OU BASE SOLO CIM.11%-USINA COM TRANSP.JAZIDA ATE LOCAL APLICACAO      </t>
  </si>
  <si>
    <t xml:space="preserve">SUB BASE OU BASE SOLO CIM.12%-USINA COM TRANSP.JAZIDA ATE LOCAL APLICACAO      </t>
  </si>
  <si>
    <t xml:space="preserve">SUB BASE OU BASE SOLO CIM.3%-PULVEMIST.-COM TRANSP.JAZIDA ATE LOCAL APLICACAO  </t>
  </si>
  <si>
    <t xml:space="preserve">SUB BASE OU BASE SOLO CIM.4%-PULVEMIST.-COM TRANSP.JAZIDA ATE LOCAL APLICACAO  </t>
  </si>
  <si>
    <t xml:space="preserve">SUB BASE OU BASE SOLO CIM.5%-PULVEMIST.-COM TRANSP.JAZIDA ATE LOCAL APLICACAO  </t>
  </si>
  <si>
    <t xml:space="preserve">SUB BASE OU BASE SOLO CIM.6%-PULVEMIST.-COM TRANSP.JAZIDA ATE LOCAL APLICACAO  </t>
  </si>
  <si>
    <t xml:space="preserve">SUB BASE OU BASE SOLO CIM.7%-PULVEMIST.-COM TRANSP.JAZIDA ATE LOCAL APLICACAO  </t>
  </si>
  <si>
    <t xml:space="preserve">SUB BASE OU BASE SOLO CIM.8%-PULVEMIST.-COM TRANSP.JAZIDA ATE LOCAL APLICACAO  </t>
  </si>
  <si>
    <t xml:space="preserve">SUB BASE OU BASE SOLO CIM.9%-PULVEMIST.-COM TRANSP.JAZIDA ATE LOCAL APLICACAO  </t>
  </si>
  <si>
    <t xml:space="preserve">SUB BASE OU BASE SOLO CIM.10%-PULVEMIST.-COM TRANSP.JAZIDA ATE LOCAL APLICACAO </t>
  </si>
  <si>
    <t xml:space="preserve">SUB BASE OU BASE SOLO CIM.11%-PULVEMIST.-COM TRANSP.JAZIDA ATE LOCAL APLICACAO </t>
  </si>
  <si>
    <t xml:space="preserve">SUB BASE OU BASE SOLO CIM.12%-PULVEMIST.-COM TRANSP.JAZIDA ATE LOCAL APLICACAO </t>
  </si>
  <si>
    <t xml:space="preserve">SUB BASE OU BASE SOLO CAL 4% - COM TRANSP.JAZIDA ATE LOCAL APLICACAO           </t>
  </si>
  <si>
    <t xml:space="preserve">SUB BASE OU BASE SOLO BRITA C/CIM.3% COM TRANSP. JAZIDA ATE LOCAL APLICAÇÃO    </t>
  </si>
  <si>
    <t xml:space="preserve">SUB BASE OU BASE SOLO BRITA C/CIM.4% COM TRANSP. JAZIDA ATE LOCAL DE APLICAÇÃO </t>
  </si>
  <si>
    <t>SUB BASE OU BASE SOLO BRITA C/CIM.5% COM TRANSP.JAZIDA ATE O LOCAL DE APLICAÇÃO</t>
  </si>
  <si>
    <t xml:space="preserve">SUB BASE OU BASE SOLO BRITA C/CIM.6% COM TRANSP.DA JAZIDA ATE LOCAL APLICAÇÃO  </t>
  </si>
  <si>
    <t xml:space="preserve">SUB BASE OU BASE DE SOLO BRITA 50% BRITA COM TRANSP.JAZIDA ATE LOCAL APLICAÇÃO </t>
  </si>
  <si>
    <t xml:space="preserve">SUB BASE OU BASE DE SOLO LATERITICO-BRITA 50% BRITA C/TRANSP.JAZIDA ATE APLIC. </t>
  </si>
  <si>
    <t xml:space="preserve">SUB BASE OU BASE DE SOLO BRITA 60% BRITA COM TRANSP.JAZIDA ATE LOCAL APLICAÇÃO </t>
  </si>
  <si>
    <t xml:space="preserve">SUB BASE OU BASE DE SOLO BRITA 70% BRITA COM TRANSP.JAZIDA ATE LOCAL APLICAÇÃO </t>
  </si>
  <si>
    <t xml:space="preserve">SUB BASE OU BASE DE SOLO BRITA 80% BRITA COM TRANSP.JAZIDA ATE LOCAL APLICAÇÃO </t>
  </si>
  <si>
    <t xml:space="preserve">SUB BASE OU BASE DE SOLO BRITA 90% BRITA COM TRANSP.JAZIDA ATE LOCAL APLICAÇÃO </t>
  </si>
  <si>
    <t xml:space="preserve">SUB-BASE OU BASE BRITA GRAD. SIMPLES                                           </t>
  </si>
  <si>
    <t xml:space="preserve">SUB-BASE OU BASE DE PEDRA BRITADA                                              </t>
  </si>
  <si>
    <t xml:space="preserve">SUB-BASE OU BASE DE BICA CORRIDA                                               </t>
  </si>
  <si>
    <t xml:space="preserve">SUB-BASE OU BASE DE PEDRA RACHAO, CONF. ET-POO/042 (DERSA)                     </t>
  </si>
  <si>
    <t xml:space="preserve">SUB-BASE OU BASE BRITA GRAD. C/CIM 1%VOL                                       </t>
  </si>
  <si>
    <t xml:space="preserve">SUB-BASE OU BASE BRITA GRA. C/CIM 2%VOL                                        </t>
  </si>
  <si>
    <t xml:space="preserve">SUB-BASE OU BASE BRITA GRAD. C/CIM 3%VOL                                       </t>
  </si>
  <si>
    <t xml:space="preserve">SUB-BASE OU BASE BRITA GRAD. C/CIM 4%VOL                                       </t>
  </si>
  <si>
    <t xml:space="preserve">SUB-BASE OU BASE BRITA GRAD. C/CIM 5%                                          </t>
  </si>
  <si>
    <t xml:space="preserve">SUB-BASE OU BASE ESTABILIZADA GRANULOMETRICAMENTE                              </t>
  </si>
  <si>
    <t xml:space="preserve">SUB-BASE OU BASE MACADAME HIDRAULICO                                           </t>
  </si>
  <si>
    <t xml:space="preserve">SUB-BASE OU BASE MACADAME BETUMINOSO                                           </t>
  </si>
  <si>
    <t xml:space="preserve">SUB-BASE OU BASE DE MACADAME SECO                                              </t>
  </si>
  <si>
    <t xml:space="preserve">SUB-BASE OU BASE SOLO AREN. FINO 95% PI                                        </t>
  </si>
  <si>
    <t xml:space="preserve">BASE SOLO ESTABILIZADO QUIMICAMENTE PARA SOLO ARENOSO                          </t>
  </si>
  <si>
    <t xml:space="preserve">IMPRIMADURA BETUMINOSA IMPERMEABILIZANTE                                       </t>
  </si>
  <si>
    <t xml:space="preserve">IMPRIMADURA BETUMINOSA IMPERMEABILIZANTE (SEM MATERIAIS ASFALTICOS)            </t>
  </si>
  <si>
    <t xml:space="preserve">IMPRIMADURA BETUMINOSA LIGANTE                                                 </t>
  </si>
  <si>
    <t xml:space="preserve">IMPRIMADURABETUMINOSA LIGANTE (SEM MATERIAIS ASFALTICOS)                       </t>
  </si>
  <si>
    <t xml:space="preserve">IMPRIMADURA BET. AUXILIAR DE LIGACAO                                           </t>
  </si>
  <si>
    <t xml:space="preserve">IMPRIM. BET. LIGANTE MODIF. POLIMERO                                           </t>
  </si>
  <si>
    <t xml:space="preserve">TRATAMENTO SUPERFICIAL SIMPLES                                                 </t>
  </si>
  <si>
    <t xml:space="preserve">TRATAMENTO SUPERFICIAL DUPLO                                                   </t>
  </si>
  <si>
    <t xml:space="preserve">TRATAMENTO SUPERFICIAL TRIPLO                                                  </t>
  </si>
  <si>
    <t xml:space="preserve">MICROREVESTIMENTO C/POLIMERO COM FIBRA À FRIO (MCAF)                           </t>
  </si>
  <si>
    <t xml:space="preserve">MICROREVESTIMENTO COM POLIMERO SEM FIBRA A FRIO (MCAF)                         </t>
  </si>
  <si>
    <t xml:space="preserve">MICROREVESTIMENTO ASFALTICO A FRIO COM POLIMERO COM FIBRA                      </t>
  </si>
  <si>
    <t xml:space="preserve">MICROREVESTIMENTO ASFALTICO A FRIO COM POLIMERO SEM FIBRA                      </t>
  </si>
  <si>
    <t xml:space="preserve">TRATAMENTO SUPERF. C/ LAMA ASFALTICA                                           </t>
  </si>
  <si>
    <t xml:space="preserve">TRAT.SUP.CAM. LAMA ASFALTICA GROSSA                                            </t>
  </si>
  <si>
    <t xml:space="preserve">TRATAMENTO SUPERFICIAL SIMPLES MODIFICADO POR POLIMEROS                        </t>
  </si>
  <si>
    <t xml:space="preserve">TRATAMENTO SUPERFICIAL DUPLO MODIFICADO POR POLIMEROS                          </t>
  </si>
  <si>
    <t xml:space="preserve">TRATAMENTO SUPERFICIAL TRIPLO MODIFICADO POR POLIMEROS                         </t>
  </si>
  <si>
    <t xml:space="preserve">PRE-MISTURADO A FRIO                                                           </t>
  </si>
  <si>
    <t xml:space="preserve">CAMADA BASE PRE-MISTURADO A FRIO (SEM MATERIAIS ASFALTICOS)                    </t>
  </si>
  <si>
    <t xml:space="preserve">APLICACAO CAMADA DE PRE-MISTURADO A FRIO COM TRANSPORTE (EXCLUSO MATERIAL)     </t>
  </si>
  <si>
    <t xml:space="preserve">CONC.ASF.US.QUENTE - BINDER GRAD.A C/DOP                                       </t>
  </si>
  <si>
    <t xml:space="preserve">CONC.ASF.US.QUENTE - BINDER GRAD.A S/DOP                                       </t>
  </si>
  <si>
    <t xml:space="preserve">CONC.ASF.US.QUENTE - BINDER GRAD.B C/DOP                                       </t>
  </si>
  <si>
    <t xml:space="preserve">CONC.ASF.US.QUENTE - BINDER GRAD.B S/DOP                                       </t>
  </si>
  <si>
    <t xml:space="preserve">CONCRETO ASFALTICO GRADUACAO I                                                 </t>
  </si>
  <si>
    <t xml:space="preserve">CAMADA ROLAMENTO-CBUQ GRADUACAO C-S/DOP                                        </t>
  </si>
  <si>
    <t xml:space="preserve">CAMADA ROLAMENTO - CBUQ - GRAD.C - COM DOP                                     </t>
  </si>
  <si>
    <t xml:space="preserve">CAMADA DE ROLAMENTO - CBUQ - GRAD. D - SEM DOP                                 </t>
  </si>
  <si>
    <t xml:space="preserve">CAMADA ROLANTE CBUQ - GRAD. D - COM DOP                                        </t>
  </si>
  <si>
    <t xml:space="preserve">CAMADA DE ROLAMENTO CBUQ - GRADUACAO D, MODIFICADA POR POLIMERO                </t>
  </si>
  <si>
    <t xml:space="preserve">CONC. ASF. MODIFICADO P/POLIMERO                                               </t>
  </si>
  <si>
    <t xml:space="preserve">CONCRETO ASFALTICO MODIFICADO POR POLIMERO - GRAD. II                          </t>
  </si>
  <si>
    <t xml:space="preserve">CONCRETO ASFALTICO MODIFICADO COM 15% EM PESO DE BORRACHA (CONTINUO)           </t>
  </si>
  <si>
    <t xml:space="preserve">CONCRETO ASFALTICO COM ASFALTO-BORRACHA, GRADUACAO IV                          </t>
  </si>
  <si>
    <t xml:space="preserve">CONCRETO ASFALTO BORRACHA MORNO COM 15% DE BORRACHA.                           </t>
  </si>
  <si>
    <t xml:space="preserve">CONCRETO ASFALTO BORRACHA GRAD. IV, MORNO COM 15% BORRACHA                     </t>
  </si>
  <si>
    <t xml:space="preserve">CAPA SELANTE TIPO 2                                                            </t>
  </si>
  <si>
    <t xml:space="preserve">CAPA SELANTE TIPO 3                                                            </t>
  </si>
  <si>
    <t xml:space="preserve">FRESAGEM CONTINUA DE PAV., INDEPENDENTE DA ESPESSURA                           </t>
  </si>
  <si>
    <t xml:space="preserve">PAVIMENTO DE CONCRETO - APLICACAO COM FORMAS DESLIZANTES                       </t>
  </si>
  <si>
    <t xml:space="preserve">PAVIMENTO DE CONCRETO SOBRE OBRA DE ARTE ESPECIAL-MANUAL.                      </t>
  </si>
  <si>
    <t xml:space="preserve">PAVIMENTO DE CONCRETO SOBRE OBRA DE ARTE ESPECIAL-MECANICO(PP-DE-P00/010)      </t>
  </si>
  <si>
    <t xml:space="preserve">PAVIMENTO DE CONCRETO POBRE PARA BASE DE PAVIMENTO RIGIDO.                     </t>
  </si>
  <si>
    <t xml:space="preserve">PAVIMENTO CONCRETO INTERTRAVADO - E=6CM                                        </t>
  </si>
  <si>
    <t xml:space="preserve">PAVIMENTO CONCRETO INTERTRAVADO - E=8CM                                        </t>
  </si>
  <si>
    <t xml:space="preserve">PAV CONCRETO INTERTRAVADO - E=10CM                                             </t>
  </si>
  <si>
    <t xml:space="preserve">RECICLAGEM CAPA/BASE COM ADICAO DE 4% DE CIMENTO                               </t>
  </si>
  <si>
    <t xml:space="preserve">RECICLAGEM DE PAVIMENTO COM ADICAO DE 30% DE BRITA E 4% DE CIMENTO             </t>
  </si>
  <si>
    <t xml:space="preserve">RECICLAGEM DE PAVIMENTO COM ADICAO DE 20% DE BRITA E 4% DE CIMENTO             </t>
  </si>
  <si>
    <t xml:space="preserve">RECICLAGEM DE PAVIMENTO COM ADICAO DE 20% DE BRITA E 6% DE CIMENTO             </t>
  </si>
  <si>
    <t xml:space="preserve">RECICLAGEM DE PAVIMENTO COM ADICAO DE 20% BRITA.                               </t>
  </si>
  <si>
    <t xml:space="preserve">RECICLAGEM DE PAVIMENTO COM ADICAO DE 30% DE BRITA                             </t>
  </si>
  <si>
    <t xml:space="preserve">REUTILIZACAO DE PAVIMENTO RECICLADO COM ADICAO DE 25% DE BRITA 1 EM PESO       </t>
  </si>
  <si>
    <t xml:space="preserve">REMOCAO, PULVERIZACAO, CARGA E TRANSPORTE (5KM) DE PAVIMENTO FLEXIVEL          </t>
  </si>
  <si>
    <t>RECICLA.IN SITU A FRIO COM ESPUL.DE ASFAL.E REVEST.ASFALT.A BASE C/ADIÇ DE CIM.</t>
  </si>
  <si>
    <t xml:space="preserve">RECICLAGEM EM USINA A FRIO COM ESPUMA ASFÁLTICA.                               </t>
  </si>
  <si>
    <t xml:space="preserve">ATERRO DE ACESSO                                                               </t>
  </si>
  <si>
    <t xml:space="preserve">ESCAVACAO MANUAL PARA OBRAS S/ EXPLOSIVO                                       </t>
  </si>
  <si>
    <t xml:space="preserve">ESCAVACAO MECANICA P/ OBRAS S/EXPLOSIVO                                        </t>
  </si>
  <si>
    <t xml:space="preserve">ESCAVACAO MECANICA P/ OBRAS C/EXPLOSIVO                                        </t>
  </si>
  <si>
    <t xml:space="preserve">CORTA-RIO ESCAVACAO SEM EXPLOSIVO                                              </t>
  </si>
  <si>
    <t xml:space="preserve">CORTA-RIO ESCAVACAO COM EXPLOSIVO                                              </t>
  </si>
  <si>
    <t xml:space="preserve">ESCAV.FUND.BUEIRO OU DRENO S/EXPL.ATE 2M                                       </t>
  </si>
  <si>
    <t xml:space="preserve">ACRESC.P/ESCAV.1,5M PROFUNDIDADE,ALEM 2M                                       </t>
  </si>
  <si>
    <t xml:space="preserve">ESCAV.FUND.BUEIRO OU DRENO C/EXPL.ATE 2M                                       </t>
  </si>
  <si>
    <t xml:space="preserve">ACRESC.ESC.ENS.EXPL.C/1,5M PROF.ALEM 2M                                        </t>
  </si>
  <si>
    <t xml:space="preserve">ESCAV.FUND.DENTRO ENSEC.SEM EXPL. ATE 3M                                       </t>
  </si>
  <si>
    <t xml:space="preserve">ACR.P/ESCAV.ENSEC.P/CADA 1M  PROF.ALEM3M                                       </t>
  </si>
  <si>
    <t xml:space="preserve">ESCAV.FUND.DENTRO ENSEC.C/EXPL.ATE 3M                                          </t>
  </si>
  <si>
    <t xml:space="preserve">ACRESC.P/ESC.ENSEC.C/EXPL.C/1,5M ALEM 3M                                       </t>
  </si>
  <si>
    <t xml:space="preserve">PAREDE ENSECADEIRA COM PRANCHA-ESP.0,05M                                       </t>
  </si>
  <si>
    <t xml:space="preserve">PAREDE ENSECADEIRA C/PRANCHA-ESP.0,075M                                        </t>
  </si>
  <si>
    <t xml:space="preserve">PAREDE ENSECADEIRA COM PERFIL METALICO                                         </t>
  </si>
  <si>
    <t xml:space="preserve">ARGILA ENCH.ENSECADEIRA,INCL.APILOAMENTO                                       </t>
  </si>
  <si>
    <t xml:space="preserve">ESGOTAMENTO CONTINUO AGUA                                                      </t>
  </si>
  <si>
    <t xml:space="preserve">ESCORAMENTO DE VALAS/CAVAS P/FUND.CONT.                                        </t>
  </si>
  <si>
    <t xml:space="preserve">ESCORAMENTO DE VALAS/CAVAS P/FUND.DESC.                                        </t>
  </si>
  <si>
    <t xml:space="preserve">ESCORAMENTO PARA FORMAS                                                        </t>
  </si>
  <si>
    <t xml:space="preserve">CIMB.DE PASSAGEM SECUND. E GALERIA RET.                                        </t>
  </si>
  <si>
    <t xml:space="preserve">CIMBRAMENTO DE GALERIA EM ABOBODA                                              </t>
  </si>
  <si>
    <t xml:space="preserve">ANDAIME DE MADEIRA                                                             </t>
  </si>
  <si>
    <t xml:space="preserve">ANDAIME TUBULAR                                                                </t>
  </si>
  <si>
    <t xml:space="preserve">FORMA PLANA PARA CONCRETO COMUM                                                </t>
  </si>
  <si>
    <t xml:space="preserve">FORMA PLANA PARA CONCRETO APARENTE                                             </t>
  </si>
  <si>
    <t xml:space="preserve">BARRA DE ACO CA-25                                                             </t>
  </si>
  <si>
    <t xml:space="preserve">BARRA DE ACO CA-50                                                             </t>
  </si>
  <si>
    <t xml:space="preserve">BARRA DE ACO CA-60                                                             </t>
  </si>
  <si>
    <t xml:space="preserve">TELA METALICA                                                                  </t>
  </si>
  <si>
    <t xml:space="preserve">CONCRETO FCK 10 MPA                                                            </t>
  </si>
  <si>
    <t xml:space="preserve">CONCRETO FCK 15 MPA                                                            </t>
  </si>
  <si>
    <t xml:space="preserve">CONCRETO FCK 18 MPA                                                            </t>
  </si>
  <si>
    <t xml:space="preserve">CONCRETO FCK 20 MPA                                                            </t>
  </si>
  <si>
    <t xml:space="preserve">CONCRETO FCK 25 MPA                                                            </t>
  </si>
  <si>
    <t xml:space="preserve">CONCRETO FCK 30 MPA                                                            </t>
  </si>
  <si>
    <t xml:space="preserve">CONCRETO CICLOPICO                                                             </t>
  </si>
  <si>
    <t xml:space="preserve">BOMBEAMENTO P/ CONCRETO QUALQUER RESIST.                                       </t>
  </si>
  <si>
    <t xml:space="preserve">CONCRETO FCK 35 MPA                                                            </t>
  </si>
  <si>
    <t xml:space="preserve">CONCRETO FCK 40 MPA                                                            </t>
  </si>
  <si>
    <t xml:space="preserve">CONCRETO FCK 45 MPA                                                            </t>
  </si>
  <si>
    <t xml:space="preserve"> CONCRETO FCK 50 MPA                                                           </t>
  </si>
  <si>
    <t xml:space="preserve">JUNTA ELASTICA EM PVC TIPO O-12                                                </t>
  </si>
  <si>
    <t xml:space="preserve">JUNTA ELASTICA EM PVC TIPO O-22                                                </t>
  </si>
  <si>
    <t xml:space="preserve">ENROCAMENTO PEDRA ARRUMADA                                                     </t>
  </si>
  <si>
    <t xml:space="preserve">ENROCAMENTO PEDRA ARRUMADA E REJUNTADA                                         </t>
  </si>
  <si>
    <t xml:space="preserve">ENROCAMENTO PEDRA JOGADA                                                       </t>
  </si>
  <si>
    <t xml:space="preserve">GABIAO TIPO CAIXA,ZN90/AL10,NBR 8964,H= 0,50 M                                 </t>
  </si>
  <si>
    <t>GABIAO TIPO CAIXA,ZN90/AL10,NBR 8964,H=0,50 M REVEST.POLI.ABRASAO MENOR QUE 12%</t>
  </si>
  <si>
    <t>GABIAO TIPO CAIXA,ZN90/AL10,NBR 8964,H=0,50 M REVEST.POLI.ABRASAO MENOR QUE 09%</t>
  </si>
  <si>
    <t>GABIAO TIPO CAIXA,ZN90/AL10,NBR 8964,H=1,00 M REVEST.POLI.ABRASAO MENOR QUE 12%</t>
  </si>
  <si>
    <t>GABIAO TIPO CAIXA,ZN90/AL10,NBR 8964,H=1,00 M REVEST.POLI.ABRASAO MENOR QUE 09%</t>
  </si>
  <si>
    <t xml:space="preserve">GABIAO TIPO CAIXA,ZN90/AL10,NBR 8964,H= 1,00 M                                 </t>
  </si>
  <si>
    <t xml:space="preserve">GABIAO TP.COLCHAO,ZN90/AL10,NBR 8964,ESP.17CM,REVEST.POLIM.ABRAS.MENOR QUE 09% </t>
  </si>
  <si>
    <t xml:space="preserve">GABIAO TP.COLCHAO,ZN90/AL10,NBR 8964,ESP.17CM,REVEST.POLIM.ABRAS.MENOR QUE 12% </t>
  </si>
  <si>
    <t xml:space="preserve">GABIAO TP.COLCHAO,ZN90/AL10,NBR 8964,ESP.23CM,REVEST.POLIM.ABRAS.MENOR QUE 09% </t>
  </si>
  <si>
    <t xml:space="preserve">GABIAO TP.COLCHAO,ZN90/AL10,NBR 8964,ESP.23CM,REVEST.POLIM.ABRAS.MENOR QUE 12% </t>
  </si>
  <si>
    <t xml:space="preserve">GABIAO TP.COLCHAO,ZN90/AL10,NBR 8964,ESP.30CM,REVEST.POLIM.ABRAS.MENOR QUE 09% </t>
  </si>
  <si>
    <t xml:space="preserve">GABIAO TP.COLCHAO,ZN90/AL10,NBR 8964,ESP.30CM,REVEST.POLIM.ABRAS.MENOR QUE 12% </t>
  </si>
  <si>
    <t xml:space="preserve">GABIAO TIPO SACO,ZN90/AL10,NBR 8964,REVESTIMEN.POLIMERO,ABRASAO MENOR QUE 09%  </t>
  </si>
  <si>
    <t xml:space="preserve">GABIAO TIPO SACO,ZN90/AL10,NBR 8964,REVESTIMEN.POLIMERO,ABRASAO MENOR QUE 12%  </t>
  </si>
  <si>
    <t xml:space="preserve">CAMADA FILTRANTE PEDRA BRITADA                                                 </t>
  </si>
  <si>
    <t xml:space="preserve">CALCAMENTO CONCRETO FCK 15 MPA                                                 </t>
  </si>
  <si>
    <t xml:space="preserve">CALCAMENTO CONCRETO FCK 10 MPA                                                 </t>
  </si>
  <si>
    <t xml:space="preserve">ALVENARIA TIJOLO                                                               </t>
  </si>
  <si>
    <t xml:space="preserve">ALVENARIA DE PEDRA SECA                                                        </t>
  </si>
  <si>
    <t xml:space="preserve">ALVENARIA DE PEDRA ARGAMASSADA                                                 </t>
  </si>
  <si>
    <t xml:space="preserve">ALVENARIA DE BLOCO DE CONCRETO                                                 </t>
  </si>
  <si>
    <t xml:space="preserve">ARGAM.DE CIMENTO E AREIA TRACO 1:3 E=2CM                                       </t>
  </si>
  <si>
    <t xml:space="preserve">ENCHIMENTO DE VALA COM PEDRA BRITADA 1E2                                       </t>
  </si>
  <si>
    <t xml:space="preserve">ENCHIMENTO DE VALA COM PEDRA BRITADA 3E4                                       </t>
  </si>
  <si>
    <t xml:space="preserve">ENCHIMENTO DE VALA COM BICA CORRIDA                                            </t>
  </si>
  <si>
    <t xml:space="preserve">ENCHIMENTO DE VALA COM AREIA                                                   </t>
  </si>
  <si>
    <t xml:space="preserve">ENCHIMENTO DE VALA COM PEDRA MARROADA                                          </t>
  </si>
  <si>
    <t xml:space="preserve">ENCHIMENTO BASE TUBO COM PEDRA BRITADA                                         </t>
  </si>
  <si>
    <t xml:space="preserve">COMPACTACAO MANUAL C/REATERRO SOLO LOCAL                                       </t>
  </si>
  <si>
    <t xml:space="preserve">COMPACTACAO MANUAL PARA BASES DE CAIXAS E VALAS                                </t>
  </si>
  <si>
    <t xml:space="preserve">VALETA SECAO TRANSV.ATE 0,50M2 1 CAT.                                          </t>
  </si>
  <si>
    <t xml:space="preserve">VALETA SECAO TRANSV.ATE 0,50M2 2 CAT.                                          </t>
  </si>
  <si>
    <t xml:space="preserve">VALETA SECAO TRANSV.ATE 0,50M2 3 CAT.                                          </t>
  </si>
  <si>
    <t xml:space="preserve">VALETA SECAO TRANSV.MAIOR 0,50M2 1 CAT.                                        </t>
  </si>
  <si>
    <t xml:space="preserve">VALETA SECAO TRANSV.MAIOR 0,50M2 2 CAT.                                        </t>
  </si>
  <si>
    <t xml:space="preserve">VALETA SECAO TRANSV.MAIOR 0,50M2 3 CAT - COM EXPLOSIVOS                        </t>
  </si>
  <si>
    <t xml:space="preserve">VALETA SECAO TRANSV.MAIOR 0.50M2 - SEM EXPLOSIVO                               </t>
  </si>
  <si>
    <t xml:space="preserve">MANTA GEOTEXTIL NAO TECIDA RESISTENCIA LONGITUDINAL 07 KN/M                    </t>
  </si>
  <si>
    <t xml:space="preserve">MANTA GEOTEXTIL NAO TECIDA RESISTENCIA LONGITUDINAL 08 KN/M                    </t>
  </si>
  <si>
    <t xml:space="preserve">MANTA GEOTEXTIL NAO TECIDA RESISTENCIA LONGITUDINAL 09 KN/M                    </t>
  </si>
  <si>
    <t xml:space="preserve">MANTA GEOTEXTIL NAO TECIDA RESISTENCIA LONGITUDINAL 10 KN/M                    </t>
  </si>
  <si>
    <t xml:space="preserve">MANTA GEOTEXTIL NAO TECIDA RESISTENCIA LONGITUDINAL 14 KN/M                    </t>
  </si>
  <si>
    <t xml:space="preserve">MANTA GEOTEXTIL NAO TECIDA RESISTENCIA LONGITUDINAL 16 KN/M                    </t>
  </si>
  <si>
    <t xml:space="preserve">MANTA GEOTEXTIL NAO TECIDA RESISTENCIA LONGITUDINAL 21 KN/M                    </t>
  </si>
  <si>
    <t xml:space="preserve">MANTA GEOTEXTIL NAO TECIDA RESISTENCIA LONGITUDINAL 26 KN/M                    </t>
  </si>
  <si>
    <t xml:space="preserve">MANTA GEOTEXTIL NAO TECIDA RESISTENCIA LONGITUDINAL 31 KN/M                    </t>
  </si>
  <si>
    <t xml:space="preserve">MANTA GEOTEXTIL TECIDA RESIST. LONGIT. 24 KN/M                                 </t>
  </si>
  <si>
    <t xml:space="preserve">MANTA GEOTEXTIL TECIDA RESISTENCIA LOGINTUDINAL 48 KN/M                        </t>
  </si>
  <si>
    <t xml:space="preserve">GEOCOMPOSTO PARA DRENAGEM                                                      </t>
  </si>
  <si>
    <t xml:space="preserve">MANTA GEOTEXTIL TECIDA                                                         </t>
  </si>
  <si>
    <t xml:space="preserve">TUBO DRENO CONCRETO 15CM                                                       </t>
  </si>
  <si>
    <t xml:space="preserve">TUBO DRENO CONCRETO 20CM                                                       </t>
  </si>
  <si>
    <t xml:space="preserve">TUBO DRENO BARRO 15CM                                                          </t>
  </si>
  <si>
    <t xml:space="preserve">TUBO DRENO BARRO 20CM                                                          </t>
  </si>
  <si>
    <t xml:space="preserve">TUBO DE PVC PERFURADO OU NAO D=0,05M                                           </t>
  </si>
  <si>
    <t xml:space="preserve">TUBO DE PVC PERFURADO OU NAO D=0,075M                                          </t>
  </si>
  <si>
    <t xml:space="preserve">TUBO DE PVC PERFURADO OU NAO D=0,10M                                           </t>
  </si>
  <si>
    <t xml:space="preserve">TUBO DE PVC PERFURADO OU NAO D=0,15M                                           </t>
  </si>
  <si>
    <t xml:space="preserve">DRENO HORIZONTAL PROFUNDO                                                      </t>
  </si>
  <si>
    <t xml:space="preserve">DRENO LONGITUDINAL PROFUNDO PARA CORTE EM ROCHA DPR-PP-DE-H07/123              </t>
  </si>
  <si>
    <t xml:space="preserve">DRENO TRANSVERSAL RASO PARA CORTE EM ROCHA TIPO DRR, PP-DE-H07/123.            </t>
  </si>
  <si>
    <t xml:space="preserve">DRENO LONGITUDINAL RASO DLR-2, PP-DE-H07/125.                                  </t>
  </si>
  <si>
    <t xml:space="preserve">DRENOS LONGITUDINAIS PROFUNDOS PARA SOLOS ARENOSOS                             </t>
  </si>
  <si>
    <t xml:space="preserve">DRENOS LONGITUDINAIS PROFUNDOS EM SOLOS SILTOSOS E/OU ARGILOSOS                </t>
  </si>
  <si>
    <t xml:space="preserve">TUBO DRENO DE POLIET.DE ALTA DENS.0,10M                                        </t>
  </si>
  <si>
    <t xml:space="preserve">TUBO DRENO DE POLIET.DE ALTA DENS.0,15M                                        </t>
  </si>
  <si>
    <t xml:space="preserve">TUBO DRENO DE POLIET.DE ALTA DENS.0,20M                                        </t>
  </si>
  <si>
    <t xml:space="preserve">DUTO CORRUG. PEAD 0,05M                                                        </t>
  </si>
  <si>
    <t xml:space="preserve">DUTO CORRUG.PEAD 0,075M                                                        </t>
  </si>
  <si>
    <t xml:space="preserve">DUTO CORRUG.PEAD 0,10M                                                         </t>
  </si>
  <si>
    <t xml:space="preserve">DUTO CORRUG.PEAD 0,15M                                                         </t>
  </si>
  <si>
    <t xml:space="preserve">TUBO DE CONCRETO D=0,40M CLASSE PA-1                                           </t>
  </si>
  <si>
    <t xml:space="preserve">TUBO DE CONCRETO D=0,40M CLASSE PA-2                                           </t>
  </si>
  <si>
    <t xml:space="preserve">TUBO DE CONCRETO D=0,50M CLASSE PA-1                                           </t>
  </si>
  <si>
    <t xml:space="preserve">TUBO DE CONCRETO D=0,50M CLASSE PA-2                                           </t>
  </si>
  <si>
    <t xml:space="preserve">TUBO DE CONCRETO D=0,50M CLASSE PA-3                                           </t>
  </si>
  <si>
    <t xml:space="preserve">TUBO DE CONCRETO D=0,50M CLASSE PA-4                                           </t>
  </si>
  <si>
    <t xml:space="preserve">TUBO DE CONCRETO D=0,60M CLASSE PA-1                                           </t>
  </si>
  <si>
    <t xml:space="preserve">TUBO DE CONCRETO D=0,60M CLASSE PA-2                                           </t>
  </si>
  <si>
    <t xml:space="preserve">TUBO DE CONCRETO D=0,60M CLASSE PA-3                                           </t>
  </si>
  <si>
    <t xml:space="preserve">TUBO DE CONCRETO D=0,60M CLASSE PA-4                                           </t>
  </si>
  <si>
    <t xml:space="preserve">TUBO DE CONCRETO D=0,80M CLASSE PA-1                                           </t>
  </si>
  <si>
    <t xml:space="preserve">TUBO DE CONCRETO D=0,80M CLASSE PA-2                                           </t>
  </si>
  <si>
    <t xml:space="preserve">TUBO DE CONCRETO D=0,80M CLASSE PA-3                                           </t>
  </si>
  <si>
    <t xml:space="preserve">TUBO DE CONCRETO D=0,80M CLASSE PA-4                                           </t>
  </si>
  <si>
    <t xml:space="preserve">TUBO DE CONCRETO D=1,00M CLASSE PA-1                                           </t>
  </si>
  <si>
    <t xml:space="preserve">TUBO DE CONCRETO D=1,00M CLASSE PA-2                                           </t>
  </si>
  <si>
    <t xml:space="preserve">TUBO DE CONCRETO D=1,00M CLASSE PA-3                                           </t>
  </si>
  <si>
    <t xml:space="preserve">TUBO DE CONCRETO D=1,00M CLASSE PA-4                                           </t>
  </si>
  <si>
    <t xml:space="preserve">TUBO DE CONCRETO D=1,20M CLASSE PA-1                                           </t>
  </si>
  <si>
    <t xml:space="preserve">TUBO DE CONCRETO D=1,20M CLASSE PA-2                                           </t>
  </si>
  <si>
    <t xml:space="preserve">TUBO DE CONCRETO D=1,20M CLASSE PA-3                                           </t>
  </si>
  <si>
    <t xml:space="preserve">TUBO DE CONCRETO D=1,20M CLASSE PA-4                                           </t>
  </si>
  <si>
    <t xml:space="preserve">TUBO DE CONCRETO D=1,50M CLASSE PA-1                                           </t>
  </si>
  <si>
    <t xml:space="preserve">TUBO DE CONCRETO D=1,50M CLASSE PA-2                                           </t>
  </si>
  <si>
    <t xml:space="preserve">TUBO DE CONCRETO D=1,50M CLASSE PA-3                                           </t>
  </si>
  <si>
    <t xml:space="preserve">TUBO DE CONCRETO D=1,50M CLASSE PA-4                                           </t>
  </si>
  <si>
    <t xml:space="preserve">TUBO DE CONCRETO SIMPLES D=0,40M                                               </t>
  </si>
  <si>
    <t xml:space="preserve">TUBO DE CONCRETO SIMPLES D=0,60M                                               </t>
  </si>
  <si>
    <t xml:space="preserve">CANALETA CONCRETO 40CM                                                         </t>
  </si>
  <si>
    <t xml:space="preserve">CANALETA CONCRETO 60CM                                                         </t>
  </si>
  <si>
    <t xml:space="preserve">CANALETA CONCRETO 80CM                                                         </t>
  </si>
  <si>
    <t xml:space="preserve">GUIA PRE-FABRICADA CONCRETO FCK 20 MPA                                         </t>
  </si>
  <si>
    <t xml:space="preserve">SARJETA DE CONCRETO FCK 20 MPA                                                 </t>
  </si>
  <si>
    <t xml:space="preserve">GUIA DE CONCRETO FCK 20 MPA                                                    </t>
  </si>
  <si>
    <t xml:space="preserve">TELAR E TAMPAO DE FERRO FUNDIDO                                                </t>
  </si>
  <si>
    <t xml:space="preserve">GRELHA DE CONCRETO DE 10X44X120CM - FCK 20 MPA                                 </t>
  </si>
  <si>
    <t xml:space="preserve">GRELHA FERRO FUNDIDO BOCA LOB GRS-135                                          </t>
  </si>
  <si>
    <t xml:space="preserve">TUBO ACO CORR.GALV.MET.NAO DESTRUTIVO                                          </t>
  </si>
  <si>
    <t xml:space="preserve">TUBO ACO CORR.EPOXI MET.NAO DESTRUTIVO                                         </t>
  </si>
  <si>
    <t xml:space="preserve">TUBO ACO CORR.GALV.MET.DESTRUTIVO                                              </t>
  </si>
  <si>
    <t xml:space="preserve">TUBO ACO CORRUGADO EPOXI MET. DESTRUTIVO                                       </t>
  </si>
  <si>
    <t xml:space="preserve">BROCA DE CONCRETO ARMADO D=20,00CM                                             </t>
  </si>
  <si>
    <t xml:space="preserve">BROCA DE CONCRETO D=25,00CM                                                    </t>
  </si>
  <si>
    <t xml:space="preserve">BROCA DE CONCRETO D=15,00CM                                                    </t>
  </si>
  <si>
    <t xml:space="preserve">GEOFORMA TEXTIL TENSORIZADA TIPO COLCHAO - ESPESSURA DE 15 CM                  </t>
  </si>
  <si>
    <t xml:space="preserve">GEOFORMA TEXTIL COM DISPOSITIVO AUTO-DRENANTE "UNIFLUXO"                       </t>
  </si>
  <si>
    <t xml:space="preserve">GEOCOMP.TRINCHEIRA DRENANTE(GEOMANTA+GEOTEXTIL 2 LADOS PERM.)H=40CM/11MM       </t>
  </si>
  <si>
    <t xml:space="preserve">GEOCOMP.TRINCHEIRA DRENANTE(GEOMANTA+GEOTEXTIL 2 LADOS PERM.)H=60CM/11MM       </t>
  </si>
  <si>
    <t xml:space="preserve">GEOCOMP.TRINCHEIRA DRENATE(GEOMANTA+GEOTEXTIL 2 LADOS PERM.)H=100CM/11MM       </t>
  </si>
  <si>
    <t xml:space="preserve">GEOCOMP.TRINCEIRA DRENANTE(GEOMANTA+GEOTEXTIL 2 LADOS PERM.)H=140CM/11MM       </t>
  </si>
  <si>
    <t xml:space="preserve">GEOCOMPOSTO DRENANTE(GEOMANTA+GEOTEXTIL 1 LADO PERM.)TIPO 1L - 12MM.           </t>
  </si>
  <si>
    <t xml:space="preserve">GEOCOMPOSTO DRENANTE(GEOMANTA+GEOTEXTIL 2 LADOS PERM.)TIPO 2L - 11MM.          </t>
  </si>
  <si>
    <t xml:space="preserve">GEOCOMPOSTO DRENANTE(GEOMANTA+GEOTEXTIL 1 LADO PERM.)TIPO 1S -16MM.            </t>
  </si>
  <si>
    <t xml:space="preserve">GEOCOMPOSTO DRENANTE(GEOMANTA+GEOTEXTIL 2 LADOS PERM.)TIPO 2S-16MM.            </t>
  </si>
  <si>
    <t>GEOCOMPOSTO DRENANTE(GEOMANTA+GEOTEXTIL 1 LADO PER./1 LADO IMP.)TIPO 2L FP-11MM</t>
  </si>
  <si>
    <t xml:space="preserve">ATERRO SOLO COM 3% DE CIMENTO EM USINA                                         </t>
  </si>
  <si>
    <t xml:space="preserve">ATERRO SOLO COM 3% DE CIMENTO C/PULVE.                                         </t>
  </si>
  <si>
    <t xml:space="preserve">ATERRO SOLO COM 6% DE CIMENTO C/PULVE.                                         </t>
  </si>
  <si>
    <t xml:space="preserve">ESCAVACAO MANUAL PARA OBRAS S/EXPLOSIVO                                        </t>
  </si>
  <si>
    <t xml:space="preserve">ESCAV.FUND.DENTRO ENSEC. SEM EXPL.ATE 3M                                       </t>
  </si>
  <si>
    <t xml:space="preserve">ACR.P/ESCAV.ENSEC.P/CADA1,0M PROF.ALEM3M                                       </t>
  </si>
  <si>
    <t xml:space="preserve">ESCAV.FUND.DENTRO ENSEC.C/EXPL.ATE  3M                                         </t>
  </si>
  <si>
    <t xml:space="preserve">ENSECADEIRA COM SACOS DE AREIA                                                 </t>
  </si>
  <si>
    <t xml:space="preserve">SOLO CIMENTO ENSACADO, COM TEOR DE CIMENTO A 4%                                </t>
  </si>
  <si>
    <t xml:space="preserve">SOLO CIMENTO ENSACADO, COM TEOR DE CIMENTO A 6%                                </t>
  </si>
  <si>
    <t xml:space="preserve">SOLO CIMENTO ENSACADO, COM TEOR DE CIMENTO A 8%                                </t>
  </si>
  <si>
    <t xml:space="preserve">ESTACA CONCRETO PRE-MOLDADO - 20/25T                                           </t>
  </si>
  <si>
    <t xml:space="preserve">ESTACA CONCRETO PRE-MOLDADO - 30/35T                                           </t>
  </si>
  <si>
    <t xml:space="preserve">ESTACA CONCRETO PRE-MOLDADO - 40/45T                                           </t>
  </si>
  <si>
    <t xml:space="preserve">ESTACA CONCRETO PRE-MOLDADO - 50/60T                                           </t>
  </si>
  <si>
    <t xml:space="preserve">ESTACA CONCRETO PRE-MOLDADO - 70/80T                                           </t>
  </si>
  <si>
    <t xml:space="preserve">ESTACA METALICA, FORNEC. E CRAVACAO                                            </t>
  </si>
  <si>
    <t xml:space="preserve">ESTACA DE MADEIRA D=20CM - 8 TON                                               </t>
  </si>
  <si>
    <t xml:space="preserve">ESTACA DE MADEIRA D=25CM - 15TON                                               </t>
  </si>
  <si>
    <t xml:space="preserve">ESTACA RAIZ EM SOLO D=15CM                                                     </t>
  </si>
  <si>
    <t xml:space="preserve">ESTACA RAIZ EM SOLO D=16CM                                                     </t>
  </si>
  <si>
    <t xml:space="preserve">ESTACA RAIZ EM SOLO D=20CM                                                     </t>
  </si>
  <si>
    <t xml:space="preserve">ESTACA RAIZ EM SOLO D=25CM                                                     </t>
  </si>
  <si>
    <t xml:space="preserve">ESTACA RAIZ EM SOLO D=31CM                                                     </t>
  </si>
  <si>
    <t xml:space="preserve">ESTACA RAIZ EM SOLO D=40CM                                                     </t>
  </si>
  <si>
    <t xml:space="preserve">ESTACA RAIZ EM ROCHA ALTERADA D=15CM                                           </t>
  </si>
  <si>
    <t xml:space="preserve">ESTACA RAIZ EM ROCHA ALTERADA D=16CM                                           </t>
  </si>
  <si>
    <t xml:space="preserve">ESTACA RAIZ EM ROCHA ALTERADA D=20CM                                           </t>
  </si>
  <si>
    <t xml:space="preserve">ESTACA RAIZ EM ROCHA ALTERADA D=25CM                                           </t>
  </si>
  <si>
    <t xml:space="preserve">ESTACA RAIZ EM ROCHA ALTERADA D=40CM                                           </t>
  </si>
  <si>
    <t xml:space="preserve">TAXA DE INSTALACAO EQUIPAM.ESTACA RAIZ                                         </t>
  </si>
  <si>
    <t xml:space="preserve">ESTACA TIPO STRAUSS D=32CM                                                     </t>
  </si>
  <si>
    <t xml:space="preserve">TAXA MOBIL. DE EQUIPAMENTO BATE-ESTACA                                         </t>
  </si>
  <si>
    <t xml:space="preserve">ESTACA RAIZ EM ROCHA ALTERADA D=50CM                                           </t>
  </si>
  <si>
    <t xml:space="preserve">ESTACA RAIZ EM SOLO D=50CM                                                     </t>
  </si>
  <si>
    <t xml:space="preserve">ESTACA RAIZ EM ROCHA ALTERADA D=45CM                                           </t>
  </si>
  <si>
    <t xml:space="preserve">ESTACA RAIZ EM SOLO D=45CM                                                     </t>
  </si>
  <si>
    <t xml:space="preserve">FORMA PLANA PARA CONCRETO ARMADO COMUM                                         </t>
  </si>
  <si>
    <t xml:space="preserve">FORMA PL.P/CONCRETO PROTENDIDO OU APAR.                                        </t>
  </si>
  <si>
    <t xml:space="preserve">ACO PARA CONCRETO PROTENDIDO                                                   </t>
  </si>
  <si>
    <t xml:space="preserve">ACO P/CONCRETO PROTENDIDO TIPO DYWIDAG OU SIMILAR                              </t>
  </si>
  <si>
    <t xml:space="preserve">AP.ANC.P/CABOS PROTEN.ATIVA 12 FIOS-8MM                                        </t>
  </si>
  <si>
    <t xml:space="preserve">AP.ANC.P/CABOS PROTEN.ATIVA 4FIOS-12,7MM                                       </t>
  </si>
  <si>
    <t xml:space="preserve">AP.ANC.P/CABOS PROTEN.ATIVA 6FIOS-12,7MM                                       </t>
  </si>
  <si>
    <t xml:space="preserve">AP.ANC.P/CABOS PROTEN.ATIV.12FIOS-12,7MM                                       </t>
  </si>
  <si>
    <t xml:space="preserve">AP.ANC.P/CABOS PROTEN.ATIV.19FIOS-12,7MM                                       </t>
  </si>
  <si>
    <t xml:space="preserve">AP.ANC.P/CABOS PROTEN.ATIV.22FIOS-12,7MM                                       </t>
  </si>
  <si>
    <t xml:space="preserve">AP.ANC.P/CABOS PROTEN.PAS. 4 FIOS-12,7MM                                       </t>
  </si>
  <si>
    <t xml:space="preserve">AP.ANC.P/CABOS PROTEN.PAS. 6 FIOS-12,7MM                                       </t>
  </si>
  <si>
    <t xml:space="preserve">AP.ANC.P/CABOS PROTEN.PAS. 12FIOS-12,7MM                                       </t>
  </si>
  <si>
    <t xml:space="preserve">AP.ANC.P/CABOS PROTEN.PAS. 19FIOS-12,7MM                                       </t>
  </si>
  <si>
    <t xml:space="preserve">APARELHO DE ANCORAGEM ATIVO DE 4 FIOS DE Ã 5/8" (15,2MM)                       </t>
  </si>
  <si>
    <t xml:space="preserve">APARELHO DE ANCORAGEM ATIVO DE 12 FIOS DE Ã 5/8" (15,2MM)                      </t>
  </si>
  <si>
    <t xml:space="preserve">APARELHO DE ANCORAGEM ATIVO DE 15 FIOS DE Ã 5/8" (15,2MM)                      </t>
  </si>
  <si>
    <t xml:space="preserve">APARELHO DE ANCORAGEM ATIVO DE 19 FIOS DE Ã 5/8" (15,2MM)                      </t>
  </si>
  <si>
    <t xml:space="preserve">TIRANTE  40TF 5 FIOS D=1/2" FORN. E INST                                       </t>
  </si>
  <si>
    <t xml:space="preserve">TIRANTE  60TF 8 FIOS D=1/2" FORN. E INST                                       </t>
  </si>
  <si>
    <t xml:space="preserve">TIRANTE  80TF 10 FIOS D=1/2" FORN.E INST                                       </t>
  </si>
  <si>
    <t xml:space="preserve">TIRAN.100TF 12 FIOS D=1/2" FORN.E INST.                                        </t>
  </si>
  <si>
    <t xml:space="preserve">TERMO FIXO P/TIRANTES 40TF 5 FIOS D=1/2"                                       </t>
  </si>
  <si>
    <t xml:space="preserve">TERMO FIXO P/TIRANTES 60TF 8 FIOS D=1/2"                                       </t>
  </si>
  <si>
    <t xml:space="preserve">TERMO FIXO P/TIRANTES 80TF 10FIOS D=1/2"                                       </t>
  </si>
  <si>
    <t xml:space="preserve">TERMO FIXO P/TIRANTES 100TF 12F D=1/2"                                         </t>
  </si>
  <si>
    <t xml:space="preserve">CONCRETO PROJETADO                                                             </t>
  </si>
  <si>
    <t xml:space="preserve">BOMBEAMENTO CONCRETO QUALQUER RESIST.                                          </t>
  </si>
  <si>
    <t xml:space="preserve">INJECAO DE NATA DE CIMENTO                                                     </t>
  </si>
  <si>
    <t xml:space="preserve">CONCRETO FCK 50 MPA                                                            </t>
  </si>
  <si>
    <t xml:space="preserve">PERF.P/DRENO E TIR. SOLO D=57,10MM(AX)                                         </t>
  </si>
  <si>
    <t xml:space="preserve">PERF.P/DRENO E TIR. SOLO D=73,00MM(BX)                                         </t>
  </si>
  <si>
    <t xml:space="preserve">PERF.P/DRENO E TIR. SOLO D=88,90MM(NX)                                         </t>
  </si>
  <si>
    <t xml:space="preserve">PERF.P/DRENO E TIR. SOLO D=114,30MM(HX)                                        </t>
  </si>
  <si>
    <t xml:space="preserve">PERF.P/DRENO E TIR.RCH.ALT.D=57,10MM(AX)                                       </t>
  </si>
  <si>
    <t xml:space="preserve">PERF.P/DRENO E TIR.RCH.ALT.D=73,00MM(BX)                                       </t>
  </si>
  <si>
    <t xml:space="preserve">PERF.P/DRENO E TIR.RCH.ALT.D=88,90MM(NX)                                       </t>
  </si>
  <si>
    <t xml:space="preserve">PERF.P/DRENO E TIR.RCH.ALT.D=114,3MM(HX)                                       </t>
  </si>
  <si>
    <t xml:space="preserve">PERF.P/DRENO E TIR.RCH SA D=57,10MM (AX)                                       </t>
  </si>
  <si>
    <t xml:space="preserve">PERF.P/DRENO E TIR.RCH SA D=73,00MM(BX)                                        </t>
  </si>
  <si>
    <t xml:space="preserve">PERF.P/DRENO E TIR.RCH. SA D=88,90MM(NX)                                       </t>
  </si>
  <si>
    <t xml:space="preserve">PERF.P/DRENO E TIR RCH SA D=114,30MM(HX)                                       </t>
  </si>
  <si>
    <t xml:space="preserve">PERFURACAO MANUAL EM SOLO D=62,5MM OU D=2 1/2"                                 </t>
  </si>
  <si>
    <t xml:space="preserve">PERFURAÇÃO MANUAL EM SOLO D=114,3MM OU D=4"                                    </t>
  </si>
  <si>
    <t xml:space="preserve">FORNECIMENTO DE TUBO DRENO CONCRETO 15CM                                       </t>
  </si>
  <si>
    <t xml:space="preserve">FORNECIMENTO DE TUBO DRENO CONCRETO 20CM                                       </t>
  </si>
  <si>
    <t xml:space="preserve">FORNECIMENTO DE TUBO DRENO BARRO 15CM                                          </t>
  </si>
  <si>
    <t xml:space="preserve">FORNECIMENTO DE TUBO DRENO BARRO 20CM                                          </t>
  </si>
  <si>
    <t xml:space="preserve">ASSENTAMENTO DE TUBO DRENO CONCRETO 15CM                                       </t>
  </si>
  <si>
    <t xml:space="preserve">ASSENTAMENTO DE TUBO DRENO CONCRETO 20CM                                       </t>
  </si>
  <si>
    <t xml:space="preserve">ASSENTAMENTO DE TUBO DRENO BARRO 15 CM                                         </t>
  </si>
  <si>
    <t xml:space="preserve">ASSENTAMENTO DE TUBO DRENO BARRO 20CM                                          </t>
  </si>
  <si>
    <t xml:space="preserve">TUBO DE PVC PERFURADO OU NAO D=0,050M                                          </t>
  </si>
  <si>
    <t xml:space="preserve">TUBO DE PVC PERFURADO OU NAO D=0,025M (D=1")                                   </t>
  </si>
  <si>
    <t xml:space="preserve">RETALUDAMENTO DE 1 E 2 CATEGORIA                                               </t>
  </si>
  <si>
    <t xml:space="preserve">SOLO REFORCADO TIPO GREIDE COM ALTURA DE 0 A 6 METROS.                         </t>
  </si>
  <si>
    <t xml:space="preserve">SOLO REFORCADO TIPO GREIDE COM ALTURA DE 6 A 9 METROS                          </t>
  </si>
  <si>
    <t xml:space="preserve">SOLO REFORCADO TIPO GREIDE COM ALTURA DE 9 A 12 METROS                         </t>
  </si>
  <si>
    <t xml:space="preserve">SOLO REFORCADO TIPO GREIDE COM ALTURA DE 12 A 15 METROS                        </t>
  </si>
  <si>
    <t xml:space="preserve">SOLO REFORCADO TIPO ENCONTRO PORTANTE COM ALTURA DE 0 A 6 METROS.              </t>
  </si>
  <si>
    <t xml:space="preserve">SOLO REFORCADO TIPO ENCONTRO PORTANTE COM ALTURA DE 6 A 9 METROS               </t>
  </si>
  <si>
    <t xml:space="preserve">SOLO REFORCADO TIPO ENCONTRO PORTANTE COM ALTURA DE 9 A 12 METROS              </t>
  </si>
  <si>
    <t xml:space="preserve">SOLO REFORCADO TIPO ENCONTRO PORTANTE COM ALTURA DE 12 A 15 METROS             </t>
  </si>
  <si>
    <t xml:space="preserve">SOLO REFORCADO TIPO PE DE TALUDE COM ALTURA DE 0 A 6M E ATERRO DE 0 A 3M       </t>
  </si>
  <si>
    <t xml:space="preserve">SOLO REFORCADO TIPO PE DE TALUDE COM ALTURA DE 0 A 6M E ATERRO DE 3 A 6M       </t>
  </si>
  <si>
    <t xml:space="preserve">SOLO REFORCADO TIPO PE DE TALUDE COM ALTURA DE 0 A 6M E ATERRO MAIOR QUE 6M    </t>
  </si>
  <si>
    <t xml:space="preserve">SOLO REFORCADO TIPO PE DE TALUDE COM ALTURA DE 6 A 9M E ATERRO DE 0 A 3M       </t>
  </si>
  <si>
    <t xml:space="preserve">SOLO REFORCADO TIPO PE DE TALUDE COM ALTURA DE 6 A 9M E ATERRO DE 3 A 6M       </t>
  </si>
  <si>
    <t xml:space="preserve">SOLO REFORCADO TIPO PE DE TALUDE COM ALTURA DE 6 A 9M E ATERRO MAIOR QUE 6M    </t>
  </si>
  <si>
    <t xml:space="preserve">SOLO REFORCADO TIPO PE DE TALUDE COM ALTURA DE 9 A 12M E ATERRO DE 0 A 3M      </t>
  </si>
  <si>
    <t xml:space="preserve">SOLO REFORCADO TIPO PE DE TALUDE COM ALTURA DE 9 A 12M E ATERRO DE 3 A 6M      </t>
  </si>
  <si>
    <t xml:space="preserve">SOLO REFORCADO TIPO PE DE TALUDE COM ALTURA DE 9 A 12M E ATERRO MAIOR QUE 6M   </t>
  </si>
  <si>
    <t xml:space="preserve">SOLO REFORCADO TIPO DE PE DE TALUDE DE 12 A 15M E ATERRO DE 0 A 3M             </t>
  </si>
  <si>
    <t xml:space="preserve">SOLO REFORCADO TIPO PE DE TALUDE DE 12 A 15M E ATERRO DE 3 A 6M                </t>
  </si>
  <si>
    <t xml:space="preserve">SOLO REFORCADO TIPO PE DE TALUDE DE 12 A 15M E ATERRO MAIOR QUE 6M             </t>
  </si>
  <si>
    <t>SOLO REF. C/ MALHA HEXAG. DUPLA TORCAO-PANO UNICO GREIDE C/ 0 A 6M - EM RACHAO.</t>
  </si>
  <si>
    <t>SOLO REF. C/ MALHA HEXAG. DUPLA TORCAO-PANO UNICO GREIDE C/ 6 A 9M - EM RACHAO.</t>
  </si>
  <si>
    <t>SOLO REF. C/ MALHA HEXAG. DUPLA TORCAO-PANO UNICO GREIDE C/ 9 A 12M - EM RACHAO</t>
  </si>
  <si>
    <t xml:space="preserve">SOLO REF. C/ MALHA HEXAG. DUPLA TORCAO-PANO UNICO GREIDE C/ 12A15M - EM RACHAO </t>
  </si>
  <si>
    <t xml:space="preserve">SOLO REF. C/ MALHA HEXAG. DUPLA TORCAO-PANO UNICO GREIDE C/ 15A18M - EM RACHAO </t>
  </si>
  <si>
    <t>SOLO REF. MALHA HEXAG. DUPLA TORCAO-PANO UNICO ENCONTRO PORTAN.0 A 6M-EM RACHAO</t>
  </si>
  <si>
    <t>SOLO REF. MALHA HEXAG. DUPLA TORCAO-PANO UNICO ENCONTRO PORTAN.6 A 9M-EM RACHAO</t>
  </si>
  <si>
    <t xml:space="preserve">SOLO REF.MALHA HEXAG.DUPLA TORCAO-PANO UNICO ENCONTRO PORTAN.9 A 12M-EM RACHAO </t>
  </si>
  <si>
    <t>SOLO REF.MALHA HEXAG.DUPLA TORCAO-PANO UNICO ENCONTRO PORTAN.12 A 15M-EM RACHAO</t>
  </si>
  <si>
    <t>SOLO REF.MALHA HEXAG.DUPLA TORCAO-PANO UNICO ENCONTRO PORTAN.15 A 18M-EM RACHAO</t>
  </si>
  <si>
    <t xml:space="preserve">SOLO REF.C/MALHA HEX.DUPLA TORCAO-PANO UNICO PE DE TALUDE 0A6M E ATERRO 0A3M   </t>
  </si>
  <si>
    <t xml:space="preserve">SOLO REF.C/MALHA HEX.DUPLA TORCAO-PANO UNICO PE DE TALUDE 0A6M E ATERRO 3A6M   </t>
  </si>
  <si>
    <t xml:space="preserve">SOLO REF.C/MALHA HEX.DUPLA TORCAO-PANO UNICO PE DE TALUDE 0A6M E ATERRO &gt; 6M   </t>
  </si>
  <si>
    <t xml:space="preserve">SOLO REF.C/MALHA HEX.DUPLA TORCAO-PANO UNICO PE DE TALUDE 6A9M E ATERRO 0A3M   </t>
  </si>
  <si>
    <t xml:space="preserve">SOLO REF.C/MALHA HEX.DUPLA TORCAO-PANO UNICO PE DE TALUDE 6A9M E ATERRO 3A6M   </t>
  </si>
  <si>
    <t xml:space="preserve">SOLO REF.C/MALHA HEX.DUPLA TORCAO-PANO UNICO PE DE TALUDE 6A9M E ATERRO &gt; 6M.  </t>
  </si>
  <si>
    <t xml:space="preserve">SOLO REF.C/MALHA HEX.DUPLA TORCAO-PANO UNICO PE DE TALUDE 9A12M E ATERRO 0A3M  </t>
  </si>
  <si>
    <t xml:space="preserve">SOLO REF.C/MALHA HEX.DUPLA TORCAO-PANO UNICO PE DE TALUDE 9A12M E ATERRO 3A6M  </t>
  </si>
  <si>
    <t xml:space="preserve">SOLO REF.C/MALHA HEX.DUPLA TORCAO-PANO UNICO PE DE TALUDE 9A12M E ATERRO &gt; 6M. </t>
  </si>
  <si>
    <t xml:space="preserve">SOLO REF.C/MALHA HEX.DUPLA TORCAO-PANO UNICO PE TALUDE C/12A15M E ATERRO 0A3M  </t>
  </si>
  <si>
    <t xml:space="preserve">SOLO REF.C/MALHA HEX.DUPLA TORCAO-PANO UNICO PE TALUDE C/12A15M E ATERRO 3A6M  </t>
  </si>
  <si>
    <t xml:space="preserve">SOLO REF.C/MALHA HEX.DUPLA TORCAO-PANO UNICO PE TALUDE C/12A15M E ATERRO &gt; 6M  </t>
  </si>
  <si>
    <t xml:space="preserve">SOLO REF.C/MALHA HEX.DUPLA TORCAO-PANO UNICO PE TALUDE C/15A18M E ATERRO 0A3M  </t>
  </si>
  <si>
    <t xml:space="preserve">SOLO REF.C/MALHA HEX.DUPLA TORCAO-PANO UNICO PE TALUDE C/15A18M E ATERRO 3A6M  </t>
  </si>
  <si>
    <t xml:space="preserve">SOLO REF.C/MALHA HEX.DUPLA TORCAO-PANO UNICO PE TALUDE C/15A18M E ATERRO &gt; 6M. </t>
  </si>
  <si>
    <t>SOLO REF. C/ MALHA HEX. DUPLA TORCAO-PANO UNICO VERDE GREIDE C/ 0A6M - INCL. 70</t>
  </si>
  <si>
    <t>SOLO REF. C/ MALHA HEX. DUPLA TORCAO-PANO UNICO VERDE GREIDE C/ 6A9M - INCL. 70</t>
  </si>
  <si>
    <t>SOLO REF. C/ MALHA HEX. DUPLA TORCAO-PANO UNICO VERDE GREIDE C/9A12M - INCL. 70</t>
  </si>
  <si>
    <t>SOLO REF. C/ MALHA HEX. DUPLA TORCAO-PANO UNICO VERDE GREIDE C/12A15M - INCL.70</t>
  </si>
  <si>
    <t>SOLO REF. C/ MALHA HEX. DUPLA TORCAO-PANO UNICO VERDE GREIDE C/15A18M - INCL.70</t>
  </si>
  <si>
    <t>SOL.REF.C/MALH.HEX.DUPL.TORCAO-PANO UNICO VERDE PE DE TALUDE C/0A6M-0A3M-INC.70</t>
  </si>
  <si>
    <t>SOL.REF.C/MAL.HEX.DUPLA TORCAO-PANO UNICO VERDE PE DE TALUDE C/0A6M-3A6M-INC.70</t>
  </si>
  <si>
    <t xml:space="preserve">SOLO REF.C/MAL.HEX.DUPLA TORCAO-PANO UNICO VERDE PE DE TALUDE 0A6 E ATERRO &gt;6M </t>
  </si>
  <si>
    <t>SOLO REF.C/MAL.HEX.DUPLA TORCAO-PANO UNICO VERDE PE DE TALUDE 6A9 E ATERRO 0A3M</t>
  </si>
  <si>
    <t>SOLO REF.C/MAL.HEX.DUPLA TORCAO-PANO UNICO VERDE PE DE TALUDE 6A9 E ATERRO 3A6M</t>
  </si>
  <si>
    <t>SOLO REF.C/MAL.HEX.DUPLA TORCAO-PANO UNICO VERDE PE DE TALUDE 6A9 E ATERRO &gt; 6M</t>
  </si>
  <si>
    <t xml:space="preserve">SOLO REF.C/MAL.HEX.DUPLA TORCAO-PANO UNICO VERDE PE DE TALUDE 9A12 E ATER.0A3M </t>
  </si>
  <si>
    <t xml:space="preserve">SOLO REF.C/MAL.HEX.DUPLA TORCAO-PANO UNICO VERDE PE DE TALUDE 9A12 E ATER.3A6M </t>
  </si>
  <si>
    <t xml:space="preserve">SOLO REF.C/MAL.HEX.DUPLA TORCAO-PANO UNICO VERDE PE DE TALUDE 9A12 E ATER. &gt;6M </t>
  </si>
  <si>
    <t>SOLO REF.C/MAL.HEX.DUPLA TORCAO-PANO UNICO VERDE PE DE TALUDE 12A15 E ATER.0A3M</t>
  </si>
  <si>
    <t>SOLO REF.C/MAL.HEX.DUPLA TORCAO-PANO UNICO VERDE PE DE TALUDE 12A15 E ATER.3A6M</t>
  </si>
  <si>
    <t xml:space="preserve">SOLO REF.C/MAL.HEX.DUPLA TORCAO-PANO UNICO VERDE PE DE TALUDE12A15 E ATER. &gt;6M </t>
  </si>
  <si>
    <t>SOLO REF.C/MAL.HEX.DUPLA TORCAO-PANO UNICO VERDE PE DE TALUDE 15A18 E ATER.0A3M</t>
  </si>
  <si>
    <t>SOLO REF.C/MAL.HEX.DUPLA TORCAO-PANO UNICO VERDE PE DE TALUDE 15A18 E ATER.3A6M</t>
  </si>
  <si>
    <t>SOLO REF.C/MAL.HEX.DUPLA TORCAO-PANO UNICO VERDE PE DE TALUDE 15A18 E ATER. &gt;6M</t>
  </si>
  <si>
    <t>SOLO GRAMP.P/CONTR.DE EROS.COM MALH.HEX.DE DUP.RES.PUNC.125KN E RES.TRA.118KN/M</t>
  </si>
  <si>
    <t xml:space="preserve">SOLO GRAMP.P/CONTR.DE EROS.COM MALH.HEX.DE DUP.RES.PUNC.105KN E RES.TRA.89KN/M </t>
  </si>
  <si>
    <t xml:space="preserve">SOLO GRAMP.P/CONTR.DE EROS.COM MALH.HEX.DE DUP.RES.PUNC.74KN E RES.TRAC.72KN/M </t>
  </si>
  <si>
    <t>SOLO GRAMP.P/CONT.DE EROS.COM GEOM.TRID.VERD.REF.TEL.HEX.DE DUP.RES.TRAC.50KN/M</t>
  </si>
  <si>
    <t xml:space="preserve">CONTROLE DE EROSAO COM GEOMANTA TRIDIMENSIONAL VERDE,RESIST.A TRACAO A 4KN/M   </t>
  </si>
  <si>
    <t xml:space="preserve">REVEST.DE TALUD.ROC/SOL.COM MALH.DE RES.DE PUNC.DE 82KN E RES.A TRAÇ.DE 60KN/M </t>
  </si>
  <si>
    <t xml:space="preserve">REVEST.DE TALUD.ROC/SOL.COM MALH.DE RES.DE PUNC.DE 87KN E RES.A TRAÇ.DE 80KN/M </t>
  </si>
  <si>
    <t xml:space="preserve">REVEST.DE TALUD.ROC/SOL.COM MALH.DE RES.DE PUNC.DE 125KN E RES.TRAC.DE 120KN/M </t>
  </si>
  <si>
    <t xml:space="preserve">REVEST.DE TALUD.ROC/SOL.COM MALH.DE RES.DE PUNC.DE 155KN E RES.TRAC.DE 177KN/M </t>
  </si>
  <si>
    <t>REVES.DE TALUD.ROC/SOL.COM MALH.DE RES.DE PU.DE 70KN E RES.A TRAC.DE 55KN/M PVC</t>
  </si>
  <si>
    <t>REVES.DE TALUD.ROC/SOL.COM MALH.DE RES.DE PU.DE 80KN E RES.A TRAÇ.DE 75KN/M PVC</t>
  </si>
  <si>
    <t xml:space="preserve">REVEST.DE TALUD.ROC/SOL.COM MALH.DE RES.DE PU.DE 110KN E RES.TRA.DE 90KN/M PVC </t>
  </si>
  <si>
    <t>REVEST.DE TALUD.ROC/SOL.COM MALH.DE RES.DE PU.DE 135KN E RES.TRA.DE 120KN/M PVC</t>
  </si>
  <si>
    <t xml:space="preserve">BARR.MET.COM MAL.DE RES.A TRAC.MAX.A 290KN/M E MAL.COM RES.A TRAC.50KN/M E C.M </t>
  </si>
  <si>
    <t>BARR.DINAM.PAIN.RESIST.AO IMPACT.DE BLOC.COM ENERG.MAX.750 KJ COM ALT.DE 3,0 M.</t>
  </si>
  <si>
    <t>BARR.DINAM.PAIN.RESIS.AO IMPACT.DE BLOC.COM ENERG.MAX.1000 KJ COM ALT.DE 4,0 M.</t>
  </si>
  <si>
    <t>BARR.DINAN.PAIN.RESIS.AO IMPACT.DE BLOC.COM ENERG.MAX.1500 KJ COM ALT.DE 5,0 M.</t>
  </si>
  <si>
    <t xml:space="preserve">ESCAVACAO MANUAL P/ OBRAS S/EXPLOSIVO                                          </t>
  </si>
  <si>
    <t xml:space="preserve">ESCAVACAO MECANICA P/ OBRAS C/ EXPLOSIVO                                       </t>
  </si>
  <si>
    <t xml:space="preserve">ESTACA CONCRETO PRE-MOLDADO - 20/25 T                                          </t>
  </si>
  <si>
    <t xml:space="preserve">ESTACA CONCRETO PRE-MOLDADO - 30/35 T                                          </t>
  </si>
  <si>
    <t xml:space="preserve">ESTACA CONCRETO PRE-MOLDADO - 40/45 T                                          </t>
  </si>
  <si>
    <t xml:space="preserve">ESTACA CONCRETO PRE-MOLDADO - 50/60 T                                          </t>
  </si>
  <si>
    <t xml:space="preserve">ESTACA CONCRETO PRE-MOLDADO - 70/80 T                                          </t>
  </si>
  <si>
    <t xml:space="preserve">TAXA MOBIL. DE EQUIP. BATE-ESTACA                                              </t>
  </si>
  <si>
    <t xml:space="preserve">ESTACAO EM SOLO D=1,00M                                                        </t>
  </si>
  <si>
    <t xml:space="preserve">ESTACAO EM SOLO D=1,20M                                                        </t>
  </si>
  <si>
    <t xml:space="preserve">ESTACAO EM SOLO D=1,40M                                                        </t>
  </si>
  <si>
    <t xml:space="preserve">ESTACAO EM SOLO D=1,50M                                                        </t>
  </si>
  <si>
    <t xml:space="preserve">ESTACAO EM SOLO D=1,60M                                                        </t>
  </si>
  <si>
    <t xml:space="preserve">TAXA MOBILIZACAO DE EQUIP. P/ ESTACAO                                          </t>
  </si>
  <si>
    <t xml:space="preserve">CAMISA METALICA                                                                </t>
  </si>
  <si>
    <t xml:space="preserve">CAMISA METALICA SEM REAPROVEITAMENTO E COM PRE-FURO                            </t>
  </si>
  <si>
    <t xml:space="preserve">ESTACA DE MADEIRA D=20CM - 8TON                                                </t>
  </si>
  <si>
    <t xml:space="preserve">ESC.TUB.CEU ABERTO 1/2 CAT. - SOLO                                             </t>
  </si>
  <si>
    <t xml:space="preserve">ESC.TUB.AR COMPRIMIDO 1/2 CAT - SOLO                                           </t>
  </si>
  <si>
    <t xml:space="preserve">ESC.TUB.CEU ABERTO 3 CAT.- ROCHA                                               </t>
  </si>
  <si>
    <t xml:space="preserve">ESC.TUB.AR COMPRIMIDO 3 CAT. - ROCHA                                           </t>
  </si>
  <si>
    <t xml:space="preserve">CIMBRAMENTO PONTES E VIADUTOS C/ ESTACA                                        </t>
  </si>
  <si>
    <t xml:space="preserve">CIMBRAMENTO PONTES E VIADUTOS S/ ESTACA                                        </t>
  </si>
  <si>
    <t xml:space="preserve">CIMBRAMENTO DE PASSAGEM SEC. GALERIA RET                                       </t>
  </si>
  <si>
    <t xml:space="preserve">CIMBRAMENTO METALICO P/ PONTES E VIADUTO                                       </t>
  </si>
  <si>
    <t xml:space="preserve">FORMA PLANA PARA CONC. ARMADO COMUM                                            </t>
  </si>
  <si>
    <t xml:space="preserve">FORMA PLANA P/CONC.PROTEND.OU APARENTE                                         </t>
  </si>
  <si>
    <t xml:space="preserve">FORMAS SEM REAPROVEITAMENTO                                                    </t>
  </si>
  <si>
    <t xml:space="preserve">FORMAS METALICAS ESPECIAL P/ VIGAS                                             </t>
  </si>
  <si>
    <t xml:space="preserve">FORMA CURVA PARA CONCRETO COMUM                                                </t>
  </si>
  <si>
    <t xml:space="preserve">FORMA CURVA PARA CONCRETO APARENTE                                             </t>
  </si>
  <si>
    <t xml:space="preserve">ACO ST 85/105                                                                  </t>
  </si>
  <si>
    <t xml:space="preserve">AP.ANC.P/CABOS PROTEN.ATIV. 12FIOS-8MM                                         </t>
  </si>
  <si>
    <t xml:space="preserve">AP.ANC.P/CABOS PROTEN.ATIV. 4FIOS-12,7MM                                       </t>
  </si>
  <si>
    <t xml:space="preserve">AP.ANC.P/CABOS PROTEN.ATIV. 6FIOS-12,7MM                                       </t>
  </si>
  <si>
    <t xml:space="preserve">AP.ANC.P/CABOS PROTEN.PASS. 4FIOS-12,7MM                                       </t>
  </si>
  <si>
    <t xml:space="preserve">AP.ANC.P/CABOS PROTEN.PASS. 6FIOS-12,7MM                                       </t>
  </si>
  <si>
    <t xml:space="preserve">APARELHO DE ANCORAGEM ATIVO DE 12 F-5/8" (15,2MM)                              </t>
  </si>
  <si>
    <t xml:space="preserve">APARELHO DE ANCORAGEM ATIVO 15 FIOS DE Ã 5/8" (15,2MM)                         </t>
  </si>
  <si>
    <t xml:space="preserve">APARELHO DE APOIO NEOPRENE FRETADO                                             </t>
  </si>
  <si>
    <t xml:space="preserve">ARTICULACAO DE CONCRETO TIPO"FREYSSINET"                                       </t>
  </si>
  <si>
    <t xml:space="preserve">CONCRETO FCK 10MPA                                                             </t>
  </si>
  <si>
    <t xml:space="preserve">CONCRETO FCK 15MPA                                                             </t>
  </si>
  <si>
    <t xml:space="preserve">CONCRETO FCK 18MPA                                                             </t>
  </si>
  <si>
    <t xml:space="preserve">CONCRETO FCK 30MPA                                                             </t>
  </si>
  <si>
    <t xml:space="preserve">BOMBEAMENTO P/ CONC. QUALQUER RESIST.                                          </t>
  </si>
  <si>
    <t xml:space="preserve">JUNTA/RETRACAO C/LABIO POLIM.AB.15 ATE 40 MM                                   </t>
  </si>
  <si>
    <t xml:space="preserve">JUNTA/RETRACAO C/LABIO POLIM.AB.20 ATE 55 MM                                   </t>
  </si>
  <si>
    <t xml:space="preserve">JUNTA/RETRACAO C/LABIO POLIM.AB. 30 ATE 80 MM                                  </t>
  </si>
  <si>
    <t xml:space="preserve">JUNTA DE DILATACAO METALICA                                                    </t>
  </si>
  <si>
    <t xml:space="preserve">JUNTAS DE DILATACAO METALICA C/NEOPRENE                                        </t>
  </si>
  <si>
    <t xml:space="preserve">FORNECIMENTO E APLICACAO DE JUNTA DE DILATACAO JJ-99120 OU T-110 OU SIMILAR.   </t>
  </si>
  <si>
    <t xml:space="preserve">JUNTA DE DILATACAO TERMOELASTICA DE BASE ASFALTICA MODIFICADA COM POLIMEROS    </t>
  </si>
  <si>
    <t xml:space="preserve">PLACA PRE MOLDADA DE CONCRETO PARA GUARDA CORPO PP-DE-C04/021.                 </t>
  </si>
  <si>
    <t xml:space="preserve">PLACA PRE MOLDADA DE CONCRETO PARA FIXACAO POSTE ILUMINACAO - PP-DE-C04/021.   </t>
  </si>
  <si>
    <t xml:space="preserve">LANÇAMENTO DE PLACA PRE MOLDADA DE CONCRETO, ATE 1000 KG.                      </t>
  </si>
  <si>
    <t xml:space="preserve">TELAMENTO METALICO PARA PASSARELA, CONFORME PP-DE-M09/001.                     </t>
  </si>
  <si>
    <t xml:space="preserve">GUARDA CORPO METALICO DE PASSARELA H=0,90M, CONFORME PP-DE-C04/029.            </t>
  </si>
  <si>
    <t xml:space="preserve">CORRIMAO METALICO D=2" PARA PASSARELA, CONFORME PP-DE-K00/004.                 </t>
  </si>
  <si>
    <t xml:space="preserve">BARREIRA DE SEGURANCA COM PASSEIO CONF. PP-DE-C01/293                          </t>
  </si>
  <si>
    <t xml:space="preserve">BARREIRA DE SEGURANCA CONF. PP-DE-C01/293                                      </t>
  </si>
  <si>
    <t xml:space="preserve">BAR. DOU.FACE NEW JERSEY O.A.E.DES.5464                                        </t>
  </si>
  <si>
    <t xml:space="preserve">BARREIRA DE SEGURANçA PARA O.A.E CONF. PP-DE-C01/293                           </t>
  </si>
  <si>
    <t xml:space="preserve">TUBO DE PVC PERFURADO OU NAO D=0,100M                                          </t>
  </si>
  <si>
    <t xml:space="preserve">TUBO DE PVC PERFURADO OU NAO D=0,150M                                          </t>
  </si>
  <si>
    <t xml:space="preserve">LANC.VIGA P&lt;=50T-GUINDASTE AUTO P                                              </t>
  </si>
  <si>
    <t xml:space="preserve">LANC.VIGA 50&lt;P&lt;=80 T C/GUIND.AUTO P                                            </t>
  </si>
  <si>
    <t xml:space="preserve">ESCORAMENTO VALAS/CAVAS P/FUND.CONTINUO                                        </t>
  </si>
  <si>
    <t xml:space="preserve">PAREDE ENSECADEIRA C/PRANCHA-ESP.0,050M                                        </t>
  </si>
  <si>
    <t xml:space="preserve">PROTECAO DE TALUDE COM BLOCO PRE-MOLDADO SEXTAVADO 30X30X5CM INTERTRAVADO.     </t>
  </si>
  <si>
    <t xml:space="preserve">PROTECAO TALUDE SOB OAE EM PLACAS PRE MOLDADAS TRAPEZOIDAL, 98X80X40CM.        </t>
  </si>
  <si>
    <t xml:space="preserve">PROTECAO TALUDE SOB OAE COM PECAS PRE-MOLDADAS RETANGULAR 20X10X6CM.           </t>
  </si>
  <si>
    <t xml:space="preserve">REMOCAO MANUAL DE CONCRETO SEGREGADO                                           </t>
  </si>
  <si>
    <t xml:space="preserve">REMOCAO,CARGA E TRANSP.ENTULHO EM GERAL                                        </t>
  </si>
  <si>
    <t>t*km</t>
  </si>
  <si>
    <t xml:space="preserve">LIXAMENTO MECÂNICO DE SUPERFÍCIO DE CONCRETO                                   </t>
  </si>
  <si>
    <t xml:space="preserve">TRATAMENTO DE ARMADURA COM PRIMER RICO EM ZINCO                                </t>
  </si>
  <si>
    <t xml:space="preserve">DESOBSTRUCAO DE JUNTA DE DILATACAO                                             </t>
  </si>
  <si>
    <t xml:space="preserve">APIC.MANUAL CONC.C/ELIMINACAO SUP.LISAS                                        </t>
  </si>
  <si>
    <t xml:space="preserve">LIMPEZA COM JATO D´AGUA S/SUP.DE CONC.                                         </t>
  </si>
  <si>
    <t xml:space="preserve">LIXAMENTO MANUAL DA SUPERFICIE DE CONCR.                                       </t>
  </si>
  <si>
    <t xml:space="preserve">JATEAMENTO EM ESTR.CONCRETO COM AGUA                                           </t>
  </si>
  <si>
    <t xml:space="preserve">LIMPEZA MANUAL COM ESCOVA DE ACO P/ ACO                                        </t>
  </si>
  <si>
    <t xml:space="preserve">LIMPEZA MANUAL C/ESCOVA ACO P/CONCRETO                                         </t>
  </si>
  <si>
    <t xml:space="preserve">EXECUCAO DE ANDAIME SUSPENSO AREA MAXIMA DE 560 M2.                            </t>
  </si>
  <si>
    <t xml:space="preserve">DESMOB. DESLOCAMENTO, MONTAGEM E FURO NO CONCRETO PARA ANDAIME SUSPENSO.       </t>
  </si>
  <si>
    <t xml:space="preserve">FURO NO CONCRETO D=1" PROFUND. DE 30CM                                         </t>
  </si>
  <si>
    <t xml:space="preserve">FURO NO CONCRETO D=1/2" PROFUND.DE 15CM                                        </t>
  </si>
  <si>
    <t xml:space="preserve">FURO NO CONCRETO D=5/8"PROFUNDIDADE DE 19 CM.                                  </t>
  </si>
  <si>
    <t xml:space="preserve">FURO NO CONCRETO D=3/4"PROFUNDIDADE DE 24 CM.                                  </t>
  </si>
  <si>
    <t xml:space="preserve">FURO NO CONCRETO D=1/4"PROFUNDIDADE DE 7,5 CM.                                 </t>
  </si>
  <si>
    <t xml:space="preserve">FURO NO CONCRETO D=5/16"PROFUNDIDADE DE 9,5 CM.                                </t>
  </si>
  <si>
    <t xml:space="preserve">FURO NO CONCRETO D=1 1/4"PROFUNDIDADE 38 CM.                                   </t>
  </si>
  <si>
    <t xml:space="preserve">FORMA PLANA P/CONC.ARMADO COMUM                                                </t>
  </si>
  <si>
    <t xml:space="preserve">FORMAS METALICAS PARA CONCRETO                                                 </t>
  </si>
  <si>
    <t xml:space="preserve">BARRA DE ACO CA-50 PARA RECUPERACAO ESTRUTURAL                                 </t>
  </si>
  <si>
    <t xml:space="preserve">SUBSTITUICAO DE ACO DA ARMADURA                                                </t>
  </si>
  <si>
    <t xml:space="preserve">RETIRADA DA ARMADURA CORROIDA                                                  </t>
  </si>
  <si>
    <t xml:space="preserve">ACO P/ CONCRETO PROTENDIDO ST 85/105                                           </t>
  </si>
  <si>
    <t xml:space="preserve">EMENDA DE BARRA DE ACO COM LUVA PRENSADA D=12MM                                </t>
  </si>
  <si>
    <t xml:space="preserve">EMENDA DE BARRA DE ACO COM LUVA PRENSADA D=16MM                                </t>
  </si>
  <si>
    <t xml:space="preserve">EMENDA DE BARRA DE ACO COM LUVA PRENSADA D=20MM                                </t>
  </si>
  <si>
    <t xml:space="preserve">EMENDA DE BARRA DE ACO COM LUVA PRENSADA D=25MM                                </t>
  </si>
  <si>
    <t xml:space="preserve">EMENDA DE BARRA DE ACO COM ROSCA D=12MM                                        </t>
  </si>
  <si>
    <t xml:space="preserve">EMENDA DE BARRA DE ACO COM ROSCA D=16MM                                        </t>
  </si>
  <si>
    <t xml:space="preserve">EMENDA DE BARRA DE ACO COM ROSCA D=20MM                                        </t>
  </si>
  <si>
    <t xml:space="preserve">EMENDA DE BARRA DE ACO COM ROSCA D=25MM                                        </t>
  </si>
  <si>
    <t xml:space="preserve">CHUMBAMENTO BARRAS C/RESINA EPOX.INJ.                                          </t>
  </si>
  <si>
    <t xml:space="preserve">CHUMBADOR QUIMICO DIÂMETRO 1.1/2".                                             </t>
  </si>
  <si>
    <t xml:space="preserve">AP.ANC.P/CABOS PROTEN. ATIVA 12FIOS-8MM                                        </t>
  </si>
  <si>
    <t xml:space="preserve">AP.ANC.P/CABOS PROTEN.ATIV.04FIOS-12,7MM                                       </t>
  </si>
  <si>
    <t xml:space="preserve">APARELHO DE ANCORAGEM ATIVO DE 12 FIOS DE 5/8" (15,2MM)                        </t>
  </si>
  <si>
    <t xml:space="preserve">APARELHO DE ANCORAGEM ATIVO DE 19 FIOS DE Ã 5/8"                               </t>
  </si>
  <si>
    <t xml:space="preserve">SUBSTIT.APARELHO APOIO NEOPRENE FRETADO                                        </t>
  </si>
  <si>
    <t xml:space="preserve">CONCRETO FCK 20MPA                                                             </t>
  </si>
  <si>
    <t xml:space="preserve">CONCRETO FCK 25MPA                                                             </t>
  </si>
  <si>
    <t xml:space="preserve">CONCRETO PROJETADO,MEDIDO NA SECAO                                             </t>
  </si>
  <si>
    <t xml:space="preserve">BOMBEAMENTO P/CONC. QUALQUER RESIST.                                           </t>
  </si>
  <si>
    <t xml:space="preserve">CONCRETO GROUT ALTA RESISTENCIA                                                </t>
  </si>
  <si>
    <t xml:space="preserve">ENCHIMENTO COM CONCRETO CELULAR                                                </t>
  </si>
  <si>
    <t xml:space="preserve">CONCRETO FCK 35MPA                                                             </t>
  </si>
  <si>
    <t xml:space="preserve">CONCRETO FCK 40MPA                                                             </t>
  </si>
  <si>
    <t xml:space="preserve">JUNTA/RETRACAO C/LABIO POLI.AB.15ATE40MM                                       </t>
  </si>
  <si>
    <t xml:space="preserve">JUNTA/RETRACAO C/LABIO POLI.AB.20ATE55MM                                       </t>
  </si>
  <si>
    <t xml:space="preserve">JUNTA/RETRACAO C/LABIO POLI.AB.30ATE80MM                                       </t>
  </si>
  <si>
    <t xml:space="preserve">SUBSTITUICAO DE JUNTA METALICA                                                 </t>
  </si>
  <si>
    <t xml:space="preserve">MICROCONCRETO RAPFLEX 10                                                       </t>
  </si>
  <si>
    <t xml:space="preserve">ADESIVO EPOXI P/TRI.(INCL.FUROS E MANG.)                                       </t>
  </si>
  <si>
    <t xml:space="preserve">INJECAO DE CALDA DE CIMENTO                                                    </t>
  </si>
  <si>
    <t xml:space="preserve">INJECAO DE CALDA DE CIMENTO EM BAINHAS                                         </t>
  </si>
  <si>
    <t xml:space="preserve">ARGAM.CIMENTICIA C/POLIMERO INCORPORADO                                        </t>
  </si>
  <si>
    <t xml:space="preserve">ARGAMASSA DE CIMENTO E AREIA TRACO 1:6                                         </t>
  </si>
  <si>
    <t xml:space="preserve">ADITIVO SUPER PLASTIFICANTE                                                    </t>
  </si>
  <si>
    <t xml:space="preserve">ADITIVO SUPER FLUIDIFICANTE                                                    </t>
  </si>
  <si>
    <t xml:space="preserve">ADITIVO ACELERADOR DE PEGA                                                     </t>
  </si>
  <si>
    <t xml:space="preserve">ADITIVO RETARDADOR DE PEGA                                                     </t>
  </si>
  <si>
    <t xml:space="preserve">PINTURA HIDROFUGANTE C/SILICONE BASE AGUA - UMA DEMAO                          </t>
  </si>
  <si>
    <t xml:space="preserve">PINT.C/VERNIZ POLIURETANO INCOLOR-3DEMAO                                       </t>
  </si>
  <si>
    <t xml:space="preserve">PINTURA A BASE DE EPOXI - 2DEMAOS                                              </t>
  </si>
  <si>
    <t xml:space="preserve">PINTURA ACRILICA - 2DEMAOS                                                     </t>
  </si>
  <si>
    <t>PINTURA A BASE DE ESMALTE SINTETICO 3 DEMAOS, SENDO UMA DEMAO FUNDO OXIDO FERRO</t>
  </si>
  <si>
    <t xml:space="preserve">APLICACAO MANUAL E PREPARO DE PASTA PARA ESTUCAMENTO EM OAE, SEM PINTURA.      </t>
  </si>
  <si>
    <t xml:space="preserve">FORN. E TRANSPORTE DE PLACA DE ACO GT+GT                                       </t>
  </si>
  <si>
    <t xml:space="preserve">FORN. E TRANSPORTE DE PLACA DE ACO GT+AI                                       </t>
  </si>
  <si>
    <t xml:space="preserve">FORN. E TRANSPORTE DE PLACA DE ALUMINIO GT+AI                                  </t>
  </si>
  <si>
    <t xml:space="preserve">COLOCACAO DE PLACA EM SUP. MADEIRA/METALICO-SOLO                               </t>
  </si>
  <si>
    <t xml:space="preserve">COLOCACAO DE PLACA AEREA EM PORTICOS OU SEMI-PORTICO                           </t>
  </si>
  <si>
    <t xml:space="preserve">RETIRADA DE PLACA AEREA                                                        </t>
  </si>
  <si>
    <t xml:space="preserve">FORN.TRANSP.INSTAL.PLC CHAPA DE LAMINADO FENOL MELAM. C/ACAB. GTP+GTP,MOD.AçO  </t>
  </si>
  <si>
    <t xml:space="preserve">FORN.TRANSP. MONTAG PLACA ALUM.E NUCLEO POLIET. BAIXA DENSIDADE ESP.3MM GT+GT  </t>
  </si>
  <si>
    <t xml:space="preserve">FORN.TRANSP. MONTAG PLACA ALUM.E NUCLEO POLIET. BAIXA DENSIDADE ESP.3MM GT+AI  </t>
  </si>
  <si>
    <t xml:space="preserve">FORN.TRANSP. E FIXACAO DE PORTICO TUB.MET. VAO DE 15,90M                       </t>
  </si>
  <si>
    <t xml:space="preserve">FORN.TRANSP. E FIXACAO DE PORTICO TUBULAR METALICO COM VAO DE 19,20M           </t>
  </si>
  <si>
    <t xml:space="preserve">FORN.,TRANSP.E FIXACAO DE SEMI-PORTICO TUBULAR MET.EM BALANCO COM VAO 6,00M    </t>
  </si>
  <si>
    <t xml:space="preserve">FORN.,TRANSP.E FIXACAO DE SEMI-PORTICO TUBULAR MET.EM BALANCO COM VAO 8,30M    </t>
  </si>
  <si>
    <t xml:space="preserve">FORN.,TRANSP.E FIXACAO DE SEMI-PORTICO TUB. MET.EM BALANCO DUPLO COM VAO 6,00M </t>
  </si>
  <si>
    <t xml:space="preserve">FORN.,TRANSP.E FIXACAO DE SEMI-PORTICO TUB.MET.EM BALANCO DUPLO COM VAO 8,30M  </t>
  </si>
  <si>
    <t xml:space="preserve">FORN.,TRANSP.E FIXACAO DE SEMI-PORTICO TUBULAR MET.EM BALANCO COM VAO 4,90M    </t>
  </si>
  <si>
    <t xml:space="preserve">SINALIZ.HOR.C/RESINA VINILICA OU ACRILI.                                       </t>
  </si>
  <si>
    <t xml:space="preserve">SINALIZ.HOR. C/TERMOPLAST. HOT-SPRAY                                           </t>
  </si>
  <si>
    <t xml:space="preserve">SINALIZ.HOR. C/TERMOPLAST.SPRAY-C/VISIB.                                       </t>
  </si>
  <si>
    <t xml:space="preserve">SINALIZ.HOR.C/TERMOPLAST EXTRUDADO                                             </t>
  </si>
  <si>
    <t xml:space="preserve">SIN.HORIZ.PLAST.A FRIO,POR EXTRUSAO, ALTO RELEVO, ESPACAMENTO 500MM.           </t>
  </si>
  <si>
    <t>SINAL.HORIZ.PLAST.FRIO BASE DE RES. METACRIL. REATIVAS, DISP.ESTRUT.APLIC. MEC.</t>
  </si>
  <si>
    <t xml:space="preserve">SINALIZ.HOR.TINTA P/ POUCO TRAFEGO                                             </t>
  </si>
  <si>
    <t xml:space="preserve">SINALIZ.HOR.ACRILICA BASE AGUA                                                 </t>
  </si>
  <si>
    <t xml:space="preserve">SINALIZ.HOR. ACRILICA BASE AGUA C/VISIB.                                       </t>
  </si>
  <si>
    <t xml:space="preserve">SINALIZACAO HORIZONTAL ACRILICA BRANCA A BASE DE EPOXI EMULSIONADA EM AGUA     </t>
  </si>
  <si>
    <t xml:space="preserve">SINALIZACAO HORIZONTAL ACRILICA AMARELA A BASE DE EPOXI EMULSIONADA EM AGUA    </t>
  </si>
  <si>
    <t xml:space="preserve">TACHA REFLETIVA BIDIRECIONAL TIPO III OU IV ABNT (VIDRO OU PRISMÁTICO)         </t>
  </si>
  <si>
    <t xml:space="preserve">MINI TACHAO MONODIRECIONAL REFL. VIDRO                                         </t>
  </si>
  <si>
    <t xml:space="preserve">MINI TACHAO BIDIRECIONAL REFL. VIDRO                                           </t>
  </si>
  <si>
    <t xml:space="preserve">TACHAO MONODIRECIONAL REFLETIVO DE VIDRO                                       </t>
  </si>
  <si>
    <t xml:space="preserve">TACHAO BIDIRECIONAL REFLETIVO DE VIDRO                                         </t>
  </si>
  <si>
    <t xml:space="preserve">TACHA MONODIRECIONAL REFLETIVO PLASTICO                                        </t>
  </si>
  <si>
    <t xml:space="preserve">TACHA BIDIRECIONAL REFLETIVO PLASTICO                                          </t>
  </si>
  <si>
    <t xml:space="preserve">TACHA REFLETIVA MONODIRECIONAL TIPO III OU IV ABNT (VIDRO OU PRISMÁTICO)       </t>
  </si>
  <si>
    <t xml:space="preserve">TRATAMENTO SUPERFICIAL ANTIDERRAPANTE MEDIAN.AGENTE AGLUT.RES.EPOXI E AGREGADO </t>
  </si>
  <si>
    <t xml:space="preserve">FORN. E INSTAL. DE BALIZADOR LAT. DE SOLO BIREFLETIVO AI                       </t>
  </si>
  <si>
    <t>FORNECIMENTO TRANSPORTE INST.TERM.ABSORV.ENERGIA NBR 15486, 70/80 KM/H SIMPLES.</t>
  </si>
  <si>
    <t xml:space="preserve">FORNECIMENTO TRANSPORTE INST.TERM.ABSORV.ENERGIA NBR 15486, 100 KM/H SIMPLES.  </t>
  </si>
  <si>
    <t xml:space="preserve">FORNECIMENTO TRANSPORTE INST.TERM.ABSORV.ENERGIA NBR 15486, 110 KM/H SIMPLES.  </t>
  </si>
  <si>
    <t xml:space="preserve">FORNECIMENTO TRANSPORTE INST.TERM.ABSORV.ENERGIA NBR 15486, 70/80 KM/H DUPLO.  </t>
  </si>
  <si>
    <t xml:space="preserve">FORNECIMENTO TRANSPORTE INST.TERM.ABSORV.ENERGIA NBR 15486, 100 KM/H DUPLO.    </t>
  </si>
  <si>
    <t xml:space="preserve">FORNECIMENTO TRANSPORTE INST.TERM.ABSORV.ENERGIA NBR 15486, 110 KM/H DUPLO.    </t>
  </si>
  <si>
    <t xml:space="preserve">FORN.INSTAL.CONJ. TRANSICAO DE DEF.MET. P/ BARREIRA DE CONCRETOC/LAMINA TRIPLA </t>
  </si>
  <si>
    <t xml:space="preserve">FORN.TRANS.INST.DE DEFENSA METÁLICA NBR 15486 H2 A W3 SIMPLES.                 </t>
  </si>
  <si>
    <t xml:space="preserve">FORN.TRANS.INST.DE DEFENSA METÁLICA NBR 15486 H2 A W2 SIMPLES.                 </t>
  </si>
  <si>
    <t xml:space="preserve">FORN.TRANS.INST.DE DEFENSA METÁLICA NBR 15486 H2 A W4 SIMPLES.                 </t>
  </si>
  <si>
    <t xml:space="preserve">FORN.TRANS.INST.DE DEFENSA METÁLICA NBR 15486 H1 A W2 SIMPLES.                 </t>
  </si>
  <si>
    <t xml:space="preserve">FORN.TRANS.INST.DE DEFENSA METÁLICA NBR 15486 H1 A W3 SIMPLES.                 </t>
  </si>
  <si>
    <t xml:space="preserve">FORN.TRANS.INST.DE DEFENSA METÁLICA NBR 15486 H1 A W4 SIMPLES.                 </t>
  </si>
  <si>
    <t xml:space="preserve">FORN.TRANS.INST.DEF.MET.SIMP.P/PTE,VIAD.FUN.CONC,CONF.EN-1317,NBR-15486 H2BW2. </t>
  </si>
  <si>
    <t xml:space="preserve">FORN.TRANS.INST.DEF.MET.SIMP.P/PTE,VIAD.FUN.CONC,CONF.EN-1317,NBR-15486 H3BW3. </t>
  </si>
  <si>
    <t>FORNEC.TRANSP.E INST.JUNTA DIL.P/A DEF.METAL.P/A PTE.E VIAD.OU FUND.CONC.H2 W2.</t>
  </si>
  <si>
    <t>FORNEC.TRANSP.E INST.JUNTA DIL.P/A DEF.METAL.P/A PTE.E VIAD.OU FUND.CONC.H3 W3.</t>
  </si>
  <si>
    <t xml:space="preserve">RETIRADA DE SUPORTE DE MADEIRA TRATADA                                         </t>
  </si>
  <si>
    <t xml:space="preserve">SUPORTE DE PERFIL METALICO GALVANIZADO.                                        </t>
  </si>
  <si>
    <t xml:space="preserve">BARREIRA RIGIDA DE CONCRETO ARMADO SIMPLES BAIXA NBR 14.885                    </t>
  </si>
  <si>
    <t xml:space="preserve">BARREIRA RIGIDA DE CONCRETO ARMADO SIMPLES ALTA NBR 14.885                     </t>
  </si>
  <si>
    <t xml:space="preserve">BARREIRA RIGIDA DE CONCRETO ARMADO DUPLA BAIXA NBR 14.885                      </t>
  </si>
  <si>
    <t xml:space="preserve">BARREIRA RIGIDA DE CONCRETO ARMADO DUPLA ALTA NBR 14.885                       </t>
  </si>
  <si>
    <t xml:space="preserve">SUPORTE DE PLACAS DE SOLO ECOLOGICO E COLAPSIVEL 75X75MM.                      </t>
  </si>
  <si>
    <t xml:space="preserve">SUPORTE DE PLACA DE SOLO ECOLÍGICO E COLAPSIVEL 100 X 100MM                    </t>
  </si>
  <si>
    <t xml:space="preserve">SUPORTE DE PLACA DE SOLO ECOLÓGICO E COLAPSIVEL 70 X 150MM                     </t>
  </si>
  <si>
    <t xml:space="preserve">SUPORTE DE PLACAS DE SOLO ECOLOGICO E COLAPSIVEL C/REFORÇO EM AÇO 55X55MM.     </t>
  </si>
  <si>
    <t xml:space="preserve">BROCA DE CONTRETO ARMADO D=30CM                                                </t>
  </si>
  <si>
    <t xml:space="preserve">CONFECCAO, MONTAGEM E INSTALACAO DE PLACA INSTITUCIONAL                        </t>
  </si>
  <si>
    <t xml:space="preserve">MANUTENCAO DE PLACA INSTITUCIONAL                                              </t>
  </si>
  <si>
    <t>FORN./INSTAL. BALIZ.(CATADIOPTRICO) P/DEF. MET. C/PELICULA GT+GT, CONF.OP-06-05</t>
  </si>
  <si>
    <t>FORN.TRANS.INST.ATENUADOR DE IMPACT.NBR 15486 70/80 KMH PARALELO L&gt; 40CM &lt;70CM.</t>
  </si>
  <si>
    <t>FORN.TRANS.INST.ATENUADOR DE IMPACT.NBR 15486 70/80 KMH PARALELO L&gt;70CM&lt;=100CM.</t>
  </si>
  <si>
    <t>FORN.TRANS.INST.ATENUADOR DE IMPACT.NBR 15486 70/80 KMH PARALELO L&gt;100CM&lt;=160CM</t>
  </si>
  <si>
    <t xml:space="preserve">FORN.TRANS.INST.ATENUADOR DE IMPACT.NBR 15486 100 KMH PARALELO L&gt;70CM&lt;=100CM.  </t>
  </si>
  <si>
    <t xml:space="preserve">FORN.TRANS.INST.ATENUADOR DE IMPACT.NBR 15486 100 KMH PARALELO L&gt;100CM&lt;=160CM. </t>
  </si>
  <si>
    <t xml:space="preserve">FORN.TRANS.INST.ATENUADOR DE IMPACT.NBR 15486 110 KMH PARALELO L&gt;70CM&lt;=100CM.  </t>
  </si>
  <si>
    <t xml:space="preserve">FORN.TRANS.INST.ATENUADOR DE IMPACT.NBR 15486 110 KMH PARALELO L&gt;100CM&lt;=160CM. </t>
  </si>
  <si>
    <t xml:space="preserve">FORN.TRANS.INST.ATENUADOR DE IMPACT.NBR 15486 70/80 KMH ABERTO L&gt;160CM&lt;=260CM. </t>
  </si>
  <si>
    <t xml:space="preserve">FORN.TRANS.INST.ATENUADOR DE IMPACT.NBR 15486 100 KMH ABERTO L&gt;160CM&lt;=260CM.   </t>
  </si>
  <si>
    <t xml:space="preserve">FORN.TRANS.INST.TELA METALICA DE PROTECAO P/A DEFENSA MET.DE PTE E VIAD.H2BW2. </t>
  </si>
  <si>
    <t>30.01.01</t>
  </si>
  <si>
    <t xml:space="preserve">GRAMA EM PLACA SEM ADUBO                                                       </t>
  </si>
  <si>
    <t>30.01.02</t>
  </si>
  <si>
    <t xml:space="preserve">GRAMA PLACA COM ADUBO                                                          </t>
  </si>
  <si>
    <t>30.01.03</t>
  </si>
  <si>
    <t xml:space="preserve">GRAMA MUDA SEM ADUBO                                                           </t>
  </si>
  <si>
    <t>30.01.04</t>
  </si>
  <si>
    <t xml:space="preserve">GRAMA MUDA COM ADUBO                                                           </t>
  </si>
  <si>
    <t>30.01.05</t>
  </si>
  <si>
    <t xml:space="preserve">PLANTIO LEGUM.SEMENTES SEM ADUBO                                               </t>
  </si>
  <si>
    <t>30.01.06</t>
  </si>
  <si>
    <t xml:space="preserve">PLANTIO LEGUM.SEMENTES COM ADUBO                                               </t>
  </si>
  <si>
    <t>30.01.07</t>
  </si>
  <si>
    <t xml:space="preserve">PLANTIO DE GRAMA PROC.HIDROSSEMEADURA                                          </t>
  </si>
  <si>
    <t>30.01.08</t>
  </si>
  <si>
    <t xml:space="preserve">IRRIGACAO DE REVESTIMENTO VEGETAL                                              </t>
  </si>
  <si>
    <t>30.01.09</t>
  </si>
  <si>
    <t xml:space="preserve">GRAMA ARMADA TELA VEGETAL                                                      </t>
  </si>
  <si>
    <t>30.01.10</t>
  </si>
  <si>
    <t xml:space="preserve">ROCADA MANUAL                                                                  </t>
  </si>
  <si>
    <t>30.01.11</t>
  </si>
  <si>
    <t xml:space="preserve">ROCADA MECANIZADA                                                              </t>
  </si>
  <si>
    <t>30.01.12</t>
  </si>
  <si>
    <t xml:space="preserve">CAPINA MANUAL,INCL.AMONT.CARGA/DESC.                                           </t>
  </si>
  <si>
    <t>30.01.21</t>
  </si>
  <si>
    <t xml:space="preserve">PLANTIO DE ARBUSTOS                                                            </t>
  </si>
  <si>
    <t>30.01.22</t>
  </si>
  <si>
    <t xml:space="preserve">PLANTIO DE ARVORES                                                             </t>
  </si>
  <si>
    <t>30.01.30</t>
  </si>
  <si>
    <t xml:space="preserve">PLANTIO DE GRAMINEAS SEMENTE TELA BIODEG                                       </t>
  </si>
  <si>
    <t>30.01.40.01</t>
  </si>
  <si>
    <t>PLANTIO FLORESTAL DE ESPÉ.ARBÓREAS NATIVAS H&lt;=0,60 E ESPAÇ.PLANTIO DE 3,MX2,00M</t>
  </si>
  <si>
    <t>30.01.40.02</t>
  </si>
  <si>
    <t>MANUTENCAO DO PLANTIO FLORESTAL DE ESP.ARBÓREAS NATIVAS COM ESP.DE 3,00MX 2,00M</t>
  </si>
  <si>
    <t>ha x mes</t>
  </si>
  <si>
    <t>30.01.40.03</t>
  </si>
  <si>
    <t xml:space="preserve">PLANTIO ESSENCIAS FLORESTAIS NATIVAS h&gt;=1,50M                                  </t>
  </si>
  <si>
    <t>30.02.02.01</t>
  </si>
  <si>
    <t xml:space="preserve">ALAMBRADO COM TELA 15X5 E ESTICADOR                                            </t>
  </si>
  <si>
    <t>30.02.04</t>
  </si>
  <si>
    <t xml:space="preserve">CERCA DE ARAME DE ACO OVALADO - 4 FIOS                                         </t>
  </si>
  <si>
    <t>30.02.05.02</t>
  </si>
  <si>
    <t xml:space="preserve">ALAMBRADO EM TELA METALICA GALV.MONT.MET.GALV.PARA CONDUÇÃO DE FAUNA H=2,00M   </t>
  </si>
  <si>
    <t>30.03.01</t>
  </si>
  <si>
    <t xml:space="preserve">PROJETO DE PLANTIO COM ESSENCIAS FLORESTAIS NATIVAS                            </t>
  </si>
  <si>
    <t>34.03.01</t>
  </si>
  <si>
    <t xml:space="preserve">LIMPEZA DE AREAS INT.PISOS ACARPETADOS                                         </t>
  </si>
  <si>
    <t>34.03.02</t>
  </si>
  <si>
    <t xml:space="preserve">LIMPEZA DE AREAS INTERNAS E PISOS FRIOS                                        </t>
  </si>
  <si>
    <t>34.03.03</t>
  </si>
  <si>
    <t xml:space="preserve">LIMPEZA DE AREAS INTERNAS LABORATORIOS                                         </t>
  </si>
  <si>
    <t>34.03.04</t>
  </si>
  <si>
    <t xml:space="preserve">LIMPEZA DE AREAS INT.ALMOXARIF.E GALPOES                                       </t>
  </si>
  <si>
    <t>34.03.05</t>
  </si>
  <si>
    <t xml:space="preserve">LIMPEZA DE AREAS INTERNAS OFICINAS                                             </t>
  </si>
  <si>
    <t>34.03.06</t>
  </si>
  <si>
    <t xml:space="preserve">LIMPEZA AREAS EXT.PISOS PAV.E TERRA                                            </t>
  </si>
  <si>
    <t>34.03.07</t>
  </si>
  <si>
    <t xml:space="preserve">LIMP.EXT.PAT.E AREAS VERDES - ALTA FREQ.                                       </t>
  </si>
  <si>
    <t>34.03.08</t>
  </si>
  <si>
    <t xml:space="preserve">LIMP.EXT.PAT.E AREAS VERDES - MEDIA FREQ                                       </t>
  </si>
  <si>
    <t>34.03.09</t>
  </si>
  <si>
    <t xml:space="preserve">LIMP.EXT.PAT.E AREAS VERDES - BAIXA FREQ                                       </t>
  </si>
  <si>
    <t>34.03.10</t>
  </si>
  <si>
    <t xml:space="preserve">VIDROS EXTERNOS C/EXP.RISCO TRIMESTR.                                          </t>
  </si>
  <si>
    <t>34.03.11</t>
  </si>
  <si>
    <t xml:space="preserve">VIDROS EXTERNOS S/EXP.RISCO - TRIMESTR.                                        </t>
  </si>
  <si>
    <t>34.03.12</t>
  </si>
  <si>
    <t xml:space="preserve">VIDROS EXTERNOS C/EXP.RISCO - SEMESTRAL                                        </t>
  </si>
  <si>
    <t>34.03.13</t>
  </si>
  <si>
    <t xml:space="preserve">VIDROS EXTERNOS S/EXP.RISCO - SEMESTRAL                                        </t>
  </si>
  <si>
    <t>34.04.02</t>
  </si>
  <si>
    <t xml:space="preserve">VIG.44H SEM. DIURNO                                                            </t>
  </si>
  <si>
    <t>postoxdia</t>
  </si>
  <si>
    <t>34.04.04</t>
  </si>
  <si>
    <t xml:space="preserve">VIG.12H DIURNO DE SEGUNDA A DOMINGO                                            </t>
  </si>
  <si>
    <t>34.04.06</t>
  </si>
  <si>
    <t xml:space="preserve">VIG.12H NOTURNO DE SEGUNDA A DOMINGO                                           </t>
  </si>
  <si>
    <t>34.05.02</t>
  </si>
  <si>
    <t xml:space="preserve">PORT.44H SEM.DIURNO DE SEG./SEXTA-FEIRA                                        </t>
  </si>
  <si>
    <t>34.05.04</t>
  </si>
  <si>
    <t xml:space="preserve">PORT.12H DIARIAS DIURNO DE SEG./SEXTA-FEIRA                                    </t>
  </si>
  <si>
    <t>34.05.06</t>
  </si>
  <si>
    <t xml:space="preserve">PORT.8H DIURNO DE SEGUNDA A DOMINGO                                            </t>
  </si>
  <si>
    <t>34.05.08</t>
  </si>
  <si>
    <t xml:space="preserve">PORT.24 DIUTURNO DE SEGUNDA A DOMINGO                                          </t>
  </si>
  <si>
    <t>34.07.01.01</t>
  </si>
  <si>
    <t xml:space="preserve">MEDICO SUPERVISOR                                                              </t>
  </si>
  <si>
    <t>hora</t>
  </si>
  <si>
    <t>34.07.01.02</t>
  </si>
  <si>
    <t xml:space="preserve">PARAMEDICO                                                                     </t>
  </si>
  <si>
    <t>34.07.01.03</t>
  </si>
  <si>
    <t xml:space="preserve">ATENDENTE DE PRIMEIROS SOCORROS                                                </t>
  </si>
  <si>
    <t>34.07.01.04</t>
  </si>
  <si>
    <t xml:space="preserve">AUX.ATENDENTE DE PRIMEIROS SOCORROS                                            </t>
  </si>
  <si>
    <t>34.07.01.05</t>
  </si>
  <si>
    <t xml:space="preserve">MOTORISTA AMBULANCIA                                                           </t>
  </si>
  <si>
    <t>34.07.01.06</t>
  </si>
  <si>
    <t xml:space="preserve">OPERADOR DE GUINCHO                                                            </t>
  </si>
  <si>
    <t>34.08.27.01</t>
  </si>
  <si>
    <t xml:space="preserve">ESTUDO HIDROLOGICO E APROV. DO DAEE                                            </t>
  </si>
  <si>
    <t>34.08.27.02.01</t>
  </si>
  <si>
    <t xml:space="preserve">CARACT.AMBIENTAL EMPREEND.ROD.ELAB.REL.TECN.INTERV.AREA PRES.CETESB S19 E S07  </t>
  </si>
  <si>
    <t>34.08.27.02.02</t>
  </si>
  <si>
    <t xml:space="preserve">CARACT.AMBIENTAL EMPREEND.ROD.AREA PRESERV.CETESB S19 E S07 &gt;10&lt;=20KM          </t>
  </si>
  <si>
    <t>34.08.27.02.03</t>
  </si>
  <si>
    <t xml:space="preserve">CARACT.AMBIENTAL EMPREEND.ROD.AREA PRESERV.CETESB S19 E S07 &gt;20&lt;=30            </t>
  </si>
  <si>
    <t>34.08.27.02.04</t>
  </si>
  <si>
    <t xml:space="preserve">CARACT.AMBIENTAL EMPREEND.ROD.AREA PRESERV.CETESB S19 E S07 &gt;30&lt;=40KM          </t>
  </si>
  <si>
    <t>34.08.27.03</t>
  </si>
  <si>
    <t xml:space="preserve">ELABORACAO DE EVI E APROVACAO DE IMPLANTACAO DO EMPREENDIMENTO NO DAEE.        </t>
  </si>
  <si>
    <t>34.08.27.04</t>
  </si>
  <si>
    <t xml:space="preserve">DIREITO DE USO DO RECURSO HIDRICO EM TRAVESSIAS / DAEE                         </t>
  </si>
  <si>
    <t>34.09.01</t>
  </si>
  <si>
    <t xml:space="preserve">EQUIPE DE MERGULHO COM FILMAGEM                                                </t>
  </si>
  <si>
    <t>34.09.02</t>
  </si>
  <si>
    <t xml:space="preserve">EQUIPE DE MERGULHO SEM FILMAGEM                                                </t>
  </si>
  <si>
    <t>34.09.03</t>
  </si>
  <si>
    <t>INVENTARIO DO PAVIMENTO, INCLUSIVE MEDIDAS DOS AFUNDAMENTOS DAS TRILHAS DE RODA</t>
  </si>
  <si>
    <t>kmxfaixa</t>
  </si>
  <si>
    <t>34.09.04</t>
  </si>
  <si>
    <t xml:space="preserve">LEVANTAMENTO DEFLECTOMETRICO DO PAVIMENTO                                      </t>
  </si>
  <si>
    <t>35.03.01</t>
  </si>
  <si>
    <t xml:space="preserve">ADVOGADO JUNIOR                                                                </t>
  </si>
  <si>
    <t>35.03.02</t>
  </si>
  <si>
    <t xml:space="preserve">ADVOGADO PLENO                                                                 </t>
  </si>
  <si>
    <t>35.03.03</t>
  </si>
  <si>
    <t xml:space="preserve">ADVOGADO SENIOR                                                                </t>
  </si>
  <si>
    <t>35.03.04</t>
  </si>
  <si>
    <t xml:space="preserve">ANALISTA DE SISTEMA JUNIOR                                                     </t>
  </si>
  <si>
    <t>35.03.05</t>
  </si>
  <si>
    <t xml:space="preserve">ANALISTA DE SISTEMA PLENO                                                      </t>
  </si>
  <si>
    <t>35.03.06</t>
  </si>
  <si>
    <t xml:space="preserve">ANALISTA DE SISTEMA SENIOR                                                     </t>
  </si>
  <si>
    <t>35.03.07</t>
  </si>
  <si>
    <t xml:space="preserve">ARQUITETO JUNIOR                                                               </t>
  </si>
  <si>
    <t>35.03.08</t>
  </si>
  <si>
    <t xml:space="preserve">ARQUITETO PLENO                                                                </t>
  </si>
  <si>
    <t>35.03.09</t>
  </si>
  <si>
    <t xml:space="preserve">ARQUITETO SENIOR                                                               </t>
  </si>
  <si>
    <t>35.03.10</t>
  </si>
  <si>
    <t xml:space="preserve">AUXILIAR DE ESCRITORIO                                                         </t>
  </si>
  <si>
    <t>35.03.11</t>
  </si>
  <si>
    <t xml:space="preserve">AUXILIAR DE LABORATORIO                                                        </t>
  </si>
  <si>
    <t>35.03.12</t>
  </si>
  <si>
    <t xml:space="preserve">AUXILIAR DE TOPOGRAFIA                                                         </t>
  </si>
  <si>
    <t>35.03.13</t>
  </si>
  <si>
    <t xml:space="preserve">AUXILIAR TECNICO                                                               </t>
  </si>
  <si>
    <t>35.03.14</t>
  </si>
  <si>
    <t xml:space="preserve">CHEFE DE ESCRITORIO                                                            </t>
  </si>
  <si>
    <t>35.03.17</t>
  </si>
  <si>
    <t xml:space="preserve">CONSULTOR C                                                                    </t>
  </si>
  <si>
    <t>35.03.18</t>
  </si>
  <si>
    <t xml:space="preserve">CONSULTOR INTERNACIONAL                                                        </t>
  </si>
  <si>
    <t>35.03.20</t>
  </si>
  <si>
    <t xml:space="preserve">COORDENADOR                                                                    </t>
  </si>
  <si>
    <t>35.03.21</t>
  </si>
  <si>
    <t xml:space="preserve">CADISTA                                                                        </t>
  </si>
  <si>
    <t>35.03.23</t>
  </si>
  <si>
    <t xml:space="preserve">CADISTA / CALCULISTA I                                                         </t>
  </si>
  <si>
    <t>35.03.24</t>
  </si>
  <si>
    <t xml:space="preserve">CADISTA / CALCULISTA II                                                        </t>
  </si>
  <si>
    <t>35.03.25</t>
  </si>
  <si>
    <t xml:space="preserve">CADISTA / CALCULISTA III                                                       </t>
  </si>
  <si>
    <t>35.03.26</t>
  </si>
  <si>
    <t xml:space="preserve">DIGITADOR                                                                      </t>
  </si>
  <si>
    <t>35.03.27</t>
  </si>
  <si>
    <t xml:space="preserve">ECONOMISTA JUNIOR                                                              </t>
  </si>
  <si>
    <t>35.03.28</t>
  </si>
  <si>
    <t xml:space="preserve">ECONOMISTA PLENO                                                               </t>
  </si>
  <si>
    <t>35.03.29</t>
  </si>
  <si>
    <t xml:space="preserve">ECONOMISTA SENIOR                                                              </t>
  </si>
  <si>
    <t>35.03.30</t>
  </si>
  <si>
    <t xml:space="preserve">ENGENHEIRO JUNIOR                                                              </t>
  </si>
  <si>
    <t>35.03.31</t>
  </si>
  <si>
    <t xml:space="preserve">ENGENHEIRO PLENO                                                               </t>
  </si>
  <si>
    <t>35.03.32</t>
  </si>
  <si>
    <t xml:space="preserve">ENGENHEIRO SENIOR                                                              </t>
  </si>
  <si>
    <t>35.03.35</t>
  </si>
  <si>
    <t xml:space="preserve">FISCAL DE OBRAS                                                                </t>
  </si>
  <si>
    <t>35.03.36</t>
  </si>
  <si>
    <t xml:space="preserve">GEOLOGO JUNIOR                                                                 </t>
  </si>
  <si>
    <t>35.03.37</t>
  </si>
  <si>
    <t xml:space="preserve">GEOLOGO PLENO                                                                  </t>
  </si>
  <si>
    <t>35.03.38</t>
  </si>
  <si>
    <t xml:space="preserve">GEOLOGO SENIOR                                                                 </t>
  </si>
  <si>
    <t>35.03.39</t>
  </si>
  <si>
    <t xml:space="preserve">LABORATORISTA                                                                  </t>
  </si>
  <si>
    <t>35.03.40</t>
  </si>
  <si>
    <t xml:space="preserve">MENSAGEIRO                                                                     </t>
  </si>
  <si>
    <t>35.03.41</t>
  </si>
  <si>
    <t xml:space="preserve">MOTORISTA                                                                      </t>
  </si>
  <si>
    <t>35.03.42</t>
  </si>
  <si>
    <t xml:space="preserve">NIVELADOR                                                                      </t>
  </si>
  <si>
    <t>35.03.43</t>
  </si>
  <si>
    <t xml:space="preserve">PROGRAMADOR DE COMPUTADOR JUNIOR                                               </t>
  </si>
  <si>
    <t>35.03.44</t>
  </si>
  <si>
    <t xml:space="preserve">PROGRAMADOR DE COMPUTADOR PLENO                                                </t>
  </si>
  <si>
    <t>35.03.45</t>
  </si>
  <si>
    <t xml:space="preserve">PROGRAMADOR DE COMPUTADOR SENIOR                                               </t>
  </si>
  <si>
    <t>35.03.46</t>
  </si>
  <si>
    <t xml:space="preserve">PROJETISTA A / ASSISTENTE TECNICO I                                            </t>
  </si>
  <si>
    <t>35.03.47</t>
  </si>
  <si>
    <t xml:space="preserve">PROJETISTA B / ASSISTENTE TECNICO II                                           </t>
  </si>
  <si>
    <t>35.03.48</t>
  </si>
  <si>
    <t xml:space="preserve">PROJETISTA C / ASSISTENTE TECNICO III                                          </t>
  </si>
  <si>
    <t>35.03.50</t>
  </si>
  <si>
    <t xml:space="preserve">SECRETARIA                                                                     </t>
  </si>
  <si>
    <t>35.03.51</t>
  </si>
  <si>
    <t xml:space="preserve">TOPOGRAFO                                                                      </t>
  </si>
  <si>
    <t>35.03.68</t>
  </si>
  <si>
    <t xml:space="preserve">BIOLOGO                                                                        </t>
  </si>
  <si>
    <t>35.03.69</t>
  </si>
  <si>
    <t xml:space="preserve">MEDICO VETERINARIO                                                             </t>
  </si>
  <si>
    <t>35.03.71</t>
  </si>
  <si>
    <t xml:space="preserve">ASSISTENTE SOCIAL JUNIOR                                                       </t>
  </si>
  <si>
    <t>35.03.72</t>
  </si>
  <si>
    <t xml:space="preserve">ASSISTENTE SOCIAL PLENO                                                        </t>
  </si>
  <si>
    <t>35.03.73</t>
  </si>
  <si>
    <t xml:space="preserve">ASSISTENTE SOCIAL SENIOR                                                       </t>
  </si>
  <si>
    <t>35.04.01</t>
  </si>
  <si>
    <t xml:space="preserve">ADVOGADO JUNIOR TEMPORARIO                                                     </t>
  </si>
  <si>
    <t>35.04.02</t>
  </si>
  <si>
    <t xml:space="preserve">ADVOGADO PLENO TEMPORARIO                                                      </t>
  </si>
  <si>
    <t>35.04.03</t>
  </si>
  <si>
    <t xml:space="preserve">ADVOGADO SENIOR TEMPORARIO                                                     </t>
  </si>
  <si>
    <t>35.04.04</t>
  </si>
  <si>
    <t xml:space="preserve">ANALISTA DE SISTEMA JUNIOR TEMPORARIO                                          </t>
  </si>
  <si>
    <t>35.04.05</t>
  </si>
  <si>
    <t xml:space="preserve">ANALISTA DE SISTEMA PLENO TEMPORARIO                                           </t>
  </si>
  <si>
    <t>35.04.06</t>
  </si>
  <si>
    <t xml:space="preserve">ANALISTA DE SISTEMA SENIOR TEMPORARIO                                          </t>
  </si>
  <si>
    <t>35.04.07</t>
  </si>
  <si>
    <t xml:space="preserve">ARQUITETO JUNIOR TEMPORARIO                                                    </t>
  </si>
  <si>
    <t>35.04.08</t>
  </si>
  <si>
    <t xml:space="preserve">ARQUITETO PLENO TEMPORARIO                                                     </t>
  </si>
  <si>
    <t>35.04.09</t>
  </si>
  <si>
    <t xml:space="preserve">ARQUITETO SENIOR TEMPORARIO                                                    </t>
  </si>
  <si>
    <t>35.04.10</t>
  </si>
  <si>
    <t xml:space="preserve">AUXILIAR DE ESCRITORIO TEMPORARIO                                              </t>
  </si>
  <si>
    <t>35.04.11</t>
  </si>
  <si>
    <t xml:space="preserve">AUXILIAR DE LABORATORIO TEMPORARIO                                             </t>
  </si>
  <si>
    <t>35.04.12</t>
  </si>
  <si>
    <t xml:space="preserve">AUXILIAR DE TOPOGRAFIA TEMPORARIO                                              </t>
  </si>
  <si>
    <t>35.04.13</t>
  </si>
  <si>
    <t xml:space="preserve">AUXILIAR TECNICO TEMPORARIO                                                    </t>
  </si>
  <si>
    <t>35.04.14</t>
  </si>
  <si>
    <t xml:space="preserve">CHEFE DE ESCRITORIO TEMPORARIO                                                 </t>
  </si>
  <si>
    <t>35.04.17</t>
  </si>
  <si>
    <t xml:space="preserve">CONSULTO C TEMPORARIO                                                          </t>
  </si>
  <si>
    <t>35.04.18</t>
  </si>
  <si>
    <t xml:space="preserve">CONSULTOR INTERNACIONAL TEMPORARIO                                             </t>
  </si>
  <si>
    <t>35.04.20</t>
  </si>
  <si>
    <t xml:space="preserve">COORDENADOR TEMPORARIO                                                         </t>
  </si>
  <si>
    <t>35.04.23</t>
  </si>
  <si>
    <t xml:space="preserve">CADISTA / CALCULISTA I TEMPORARIO                                              </t>
  </si>
  <si>
    <t>35.04.24</t>
  </si>
  <si>
    <t xml:space="preserve">CADISTA / CALCULISTA II TEMPORARIO                                             </t>
  </si>
  <si>
    <t>35.04.25</t>
  </si>
  <si>
    <t xml:space="preserve">CADISTA / CALCULISTA III TEMPORARIO                                            </t>
  </si>
  <si>
    <t>35.04.26</t>
  </si>
  <si>
    <t xml:space="preserve">DIGITADOR TEMPORARIO                                                           </t>
  </si>
  <si>
    <t>35.04.27</t>
  </si>
  <si>
    <t xml:space="preserve">ECONOMISTA JUNIOR TEMPORARIO                                                   </t>
  </si>
  <si>
    <t>35.04.28</t>
  </si>
  <si>
    <t xml:space="preserve">ECONOMISTA PLENO TEMPORARIO                                                    </t>
  </si>
  <si>
    <t>35.04.29</t>
  </si>
  <si>
    <t xml:space="preserve">ECONOMISTA SENIOR TEMPORARIO                                                   </t>
  </si>
  <si>
    <t>35.04.30</t>
  </si>
  <si>
    <t xml:space="preserve">ENGENHEIRO JUNIOR TEMPORARIO                                                   </t>
  </si>
  <si>
    <t>35.04.31</t>
  </si>
  <si>
    <t xml:space="preserve">ENGENHEIRO PLENO TEMPORARIO                                                    </t>
  </si>
  <si>
    <t>35.04.32</t>
  </si>
  <si>
    <t xml:space="preserve">ENGENHEIRO SENIOR TEMPORARIO                                                   </t>
  </si>
  <si>
    <t>35.04.35</t>
  </si>
  <si>
    <t xml:space="preserve">FISCAL DE OBRA TEMPORARIO                                                      </t>
  </si>
  <si>
    <t>35.04.36</t>
  </si>
  <si>
    <t xml:space="preserve">GEOLOGO JUNIOR TEMPORARIO                                                      </t>
  </si>
  <si>
    <t>35.04.37</t>
  </si>
  <si>
    <t xml:space="preserve">GEOLOGO PLENO TEMPORARIO                                                       </t>
  </si>
  <si>
    <t>35.04.38</t>
  </si>
  <si>
    <t xml:space="preserve">GEOLOGO SENIOR TEMPORARIO                                                      </t>
  </si>
  <si>
    <t>35.04.39</t>
  </si>
  <si>
    <t xml:space="preserve">LABORATORISTA TEMPORARIO                                                       </t>
  </si>
  <si>
    <t>35.04.40</t>
  </si>
  <si>
    <t xml:space="preserve">MENSAGEIRO TEMPORARIO                                                          </t>
  </si>
  <si>
    <t>35.04.41</t>
  </si>
  <si>
    <t xml:space="preserve">MOTORISTA TEMPORARIO                                                           </t>
  </si>
  <si>
    <t>35.04.42</t>
  </si>
  <si>
    <t xml:space="preserve">NIVELADOR TEMPORARIO                                                           </t>
  </si>
  <si>
    <t>35.04.43</t>
  </si>
  <si>
    <t xml:space="preserve">PROGRAMADOR DE COMPUTADOR JUNIOR TEMPORARIO                                    </t>
  </si>
  <si>
    <t>35.04.44</t>
  </si>
  <si>
    <t xml:space="preserve">PROGRAMADOR DE COMPUTADOR PLENO TEMPORARIO                                     </t>
  </si>
  <si>
    <t>35.04.45</t>
  </si>
  <si>
    <t xml:space="preserve">PROGRAMADOR DE COMPUTADOR SENIOR TEMPORARIO                                    </t>
  </si>
  <si>
    <t>35.04.46</t>
  </si>
  <si>
    <t xml:space="preserve">PROJETISTA A / ASSISTENTE TECNICO I TEMPORARIO                                 </t>
  </si>
  <si>
    <t>35.04.47</t>
  </si>
  <si>
    <t xml:space="preserve">PROJETISTA B / ASSISTENTE TECNICO II TEMPORARIO                                </t>
  </si>
  <si>
    <t>35.04.48</t>
  </si>
  <si>
    <t xml:space="preserve">PROJETISTA C / ASSISTENTE TECNICO III TEMPORARIO                               </t>
  </si>
  <si>
    <t>35.04.49</t>
  </si>
  <si>
    <t xml:space="preserve">SECCIONISTA TEMPORARIO                                                         </t>
  </si>
  <si>
    <t>35.04.50</t>
  </si>
  <si>
    <t xml:space="preserve">SECRETARIA TEMPORARIO                                                          </t>
  </si>
  <si>
    <t>35.04.51</t>
  </si>
  <si>
    <t xml:space="preserve">TOPOGRAFO TEMPORARIO                                                           </t>
  </si>
  <si>
    <t xml:space="preserve">REPARO TOTAL DE CERCA                                                          </t>
  </si>
  <si>
    <t xml:space="preserve">REPARO PARCIAL DE CERCA - MOURAO                                               </t>
  </si>
  <si>
    <t xml:space="preserve">REPARO PARCIAL DE CERCA-ARAME                                                  </t>
  </si>
  <si>
    <t xml:space="preserve">LIMPEZA DE BUEIROS DIAMETRO D&lt;=0,60M                                           </t>
  </si>
  <si>
    <t xml:space="preserve">LIMPEZA DE BUEIROS DIAMETRO 0,6&lt;D&lt;=0,8M                                        </t>
  </si>
  <si>
    <t xml:space="preserve">LIMPEZA DE BUEIROS DIAMETRO 0,8 &lt; D &lt;=1,0M                                     </t>
  </si>
  <si>
    <t xml:space="preserve">LIMPEZA DE BUEIROS DIAMETRO 1,0&lt;D&lt;=1,20M                                       </t>
  </si>
  <si>
    <t xml:space="preserve">LIMPEZA DE BUEIROS 1,20&lt;D&lt;=1,50M                                               </t>
  </si>
  <si>
    <t xml:space="preserve">REPARO DRENAGEM SUPERFICIAL DE CONCRETO                                        </t>
  </si>
  <si>
    <t xml:space="preserve">DEMOLICAO OBRAS DE CONCRETO SIMPLES                                            </t>
  </si>
  <si>
    <t xml:space="preserve">DEMOLICAO OBRAS DE CONCRETO ARMADO                                             </t>
  </si>
  <si>
    <t xml:space="preserve">LIMPEZA DE PLACA                                                               </t>
  </si>
  <si>
    <t xml:space="preserve">LIMPEZA TACHA REFLETIVA MONO/BIDIREC                                           </t>
  </si>
  <si>
    <t xml:space="preserve">PINTURA DE CAIACAO 2 DEMAOS                                                    </t>
  </si>
  <si>
    <t xml:space="preserve">LIMPEZA SUPERFICIAL CONCRETO                                                   </t>
  </si>
  <si>
    <t xml:space="preserve">ALVENARIA DE 1 TIJOLO                                                          </t>
  </si>
  <si>
    <t xml:space="preserve">RECOLHIMENTO DE ANIMAIS                                                        </t>
  </si>
  <si>
    <t>equipe.hor</t>
  </si>
  <si>
    <t xml:space="preserve">EQUIPE PARA SERVICOS CONSERVACAO                                               </t>
  </si>
  <si>
    <t>equip/dia</t>
  </si>
  <si>
    <t xml:space="preserve">TRANSPORTE DE PESSOAL                                                          </t>
  </si>
  <si>
    <t xml:space="preserve">PINTURA LATEX ACRILICA                                                         </t>
  </si>
  <si>
    <t xml:space="preserve">REPOSICAO DE REVEST.PRIMARIO NA PISTA                                          </t>
  </si>
  <si>
    <t xml:space="preserve">REPOSICAO REVEST.PRIMARIO ACOSTAMENTO                                          </t>
  </si>
  <si>
    <t xml:space="preserve">RECONFORMACAO DE PLATAFORMA                                                    </t>
  </si>
  <si>
    <t xml:space="preserve">RECONFORMACAO DE ACOSTAMENTO                                                   </t>
  </si>
  <si>
    <t xml:space="preserve">RECOMPOSICAO MANUAL DE ATERRO                                                  </t>
  </si>
  <si>
    <t xml:space="preserve">RECOMPOSICAO MECANICA DE ATERRO                                                </t>
  </si>
  <si>
    <t xml:space="preserve">REMOCAO MANUAL DE BARREIRA                                                     </t>
  </si>
  <si>
    <t xml:space="preserve">REMOCAO MECANICA DE BARREIRA                                                   </t>
  </si>
  <si>
    <t xml:space="preserve">RETALUDAMENTO MECANICO 1A/2A CAT.                                              </t>
  </si>
  <si>
    <t xml:space="preserve">LIMP.TERRENO C/DEST.ARV.PERIMETRO&lt;=78                                          </t>
  </si>
  <si>
    <t xml:space="preserve">LIMP.TERRENO S/DESTOCAMENTO DE ARVORE                                          </t>
  </si>
  <si>
    <t xml:space="preserve">ESCAV.CARGA MATERIAL 2A.CAT.C/EXPLOSIVO                                        </t>
  </si>
  <si>
    <t xml:space="preserve">ESCAVACAO E CARGA MATERIAL DE 3A.CAT.                                          </t>
  </si>
  <si>
    <t xml:space="preserve">COMPACTACAO ATERRO MAIOR/IGUAL 95%PS                                           </t>
  </si>
  <si>
    <t xml:space="preserve">TRANSPORTE DE 1A/2A. CATEGORIA ATE 1KM                                         </t>
  </si>
  <si>
    <t xml:space="preserve">TRANSPORTE DE 1A/2A. CATEGORIA ATE 2KM                                         </t>
  </si>
  <si>
    <t xml:space="preserve">TRANSPORTE DE 1A/2A. CATEGORIA ATE 5KM                                         </t>
  </si>
  <si>
    <t xml:space="preserve">TRANSPORTE DE 1A/2A. CATEGORIA ATE 10KM                                        </t>
  </si>
  <si>
    <t xml:space="preserve">TRANSPORTE DE 1A/2A. CATEGORIA ATE 15KM                                        </t>
  </si>
  <si>
    <t xml:space="preserve">TRANSPORTE DE 1A/2A. CATEGORIA ALEM 15KM                                       </t>
  </si>
  <si>
    <t xml:space="preserve">REVESTIMENTO PRIMARIO                                                          </t>
  </si>
  <si>
    <t xml:space="preserve">REMENDO PRE-MISTURADO A QUENTE                                                 </t>
  </si>
  <si>
    <t xml:space="preserve">REMENDO PRE-MISTURADO A FRIO                                                   </t>
  </si>
  <si>
    <t xml:space="preserve">REPARO EMERGENCIAL DE PAV.-TAPA BURACO                                         </t>
  </si>
  <si>
    <t xml:space="preserve">REPARO EMERGENCIAL DE PAV.-TAPA BURACO COM CBUQ E EQUIP. C/ SILO MOVEL TERMICO </t>
  </si>
  <si>
    <t xml:space="preserve">REPARO DE BASE BRITA GRADUADA                                                  </t>
  </si>
  <si>
    <t>litro</t>
  </si>
  <si>
    <t xml:space="preserve">SELAGEM DE TRINCA COM MASTIQUE ASFALTICO                                       </t>
  </si>
  <si>
    <t xml:space="preserve">REPARO DE CONCRETO PORTLAND                                                    </t>
  </si>
  <si>
    <t xml:space="preserve">ESCAVACAO P/ REFORCO DE SUB-LEITO                                              </t>
  </si>
  <si>
    <t xml:space="preserve">COMPACTACAO PARA REFORCO DE SUB-LEITO                                          </t>
  </si>
  <si>
    <t xml:space="preserve">PREPARO E MELHORAMENTO SUB-LEITO                                               </t>
  </si>
  <si>
    <t xml:space="preserve">SUB-BASE OU BASE BRITA GRAD.SIMPLES                                            </t>
  </si>
  <si>
    <t xml:space="preserve">IMPRIMADURA BET.IMPERMEABILIZANTE                                              </t>
  </si>
  <si>
    <t xml:space="preserve">TRATAMENTO SUPERF.C/LAMA ASFALTICA                                             </t>
  </si>
  <si>
    <t xml:space="preserve">CAMADA DE LAMA ASFALTICA GROSSA                                                </t>
  </si>
  <si>
    <t xml:space="preserve">CAMADA DE ROLAMENTO CBUQ - PANOS S/DOP                                         </t>
  </si>
  <si>
    <t xml:space="preserve">CAM.BASE/REGULARIZACAO DE PMF                                                  </t>
  </si>
  <si>
    <t xml:space="preserve">CAPA SELANTE BETUMINOSA                                                        </t>
  </si>
  <si>
    <t xml:space="preserve">FRESAGEM PAVIMENTO                                                             </t>
  </si>
  <si>
    <t xml:space="preserve">REMOCAO CAMADA DE ROLAMENTO                                                    </t>
  </si>
  <si>
    <t xml:space="preserve">TRANSPORTE DE SOLO CIMENTO ATE 5 KM                                            </t>
  </si>
  <si>
    <t xml:space="preserve">SUB-BASE OU BASE SOLO CIM. 7% - PULV.                                          </t>
  </si>
  <si>
    <t xml:space="preserve">SUB-BASE OU BASE SOLO CIM. 10% - PULV.                                         </t>
  </si>
  <si>
    <t xml:space="preserve">RECICLAGEM PAVIMENTO IN LOCO                                                   </t>
  </si>
  <si>
    <t xml:space="preserve">REPARO DE GUARDA CORPO METALICO                                                </t>
  </si>
  <si>
    <t xml:space="preserve">ESCAVACAO MANUAL DE 1A/2A CATEGORIA                                            </t>
  </si>
  <si>
    <t xml:space="preserve">ESCAV.FUND.,BUEIRO OU DRENO S/EXPL.ATE2M                                       </t>
  </si>
  <si>
    <t xml:space="preserve">ACRESC.P/ESCAV. 1,5M PROF.,ALEM 2M                                             </t>
  </si>
  <si>
    <t xml:space="preserve">ESCAV.FUND.,BUEIRO OU DRENO C/EXPL.ATE2M                                       </t>
  </si>
  <si>
    <t xml:space="preserve">COMPACTACAO MANUAL,REATERRO SOLO LOCAL                                         </t>
  </si>
  <si>
    <t xml:space="preserve">FORMA PLANA P/CONCRETO COMUM                                                   </t>
  </si>
  <si>
    <t xml:space="preserve">BOMBEAMENTO P/CONC.QUALQUER RESIST.                                            </t>
  </si>
  <si>
    <t xml:space="preserve">TUBO CONCRETO D=0,40M PA-1 - FORNEC.                                           </t>
  </si>
  <si>
    <t xml:space="preserve">TUBO CONCRETO D=0,40M PA-2 - FORNEC.                                           </t>
  </si>
  <si>
    <t xml:space="preserve">TUBO CONCRETO D=0,50M PA-3 - FORNEC.                                           </t>
  </si>
  <si>
    <t xml:space="preserve">TUBO CONCRETO D=0,60M PA-1 - FORNEC.                                           </t>
  </si>
  <si>
    <t xml:space="preserve">TUBO CONCRETO D=0,60M PA-2 - FORNEC.                                           </t>
  </si>
  <si>
    <t xml:space="preserve">TUBO CONCRETO D=0,60M PA-3 - FORNEC.                                           </t>
  </si>
  <si>
    <t xml:space="preserve">TUBO CONCRETO D=0,60M PA-4 - FORNEC.                                           </t>
  </si>
  <si>
    <t xml:space="preserve">TUBO CONCRETO D=0,80M PA-1 - FORNEC.                                           </t>
  </si>
  <si>
    <t xml:space="preserve">TUBO CONCRETO D=0,80M PA-2 - FORNEC.                                           </t>
  </si>
  <si>
    <t xml:space="preserve">TUBO CONCRETO D=0,80M PA-3 - FORNEC.                                           </t>
  </si>
  <si>
    <t xml:space="preserve">TUBO CONCRETO D=0,80M PA-4 - FORNEC.                                           </t>
  </si>
  <si>
    <t xml:space="preserve">TUBO CONCRETO D=1,00M PA-1 - FORNEC.                                           </t>
  </si>
  <si>
    <t xml:space="preserve">TUBO CONCRETO D=1,20M PA-1 - FORNEC.                                           </t>
  </si>
  <si>
    <t xml:space="preserve">TUBO CONCRETO D=1,50M PA-1 - FORNEC.                                           </t>
  </si>
  <si>
    <t xml:space="preserve">TUBO CONCRETO D=0,40M ASSENTAMENTO                                             </t>
  </si>
  <si>
    <t xml:space="preserve">TUBO CONCRETO D=0,50M ASSENTAMENTO                                             </t>
  </si>
  <si>
    <t xml:space="preserve">TUBO CONCRETO D=0,60M ASSENTAMENTO                                             </t>
  </si>
  <si>
    <t xml:space="preserve">TUBO CONCRETO D=0,80M ASSENTAMENTO                                             </t>
  </si>
  <si>
    <t xml:space="preserve">TUBO CONCRETO D=1,00M ASSENTAMENTO                                             </t>
  </si>
  <si>
    <t xml:space="preserve">TUBO CONCRETO D=1,20M ASSENTAMENTO                                             </t>
  </si>
  <si>
    <t xml:space="preserve">TUBO CONCRETO D=1,50M ASSENTAMENTO                                             </t>
  </si>
  <si>
    <t xml:space="preserve">TUBO PVC PERFURADO OU NAO D=0,050M                                             </t>
  </si>
  <si>
    <t xml:space="preserve">TUBO PVC PERFURADO OU NAO D=0,10M                                              </t>
  </si>
  <si>
    <t xml:space="preserve">TUBO PVC PERFURADO OU NAO D=0,15M                                              </t>
  </si>
  <si>
    <t xml:space="preserve">MANTA GEOTEXTIL NAO TECIDA                                                     </t>
  </si>
  <si>
    <t xml:space="preserve">MANTA GEOTEXTIL NAO TECIDA RESISTENCIA LONGITUDINAL 7KN/M                      </t>
  </si>
  <si>
    <t xml:space="preserve">MANTA GEOTEXTIL NAO TECIDA RESISTENCIA LONGITUDINAL 8KN/M                      </t>
  </si>
  <si>
    <t xml:space="preserve">MANTA GEOTEXTIL NAO TECIDA RESISTENCIA LONGITUDINAL 9KN/M                      </t>
  </si>
  <si>
    <t xml:space="preserve">MANTA GEOTEXTIL TECIDA RESISTENCIA LONGITUDINAL 24 KN/M                        </t>
  </si>
  <si>
    <t xml:space="preserve">MANTA GEOTEXTIL TECIDA RESISTENCIA LONGITUDINAL 48 KN/M                        </t>
  </si>
  <si>
    <t xml:space="preserve">ENCHIMENTO DE VALA COM AREIA LAVADA                                            </t>
  </si>
  <si>
    <t xml:space="preserve">ENCHIMENTO DE VALA COM PEDRA RACHAO                                            </t>
  </si>
  <si>
    <t xml:space="preserve">TUBO ACO CORRUGADO GALV.MET.NAO DESTRUT.                                       </t>
  </si>
  <si>
    <t xml:space="preserve">TUBO ACO CORR.EPOXI MET. DESTRUTIVO                                            </t>
  </si>
  <si>
    <t xml:space="preserve">SUPORTE DE PERFIL METALICO GALVANIZADO                                         </t>
  </si>
  <si>
    <t xml:space="preserve">SUPORTE DE TUBO GALVANIZADO D=2 1/2"                                           </t>
  </si>
  <si>
    <t xml:space="preserve">SUBSTITUICAO DE DEFENSA SEMI-MALEAVEL                                          </t>
  </si>
  <si>
    <t xml:space="preserve">TACHA REFLETIVA MONODIRECIONAL TIPO III OU IV ABNT (VIDRO OU PRISMATICA)       </t>
  </si>
  <si>
    <t xml:space="preserve">TACHA REFLETIVA BIDIRECIONAL TIPO III OU ABNT (VIDRO OU PRISMATICA)            </t>
  </si>
  <si>
    <t xml:space="preserve">MINI TACHAO MONODIRECIONAL REFL.VIDRO                                          </t>
  </si>
  <si>
    <t xml:space="preserve">MINI TACHAO BIDIRECIONAL REFL.VIDRO                                            </t>
  </si>
  <si>
    <t xml:space="preserve">SINALIZ.HORIZ.ACRIL.BASE DE AGUA                                               </t>
  </si>
  <si>
    <t xml:space="preserve">RENOV.TINTA RES.ACRIL./VINILICA                                                </t>
  </si>
  <si>
    <t xml:space="preserve">RENOV.MAT.TERMOPL.ASPERSAO                                                     </t>
  </si>
  <si>
    <t xml:space="preserve">RENOV.MAT.TERMOPL.EXTRUSAO                                                     </t>
  </si>
  <si>
    <t xml:space="preserve">SINALIZ.HORIZ.ACRIL.BASE AGUA C/VISIBE.                                        </t>
  </si>
  <si>
    <t xml:space="preserve">COLOCACAO DE PLACA EM SUPORTE DE MADEIRA OU METALICO - SOLO                    </t>
  </si>
  <si>
    <t xml:space="preserve">COLOCACAO DE PLACA AEREA EM PORTICOS OU SEMI-PORTICOS.                         </t>
  </si>
  <si>
    <t xml:space="preserve">FORNECIMENTO E TRANSPORTE DE PLACA DE ACO GT+GT.                               </t>
  </si>
  <si>
    <t xml:space="preserve">FORNECIMENTO E TRANSPORTE DE PLACA MOD. ALUMINIO GT+GT.                        </t>
  </si>
  <si>
    <t xml:space="preserve">FORN.E COL.PL.AL.MOD.GT+AI PORT/SEMI PORT                                      </t>
  </si>
  <si>
    <t xml:space="preserve">DISP.MARCADOR ALINHAM-BARR.PLAST.BICOLOR                                       </t>
  </si>
  <si>
    <t xml:space="preserve">DISP.MARC.ALINH.-CILINDRO CANAL. TRAFEGO                                       </t>
  </si>
  <si>
    <t xml:space="preserve">DISP.DELIMITADOR-BALIZADOR CIL.C/PEL.AI                                        </t>
  </si>
  <si>
    <t xml:space="preserve">DISP.MARCADOR ALINH-BAIA P/BALIZ.SIMPLES                                       </t>
  </si>
  <si>
    <t xml:space="preserve">LAMELA ANT. DEFENSA H=0,80M                                                    </t>
  </si>
  <si>
    <t xml:space="preserve">DISPOSITIVO DELIMITADOR-BALIZADOR DE SOLO                                      </t>
  </si>
  <si>
    <t xml:space="preserve">GRAMA EM PLACA COM ADUBO                                                       </t>
  </si>
  <si>
    <t xml:space="preserve">ROCADA MECANICA                                                                </t>
  </si>
  <si>
    <t xml:space="preserve">CAPINA MANUAL                                                                  </t>
  </si>
  <si>
    <t xml:space="preserve">CAPINA QUIMICA                                                                 </t>
  </si>
  <si>
    <t xml:space="preserve">CONSERVACAO MANUAL DE ACEIRO                                                   </t>
  </si>
  <si>
    <t xml:space="preserve">DESPRAGUEJAMENTO MANUAL DE GRAMADO                                             </t>
  </si>
  <si>
    <t xml:space="preserve">REMOCAO LIXO ENTULHO                                                           </t>
  </si>
  <si>
    <t xml:space="preserve">ACAB.CONCRETO DE SUPERF.B-436 - COND. A                                        </t>
  </si>
  <si>
    <t xml:space="preserve">ACAB.CONCRETO DE SUPERF.B-436 - COND. B                                        </t>
  </si>
  <si>
    <t xml:space="preserve">ACAB.CONCRETO DE SUPERF.B-436 - COND. C                                        </t>
  </si>
  <si>
    <t xml:space="preserve">ACAB. CONCRETO DE SUPERF.B-436 - COND. D                                       </t>
  </si>
  <si>
    <t xml:space="preserve">ACAB.DE CONCRETO SUPERF.BG-38 - COND. A                                        </t>
  </si>
  <si>
    <t xml:space="preserve">ACAB.DE CONCRETO SUPERF.BG-38 - COND. B                                        </t>
  </si>
  <si>
    <t xml:space="preserve">ACAB.DE CONCRETO SUPERF.BG-38 - COND. C                                        </t>
  </si>
  <si>
    <t xml:space="preserve">ACAB.DE CONCRETO SUPERF.BG-38 - COND. D                                        </t>
  </si>
  <si>
    <t>veic.mens</t>
  </si>
  <si>
    <t xml:space="preserve">VEICULO C/CAPAC.P/4 PES. 1.000CC COND. A                                       </t>
  </si>
  <si>
    <t xml:space="preserve">VEICULO C/CAPAC.P/4 PES. 1.000CC COND. B                                       </t>
  </si>
  <si>
    <t xml:space="preserve">VEICULO C/CAPAC.P/4 PES. 1.000CC COND. C                                       </t>
  </si>
  <si>
    <t xml:space="preserve">VEICULO C/CAPAC.P/4 PES. 1.000CC COND. D                                       </t>
  </si>
  <si>
    <t xml:space="preserve">VEICULO C/CAPAC.P/4 PES. 1.000CC COND. E                                       </t>
  </si>
  <si>
    <t xml:space="preserve">VEICULO C/CAPAC.P/4 PES.1000CC COND. F                                         </t>
  </si>
  <si>
    <t xml:space="preserve">VEICULO UTIL.CAMIONETE P/3 PES. COND. A                                        </t>
  </si>
  <si>
    <t xml:space="preserve">VEICULO UTIL.CAMIONETE P/3 PES. COND. B                                        </t>
  </si>
  <si>
    <t xml:space="preserve">VEICULO UTIL.CAMIONETE P/3 PES. COND. C                                        </t>
  </si>
  <si>
    <t xml:space="preserve">VEICULO UTIL.CAMIONETE P/3 PES. COND. D                                        </t>
  </si>
  <si>
    <t xml:space="preserve">VEICULO UTIL.CAMIONETE P/ 3 PES. COND. E                                       </t>
  </si>
  <si>
    <t xml:space="preserve">VEICULO UTIL.CAMIONETE P/3 PES.COND. F                                         </t>
  </si>
  <si>
    <t xml:space="preserve">VEICULO DE PREMARCACAO - COND. A                                               </t>
  </si>
  <si>
    <t xml:space="preserve">VEICULO DE PREMARCACAO - COND. B                                               </t>
  </si>
  <si>
    <t xml:space="preserve">VEICULO DE PREMARCACAO - COND. C                                               </t>
  </si>
  <si>
    <t xml:space="preserve">VEICULO DE PREMARCACAO - COND. D                                               </t>
  </si>
  <si>
    <t xml:space="preserve">VEICULO PEQUENO 1.6CC COM AR E DIRECAO HIDRAULICA - CONDICAO A                 </t>
  </si>
  <si>
    <t xml:space="preserve">VEICULO PEQUENO 1.6CC COM AR E DIRECAO HIDRAULICA - CONDICAO B                 </t>
  </si>
  <si>
    <t xml:space="preserve">VEICULO PEQUENO 1.6CC COM AR E DIRECAO HIDRAULICA - CONDICAO C                 </t>
  </si>
  <si>
    <t xml:space="preserve">VEICULO C/ CAP.P/4.PESSOAS 1.600CC C/ AR + DIR.HID. + AIR BAG - COND.D         </t>
  </si>
  <si>
    <t xml:space="preserve">VEICULO PEQUENO 1.6CC COM AR E DIRECAO HIDRAULICA - CONDICAO E                 </t>
  </si>
  <si>
    <t xml:space="preserve">VEICULO PEQUENO 1.6CC COM AR E DIRECAO HIDRAULICA - CONDICAO F                 </t>
  </si>
  <si>
    <t xml:space="preserve">VEICULO UTILITARIO COM MINIMO DE 10 LUGARES COM AR E DIR. HID. CONDICAO A      </t>
  </si>
  <si>
    <t xml:space="preserve">VEICULO UTILITARIO COM MINIMO DE 10 LUGARES COM AR E DIR. HID. CONDICAOB       </t>
  </si>
  <si>
    <t xml:space="preserve">VEICULO UTILITARIO COM MINIMO DE 10 LUGARES COM AR E DIR. HID. CONDICAO C      </t>
  </si>
  <si>
    <t xml:space="preserve">VEICULO UTILITARIO C/MIN.10LUGARES C/ AR + DIR.HID. COND.D                     </t>
  </si>
  <si>
    <t xml:space="preserve">VEICULO UTILITARIO COM MINIMO DE 10 LUGARES COM AR E DIR. HID. CONDICAOE       </t>
  </si>
  <si>
    <t xml:space="preserve">VEICULO UTILITARIO COM MINIMO DE 10 LUGARES COM AR E DIR. HID. CONDICAOF       </t>
  </si>
  <si>
    <t xml:space="preserve">VEICULO UTILITARIO PICK-UP COM AR E DIR. HID. CONDICAO A                       </t>
  </si>
  <si>
    <t xml:space="preserve">VEICULO UTILITARIO PICK-UP COM AR E DIR. HID. CONDICAOB                        </t>
  </si>
  <si>
    <t xml:space="preserve">VEICULO UTILITARIO PICK-UP COM AR E DIR. HID. CONDICAO C                       </t>
  </si>
  <si>
    <t xml:space="preserve">VEICULO UTILITARIO CAMIONETE P/3 PESSOAS C/ AR + DIR.HID.+ AIRBAG              </t>
  </si>
  <si>
    <t xml:space="preserve">VEICULO UTILITARIO PICK-UP COM AR E DIR. HID. CONDICAO E                       </t>
  </si>
  <si>
    <t xml:space="preserve">VEICULO UTILITARIO PICK-UP COM AR E DIR. HID. CONDICAOF                        </t>
  </si>
  <si>
    <t xml:space="preserve">BATE ESTACA 40 ATE 80 T - COND. A                                              </t>
  </si>
  <si>
    <t xml:space="preserve">BATE ESTACA 40 ATE 80 T - COND. B                                              </t>
  </si>
  <si>
    <t xml:space="preserve">BATE ESTACA 40 ATE 80 T - COND. C                                              </t>
  </si>
  <si>
    <t xml:space="preserve">BATE ESTACA 40 ATE 80 T - COND. D                                              </t>
  </si>
  <si>
    <t xml:space="preserve">BATE ESTACA ATE 40T COND. A                                                    </t>
  </si>
  <si>
    <t xml:space="preserve">BATE ESTACA ATE 40T CONDI. B                                                   </t>
  </si>
  <si>
    <t xml:space="preserve">BATE ESTACA ATE 40T COND. C                                                    </t>
  </si>
  <si>
    <t xml:space="preserve">BATE ESTACA ATE 40T COND. D                                                    </t>
  </si>
  <si>
    <t xml:space="preserve">BETONEIRA 320L MOTOR ELETRICO COND.A                                           </t>
  </si>
  <si>
    <t xml:space="preserve">BETONEIRA 320L MOTOR ELETRICO COND.B                                           </t>
  </si>
  <si>
    <t xml:space="preserve">BETONEIRA 320L MOTOR ELETRICO COND.C                                           </t>
  </si>
  <si>
    <t xml:space="preserve">BETONEIRA 320L MOTOR ELETRICO COND.D                                           </t>
  </si>
  <si>
    <t xml:space="preserve">BETONEIRA 320L MOTOR GASOLINA COND. A                                          </t>
  </si>
  <si>
    <t xml:space="preserve">BETONEIRA 320L MOTOR GASOLINA COND. B                                          </t>
  </si>
  <si>
    <t xml:space="preserve">BETONEIRA 320L MOTOR GASOLINA COND. C                                          </t>
  </si>
  <si>
    <t xml:space="preserve">BETONEIRA 320L MOTOR GASOLINA COND. D                                          </t>
  </si>
  <si>
    <t xml:space="preserve">BETONEIRA 580L ELETRICA C/CARREG. COND.A                                       </t>
  </si>
  <si>
    <t xml:space="preserve">BETONEIRA 580L ELETRICA C/CARREG. COND.B                                       </t>
  </si>
  <si>
    <t xml:space="preserve">BETONEIRA 580L ELETRICA C/CARREG. COND.C                                       </t>
  </si>
  <si>
    <t xml:space="preserve">BETONEIRA 580L ELETRICA C/CARREG. COND.D                                       </t>
  </si>
  <si>
    <t xml:space="preserve">BETONEIRA 580L MOTOR A DIESEL COND. A                                          </t>
  </si>
  <si>
    <t xml:space="preserve">BETONEIRA 580L MOTOR A DIESEL COND. B                                          </t>
  </si>
  <si>
    <t xml:space="preserve">BETONEIRA 580L MOTOR A DIESEL COND. C                                          </t>
  </si>
  <si>
    <t xml:space="preserve">BETONEIRA 580L MOTOR A DIESEL - COND. D                                        </t>
  </si>
  <si>
    <t xml:space="preserve">BOMBA DREN.SUBMER.ELETR.27M3/H COND. A                                         </t>
  </si>
  <si>
    <t xml:space="preserve">BOMBA DREN.SUBMER.ELETR.27M3/H COND. B                                         </t>
  </si>
  <si>
    <t xml:space="preserve">BOMBA DREN.SUBMER.ELETR.27M3/H COND. C                                         </t>
  </si>
  <si>
    <t xml:space="preserve">BOMBA DREN.SUBMER.ELETR.27M3/H COND. D                                         </t>
  </si>
  <si>
    <t xml:space="preserve">BOMBA DREN.SUBMER.ELETR.60M3/H COND. A                                         </t>
  </si>
  <si>
    <t xml:space="preserve">BOMBA DREN.SUBMER.ELETR.60M3/H COND. B                                         </t>
  </si>
  <si>
    <t xml:space="preserve">BOMBA DREN.SUBMER.ELETR.60M3/H COND. C                                         </t>
  </si>
  <si>
    <t xml:space="preserve">BOMBA DREN.SUBMER.ELETR.60M3/H COND. D                                         </t>
  </si>
  <si>
    <t xml:space="preserve">BOMBA DREN.SUBMER.ELETR.144M3/H COND. A                                        </t>
  </si>
  <si>
    <t xml:space="preserve">BOMBA DREN.SUBMER.ELETR.144M3/H COND. B                                        </t>
  </si>
  <si>
    <t xml:space="preserve">BOMBA DREN.SUBMER.ELETR.144M3/H COND. C                                        </t>
  </si>
  <si>
    <t xml:space="preserve">BOMBA DREN.SUBMER.ELETR.144M3/H COND. D                                        </t>
  </si>
  <si>
    <t xml:space="preserve">BOMBA DREN.SUBMER.ELETR.180M3/H COND. A                                        </t>
  </si>
  <si>
    <t xml:space="preserve">BOMBA DREN.SUBMER.ELETR.180M3/H COND. B                                        </t>
  </si>
  <si>
    <t xml:space="preserve">BOMBA DREN.SUBMER.ELETR.180M3/H COND. C                                        </t>
  </si>
  <si>
    <t xml:space="preserve">BOMBA DREN.SUBMER.ELETR.180M3/H COND. D                                        </t>
  </si>
  <si>
    <t xml:space="preserve">BOMBA DREN.SUB.GAS.60.000L/H COND. A                                           </t>
  </si>
  <si>
    <t xml:space="preserve">BOMBA DREN.SUB.GAS.60.000L/H COND. B                                           </t>
  </si>
  <si>
    <t xml:space="preserve">BOMBA DREN.SUB.GAS.60.000L/H COND. C                                           </t>
  </si>
  <si>
    <t xml:space="preserve">BOMBA DREN.SUB.GAS.60.000L/H COND. D                                           </t>
  </si>
  <si>
    <t xml:space="preserve">BOMBA INJ.PROJ.NATA CIM.ARG.1M3/H COND.A                                       </t>
  </si>
  <si>
    <t xml:space="preserve">BOMBA INJ.PROJ.NATA CIM.ARG.1M3/H COND.B                                       </t>
  </si>
  <si>
    <t xml:space="preserve">BOMBA INJ.PROJ.NATA CIM.ARG.1M3/H COND.C                                       </t>
  </si>
  <si>
    <t xml:space="preserve">BOMBA INJ.PROJ.NATA CIM.ARG.1M3/H COND.D                                       </t>
  </si>
  <si>
    <t xml:space="preserve">BOMBA INJ.PROJ.NATA CIM.ARG.3M3/H COND.A                                       </t>
  </si>
  <si>
    <t xml:space="preserve">BOMBA INJ.PROJ.NATA CIM.ARG.3M3/H COND.B                                       </t>
  </si>
  <si>
    <t xml:space="preserve">BOMBA INJ.PROJ.NATA CIM.ARG.3M3/H COND.C                                       </t>
  </si>
  <si>
    <t xml:space="preserve">BOMBA INJ.PROJ.NATA CIM.ARG.3M3/H COND.D                                       </t>
  </si>
  <si>
    <t xml:space="preserve">BOM.INJ.PROJ.CONCR.35M3/H COND. A                                              </t>
  </si>
  <si>
    <t xml:space="preserve">BOM.INJ.PROJ.CONCR.35M3/H COND. B                                              </t>
  </si>
  <si>
    <t xml:space="preserve">BOM.INJ.PROJ.CONCR.35M3/H COND. C                                              </t>
  </si>
  <si>
    <t xml:space="preserve">BOM.INJ.PROJ.CONCR.35M3/H COND. D                                              </t>
  </si>
  <si>
    <t xml:space="preserve">BOMBA PROJECAO DE CONC.MAN.10M3/H COND.A                                       </t>
  </si>
  <si>
    <t xml:space="preserve">BOMBA PROJECAO DE CONC.MAN.10M3/H COND.B                                       </t>
  </si>
  <si>
    <t xml:space="preserve">BOMBA PROJECAO DE CONC.MAN.10M3/H COND.C                                       </t>
  </si>
  <si>
    <t xml:space="preserve">BOMBA PROJECAO DE CONC.MAN.10M3/H COND.D                                       </t>
  </si>
  <si>
    <t xml:space="preserve">BOM.PROJ.CONC.C/LANCA TEL.23M3/H COND.A                                        </t>
  </si>
  <si>
    <t xml:space="preserve">BOM.PROJ.CONC.C/LANCA TEL.23M3/H COND.B                                        </t>
  </si>
  <si>
    <t xml:space="preserve">BOM.PROJ.CONC.C/LANCA TEL.23M3/H COND.C                                        </t>
  </si>
  <si>
    <t xml:space="preserve">BOM.PROJ.CONC.C/LANCA TEL 23M3/H COND.D                                        </t>
  </si>
  <si>
    <t xml:space="preserve">BOMBA HIDRAULICA PARA PROTENSAO COND.A                                         </t>
  </si>
  <si>
    <t xml:space="preserve">BOMBA HIDRAULICA PARA PROTENSAO COND.B                                         </t>
  </si>
  <si>
    <t xml:space="preserve">BOMBA HIDRAULICA PARA PROTENSAO COND.C                                         </t>
  </si>
  <si>
    <t xml:space="preserve">BOMBA HIDRAULICA PARA PROTENSAO COND.D                                         </t>
  </si>
  <si>
    <t xml:space="preserve">MACACO PROTENSAO S-6 COND. A                                                   </t>
  </si>
  <si>
    <t xml:space="preserve">MACACO PROTENSAO S-6 COND. B                                                   </t>
  </si>
  <si>
    <t xml:space="preserve">MACACO PROTENSAO S-6 COND. C                                                   </t>
  </si>
  <si>
    <t xml:space="preserve">MACACO PROTENSAO S-6 COND. D                                                   </t>
  </si>
  <si>
    <t xml:space="preserve">MACACO PROTENSAO K-350 COND. A                                                 </t>
  </si>
  <si>
    <t xml:space="preserve">MACACO PROTENSAO K-350 COND. B                                                 </t>
  </si>
  <si>
    <t xml:space="preserve">MACACO PROTENSAO K-350 COND. C                                                 </t>
  </si>
  <si>
    <t xml:space="preserve">MACACO PROTENSAO K-350 COND. D                                                 </t>
  </si>
  <si>
    <t xml:space="preserve">CAMINHAO IRRIGADEIRA 6000L COND. A                                             </t>
  </si>
  <si>
    <t xml:space="preserve">CAMINHAO IRRIGADEIRA 6000L COND. B                                             </t>
  </si>
  <si>
    <t xml:space="preserve">CAMINHAO IRRIGADEIRA 6000L COND. C                                             </t>
  </si>
  <si>
    <t xml:space="preserve">CAMINHAO IRRIGADEIRA 6000L COND. D                                             </t>
  </si>
  <si>
    <t xml:space="preserve">CAMINHAO IRRIGADEIRA 6000L COND. E                                             </t>
  </si>
  <si>
    <t xml:space="preserve">CAMINHAO IRRIGADEIRA 9000L COND. A                                             </t>
  </si>
  <si>
    <t xml:space="preserve">CAMINHAO IRRIGADEIRA 9000L COND. B                                             </t>
  </si>
  <si>
    <t xml:space="preserve">CAMINHAO IRRIGADEIRA 9000L COND. C                                             </t>
  </si>
  <si>
    <t xml:space="preserve">CAMINHAO IRRIGADEIRA 9000L COND. D                                             </t>
  </si>
  <si>
    <t xml:space="preserve">CAMINHAO IRRIGADEIRA 9000L COND. E                                             </t>
  </si>
  <si>
    <t xml:space="preserve">CAMINHAO BASCULANTE 5M3 COND. A                                                </t>
  </si>
  <si>
    <t xml:space="preserve">CAMINHAO BASCULANTE 5M3 COND. B                                                </t>
  </si>
  <si>
    <t xml:space="preserve">CAMINHAO BASCULANTE 5M3 COND. C                                                </t>
  </si>
  <si>
    <t xml:space="preserve">CAMINHAO BASCULANTE 5M3 COND. D                                                </t>
  </si>
  <si>
    <t xml:space="preserve">CAMINHAO BASCULANTE 5M3 COND. E                                                </t>
  </si>
  <si>
    <t xml:space="preserve">CAMINHAO BASCULANTE 8M3 COND. A                                                </t>
  </si>
  <si>
    <t xml:space="preserve">CAMINHAO BASCULANTE 8M3 COND. B                                                </t>
  </si>
  <si>
    <t xml:space="preserve">CAMINHAO BASCULANTE 8M3 COND. C                                                </t>
  </si>
  <si>
    <t xml:space="preserve">CAMINHAO BASCULANTE 8M3 COND. D                                                </t>
  </si>
  <si>
    <t xml:space="preserve">CAMINHAO BASCULANTE 8M3 COND. E                                                </t>
  </si>
  <si>
    <t xml:space="preserve">CHAS.BASC.12M3 C-A                                                             </t>
  </si>
  <si>
    <t xml:space="preserve">CHAS.BASC.12M3 C-B                                                             </t>
  </si>
  <si>
    <t xml:space="preserve">CHAS.BASC.12M3 C-C                                                             </t>
  </si>
  <si>
    <t xml:space="preserve">CAMINHAO BASCULANTE 12M3 COND. D                                               </t>
  </si>
  <si>
    <t xml:space="preserve">CHAS.BASC.12M3 C-E                                                             </t>
  </si>
  <si>
    <t xml:space="preserve">CAMINHAO BASC.FORA ESTR. 18,3M3 COND. A                                        </t>
  </si>
  <si>
    <t xml:space="preserve">CAMINHAO BASC. FORA ESTR. 18,3M3 COND. B                                       </t>
  </si>
  <si>
    <t xml:space="preserve">CAMINHAO BASC. FORA ESTR. 18.3M3 COND. C                                       </t>
  </si>
  <si>
    <t xml:space="preserve">CAMINHAO BASC.FORA ESTR. 18,3M3 COND. D                                        </t>
  </si>
  <si>
    <t xml:space="preserve">CAMINHAO BASC.FORA ESTR.18,3M3 COND. E                                         </t>
  </si>
  <si>
    <t xml:space="preserve">CAMINHAO BETONEIRA 5M3 COND. A                                                 </t>
  </si>
  <si>
    <t xml:space="preserve">CAMINHAO BETONEIRA 5M3 COND. B                                                 </t>
  </si>
  <si>
    <t xml:space="preserve">CAMINHAO BETONEIRA 5M3 COND. C                                                 </t>
  </si>
  <si>
    <t xml:space="preserve">CAMINHAO BETONEIRA 5M3 COND. D                                                 </t>
  </si>
  <si>
    <t xml:space="preserve">CAMINHAO BETONEIRA 5M3 COND. E                                                 </t>
  </si>
  <si>
    <t xml:space="preserve">CAMINHAO BETONEIRA 7M3 COND. A                                                 </t>
  </si>
  <si>
    <t xml:space="preserve">CAMINHAO BETONEIRA 7M3 COND. B                                                 </t>
  </si>
  <si>
    <t xml:space="preserve">CAMINHAO BETONEIRA 7M3 COND. C                                                 </t>
  </si>
  <si>
    <t xml:space="preserve">CAMINHAO BETONEIRA 7M3 COND. D                                                 </t>
  </si>
  <si>
    <t xml:space="preserve">CAMINHAO BETONEIRA 7M3 COND. E                                                 </t>
  </si>
  <si>
    <t xml:space="preserve">CAMINHAO P/BOMBEAMENTO DE CONC. COND. A                                        </t>
  </si>
  <si>
    <t xml:space="preserve">CAMINHAO P/BOMBEAMENTO DE CONC. COND. B                                        </t>
  </si>
  <si>
    <t xml:space="preserve">CAMINHAO P/BOMBEAMENTO DE CONC. COND. C                                        </t>
  </si>
  <si>
    <t xml:space="preserve">CAMINHAO P/BOMBEAMENTO DE CONC. COND. D                                        </t>
  </si>
  <si>
    <t xml:space="preserve">CAMINHAO P/BOMBEAMENTO DE CONC. COND. E                                        </t>
  </si>
  <si>
    <t xml:space="preserve">CAMINHAO CARROC. MADEIRA 4,5T COND. A                                          </t>
  </si>
  <si>
    <t xml:space="preserve">CAMINHAO CARROC. MADEIRA 4,5T COND. B                                          </t>
  </si>
  <si>
    <t xml:space="preserve">CAMINHAO CARROC. MADEIRA 4,5T COND. C                                          </t>
  </si>
  <si>
    <t xml:space="preserve">CAMINHAO CARROC. MADEIRA 4,5T COND. D                                          </t>
  </si>
  <si>
    <t xml:space="preserve">CAMINHAO CARROC. MADEIRA 4,5 T COND. E                                         </t>
  </si>
  <si>
    <t xml:space="preserve">CAMINHAO CARROC. MADEIRA 8,0T COND. A                                          </t>
  </si>
  <si>
    <t xml:space="preserve">CAMINHAO CARROC. MADEIRA 8,0T COND. B                                          </t>
  </si>
  <si>
    <t xml:space="preserve">CAMINHAO CARROC. MADEIRA 8,0T COND. C                                          </t>
  </si>
  <si>
    <t xml:space="preserve">CAMINHAO CARROC. MADEIRA 8,0T COND. D                                          </t>
  </si>
  <si>
    <t xml:space="preserve">CAMINHAO CARROC. MADEIRA 8,0 TON COND. E                                       </t>
  </si>
  <si>
    <t xml:space="preserve">CAMINHAO CARROC. MADEIRA 10,5T COND. A                                         </t>
  </si>
  <si>
    <t xml:space="preserve">CAMINHAO CARROC. MADEIRA 10,5T COND. B                                         </t>
  </si>
  <si>
    <t xml:space="preserve">CAMINHAO CARROC. MADEIRA 10,5T COND. C                                         </t>
  </si>
  <si>
    <t xml:space="preserve">CAMINHAO CARROC. MADEIRA 10,5T COND. D                                         </t>
  </si>
  <si>
    <t xml:space="preserve">CAMINHAO CARROC. MADEIRA 10,5T COND. E                                         </t>
  </si>
  <si>
    <t xml:space="preserve">CAMINHAO PARA LUBRIFICACAO 3000L COND. A                                       </t>
  </si>
  <si>
    <t xml:space="preserve">CAMINHAO PARA LUBRIFICACAO 3000L COND. B                                       </t>
  </si>
  <si>
    <t xml:space="preserve">CAMINHAO PARA LUBRIFICACAO 3000L COND. C                                       </t>
  </si>
  <si>
    <t xml:space="preserve">CAMINHAO PARA LUBRIFICACAO 3000L COND. D                                       </t>
  </si>
  <si>
    <t xml:space="preserve">CAMINHAO P/ LUBRIFICACAO 3000L COND. E                                         </t>
  </si>
  <si>
    <t xml:space="preserve">CAMINHAO PARA LUBRIFICACAO 7000L COND. A                                       </t>
  </si>
  <si>
    <t xml:space="preserve">CAMINHAO PARA LUBRIFICACAO 7000L COND. B                                       </t>
  </si>
  <si>
    <t xml:space="preserve">CAMINHAO PARA LUBRIFICACAO 7000L COND. C                                       </t>
  </si>
  <si>
    <t xml:space="preserve">CAMINHAO PARA LUBRIFICACAO 7000L COND. D                                       </t>
  </si>
  <si>
    <t xml:space="preserve">CAMINHAO P/LUBRIFICACAO 7000L COND. E                                          </t>
  </si>
  <si>
    <t xml:space="preserve">CAMINHAO ABASTECEDOR COND. A                                                   </t>
  </si>
  <si>
    <t xml:space="preserve">CAMINHAO ABASTECEDOR COND. B                                                   </t>
  </si>
  <si>
    <t xml:space="preserve">CAMINHAO ABASTECEDOR COND. C                                                   </t>
  </si>
  <si>
    <t xml:space="preserve">CAMINHAO ABASTECEDOR COND. D                                                   </t>
  </si>
  <si>
    <t xml:space="preserve">CAMINHAO ABASTECEDOR COND. E                                                   </t>
  </si>
  <si>
    <t xml:space="preserve">CAMINHAO CARROC.BOIAD.R.8T COND. A                                             </t>
  </si>
  <si>
    <t xml:space="preserve">CAMINHAO CARROC.BOIAD.R.8T COND. B                                             </t>
  </si>
  <si>
    <t xml:space="preserve">CAMINHAO CARROC.BOIAD.R.8T COND. C                                             </t>
  </si>
  <si>
    <t xml:space="preserve">CAMINHAO CARROC.BOIAD.R.8T COND. D                                             </t>
  </si>
  <si>
    <t xml:space="preserve">CAMINHAO HIDROSSEMEADOR 5600L COND. A                                          </t>
  </si>
  <si>
    <t xml:space="preserve">CAMINHAO HIDROSSEMEADOR 5600L COND. B                                          </t>
  </si>
  <si>
    <t xml:space="preserve">CAMINHAO HIDROSSEMEADOR 5600L COND. C                                          </t>
  </si>
  <si>
    <t xml:space="preserve">CAMINHAO HIDROSSEMEADOR 5600L COND. D                                          </t>
  </si>
  <si>
    <t xml:space="preserve">CAMINHAO HIDROSSEMEADOR 5600L COND. E                                          </t>
  </si>
  <si>
    <t xml:space="preserve">CAMINHAO ESPARGIDOR 6000L COND. A                                              </t>
  </si>
  <si>
    <t xml:space="preserve">CAMINHAO ESPARGIDOR 6000L COND. B                                              </t>
  </si>
  <si>
    <t xml:space="preserve">CAMINHAO ESPARGIDOR 6000L COND. C                                              </t>
  </si>
  <si>
    <t xml:space="preserve">CAMINHAO ESPARGIDOR 6000L COND. D                                              </t>
  </si>
  <si>
    <t xml:space="preserve">CAMINHAO ESPARGIDOR 6000L COND. E                                              </t>
  </si>
  <si>
    <t xml:space="preserve">CAMINHAO GUINCHO LANC.TELES.3,75T COND.A                                       </t>
  </si>
  <si>
    <t xml:space="preserve">CAMINHAO GUINCHO LANC.TELES.3,75T COND.B                                       </t>
  </si>
  <si>
    <t xml:space="preserve">CAMINHAO GUINCHO LANC.TELES.3,75T COND.C                                       </t>
  </si>
  <si>
    <t xml:space="preserve">CAMINHAO GUINCHO LANC.TELES.3,75T COND.D                                       </t>
  </si>
  <si>
    <t xml:space="preserve">CAMINHAO GUINCHO LANC.TELES.3,75T COND.E                                       </t>
  </si>
  <si>
    <t xml:space="preserve">CAMINHAO GUINCHO LANC.TELES.4,10T COND.A                                       </t>
  </si>
  <si>
    <t xml:space="preserve">CAMINHAO GUINCHO LANC.TELES.4,10T COND.B                                       </t>
  </si>
  <si>
    <t xml:space="preserve">CAMINHAO GUINCHO LANC.TELES.4,10T COND.C                                       </t>
  </si>
  <si>
    <t xml:space="preserve">CAMINHAO GUINCHO LANC.TELES.4,10T COND.D                                       </t>
  </si>
  <si>
    <t xml:space="preserve">CAMINHAO GUINCHO LANC.TELES.4,10T COND.E                                       </t>
  </si>
  <si>
    <t xml:space="preserve">CAMINHAO CARROCERIA COM GUINDAUTO 640-18COND. A                                </t>
  </si>
  <si>
    <t xml:space="preserve">CAMINHAO CARROCERIA COM GUINDAUTO 640-18, COND. B                              </t>
  </si>
  <si>
    <t xml:space="preserve">CAMINHAO CARROCERIA COM GUINDAUTO 640-18, COND. C                              </t>
  </si>
  <si>
    <t xml:space="preserve">CAMINHAO CAR. GUINDAUTO 640-18                                                 </t>
  </si>
  <si>
    <t xml:space="preserve">CAMINHAO CARROCERIA COM GUINDAUTO 640-18, COND. E                              </t>
  </si>
  <si>
    <t xml:space="preserve">CAMINHAO C/USINA LAMA ASFAL.10,5T COND.A                                       </t>
  </si>
  <si>
    <t xml:space="preserve">CAMINHAO C/USINA LAMA ASFAL.10,5T COND.B                                       </t>
  </si>
  <si>
    <t xml:space="preserve">CAMINHAO C/USINA LAMA ASFAL.10,5T COND.C                                       </t>
  </si>
  <si>
    <t xml:space="preserve">CAMINHAO C/USINA LAMA ASFAL.10,5T COND.D                                       </t>
  </si>
  <si>
    <t xml:space="preserve">CAMINHAO C/USINA LAMA ASFAL.10,5T COND.E                                       </t>
  </si>
  <si>
    <t xml:space="preserve">CAMINHAO USINA P/MICROP.9M3 COND.A                                             </t>
  </si>
  <si>
    <t xml:space="preserve">CAMINHAO USINA P/MICROP.9M3 COND.B                                             </t>
  </si>
  <si>
    <t xml:space="preserve">CAMINHAO USINA P/MICROP.9M3 COND. C                                            </t>
  </si>
  <si>
    <t xml:space="preserve">CAMINHAO USINA P/MICROP.9M3 COND.D                                             </t>
  </si>
  <si>
    <t xml:space="preserve">CAMINHAO PANTOGRAFICO ATE 9M COND. A                                           </t>
  </si>
  <si>
    <t xml:space="preserve">CAMINHAO PANTOGRAFICO ATE 9M COND. B                                           </t>
  </si>
  <si>
    <t xml:space="preserve">CAMINHAO PANTOGRAFICO ATE 9M COND. C                                           </t>
  </si>
  <si>
    <t xml:space="preserve">CAMINHAO PANTOGRAFICO ATE 9M COND. D                                           </t>
  </si>
  <si>
    <t xml:space="preserve">CAVALO MECANICO C/CARRETA 30000KG COND.A                                       </t>
  </si>
  <si>
    <t xml:space="preserve">CAVALO MECANICO C/CARRETA 30000KG COND.B                                       </t>
  </si>
  <si>
    <t xml:space="preserve">CAVALO MECANICO C/CARRETA 30000KG COND.C                                       </t>
  </si>
  <si>
    <t xml:space="preserve">CAVALO MECANICO C/CARRETA 30000KG COND.D                                       </t>
  </si>
  <si>
    <t xml:space="preserve">CAVALO MECANICO C/CARRETA 30000KG COND.E                                       </t>
  </si>
  <si>
    <t xml:space="preserve">CAVALO MECANICO C/PRANCHA 30000KG COND.A                                       </t>
  </si>
  <si>
    <t xml:space="preserve">CAVALO MECANICO C/PRANCHA 30000KG COND.B                                       </t>
  </si>
  <si>
    <t xml:space="preserve">CAVALO MECANICO C/PRANCHA 30000KG COND.C                                       </t>
  </si>
  <si>
    <t xml:space="preserve">CAVALO MECANICO C/PRANCHA 30000KG COND.D                                       </t>
  </si>
  <si>
    <t xml:space="preserve">CAVALO MECANICO C/PRANCHA 30000KG COND.E                                       </t>
  </si>
  <si>
    <t xml:space="preserve">CAMPANULA COND. A                                                              </t>
  </si>
  <si>
    <t xml:space="preserve">CAMPANULA COND. B                                                              </t>
  </si>
  <si>
    <t xml:space="preserve">CAMPANULA COND. C                                                              </t>
  </si>
  <si>
    <t xml:space="preserve">CAMPANULA COND. D                                                              </t>
  </si>
  <si>
    <t xml:space="preserve">COMPACTADOR PERC.220M2/H MAN.COND.A                                            </t>
  </si>
  <si>
    <t xml:space="preserve">COMPACTADOR PERC.220M2/H MAN.COND.B                                            </t>
  </si>
  <si>
    <t xml:space="preserve">COMPACTADOR PERC.220M2/H MAN.COND.C                                            </t>
  </si>
  <si>
    <t xml:space="preserve">COMPACTADOR PERC.220M2/H MAN.COND.D                                            </t>
  </si>
  <si>
    <t xml:space="preserve">COMPACTADOR PLAC.VIB.MAN.1000M2/H COND.A                                       </t>
  </si>
  <si>
    <t xml:space="preserve">COMPACTADOR PLAC.VIB.MAN.1000M2/H COND.B                                       </t>
  </si>
  <si>
    <t xml:space="preserve">COMPACTADOR PLAC.VIB.MAN.1000M2/H COND.C                                       </t>
  </si>
  <si>
    <t xml:space="preserve">COMPACTADOR PLAC.VIB.MAN.1000M2/H COND.D                                       </t>
  </si>
  <si>
    <t xml:space="preserve">COMPRESSOR DE AR XA-90 MWD COND. A                                             </t>
  </si>
  <si>
    <t xml:space="preserve">COMPRESSOR DE AR XA-90 MWD COND. B                                             </t>
  </si>
  <si>
    <t xml:space="preserve">COMPRESSOR DE AR XA-90 MWD COND. C                                             </t>
  </si>
  <si>
    <t xml:space="preserve">COMPRESSOR DE AR XA-90 MWD COND. D                                             </t>
  </si>
  <si>
    <t xml:space="preserve">COMPRESSOR DE AR XA-125 MWD COND. A                                            </t>
  </si>
  <si>
    <t xml:space="preserve">COMPRESSOR DE AR XA-125 MWD COND. B                                            </t>
  </si>
  <si>
    <t xml:space="preserve">COMPRESSOR DE AR XA-125 MWD COND. C                                            </t>
  </si>
  <si>
    <t xml:space="preserve">COMPRESSOR DE AR XA-125 MWD COND. D                                            </t>
  </si>
  <si>
    <t xml:space="preserve">COMPRESSOR DE AR XA-175MWD COND. A                                             </t>
  </si>
  <si>
    <t xml:space="preserve">COMPRESSOR DE AR XA-175MWD COND. B                                             </t>
  </si>
  <si>
    <t xml:space="preserve">COMPRESSOR DE AR XA-175MWD COND. C                                             </t>
  </si>
  <si>
    <t xml:space="preserve">COMPRESSOR DE AR XA-175MWD COND. D                                             </t>
  </si>
  <si>
    <t xml:space="preserve">COMPRESSOR DE AR XA-360MWD COND. A                                             </t>
  </si>
  <si>
    <t xml:space="preserve">COMPRESSOR DE AR XA-360MWD COND. B                                             </t>
  </si>
  <si>
    <t xml:space="preserve">COMPRESSOR DE AR XA-360MWD COND. C                                             </t>
  </si>
  <si>
    <t xml:space="preserve">COMPRESSOR DE AR XA-360MWD COND. D                                             </t>
  </si>
  <si>
    <t xml:space="preserve">DEMARCADOR DE FAIXA A FRIO 250L COND.A                                         </t>
  </si>
  <si>
    <t xml:space="preserve">DEMARCADOR DE FAIXA A FRIO 250L COND.B                                         </t>
  </si>
  <si>
    <t xml:space="preserve">DEMARCADOR DE FAIXA A FRIO 250L COND.C                                         </t>
  </si>
  <si>
    <t xml:space="preserve">DEMARCADOR DE FAIXA A FRIO 250L COND.D                                         </t>
  </si>
  <si>
    <t xml:space="preserve">DEMARCADOR DE FAIXA A QUENTE 500L COND.A                                       </t>
  </si>
  <si>
    <t xml:space="preserve">DEMARCADOR DE FAIXA A QUENTE 500L COND.B                                       </t>
  </si>
  <si>
    <t xml:space="preserve">DEMARCADOR DE FAIXA A QUENTE 500L COND.C                                       </t>
  </si>
  <si>
    <t xml:space="preserve">DEMARCADOR DE FAIXA A QUENTE 500L COND.D                                       </t>
  </si>
  <si>
    <t xml:space="preserve">DISTRIBUIDOR AGREG.S/EST.1000T/H COND. A                                       </t>
  </si>
  <si>
    <t xml:space="preserve">DISTRIBUIDOR AGREG.S/EST.1000T/H COND. B                                       </t>
  </si>
  <si>
    <t xml:space="preserve">DISTRIBUIDOR AGREG.S/EST.1000T/H COND. C                                       </t>
  </si>
  <si>
    <t xml:space="preserve">DISTRIBUIDOR AGREG.S/EST.1000T/H COND. D                                       </t>
  </si>
  <si>
    <t xml:space="preserve">DISTRIBUIDOR AGREGADO 600T/H COND.A                                            </t>
  </si>
  <si>
    <t xml:space="preserve">DISTRIBUIDOR AGREGADO 600T/H COND. B                                           </t>
  </si>
  <si>
    <t xml:space="preserve">DISTRIBUIDOR AGREGADO 600T/H COND. C                                           </t>
  </si>
  <si>
    <t xml:space="preserve">DISTRIBUIDOR AGREGADO 600T/H COND. D                                           </t>
  </si>
  <si>
    <t xml:space="preserve">DISTR.ASF.REB.2400L COND. A                                                    </t>
  </si>
  <si>
    <t xml:space="preserve">DISTR.ASF.REB.2400L COND. B                                                    </t>
  </si>
  <si>
    <t xml:space="preserve">DISTR.ASF.REB.2400L COND. C                                                    </t>
  </si>
  <si>
    <t xml:space="preserve">DISTR.ASF.REB.2400L COND. D                                                    </t>
  </si>
  <si>
    <t xml:space="preserve">DISTR. ADUBOS E SEMENTES 700L COND. A                                          </t>
  </si>
  <si>
    <t xml:space="preserve">DISTR. ADUBOS E SEMENTES 700L COND. B                                          </t>
  </si>
  <si>
    <t xml:space="preserve">DISTR. ADUBOS E SEMENTES 700L COND. C                                          </t>
  </si>
  <si>
    <t xml:space="preserve">DISTR. ADUBOS E SEMENTES 700L COND. D                                          </t>
  </si>
  <si>
    <t xml:space="preserve">DRAGA COM EMBARCACAO AUX.400M3 COND. A                                         </t>
  </si>
  <si>
    <t xml:space="preserve">DRAGA COM EMBARCACAO AUX.400M3 COND. B                                         </t>
  </si>
  <si>
    <t xml:space="preserve">DRAGA COM EMBARCACAO AUX.400M3 COND. C                                         </t>
  </si>
  <si>
    <t xml:space="preserve">DRAGA COM EMBARCACAO AUX 400M3 COND. D                                         </t>
  </si>
  <si>
    <t xml:space="preserve">EQUIP.VIS.OAE C/LANC.TELESC.25M COND. A                                        </t>
  </si>
  <si>
    <t xml:space="preserve">EQUIP.VIS.OAE C/LANC.TELESC.25M COND. B                                        </t>
  </si>
  <si>
    <t xml:space="preserve">EQUIP.VIS.OAE C/LANC.TELESC.25M COND. C                                        </t>
  </si>
  <si>
    <t xml:space="preserve">EQUIP.VIS.OAE C/LANC.TELESC.25M COND. D                                        </t>
  </si>
  <si>
    <t xml:space="preserve">EQUIP.VIS.OAE C/LANC.ARTIC.12,14M COND.A                                       </t>
  </si>
  <si>
    <t xml:space="preserve">EQUIP.VIS.OAE C/LANC.ARTIC.12,14M COND.B                                       </t>
  </si>
  <si>
    <t xml:space="preserve">EQUIP.VIS.OAE C/LANC.ARTIC.12,14M COND.C                                       </t>
  </si>
  <si>
    <t xml:space="preserve">EQUIP.VIS.OAE C/LANC.ARTIC.12,14M COND.D                                       </t>
  </si>
  <si>
    <t xml:space="preserve">EQUIP.VIST.OAE TP TESOURA 7,62M COND. A                                        </t>
  </si>
  <si>
    <t xml:space="preserve">EQUIP.VIST.OAE TP TESOURA 7,62M COND. B                                        </t>
  </si>
  <si>
    <t xml:space="preserve">EQUIP.VIST.OAE TP TESOURA 7,62M COND. C                                        </t>
  </si>
  <si>
    <t xml:space="preserve">EQUIP.VIST.OAE TP TESOURA 7,62M COND. D                                        </t>
  </si>
  <si>
    <t xml:space="preserve">ESCAVADEIRA HIDR.S/EST.0,7M3 COND. A                                           </t>
  </si>
  <si>
    <t xml:space="preserve">ESCAVADEIRA HIDR.S/EST.0,7M3 COND. B                                           </t>
  </si>
  <si>
    <t xml:space="preserve">ESCAVADEIRA HIDR.S/EST.0,7M3 COND. C                                           </t>
  </si>
  <si>
    <t xml:space="preserve">ESCAVADEIRA HIDR.S/EST.0,7M3 COND. D                                           </t>
  </si>
  <si>
    <t xml:space="preserve">ESCAVADEIRA HIDR.S/EST.0,60M3 COND. A                                          </t>
  </si>
  <si>
    <t xml:space="preserve">ESCAVADEIRA HIDR.S/EST.0,60M3 COND. B                                          </t>
  </si>
  <si>
    <t xml:space="preserve">ESCAVADEIRA HIDR.S/EST.0,60M3 COND. C                                          </t>
  </si>
  <si>
    <t xml:space="preserve">ESCAVADEIRA HIDR.S/EST.0,60M3 COND. D                                          </t>
  </si>
  <si>
    <t xml:space="preserve">ESCAVADEIRA HID.S/EST.0,62M3 COND. A                                           </t>
  </si>
  <si>
    <t xml:space="preserve">ESCAVADEIRA HID.S/EST.0,62M3 COND. B                                           </t>
  </si>
  <si>
    <t xml:space="preserve">ESCAVADEIRA HID.S/EST.0,62M3 COND. C                                           </t>
  </si>
  <si>
    <t xml:space="preserve">ESCAVADEIRA HID.S/EST.0,62M3 COND. D                                           </t>
  </si>
  <si>
    <t xml:space="preserve">ESCAVADEIRA HID.S/EST.2,2M3 COND. A                                            </t>
  </si>
  <si>
    <t xml:space="preserve">ESCAVADEIRA HID.S/EST.2,2M3 COND. B                                            </t>
  </si>
  <si>
    <t xml:space="preserve">ESCAVADEIRA HID.S/EST.2,2M3 COND. C                                            </t>
  </si>
  <si>
    <t xml:space="preserve">ESCAVADEIRA HID.S/EST.2,2M3 COND. D                                            </t>
  </si>
  <si>
    <t xml:space="preserve">ESCAVADEIRA HIDR.S/PNEU 0,25M3 COND. A                                         </t>
  </si>
  <si>
    <t xml:space="preserve">ESCAVADEIRA HIDR.S/PNEU 0,25M3 COND. B                                         </t>
  </si>
  <si>
    <t xml:space="preserve">ESCAVADEIRA HIDR.S/PNEU 0,25M3 COND. C                                         </t>
  </si>
  <si>
    <t xml:space="preserve">ESCAVADEIRA HIDR.S/PNEU 0,25M3 COND. D                                         </t>
  </si>
  <si>
    <t xml:space="preserve">EMPILHADEIRA 2500KG COND. A                                                    </t>
  </si>
  <si>
    <t xml:space="preserve">EMPILHADEIRA 2500KG COND. B                                                    </t>
  </si>
  <si>
    <t xml:space="preserve">EMPILHADEIRA 2500KG COND. C                                                    </t>
  </si>
  <si>
    <t xml:space="preserve">EMPILHADEIRA 2500KG COND. D                                                    </t>
  </si>
  <si>
    <t xml:space="preserve">EMPILHADEIRA 5000KG COND. A                                                    </t>
  </si>
  <si>
    <t xml:space="preserve">EMPILHADEIRA 5000KG COND. B                                                    </t>
  </si>
  <si>
    <t xml:space="preserve">EMPILHADEIRA 5000KG COND. C                                                    </t>
  </si>
  <si>
    <t xml:space="preserve">EMPILHADEIRA 5000KG COND. D                                                    </t>
  </si>
  <si>
    <t xml:space="preserve">FRESADORA A FRIO S/PNEUS 150M2/H COND.A                                        </t>
  </si>
  <si>
    <t xml:space="preserve">FRESADORA A FRIO S/PNEUS 150M2/H COND.B                                        </t>
  </si>
  <si>
    <t xml:space="preserve">FRESADORA A FRIO S/PNEUS 150M2/H COND.C                                        </t>
  </si>
  <si>
    <t xml:space="preserve">FRESADORA A FRIO S/PNEUS 150M2/H COND.D                                        </t>
  </si>
  <si>
    <t xml:space="preserve">FRESADORA A FRIO S/PNEUS 670HP COND. A                                         </t>
  </si>
  <si>
    <t xml:space="preserve">FRESADORA A FRIO S/PNEUS 670HP COND. B                                         </t>
  </si>
  <si>
    <t xml:space="preserve">FRESADORA A FRIO S/PNEUS 670HP COND. C                                         </t>
  </si>
  <si>
    <t xml:space="preserve">FRESADORA A FRIO S/PNEUS 670HP COND. D                                         </t>
  </si>
  <si>
    <t xml:space="preserve">GRUA 12M COND. A                                                               </t>
  </si>
  <si>
    <t xml:space="preserve">GRUA 12M COND. B                                                               </t>
  </si>
  <si>
    <t xml:space="preserve">GRUA 12M COND. C                                                               </t>
  </si>
  <si>
    <t xml:space="preserve">GRUA 12M COND. D                                                               </t>
  </si>
  <si>
    <t xml:space="preserve">GRUPO GERADOR 40KVA COND. A                                                    </t>
  </si>
  <si>
    <t xml:space="preserve">GRUPO GERADOR 40KVA COND. B                                                    </t>
  </si>
  <si>
    <t xml:space="preserve">GRUPO GERADOR 40KVA COND. C                                                    </t>
  </si>
  <si>
    <t xml:space="preserve">GRUPO GERADOR 40KVA COND. D                                                    </t>
  </si>
  <si>
    <t xml:space="preserve">GRUPO GERADOR 55KVA COND. A                                                    </t>
  </si>
  <si>
    <t xml:space="preserve">GRUPO GERADOR 55KVA COND. B                                                    </t>
  </si>
  <si>
    <t xml:space="preserve">GRUPO GERADOR 55KVA COND. C                                                    </t>
  </si>
  <si>
    <t xml:space="preserve">GRUPO GERADOR 55KVA COND. D                                                    </t>
  </si>
  <si>
    <t xml:space="preserve">GRUPO GERADOR 83KVA COND. A                                                    </t>
  </si>
  <si>
    <t xml:space="preserve">GRUPO GERADOR 83KVA COND. B                                                    </t>
  </si>
  <si>
    <t xml:space="preserve">GRUPO GERADOR 83KVA COND. C                                                    </t>
  </si>
  <si>
    <t xml:space="preserve">GRUPO GERADOR 83KVA COND. D                                                    </t>
  </si>
  <si>
    <t xml:space="preserve">GRUPO GERADOR 115KVA COND. A                                                   </t>
  </si>
  <si>
    <t xml:space="preserve">GRUPO GERADOR 115KVA COND. B                                                   </t>
  </si>
  <si>
    <t xml:space="preserve">GRUPO GERADOR 115KVA COND. C                                                   </t>
  </si>
  <si>
    <t xml:space="preserve">GRUPO GERADOR 115KVA COND. D                                                   </t>
  </si>
  <si>
    <t xml:space="preserve">GRUPO GERADOR PORTATIL 3,5KVA COND. A                                          </t>
  </si>
  <si>
    <t xml:space="preserve">GRUPO GERADOR PORTATIL 3,5KVA COND. B                                          </t>
  </si>
  <si>
    <t xml:space="preserve">GRUPO GERADOR PORTATIL 3,5KVA COND. C                                          </t>
  </si>
  <si>
    <t xml:space="preserve">GRUPO GERADOR PORTATIL 3,5KVA COND. D                                          </t>
  </si>
  <si>
    <t xml:space="preserve">GRUPO GERADOR PORTATIL 7KVA COND. A                                            </t>
  </si>
  <si>
    <t xml:space="preserve">GRUPO GERADOR PORTATIL 7KVA COND. B                                            </t>
  </si>
  <si>
    <t xml:space="preserve">GRUPO GERADOR PORTATIL 7KVA COND. C                                            </t>
  </si>
  <si>
    <t xml:space="preserve">GRUPO GERADOR PORTATIL 7KVA COND. D                                            </t>
  </si>
  <si>
    <t xml:space="preserve">GUINCHO ELETRICO DE COLUNA 30M COND. A                                         </t>
  </si>
  <si>
    <t xml:space="preserve">GUINCHO ELETRICO DE COLUNA 30M COND. B                                         </t>
  </si>
  <si>
    <t xml:space="preserve">GUINCHO ELETRICO DE COLUNA 30M COND. C                                         </t>
  </si>
  <si>
    <t xml:space="preserve">GUINCHO ELETRICO DE COLUNA 30M COND. D                                         </t>
  </si>
  <si>
    <t xml:space="preserve">GUINCHO ELETRICO TIPO ELEV. 30M COND. A                                        </t>
  </si>
  <si>
    <t xml:space="preserve">GUINCHO ELETRICO TIPO ELEV. 30M COND. B                                        </t>
  </si>
  <si>
    <t xml:space="preserve">GUINCHO ELETRICO TIPO ELEV. 30M COND. C                                        </t>
  </si>
  <si>
    <t xml:space="preserve">GUINCHO ELETRICO TIPO ELEV. 30M COND. D                                        </t>
  </si>
  <si>
    <t xml:space="preserve">GUIND.HID.LANC.TELES.S/PN 20T COND. A                                          </t>
  </si>
  <si>
    <t xml:space="preserve">GUIND.HID.LANC.TELES.S/PN 20T COND. B                                          </t>
  </si>
  <si>
    <t xml:space="preserve">GUIND.HID.LANC.TELES.S/PN 20T COND. C                                          </t>
  </si>
  <si>
    <t xml:space="preserve">GUIND.HID.LANC.TELES.S/PN 20T COND. D                                          </t>
  </si>
  <si>
    <t xml:space="preserve">GUIND.HID.LANC.TELES.S/PN.27,2T COND. A                                        </t>
  </si>
  <si>
    <t xml:space="preserve">GUIND.HID.LANC.TELES.S/PN.27,2T COND. B                                        </t>
  </si>
  <si>
    <t xml:space="preserve">GUIND.HID.LANC.TELES.S/PN.27,2T COND. C                                        </t>
  </si>
  <si>
    <t xml:space="preserve">GUIND.HID.LANC.TELES.S/PN.27,2T COND. D                                        </t>
  </si>
  <si>
    <t xml:space="preserve">LAVA JATO 200L/H COND. A                                                       </t>
  </si>
  <si>
    <t xml:space="preserve">LAVA JATO 200L/H COND. B                                                       </t>
  </si>
  <si>
    <t xml:space="preserve">LAVA JATO 200L/H COND. C                                                       </t>
  </si>
  <si>
    <t xml:space="preserve">LAVA JATO 200L/H COND. D                                                       </t>
  </si>
  <si>
    <t xml:space="preserve">MARTELETE ROMP.PN.11,2KG COND. A                                               </t>
  </si>
  <si>
    <t xml:space="preserve">MARTELETE ROMP.PN.11,2KG COND. B                                               </t>
  </si>
  <si>
    <t xml:space="preserve">MARTELETE ROMP.PN.11,2KG COND. C                                               </t>
  </si>
  <si>
    <t xml:space="preserve">MARTELETE ROMP.PN.11,2KG COND. D                                               </t>
  </si>
  <si>
    <t xml:space="preserve">MARTELETE ROMP.PN.35KG COND. A                                                 </t>
  </si>
  <si>
    <t xml:space="preserve">MARTELETE ROMP.PN.35KG COND. B                                                 </t>
  </si>
  <si>
    <t xml:space="preserve">MARTELETE ROMP.PN.35KG COND. C                                                 </t>
  </si>
  <si>
    <t xml:space="preserve">MARTELETE ROMP.PN.35KG COND. D                                                 </t>
  </si>
  <si>
    <t xml:space="preserve">MARTELETE ROMP.PN.42KG COND. A                                                 </t>
  </si>
  <si>
    <t xml:space="preserve">MARTELETE ROMP.PN.42KG COND. B                                                 </t>
  </si>
  <si>
    <t xml:space="preserve">MARTELETE ROMP.PN.42KG COND. C                                                 </t>
  </si>
  <si>
    <t xml:space="preserve">MARTELETE ROMP.PN.42KG COND. D                                                 </t>
  </si>
  <si>
    <t xml:space="preserve">ROMPEDOR/DEMOL.HIDR.P/ESCAVAD. COND. A                                         </t>
  </si>
  <si>
    <t xml:space="preserve">ROMPEDOR/DEMOL.HIDR.P/ESCAVAD. COND. B                                         </t>
  </si>
  <si>
    <t xml:space="preserve">ROMPEDOR/DEMOL.HIDR.P/ESCAVAD. COND. C                                         </t>
  </si>
  <si>
    <t xml:space="preserve">ROMPEDOR/DEMOL.HIDR.P/ESCAVAD. COND. D                                         </t>
  </si>
  <si>
    <t xml:space="preserve">ROMPEDOR/DEMOL.HIDR.P/RETROESC. COND. A                                        </t>
  </si>
  <si>
    <t xml:space="preserve">ROMPEDOR/DEMOL.HIDR.P/RETROESC. COND. B                                        </t>
  </si>
  <si>
    <t xml:space="preserve">ROMPEDOR/DEMOL.HIDR.P/RETROESC. COND. C                                        </t>
  </si>
  <si>
    <t xml:space="preserve">ROMPEDOR/DEMOL.HIDR.P/RETROESC. COND. D                                        </t>
  </si>
  <si>
    <t xml:space="preserve">MOTONIVELADORA COM RIPPER 140HP COND. A                                        </t>
  </si>
  <si>
    <t xml:space="preserve">MOTONIVELADORA COM RIPPER 140HP COND. B                                        </t>
  </si>
  <si>
    <t xml:space="preserve">MOTONIVELADORA COM RIPPER 140HP COND. C                                        </t>
  </si>
  <si>
    <t xml:space="preserve">MOTONIVELADORA COM RIPPER 140HP COND. D                                        </t>
  </si>
  <si>
    <t xml:space="preserve">MOTONIVELADORA C/ESCARIF.(16200KG)COND.A                                       </t>
  </si>
  <si>
    <t xml:space="preserve">MOTONIVELADORA C/ESCARIF.(16200KG)COND.B                                       </t>
  </si>
  <si>
    <t xml:space="preserve">MOTONIVELADORA C/ESCARIF.(16200KG)COND.C                                       </t>
  </si>
  <si>
    <t xml:space="preserve">MOTONIVELADORA C/ESCARIF.(16200KG)COND.D                                       </t>
  </si>
  <si>
    <t xml:space="preserve">MOTOSCRAPER 15M3 COND. A                                                       </t>
  </si>
  <si>
    <t xml:space="preserve">MOTOSCRAPER 15M3 COND. B                                                       </t>
  </si>
  <si>
    <t xml:space="preserve">MOTOSCRAPER 15M3 COND. C                                                       </t>
  </si>
  <si>
    <t xml:space="preserve">MOTOSCRAPER 15M3 COND. D                                                       </t>
  </si>
  <si>
    <t xml:space="preserve">MOTOSCRAPER 26M3 COND. A                                                       </t>
  </si>
  <si>
    <t xml:space="preserve">MOTOSCRAPER 26M3 COND. B                                                       </t>
  </si>
  <si>
    <t xml:space="preserve">MOTOSCRAPER 26M3 COND. C                                                       </t>
  </si>
  <si>
    <t xml:space="preserve">MOTOSCRAPER 26M3 COND. D                                                       </t>
  </si>
  <si>
    <t xml:space="preserve">MAQUINA SOLDA ELETRICA (40-375A) COND.A                                        </t>
  </si>
  <si>
    <t xml:space="preserve">MAQUINA SOLDA ELETRICA (40-375A) COND.B                                        </t>
  </si>
  <si>
    <t xml:space="preserve">MAQUINA SOLDA ELETRICA (40-375A) COND.C                                        </t>
  </si>
  <si>
    <t xml:space="preserve">MAQUINA SOLDA ELETRICA (40-375A) COND.D                                        </t>
  </si>
  <si>
    <t xml:space="preserve">MAQUINA DE SOLDA A DIESEL COND. A                                              </t>
  </si>
  <si>
    <t xml:space="preserve">MAQUINA SOLDA A DIESEL ATE 375A COND.B                                         </t>
  </si>
  <si>
    <t xml:space="preserve">MAQUINA SOLDA A DIESEL ATE 375A COND.C                                         </t>
  </si>
  <si>
    <t xml:space="preserve">MAQUINA SOLDA A DIESEL ATE 375A COND.D                                         </t>
  </si>
  <si>
    <t xml:space="preserve">MACARICO DE CORTE COND. A                                                      </t>
  </si>
  <si>
    <t xml:space="preserve">MACARICO DE CORTE COND. B                                                      </t>
  </si>
  <si>
    <t xml:space="preserve">MACARICO DE CORTE COND. C                                                      </t>
  </si>
  <si>
    <t xml:space="preserve">MACARICO DE CORTE COND. D                                                      </t>
  </si>
  <si>
    <t xml:space="preserve">TEODOLITO COM TRIPE COND. A                                                    </t>
  </si>
  <si>
    <t xml:space="preserve">TEODOLITO COM TRIPE COND. B                                                    </t>
  </si>
  <si>
    <t xml:space="preserve">TEODOLITO COM TRIPE COND. C                                                    </t>
  </si>
  <si>
    <t xml:space="preserve">TEODOLITO COM TRIPE COND. D                                                    </t>
  </si>
  <si>
    <t xml:space="preserve">ESTACAO TOTAL COND. A                                                          </t>
  </si>
  <si>
    <t xml:space="preserve">ESTACAO TOTAL COND. B                                                          </t>
  </si>
  <si>
    <t xml:space="preserve">ESTACAO TOTAL COND. C                                                          </t>
  </si>
  <si>
    <t xml:space="preserve">ESTACAO TOTAL COND. D                                                          </t>
  </si>
  <si>
    <t xml:space="preserve">NIVEL COM TRIPE COND. A                                                        </t>
  </si>
  <si>
    <t xml:space="preserve">NIVEL COM TRIPE COND. B                                                        </t>
  </si>
  <si>
    <t xml:space="preserve">NIVEL COM TRIPE COND. C                                                        </t>
  </si>
  <si>
    <t xml:space="preserve">NIVEL COM TRIPE COND. D                                                        </t>
  </si>
  <si>
    <t xml:space="preserve">PA CARREG.S/PNEUS 1,7M3 A 1,9M3 - COND.A                                       </t>
  </si>
  <si>
    <t xml:space="preserve">PA CARREG.S/PNEUS 1,7M3 A 1,9M3 - COND.B                                       </t>
  </si>
  <si>
    <t xml:space="preserve">PA CARREG.S/PNEUS 1,7M3 A 1,9M3 - COND.C                                       </t>
  </si>
  <si>
    <t xml:space="preserve">PA CARREG.S/PNEUS 1,7M3 A 1,9M3 - COND.D                                       </t>
  </si>
  <si>
    <t xml:space="preserve">PA CARREG.S/PNEUS 1,91M3 A 2,5M3 -COND.A                                       </t>
  </si>
  <si>
    <t xml:space="preserve">PA CARREG.S/PNEUS 1,91M3 A 2,5M3 -COND.B                                       </t>
  </si>
  <si>
    <t xml:space="preserve">PA CARREG.S/PNEUS 1,91M3 A 2,5M3 -COND.C                                       </t>
  </si>
  <si>
    <t xml:space="preserve">PA CARREG.S/PNEUS 1,91M3 A 2,5M3 -COND.D                                       </t>
  </si>
  <si>
    <t xml:space="preserve">PA CARREG.S/PNEUS 3,3M3 A 3,8M3 - COND.A                                       </t>
  </si>
  <si>
    <t xml:space="preserve">PA CARREG.S/PNEUS 3,3M3 A 3,8M3 - COND.B                                       </t>
  </si>
  <si>
    <t xml:space="preserve">PA CARREG.S/PNEUS 3,3M3 A 3,8M3 - COND.C                                       </t>
  </si>
  <si>
    <t xml:space="preserve">PA CARREG.S/PNEUS 3,3M3 A 3,8M3 - COND.D                                       </t>
  </si>
  <si>
    <t xml:space="preserve">PA CARREG. S/ESTEIRA 1,85M3 COND. A                                            </t>
  </si>
  <si>
    <t xml:space="preserve">PA CARREG S/ESTEIRA 1,85M3 COND. B                                             </t>
  </si>
  <si>
    <t xml:space="preserve">PA CARREG. S/ESTEIRA 1,85M3 COND. C                                            </t>
  </si>
  <si>
    <t xml:space="preserve">PA CARREG. S/ESTEIRA 1,85M3 COND. D                                            </t>
  </si>
  <si>
    <t xml:space="preserve">PA CARREGADEIRA S/EST.2,3M3 COND. A                                            </t>
  </si>
  <si>
    <t xml:space="preserve">PA CARREGADEIRA S/EST.2,3M3 COND. B                                            </t>
  </si>
  <si>
    <t xml:space="preserve">PA CARREGADEIRA S/EST.2,3M3 COND. C                                            </t>
  </si>
  <si>
    <t xml:space="preserve">PA CARREGADEIRA S/EST.2,3M3 COND. D                                            </t>
  </si>
  <si>
    <t xml:space="preserve">PERFURATRIZ MANUAL COND. A                                                     </t>
  </si>
  <si>
    <t xml:space="preserve">PERFURATRIZ MANUAL COND. B                                                     </t>
  </si>
  <si>
    <t xml:space="preserve">PERFURATRIZ MANUAL COND. C                                                     </t>
  </si>
  <si>
    <t xml:space="preserve">PERFURATRIZ MANUAL COND. D                                                     </t>
  </si>
  <si>
    <t xml:space="preserve">PERFURATRIZ S/ESTEIRA COND. A                                                  </t>
  </si>
  <si>
    <t xml:space="preserve">PERFURATRIZ S/ESTEIRA COND. B                                                  </t>
  </si>
  <si>
    <t xml:space="preserve">PERFURATRIZ S/ESTEIRA COND. C                                                  </t>
  </si>
  <si>
    <t xml:space="preserve">PERFURATRIZ S/ESTEIRA COND. D                                                  </t>
  </si>
  <si>
    <t xml:space="preserve">PERFURATRIZ JUMBO 3 BRACOS COND. A                                             </t>
  </si>
  <si>
    <t xml:space="preserve">PERFURATRIZ JUMBO 3 BRACOS COND. B                                             </t>
  </si>
  <si>
    <t xml:space="preserve">PERFURATRIZ JUMBO 3 BRACOS COND. C                                             </t>
  </si>
  <si>
    <t xml:space="preserve">PERFURATRIZ JUMBO 3 BRACOS COND. D                                             </t>
  </si>
  <si>
    <t xml:space="preserve">SONDA ROTATIVA COND. A                                                         </t>
  </si>
  <si>
    <t xml:space="preserve">SONDA ROTATIVA COND. B                                                         </t>
  </si>
  <si>
    <t xml:space="preserve">SONDA ROTATIVA COND. C                                                         </t>
  </si>
  <si>
    <t xml:space="preserve">SONDA ROTATIVA COND. D                                                         </t>
  </si>
  <si>
    <t xml:space="preserve">PERFURADOR/CINZAL DE BAIXO PESO COND. A                                        </t>
  </si>
  <si>
    <t xml:space="preserve">PERFURADOR/CINZAL DE BAIXO PESO COND. B                                        </t>
  </si>
  <si>
    <t xml:space="preserve">PERFURADOR/CINZAL DE BAIXO PESO COND. C                                        </t>
  </si>
  <si>
    <t xml:space="preserve">PERFURADOR/CINZAL DE BAIXO PESO COND. D                                        </t>
  </si>
  <si>
    <t xml:space="preserve">RETROESCAV./CARREGADEIRA 0,77M3 COND. A                                        </t>
  </si>
  <si>
    <t xml:space="preserve">RETROESCAV./CARREGADEIRA 0,77M3 COND. B                                        </t>
  </si>
  <si>
    <t xml:space="preserve">RETROESCAV./CARREGADEIRA 0,77M3 COND. C                                        </t>
  </si>
  <si>
    <t xml:space="preserve">RETROESCAV./CARREGADEIRA 0,77M3 COND. D                                        </t>
  </si>
  <si>
    <t xml:space="preserve">ROCADEIRA MANUAL GASOLINA COND. A                                              </t>
  </si>
  <si>
    <t xml:space="preserve">ROCADEIRA MANUAL GASOLINA COND. B                                              </t>
  </si>
  <si>
    <t xml:space="preserve">ROCADEIRA MANUAL GASOLINA COND. C                                              </t>
  </si>
  <si>
    <t xml:space="preserve">ROCADEIRA MANUAL GASOLINA COND. D                                              </t>
  </si>
  <si>
    <t xml:space="preserve">ROCADEIRA MANUAL ELETRICA COND. A                                              </t>
  </si>
  <si>
    <t xml:space="preserve">ROCADEIRA MANUAL ELETRICA COND. B                                              </t>
  </si>
  <si>
    <t xml:space="preserve">ROCADEIRA MANUAL ELETRICA COND. C                                              </t>
  </si>
  <si>
    <t xml:space="preserve">ROCADEIRA MANUAL ELETRICA COND. D                                              </t>
  </si>
  <si>
    <t xml:space="preserve">ROCADEIRA ADAPT.P/TRAT.AGRIC.COND. A                                           </t>
  </si>
  <si>
    <t xml:space="preserve">ROCADEIRA ADAPT.P/TRAT.AGRIC.COND. B                                           </t>
  </si>
  <si>
    <t xml:space="preserve">ROCADEIRA ADAPT.P/TRAT.AGRIC.COND. C                                           </t>
  </si>
  <si>
    <t xml:space="preserve">ROCADEIRA ADAPT.P/TRAT.AGRIC. COND. D                                          </t>
  </si>
  <si>
    <t xml:space="preserve">ROLO COMPACT.VIBRAT.CILIN./PN 7T COND. A                                       </t>
  </si>
  <si>
    <t xml:space="preserve">ROLO COMPACT.VIBRAT.CILIN./PN 7T COND. B                                       </t>
  </si>
  <si>
    <t xml:space="preserve">ROLO COMPACT.VIBRAT.CILIN./PN 7T COND. C                                       </t>
  </si>
  <si>
    <t xml:space="preserve">ROLO COMPACT.VIBRAT.CILIN./PN 7T COND. D                                       </t>
  </si>
  <si>
    <t xml:space="preserve">ROLO COMPACT.VIBRAT.CILIN./PN7,7T COND.A                                       </t>
  </si>
  <si>
    <t xml:space="preserve">ROLO COMPACT.VIBRAT.CILIN./PN7,7T COND.B                                       </t>
  </si>
  <si>
    <t xml:space="preserve">ROLO COMPACT.VIBRAT.CILIN./PN7,7T COND.C                                       </t>
  </si>
  <si>
    <t xml:space="preserve">ROLO COMPACT.VIBRAT.CILIN./PN7,7T COND.D                                       </t>
  </si>
  <si>
    <t xml:space="preserve">ROLO COMPACT.VIBRAT.CILIN./PN10T COND.A                                        </t>
  </si>
  <si>
    <t xml:space="preserve">ROLO COMPACT.VIBRAT.CILIN./PN10T COND.B                                        </t>
  </si>
  <si>
    <t xml:space="preserve">ROLO COMPACT VIBRAT.CILIN./PN10T COND.C                                        </t>
  </si>
  <si>
    <t xml:space="preserve">ROLO COMPACT.VIBRAT.CILIN./PN10T COND.D                                        </t>
  </si>
  <si>
    <t xml:space="preserve">ROLO COMPACT.VIBR.CILIN./PN 11,3T COND.A                                       </t>
  </si>
  <si>
    <t xml:space="preserve">ROLO COMPACT.VIBR.CILIN./PN 11,3T COND.B                                       </t>
  </si>
  <si>
    <t xml:space="preserve">ROLO COMPACT.VIBR.CILIN./PN 11,3T COND.C                                       </t>
  </si>
  <si>
    <t xml:space="preserve">ROLO COMPACT.VIBR.CILIN./PN 11,3T COND.D                                       </t>
  </si>
  <si>
    <t xml:space="preserve">ROLO COMPACT.VIBR.CILIN./PN 15,5T COND.A                                       </t>
  </si>
  <si>
    <t xml:space="preserve">ROLO COMPACT.VIBR.CILIN./PN 15,5T COND.B                                       </t>
  </si>
  <si>
    <t xml:space="preserve">ROLO COMPACT.VIBR.CILIN./PN 15,5T COND.C                                       </t>
  </si>
  <si>
    <t xml:space="preserve">ROLO COMPACT.VIBR.CILIN./PN 15,5T COND.D                                       </t>
  </si>
  <si>
    <t xml:space="preserve">ROLO COMP.PE DE CARN./PN 15,5T COND. A                                         </t>
  </si>
  <si>
    <t xml:space="preserve">ROLO COMP.PE DE CARN./PN 15,5T COND. B                                         </t>
  </si>
  <si>
    <t xml:space="preserve">ROLO COMP.PE DE CARN./PN 15,5T COND. C                                         </t>
  </si>
  <si>
    <t xml:space="preserve">ROLO COMP.PE DE CARN./PN 15,5T COND. D                                         </t>
  </si>
  <si>
    <t xml:space="preserve">ROLO COMPACT.VIBR.ASF.7,2T COND. A                                             </t>
  </si>
  <si>
    <t xml:space="preserve">ROLO COMPACT.VIBR.ASF.7,2T COND. B                                             </t>
  </si>
  <si>
    <t xml:space="preserve">ROLO COMPACT.VIBR.ASF.7,2T COND. C                                             </t>
  </si>
  <si>
    <t xml:space="preserve">ROLO COMPACT.VIBR.ASF.7,2T COND. D                                             </t>
  </si>
  <si>
    <t xml:space="preserve">ROLO COMPACT.VIBR.ASF.10,2T COND. A                                            </t>
  </si>
  <si>
    <t xml:space="preserve">ROLO COMPACT.VIBR.ASF.10,2T COND. B                                            </t>
  </si>
  <si>
    <t xml:space="preserve">ROLO COMPACT.VIBR.ASF.10,2T COND. C                                            </t>
  </si>
  <si>
    <t xml:space="preserve">ROLO COMPACT.VIBR.ASF.10,2T COND. D                                            </t>
  </si>
  <si>
    <t xml:space="preserve">ROLO COMPACT. TANDEM 2,3TON COND. A                                            </t>
  </si>
  <si>
    <t xml:space="preserve">ROLO COMPACT. TANDEM 2,3TON COND. B                                            </t>
  </si>
  <si>
    <t xml:space="preserve">ROLO COMPACT. TANDEM 2,3TON COND. C                                            </t>
  </si>
  <si>
    <t xml:space="preserve">ROLO COMPACT. TANDEM 2,3TON COND. D                                            </t>
  </si>
  <si>
    <t xml:space="preserve">ROLO COMPACT. TANDEM 7TON COND. A                                              </t>
  </si>
  <si>
    <t xml:space="preserve">ROLO COMPACT. TANDEM 7TON COND. B                                              </t>
  </si>
  <si>
    <t xml:space="preserve">ROLO COMPACT. TANDEM 7TON COND. C                                              </t>
  </si>
  <si>
    <t xml:space="preserve">ROLO COMPACT. TANDEM 7TON COND. D                                              </t>
  </si>
  <si>
    <t xml:space="preserve">ROLO COMPACT. TANDEM 12TON COND. A                                             </t>
  </si>
  <si>
    <t xml:space="preserve">ROLO COMPACT. TANDEM 12TON COND. B                                             </t>
  </si>
  <si>
    <t xml:space="preserve">ROLO COMPACT. TANDEM 12TON COND. C                                             </t>
  </si>
  <si>
    <t xml:space="preserve">ROLO COMPACT. TANDEM 12TON COND. D                                             </t>
  </si>
  <si>
    <t xml:space="preserve">ROLO COMPACT.S/PNEU P/ASF. 12,5T COND. A                                       </t>
  </si>
  <si>
    <t xml:space="preserve">ROLO COMPACT.S/PNEU P/ASF. 12,5T COND. B                                       </t>
  </si>
  <si>
    <t xml:space="preserve">ROLO COMPACT.S/PNEU P/ASF. 12,5T COND. C                                       </t>
  </si>
  <si>
    <t xml:space="preserve">ROLO COMPACT.S/PNEU P/ASF. 12,5T COND. D                                       </t>
  </si>
  <si>
    <t xml:space="preserve">ROLO COMPACT. S/PNEU P/ASF. 27T COND. A                                        </t>
  </si>
  <si>
    <t xml:space="preserve">ROLO COMPACT. S/PNEU P/ASF. 27T COND. B                                        </t>
  </si>
  <si>
    <t xml:space="preserve">ROLO COMPACT. S/PNEU P/ASF. 27T COND. C                                        </t>
  </si>
  <si>
    <t xml:space="preserve">ROLO COMPACT. S/PNEU P/ASF. 27T COND. D                                        </t>
  </si>
  <si>
    <t xml:space="preserve">TRATOR AGRIC.C/PESO DE 3,7T COND. A                                            </t>
  </si>
  <si>
    <t xml:space="preserve">TRATOR AGRIC.C/PESO DE 3,7T COND. B                                            </t>
  </si>
  <si>
    <t xml:space="preserve">TRATOR AGRIC.C/PESO DE 3,7T COND. C                                            </t>
  </si>
  <si>
    <t xml:space="preserve">TRATOR AGRIC.C/PESO DE 3,7T COND. D                                            </t>
  </si>
  <si>
    <t xml:space="preserve">TRATOR AGRIC.C/PESO DE 5T COND. A                                              </t>
  </si>
  <si>
    <t xml:space="preserve">TRATOR AGRIC.C/PESO DE 5T COND. B                                              </t>
  </si>
  <si>
    <t xml:space="preserve">TRATOR AGRIC.C/PESO DE 5T COND. C                                              </t>
  </si>
  <si>
    <t xml:space="preserve">TRATOR AGRIC.C/PESO DE 5T COND. D                                              </t>
  </si>
  <si>
    <t xml:space="preserve">MICRO TRATOR C/APAR. DE GRAMA COND. A                                          </t>
  </si>
  <si>
    <t xml:space="preserve">MICRO TRATOR C/APAR. DE GRAMA COND. B                                          </t>
  </si>
  <si>
    <t xml:space="preserve">MICRO TRATOR C/APAR. DE GRAMA COND. C                                          </t>
  </si>
  <si>
    <t xml:space="preserve">MICRO TRATOR C/APAR. DE GRAMA COND. D                                          </t>
  </si>
  <si>
    <t xml:space="preserve">TRATOR EQUIP.C/TRIT.RESIDUOS VEG.COND. A                                       </t>
  </si>
  <si>
    <t xml:space="preserve">TRATOR EQUIP.C/TRIT.RESIDUOS VEG.COND. B                                       </t>
  </si>
  <si>
    <t xml:space="preserve">TRATOR EQUIP.C/TRIT.RESIDUOS VEG.COND. C                                       </t>
  </si>
  <si>
    <t xml:space="preserve">TRATOR EQUIP.C/TRIT.RESIDUOS VEG.COND. D                                       </t>
  </si>
  <si>
    <t xml:space="preserve">TRATOR AGRIC. C/PULVEMISTURADOR COND. A                                        </t>
  </si>
  <si>
    <t xml:space="preserve">TRATOR AGRIC. C/PULVEMISTURADOR COND. B                                        </t>
  </si>
  <si>
    <t xml:space="preserve">TRATOR AGRIC. C/PULVEMISTURADOR COND. C                                        </t>
  </si>
  <si>
    <t xml:space="preserve">TRATOR AGRIC. C/PULVEMISTURADOR COND. D                                        </t>
  </si>
  <si>
    <t xml:space="preserve">TRATOR S/EST.COM LAMINA 1,93M3 COND. A                                         </t>
  </si>
  <si>
    <t xml:space="preserve">TRATOR S/EST.COM LAMINA 1,93M3 COND. B                                         </t>
  </si>
  <si>
    <t xml:space="preserve">TRATOR S/EST.COM LAMINA 1,93M3 COND. C                                         </t>
  </si>
  <si>
    <t xml:space="preserve">TRATOR S/EST.COM LAMINA 1,93M3 COND. D                                         </t>
  </si>
  <si>
    <t xml:space="preserve">TRATOR S/EST. COM LAMINA 2,28M3 COND. A                                        </t>
  </si>
  <si>
    <t xml:space="preserve">TRATOR S/EST. COM LAMINA 2,28M3 COND. B                                        </t>
  </si>
  <si>
    <t xml:space="preserve">TRATOR S/EST. COM LAMINA 2,28M3 COND. C                                        </t>
  </si>
  <si>
    <t xml:space="preserve">TRATOR S/EST. COM LAMINA 2,28M3 COND. D                                        </t>
  </si>
  <si>
    <t xml:space="preserve">TRATOR S/EST.COM LAMINA 3,18M3 COND. A                                         </t>
  </si>
  <si>
    <t xml:space="preserve">TRATOR S/EST.COM LAMINA 3,18M3 COND. B                                         </t>
  </si>
  <si>
    <t xml:space="preserve">TRATOR S/EST.COM LAMINA 3,18M3 COND. C                                         </t>
  </si>
  <si>
    <t xml:space="preserve">TRATOR S/EST.COM LAMINA 3,18M3 COND. D                                         </t>
  </si>
  <si>
    <t xml:space="preserve">TRATOR S/EST. C/LAMINA/RIP.1,93M3 COND.A                                       </t>
  </si>
  <si>
    <t xml:space="preserve">TRATOR S/EST. C/LAMINA/RIP.1,93M3 COND.B                                       </t>
  </si>
  <si>
    <t xml:space="preserve">TRATOR S/EST. C/LAMINA/RIP.1,93M3 COND.C                                       </t>
  </si>
  <si>
    <t xml:space="preserve">TRATOR S/EST. C/LAMINA/RIP.1,93M3 COND.D                                       </t>
  </si>
  <si>
    <t xml:space="preserve">TRATOR S/EST. C/LAMINA/RIP.2,28M3 COND.A                                       </t>
  </si>
  <si>
    <t xml:space="preserve">TRATOR S/EST. C/LAMINA/RIP.2,28M3 COND.B                                       </t>
  </si>
  <si>
    <t xml:space="preserve">TRATOR S/EST. C/LAMINA/RIP.2,28M3 COND.C                                       </t>
  </si>
  <si>
    <t xml:space="preserve">TRATOR S/EST. C/LAMINA/RIP.2,28M3 COND.D                                       </t>
  </si>
  <si>
    <t xml:space="preserve">TRATOR S/EST. C/LAMINA/RIP.3,18M3 COND.A                                       </t>
  </si>
  <si>
    <t xml:space="preserve">TRATOR S/EST. C/LAMINA/RIP.3,18M3 COND.B                                       </t>
  </si>
  <si>
    <t xml:space="preserve">TRATOR S/EST. C/LAMINA/RIP.3,18M3 COND.C                                       </t>
  </si>
  <si>
    <t xml:space="preserve">TRATOR S/EST. C/LAMINA/RIP.3,18M3 COND.D                                       </t>
  </si>
  <si>
    <t xml:space="preserve">USINA DE CONCRETO 200M3/H COND. A                                              </t>
  </si>
  <si>
    <t xml:space="preserve">USINA DE CONCRETO 200M3/H COND. B                                              </t>
  </si>
  <si>
    <t xml:space="preserve">USINA DE CONCRETO 200M3/H COND. C                                              </t>
  </si>
  <si>
    <t xml:space="preserve">USINA DE CONCRETO 200M3/H COND. D                                              </t>
  </si>
  <si>
    <t xml:space="preserve">USINA DE CONCRETO 40M3/H COND. A                                               </t>
  </si>
  <si>
    <t xml:space="preserve">USINA DE CONCRETO 40M3/H COND. B                                               </t>
  </si>
  <si>
    <t xml:space="preserve">USINA DE CONCRETO 40M3/H COND. C                                               </t>
  </si>
  <si>
    <t xml:space="preserve">USINA DE CONCRETO 40M3/H COND. D                                               </t>
  </si>
  <si>
    <t xml:space="preserve">USINA ASFALTICA 60A80T/H COND. A                                               </t>
  </si>
  <si>
    <t xml:space="preserve">USINA ASFALTICA 60A80T/H COND. B                                               </t>
  </si>
  <si>
    <t xml:space="preserve">USINA ASFALTICA 60 A 80T/H COND. C                                             </t>
  </si>
  <si>
    <t xml:space="preserve">USINA ASFALTICA 60 A 80 T/H COND. D                                            </t>
  </si>
  <si>
    <t xml:space="preserve">USINA ASF.MATER.FRES.100A150T/H COND.A                                         </t>
  </si>
  <si>
    <t xml:space="preserve">USINA ASF.MATER.FRES.100A150T/H COND.B                                         </t>
  </si>
  <si>
    <t xml:space="preserve">USINA ASF.MATER.FRES.100A150T/H COND.C                                         </t>
  </si>
  <si>
    <t xml:space="preserve">USINA ASF.MATER.FRES.100A150T/H COND.D                                         </t>
  </si>
  <si>
    <t xml:space="preserve">USINA DE SOLOS 400TON/H COND. A                                                </t>
  </si>
  <si>
    <t xml:space="preserve">USINA DE SOLOS 400TON/H COND. B                                                </t>
  </si>
  <si>
    <t xml:space="preserve">USINA DE SOLOS 400TON/H COND. C                                                </t>
  </si>
  <si>
    <t xml:space="preserve">USINA DE SOLOS 400TON/H COND. D                                                </t>
  </si>
  <si>
    <t xml:space="preserve">VIBRADOR DE IMERSAO 12000VPM ELET.COND.A                                       </t>
  </si>
  <si>
    <t xml:space="preserve">VIBRADOR DE IMERSAO 12000VPM ELET.COND.B                                       </t>
  </si>
  <si>
    <t xml:space="preserve">VIBRADOR DE IMERSAO 12000VPM ELET.COND.C                                       </t>
  </si>
  <si>
    <t xml:space="preserve">VIBRADOR DE IMERSAO 12000VPM ELET.COND.D                                       </t>
  </si>
  <si>
    <t xml:space="preserve">VIBRADOR DE IMERSAO 12000VPM GAS.COND.A                                        </t>
  </si>
  <si>
    <t xml:space="preserve">VIBRADOR DE IMERSAO 12000VPM GAS.COND.B                                        </t>
  </si>
  <si>
    <t xml:space="preserve">VIBRADOR DE IMERSAO 12000VPM GAS.COND.C                                        </t>
  </si>
  <si>
    <t xml:space="preserve">VIBRADOR DE IMERSAO 12000VPM GAS.COND.D                                        </t>
  </si>
  <si>
    <t xml:space="preserve">VIBRO ACAB.ASF.S/EST.400T/H COND. A                                            </t>
  </si>
  <si>
    <t xml:space="preserve">VIBRO ACAB.ASF.S/EST.400T/H COND.B                                             </t>
  </si>
  <si>
    <t xml:space="preserve">VIBRO ACAB.ASF.S/EST.400T/H COND.C                                             </t>
  </si>
  <si>
    <t xml:space="preserve">VIBRO ACAB.ASF.S/EST.400T/H COND.D                                             </t>
  </si>
  <si>
    <t xml:space="preserve">VIBRO ACAB.ASF.S/EST. 2200TON/H COND.A                                         </t>
  </si>
  <si>
    <t xml:space="preserve">VIBRO ACAB.ASF.S/EST. 2200TON/H COND.B                                         </t>
  </si>
  <si>
    <t xml:space="preserve">VIBRO ACAB.ASF.S/EST. 2200TON/H COND.C                                         </t>
  </si>
  <si>
    <t xml:space="preserve">VIBRO ACAB.ASF.S/EST. 2200TON/H COND.D                                         </t>
  </si>
  <si>
    <t xml:space="preserve">VIBRO ACAB.ASF.S/EST.500TON/H COND. A                                          </t>
  </si>
  <si>
    <t xml:space="preserve">VIBRO ACAB.ASF.S/EST.500TON/H COND. B                                          </t>
  </si>
  <si>
    <t xml:space="preserve">VIBRO ACAB.ASF.S/EST.500TON/H COND. C                                          </t>
  </si>
  <si>
    <t xml:space="preserve">VIBRO ACAB.ASF.S/EST.500TON/H COND. D                                          </t>
  </si>
  <si>
    <t xml:space="preserve">VIBRO ACAB.ASF.S/PNEU 14,7T/H COND. A                                          </t>
  </si>
  <si>
    <t xml:space="preserve">VIBRO ACAB.ASF.S/PNEU 14,7T/H COND. B                                          </t>
  </si>
  <si>
    <t xml:space="preserve">VIBRO ACAB.ASF.S/PNEU 14,7T/H COND. C                                          </t>
  </si>
  <si>
    <t xml:space="preserve">VIBRO ACAB.ASF.S/PNEU 14,7T/H COND. D                                          </t>
  </si>
  <si>
    <t xml:space="preserve">VIBRO ACAB.CONCRETO 200M3/H COND. A                                            </t>
  </si>
  <si>
    <t xml:space="preserve">VIBRO ACAB.CONCRETO 200M3/H COND. B                                            </t>
  </si>
  <si>
    <t xml:space="preserve">VIBRO ACAB.CONCRETO 200M3/H COND. C                                            </t>
  </si>
  <si>
    <t xml:space="preserve">VIBRO ACAB.CONCRETO 200M3/H COND. D                                            </t>
  </si>
  <si>
    <t xml:space="preserve">SERRA PARA PAVIMENTO 8HP COND. A                                               </t>
  </si>
  <si>
    <t xml:space="preserve">SERRA PARA PAVIMENTO 8HP COND. B                                               </t>
  </si>
  <si>
    <t xml:space="preserve">SERRA PARA PAVIMENTO 8HP COND. C                                               </t>
  </si>
  <si>
    <t xml:space="preserve">SERRA PARA PAVIMENTO 9HP COND. A                                               </t>
  </si>
  <si>
    <t xml:space="preserve">SERRA PARA PAVIMENTO 9HP COND. B                                               </t>
  </si>
  <si>
    <t xml:space="preserve">SERRA PARA PAVIMENTO 9HP COND. C                                               </t>
  </si>
  <si>
    <t xml:space="preserve">SERRA PARA PAVIMENTO 9HP COND. D                                               </t>
  </si>
  <si>
    <t xml:space="preserve">SELADORA A FRIO 15HP COND. A                                                   </t>
  </si>
  <si>
    <t xml:space="preserve">SELADORA A FRIO 15HP COND. B                                                   </t>
  </si>
  <si>
    <t xml:space="preserve">SELADORA A FRIO 15HP COND. C                                                   </t>
  </si>
  <si>
    <t xml:space="preserve">SELADORA A FRIO 15HP COND. D                                                   </t>
  </si>
  <si>
    <t xml:space="preserve">UNIDADE APLIC.EXTRUSAO COND. A                                                 </t>
  </si>
  <si>
    <t xml:space="preserve">UNIDADE APLIC.EXTRUSAO COND. B                                                 </t>
  </si>
  <si>
    <t xml:space="preserve">UNIDADE APLIC.EXTRUSAO COND. C                                                 </t>
  </si>
  <si>
    <t xml:space="preserve">UNIDADE APLIC.EXTRUSAO COND. D                                                 </t>
  </si>
  <si>
    <t xml:space="preserve">UNIDADE APLIC.TINTA ELAST.A FRIO COND.A                                        </t>
  </si>
  <si>
    <t xml:space="preserve">UNIDADE APLIC.TINTA ELAST.A FRIO COND.B                                        </t>
  </si>
  <si>
    <t xml:space="preserve">UNIDADE APLIC.TINTA ELAST.A FRIO COND.C                                        </t>
  </si>
  <si>
    <t xml:space="preserve">UNIDADE APLIC.TINTA ELAST.A FRIO COND.D                                        </t>
  </si>
  <si>
    <t xml:space="preserve">UNIDADE FUSORA COND. A                                                         </t>
  </si>
  <si>
    <t xml:space="preserve">UNIDADE FUSORA COND. B                                                         </t>
  </si>
  <si>
    <t xml:space="preserve">UNIDADE FUSORA COND. C                                                         </t>
  </si>
  <si>
    <t xml:space="preserve">UNIDADE FUSORA COND. D                                                         </t>
  </si>
  <si>
    <t xml:space="preserve">UNIDADE APLIC.HOT-SPRAY COND. A                                                </t>
  </si>
  <si>
    <t xml:space="preserve">UNIDADE APLIC.HOT-SPRAY COND. B                                                </t>
  </si>
  <si>
    <t xml:space="preserve">UNIDADE APLIC.HOT-SPRAY COND. C                                                </t>
  </si>
  <si>
    <t xml:space="preserve">UNIDADE APLIC.HOT-SPRAY COND. D                                                </t>
  </si>
  <si>
    <t xml:space="preserve">UNID.APLIC.TINTA (HOFFMAN OU SIMILAR)C-A                                       </t>
  </si>
  <si>
    <t xml:space="preserve">UNID.APLIC.TINTA (HOFFMAN OU SIMILAR)C-B                                       </t>
  </si>
  <si>
    <t xml:space="preserve">UNID.APLIC.TINTA (HOFFMAN OU SIMILAR)C-C                                       </t>
  </si>
  <si>
    <t xml:space="preserve">UNID.APLIC.TINTA (HOFFMAN OU SIMILAR)C-D                                       </t>
  </si>
  <si>
    <t xml:space="preserve">SILO P/ESTOC.CIMENTO 30T COND. A                                               </t>
  </si>
  <si>
    <t xml:space="preserve">SILO P/ESTOC.CIMENTO 30T COND. B                                               </t>
  </si>
  <si>
    <t xml:space="preserve">SILO P/ESTOC.CIMENTO 30T COND. C                                               </t>
  </si>
  <si>
    <t xml:space="preserve">SILO P/ESTOC.CIMENTO 30T COND. D                                               </t>
  </si>
  <si>
    <t xml:space="preserve">SILO P/ESTOC.MASSA ASF.35TON COND. A                                           </t>
  </si>
  <si>
    <t xml:space="preserve">SILO P/ESTOC.MASSA ASF.35TON COND. B                                           </t>
  </si>
  <si>
    <t xml:space="preserve">SILO P/ESTOC.MASSA ASF.35TON COND. C                                           </t>
  </si>
  <si>
    <t xml:space="preserve">SILO P/ESTOC.MASSA ASF.35TON COND. D                                           </t>
  </si>
  <si>
    <t xml:space="preserve">VASSOURA MEC. REBOCAVEL COND. A                                                </t>
  </si>
  <si>
    <t xml:space="preserve">VASSOURA MEC. REBOCAVEL COND. B                                                </t>
  </si>
  <si>
    <t xml:space="preserve">VASSOURA MEC. REBOCAVEL COND. C                                                </t>
  </si>
  <si>
    <t xml:space="preserve">VASSOURA MEC. REBOCAVEL COND. D                                                </t>
  </si>
  <si>
    <t xml:space="preserve">MAQUINA DE JATO COND. A                                                        </t>
  </si>
  <si>
    <t xml:space="preserve">MAQUINA DE JATO COND. B                                                        </t>
  </si>
  <si>
    <t xml:space="preserve">MAQUINA DE JATO COND. C                                                        </t>
  </si>
  <si>
    <t xml:space="preserve">MAQUINA DE JATO COND. D                                                        </t>
  </si>
  <si>
    <t xml:space="preserve">COBERTURA FOTOGRAFICA POR AREA FOTOGRAFADA, VOO NA ESCALA 1:5.000              </t>
  </si>
  <si>
    <t>RESTITUICAO VOO AEROFOTOGRAMETRICO ESC. ATE 5X SUPERIOR AO DO VOO, ESC. 1:1.000</t>
  </si>
  <si>
    <t xml:space="preserve">REMOCAO DE GABIAO TIPO CAIXA                                                   </t>
  </si>
  <si>
    <t xml:space="preserve">MONTAGEM E DESMONTAGEM DE BLOQUEADOR TEMPORARIO DE FLUIDOS                     </t>
  </si>
  <si>
    <t xml:space="preserve">SIST.DE VIDEO-INSP.ROBOT.DE TUBULAC.E TUBULAC.DE CONCRETO EMISSAO DE RELATORIO </t>
  </si>
  <si>
    <t xml:space="preserve">SIST.DE VIDEO-INSP.DE TUBULACOES E CANALIZACOES COM DIAMETROENTRE 75MM E 200MM </t>
  </si>
  <si>
    <t>MOBIL.E DESMOB.DE INSTAL.PROVIS.(BY-PASS)TREC.REDE PLUVIAL MAN.TUB.DE POLIETIL.</t>
  </si>
  <si>
    <t xml:space="preserve">CARGA DE MATERIAL DE LIMPEZA DE ESCAV.                                         </t>
  </si>
  <si>
    <t xml:space="preserve">SUB-BASE OU BASE SOLO CIM 3% - USINA                                           </t>
  </si>
  <si>
    <t xml:space="preserve">SUB-BASE OU BASE DE SOLO ESTAB. QUIMICO SOLIDO                                 </t>
  </si>
  <si>
    <t xml:space="preserve">BOMBEAMENTO DE AGUA PLUVIAL DE ENCANAMENTOS E TUBULACOES MANUTENCAO(BY-PASS)   </t>
  </si>
  <si>
    <t xml:space="preserve">REABILITACAO ESTRUTURAL DE TUBULACOES DE CONCRETO COM DIAMETRO ATE 400MM       </t>
  </si>
  <si>
    <t>REABILITACAO ESTRUTURAL DE TUBULACOES DE CONCRETO COM DIAMETRO DE 401 ATE 600MM</t>
  </si>
  <si>
    <t>REABILITACAO ESTRUTURAL DE TUBULACOES DE CONCRETO COM DIAMETRO DE 601 ATE 800MM</t>
  </si>
  <si>
    <t xml:space="preserve">REABILITACAO ESTRUTURAL DE TUBULACOES  CONCRETO COM DIAMETRO DE 801 ATE 1000MM </t>
  </si>
  <si>
    <t xml:space="preserve">REABILITACAO ESTRUTURAL DE TUBULACOES CONCRETO COM DIAMETRO DE 1001 ATE 1200MM </t>
  </si>
  <si>
    <t xml:space="preserve">REABILITACAO ESTRUTURAL DE TUBULACOES CONCRETO COM DIAMETRO DE 1201 ATE 1500MM </t>
  </si>
  <si>
    <t xml:space="preserve">BLOQUEADOR TEMPORARIO DE FLUIDOS,TIPO MULTIDIMENSIONAL COM REAPROVEITAMENTO    </t>
  </si>
  <si>
    <t xml:space="preserve">TRANSPORTE DE SOLO CIMENTO ATÉ 5 KM                                            </t>
  </si>
  <si>
    <t xml:space="preserve">FURO NO CONCRETO D=3/4" PROFUND.DE 15CM                                        </t>
  </si>
  <si>
    <t xml:space="preserve">ADESIVO SELANTE PARA CONCRETO FISSURADO                                        </t>
  </si>
  <si>
    <t xml:space="preserve">FORN. E TRANSPORTE DE PLACA MOD.ALUMINIO GT+GT                                 </t>
  </si>
  <si>
    <t xml:space="preserve">TACHA METALICA COM 1 PINO DE FIXACAO- MONO REFLETIVA                           </t>
  </si>
  <si>
    <t xml:space="preserve">TACHA METALICA COM 1 PINO DE FIXACAO - BI REFLETIVA                            </t>
  </si>
  <si>
    <t xml:space="preserve">FORNECIMENTO E COLOCAÇÃO DE SUPER CONE - TAMBOR PLASTICO 1,05X0,70M            </t>
  </si>
  <si>
    <t xml:space="preserve">FORN.TRANS.INST.DE DEFENSA METÁLICA NBR 15486 H1 A W4 DUPLA.                   </t>
  </si>
  <si>
    <t xml:space="preserve">FORN.TRANS.INST.DE DEFENSA METÁLICA NBR 15486 H1 A W3 DUPLA.                   </t>
  </si>
  <si>
    <t xml:space="preserve">FORN.TRANS.INST.ATENUADOR DE IMPACT.NBR 15486 100 KMH PARALELO L&gt;40CM&lt;=70CM.   </t>
  </si>
  <si>
    <t xml:space="preserve">FORN.TRANS.INST.ATENUADOR DE IMPACT.NBR 15486 110 KMH PARALELO L&gt;40CM&lt;=70CM.   </t>
  </si>
  <si>
    <t>35.03.34</t>
  </si>
  <si>
    <t xml:space="preserve">ESPECIALISTA EM TREINAMENTO SENIOR                                             </t>
  </si>
  <si>
    <t>35.04.34</t>
  </si>
  <si>
    <t xml:space="preserve">ESPECIALISTA EM TREINAMENTO SENIOR TEMPORARIO                                  </t>
  </si>
  <si>
    <t xml:space="preserve">GABIAO TIPO CAIXA, ZINCO-ALUMINIO, NBR 8964, ALTURA 50CM                       </t>
  </si>
  <si>
    <t xml:space="preserve">FORNECIMENTO E APLICACAO DE MATERIAL TERMOPLASTICO DE ALTORELEVO               </t>
  </si>
  <si>
    <t xml:space="preserve">RETIRADA DE PLACA DE SOLO EM SUPORTE DE MADEIRA OU METALICO.                   </t>
  </si>
  <si>
    <t xml:space="preserve">FORNECIMENTO, INSTALAÇÃO BALIZ.DEFENSA MEÁLICA COM PELICULA GT+GT              </t>
  </si>
  <si>
    <t xml:space="preserve">FORNECIMENTO, INSTALAÇÃO BALIZ.P/BARREIRA RIGIDA COM PELICULA GT+GT            </t>
  </si>
  <si>
    <t xml:space="preserve">SERRA PARA PAVIMENTO 8HP COND. D                                               </t>
  </si>
  <si>
    <t xml:space="preserve">CALDEIRA GERADORA DE VAPOR HORIZONTAL PRESSURIZADA                             </t>
  </si>
  <si>
    <t xml:space="preserve">TRATOR ROBO PARA INSPECAO DE TUBO SUPERIORES A 300 MM,COM CONTROL.SOFTWARE     </t>
  </si>
  <si>
    <t xml:space="preserve">SISTEMA DE INSPECAO INTERNA DE TUBULACOES COMP.POR UND.DE CONTROL.SOFTWARE     </t>
  </si>
  <si>
    <t xml:space="preserve">SISTEMA DE INSPECAO INTERNA DE TUBULACOES COMP.POR UNID.DE CONTROL.SOFTWARE    </t>
  </si>
  <si>
    <t>DERSP</t>
  </si>
  <si>
    <t>Item</t>
  </si>
  <si>
    <t>Orgão / Data</t>
  </si>
  <si>
    <t>TERRAPLENAGEM</t>
  </si>
  <si>
    <t>Planilha de Quantidades e Orçamento</t>
  </si>
  <si>
    <t>Prefeitura de Cordeirópolis - SP</t>
  </si>
  <si>
    <t>SERVIÇOS PRELIMINARES</t>
  </si>
  <si>
    <t>Calçada</t>
  </si>
  <si>
    <t>Drenagem Superficial</t>
  </si>
  <si>
    <t>DRENAGEM</t>
  </si>
  <si>
    <t>PAVIMENTAÇÃO E CALÇADA</t>
  </si>
  <si>
    <t>SINALIZAÇÃO</t>
  </si>
  <si>
    <t>Pavimento Projetado</t>
  </si>
  <si>
    <t>Drenagem Profunda</t>
  </si>
  <si>
    <t>und</t>
  </si>
  <si>
    <t>Compactação Base Caixa</t>
  </si>
  <si>
    <t>Revestimento de Argamassa</t>
  </si>
  <si>
    <t>R$</t>
  </si>
  <si>
    <t>S/BDI</t>
  </si>
  <si>
    <t>ITEM</t>
  </si>
  <si>
    <t>UNIDADE</t>
  </si>
  <si>
    <t>%</t>
  </si>
  <si>
    <t>RESPONSÁVEL TÉCNICO</t>
  </si>
  <si>
    <t>DESCRIÇÃO DOS SERVIÇOS</t>
  </si>
  <si>
    <t>TOTAL GERAL</t>
  </si>
  <si>
    <t>Item Componente do BDI</t>
  </si>
  <si>
    <t>I1: PIS e COFINS</t>
  </si>
  <si>
    <t>I2: ISSQN (conforme legislação municipal)</t>
  </si>
  <si>
    <t>I3: Cont. Prev s/rec. Bruta (Lei 13.161/2015 - Desoneração)</t>
  </si>
  <si>
    <r>
      <rPr>
        <b/>
        <sz val="11"/>
        <color theme="1"/>
        <rFont val="Calibri"/>
        <family val="2"/>
        <scheme val="minor"/>
      </rPr>
      <t>D</t>
    </r>
    <r>
      <rPr>
        <sz val="11"/>
        <color theme="1"/>
        <rFont val="Calibri"/>
        <family val="2"/>
        <scheme val="minor"/>
      </rPr>
      <t xml:space="preserve">espesas </t>
    </r>
    <r>
      <rPr>
        <b/>
        <sz val="11"/>
        <color theme="1"/>
        <rFont val="Calibri"/>
        <family val="2"/>
        <scheme val="minor"/>
      </rPr>
      <t>F</t>
    </r>
    <r>
      <rPr>
        <sz val="11"/>
        <color theme="1"/>
        <rFont val="Calibri"/>
        <family val="2"/>
        <scheme val="minor"/>
      </rPr>
      <t>inanceiras</t>
    </r>
  </si>
  <si>
    <r>
      <rPr>
        <b/>
        <sz val="11"/>
        <color theme="1"/>
        <rFont val="Calibri"/>
        <family val="2"/>
        <scheme val="minor"/>
      </rPr>
      <t>A</t>
    </r>
    <r>
      <rPr>
        <sz val="11"/>
        <color theme="1"/>
        <rFont val="Calibri"/>
        <family val="2"/>
        <scheme val="minor"/>
      </rPr>
      <t xml:space="preserve">dministração </t>
    </r>
    <r>
      <rPr>
        <b/>
        <sz val="11"/>
        <color theme="1"/>
        <rFont val="Calibri"/>
        <family val="2"/>
        <scheme val="minor"/>
      </rPr>
      <t>C</t>
    </r>
    <r>
      <rPr>
        <sz val="11"/>
        <color theme="1"/>
        <rFont val="Calibri"/>
        <family val="2"/>
        <scheme val="minor"/>
      </rPr>
      <t>entral</t>
    </r>
  </si>
  <si>
    <r>
      <rPr>
        <b/>
        <sz val="11"/>
        <color theme="1"/>
        <rFont val="Calibri"/>
        <family val="2"/>
        <scheme val="minor"/>
      </rPr>
      <t>S</t>
    </r>
    <r>
      <rPr>
        <sz val="11"/>
        <color theme="1"/>
        <rFont val="Calibri"/>
        <family val="2"/>
        <scheme val="minor"/>
      </rPr>
      <t xml:space="preserve">eguro e </t>
    </r>
    <r>
      <rPr>
        <b/>
        <sz val="11"/>
        <color theme="1"/>
        <rFont val="Calibri"/>
        <family val="2"/>
        <scheme val="minor"/>
      </rPr>
      <t>G</t>
    </r>
    <r>
      <rPr>
        <sz val="11"/>
        <color theme="1"/>
        <rFont val="Calibri"/>
        <family val="2"/>
        <scheme val="minor"/>
      </rPr>
      <t>arantia</t>
    </r>
  </si>
  <si>
    <r>
      <rPr>
        <b/>
        <sz val="11"/>
        <color theme="1"/>
        <rFont val="Calibri"/>
        <family val="2"/>
        <scheme val="minor"/>
      </rPr>
      <t>R</t>
    </r>
    <r>
      <rPr>
        <sz val="11"/>
        <color theme="1"/>
        <rFont val="Calibri"/>
        <family val="2"/>
        <scheme val="minor"/>
      </rPr>
      <t>isco</t>
    </r>
  </si>
  <si>
    <r>
      <rPr>
        <b/>
        <sz val="11"/>
        <color theme="1"/>
        <rFont val="Calibri"/>
        <family val="2"/>
        <scheme val="minor"/>
      </rPr>
      <t>L</t>
    </r>
    <r>
      <rPr>
        <sz val="11"/>
        <color theme="1"/>
        <rFont val="Calibri"/>
        <family val="2"/>
        <scheme val="minor"/>
      </rPr>
      <t>ucro</t>
    </r>
  </si>
  <si>
    <t>Eng. José Angelo Figueiredo</t>
  </si>
  <si>
    <t>CREA:  060176816-2</t>
  </si>
  <si>
    <t>km2</t>
  </si>
  <si>
    <t>m3*km</t>
  </si>
  <si>
    <t>dm3</t>
  </si>
  <si>
    <t>dm2</t>
  </si>
  <si>
    <t xml:space="preserve">DISP.DE CONTROLE ALINH.- CILINDRO CANALIZADOR DE TRÁFEGO - ABNT.NBR 15071.     </t>
  </si>
  <si>
    <t>DISP.DE CANAL.DE TRAF.SINAL.ELETR.A LED BID.P/A USO EM CONES,CAVAL.E BARREIRAS.</t>
  </si>
  <si>
    <t>m2 x mes</t>
  </si>
  <si>
    <t>CORTE 1ª E 2ª CAT.
M³</t>
  </si>
  <si>
    <t>LIMPEZA
m²</t>
  </si>
  <si>
    <t>CORTE 2ª CAT. C/ Riper
m³</t>
  </si>
  <si>
    <t>ATERRO
m³</t>
  </si>
  <si>
    <t>ATERRO empolado 1,25
m³</t>
  </si>
  <si>
    <t>BOTA FORA MATERIAL DE LIMPEZA
m³</t>
  </si>
  <si>
    <t>BOTA FORA MATERIAL DE DEMOLIÇÃO
m³</t>
  </si>
  <si>
    <t>BOTA FORA
m³</t>
  </si>
  <si>
    <t>EMPRESTIMO
m³</t>
  </si>
  <si>
    <t>ÁREA DE LIMPEZA</t>
  </si>
  <si>
    <t>Seccionada (2,00 X 4,00)</t>
  </si>
  <si>
    <t>PEM (Seta Indicativa) Comp=5,0m</t>
  </si>
  <si>
    <t>Legenda PARE</t>
  </si>
  <si>
    <t>Travessia de Pedestres</t>
  </si>
  <si>
    <t>ABC</t>
  </si>
  <si>
    <t>ART: 28027230220742343</t>
  </si>
  <si>
    <t>Terraplenagem para Drenagem</t>
  </si>
  <si>
    <t>Obs.: Nos cálculos de volumes, foram considerados espessuras de pavimente de 0,40m e 0,15 de limpeza</t>
  </si>
  <si>
    <r>
      <t xml:space="preserve">Espessura da Camada de Limpeza = </t>
    </r>
    <r>
      <rPr>
        <b/>
        <sz val="11"/>
        <rFont val="Arial"/>
        <family val="2"/>
      </rPr>
      <t>0,15m</t>
    </r>
  </si>
  <si>
    <t>DMT USINA</t>
  </si>
  <si>
    <t>Rachão</t>
  </si>
  <si>
    <t>54.02.030</t>
  </si>
  <si>
    <t>Revestimento primário com pedra britada, compactação mínima de 95% do PN - 4 cm</t>
  </si>
  <si>
    <r>
      <rPr>
        <b/>
        <i/>
        <sz val="8"/>
        <rFont val="Arial"/>
        <family val="2"/>
      </rPr>
      <t>Referência</t>
    </r>
  </si>
  <si>
    <r>
      <rPr>
        <b/>
        <i/>
        <sz val="8"/>
        <rFont val="Arial"/>
        <family val="2"/>
      </rPr>
      <t>Descrição</t>
    </r>
  </si>
  <si>
    <r>
      <rPr>
        <b/>
        <i/>
        <sz val="8"/>
        <rFont val="Arial"/>
        <family val="2"/>
      </rPr>
      <t>Un</t>
    </r>
  </si>
  <si>
    <r>
      <rPr>
        <b/>
        <i/>
        <sz val="8"/>
        <rFont val="Arial"/>
        <family val="2"/>
      </rPr>
      <t>Material</t>
    </r>
  </si>
  <si>
    <r>
      <rPr>
        <b/>
        <i/>
        <sz val="8"/>
        <rFont val="Arial"/>
        <family val="2"/>
      </rPr>
      <t>Mão de Obra</t>
    </r>
  </si>
  <si>
    <r>
      <rPr>
        <b/>
        <i/>
        <sz val="8"/>
        <rFont val="Arial"/>
        <family val="2"/>
      </rPr>
      <t>Custo Total</t>
    </r>
  </si>
  <si>
    <r>
      <rPr>
        <sz val="8.5"/>
        <rFont val="Calibri"/>
        <family val="2"/>
      </rPr>
      <t>UN</t>
    </r>
  </si>
  <si>
    <r>
      <rPr>
        <sz val="8.5"/>
        <rFont val="Calibri"/>
        <family val="2"/>
      </rPr>
      <t>M2</t>
    </r>
  </si>
  <si>
    <r>
      <rPr>
        <sz val="8.5"/>
        <rFont val="Calibri"/>
        <family val="2"/>
      </rPr>
      <t>M</t>
    </r>
  </si>
  <si>
    <r>
      <rPr>
        <sz val="8.5"/>
        <rFont val="Calibri"/>
        <family val="2"/>
      </rPr>
      <t>CJ</t>
    </r>
  </si>
  <si>
    <r>
      <rPr>
        <sz val="8.5"/>
        <rFont val="Calibri"/>
        <family val="2"/>
      </rPr>
      <t>KG</t>
    </r>
  </si>
  <si>
    <r>
      <rPr>
        <sz val="8.5"/>
        <rFont val="Calibri"/>
        <family val="2"/>
      </rPr>
      <t>Plantio de grama batatais em placas (praças e áreas abertas)</t>
    </r>
  </si>
  <si>
    <r>
      <rPr>
        <sz val="8.5"/>
        <rFont val="Calibri"/>
        <family val="2"/>
      </rPr>
      <t>69.09.370</t>
    </r>
  </si>
  <si>
    <r>
      <rPr>
        <sz val="8.5"/>
        <rFont val="Calibri"/>
        <family val="2"/>
      </rPr>
      <t>Transceptor Gigabit SX ‐ LC conectável de formato pequeno (SFP)</t>
    </r>
  </si>
  <si>
    <r>
      <rPr>
        <sz val="8.5"/>
        <rFont val="Calibri"/>
        <family val="2"/>
      </rPr>
      <t>69.10</t>
    </r>
  </si>
  <si>
    <r>
      <rPr>
        <sz val="8.5"/>
        <rFont val="Calibri"/>
        <family val="2"/>
      </rPr>
      <t>Telecomunicacoes</t>
    </r>
  </si>
  <si>
    <r>
      <rPr>
        <sz val="8.5"/>
        <rFont val="Calibri"/>
        <family val="2"/>
      </rPr>
      <t>69.10.130</t>
    </r>
  </si>
  <si>
    <r>
      <rPr>
        <sz val="8.5"/>
        <rFont val="Calibri"/>
        <family val="2"/>
      </rPr>
      <t>Amplificador de potência para VHF e CATV‐50 dB, frequência 40 a 550 MHz</t>
    </r>
  </si>
  <si>
    <r>
      <rPr>
        <sz val="8.5"/>
        <rFont val="Calibri"/>
        <family val="2"/>
      </rPr>
      <t>69.10.140</t>
    </r>
  </si>
  <si>
    <r>
      <rPr>
        <sz val="8.5"/>
        <rFont val="Calibri"/>
        <family val="2"/>
      </rPr>
      <t>Antena parabólica com captador de sinais e modulador de áudio e vídeo</t>
    </r>
  </si>
  <si>
    <r>
      <rPr>
        <sz val="8.5"/>
        <rFont val="Calibri"/>
        <family val="2"/>
      </rPr>
      <t>69.20</t>
    </r>
  </si>
  <si>
    <r>
      <rPr>
        <sz val="8.5"/>
        <rFont val="Calibri"/>
        <family val="2"/>
      </rPr>
      <t>Reparos, conservacoes e complementos ‐ GRUPO 69</t>
    </r>
  </si>
  <si>
    <r>
      <rPr>
        <sz val="8.5"/>
        <rFont val="Calibri"/>
        <family val="2"/>
      </rPr>
      <t>69.20.010</t>
    </r>
  </si>
  <si>
    <r>
      <rPr>
        <sz val="8.5"/>
        <rFont val="Calibri"/>
        <family val="2"/>
      </rPr>
      <t>Arame de espinar em aço inoxidável nu, para TV a cabo</t>
    </r>
  </si>
  <si>
    <r>
      <rPr>
        <sz val="8.5"/>
        <rFont val="Calibri"/>
        <family val="2"/>
      </rPr>
      <t>69.20.040</t>
    </r>
  </si>
  <si>
    <r>
      <rPr>
        <sz val="8.5"/>
        <rFont val="Calibri"/>
        <family val="2"/>
      </rPr>
      <t>Isolador roldana em porcelana de 72 x 72 mm</t>
    </r>
  </si>
  <si>
    <r>
      <rPr>
        <sz val="8.5"/>
        <rFont val="Calibri"/>
        <family val="2"/>
      </rPr>
      <t>69.20.050</t>
    </r>
  </si>
  <si>
    <r>
      <rPr>
        <sz val="8.5"/>
        <rFont val="Calibri"/>
        <family val="2"/>
      </rPr>
      <t>Suporte para isolador roldana tipo DM, padrão TELEBRÁS</t>
    </r>
  </si>
  <si>
    <r>
      <rPr>
        <sz val="8.5"/>
        <rFont val="Calibri"/>
        <family val="2"/>
      </rPr>
      <t>69.20.070</t>
    </r>
  </si>
  <si>
    <r>
      <rPr>
        <sz val="8.5"/>
        <rFont val="Calibri"/>
        <family val="2"/>
      </rPr>
      <t xml:space="preserve">Fita em aço inoxidável para poste de 0,50 m x 19 mm, com fecho em aço
</t>
    </r>
    <r>
      <rPr>
        <sz val="8.5"/>
        <rFont val="Calibri"/>
        <family val="2"/>
      </rPr>
      <t>inoxidável</t>
    </r>
  </si>
  <si>
    <r>
      <rPr>
        <sz val="8.5"/>
        <rFont val="Calibri"/>
        <family val="2"/>
      </rPr>
      <t>69.20.100</t>
    </r>
  </si>
  <si>
    <r>
      <rPr>
        <sz val="8.5"/>
        <rFont val="Calibri"/>
        <family val="2"/>
      </rPr>
      <t>Tampa para caixa R1, padrão TELEBRÁS</t>
    </r>
  </si>
  <si>
    <r>
      <rPr>
        <sz val="8.5"/>
        <rFont val="Calibri"/>
        <family val="2"/>
      </rPr>
      <t>69.20.110</t>
    </r>
  </si>
  <si>
    <r>
      <rPr>
        <sz val="8.5"/>
        <rFont val="Calibri"/>
        <family val="2"/>
      </rPr>
      <t>Tampa para caixa R2, padrão TELEBRÁS</t>
    </r>
  </si>
  <si>
    <r>
      <rPr>
        <sz val="8.5"/>
        <rFont val="Calibri"/>
        <family val="2"/>
      </rPr>
      <t>69.20.130</t>
    </r>
  </si>
  <si>
    <r>
      <rPr>
        <sz val="8.5"/>
        <rFont val="Calibri"/>
        <family val="2"/>
      </rPr>
      <t>Bloco de ligação interna para 10 pares, BLI‐10</t>
    </r>
  </si>
  <si>
    <r>
      <rPr>
        <sz val="8.5"/>
        <rFont val="Calibri"/>
        <family val="2"/>
      </rPr>
      <t>69.20.140</t>
    </r>
  </si>
  <si>
    <r>
      <rPr>
        <sz val="8.5"/>
        <rFont val="Calibri"/>
        <family val="2"/>
      </rPr>
      <t>Bloco de ligação com engate rápido para 10 pares, BER‐10</t>
    </r>
  </si>
  <si>
    <r>
      <rPr>
        <sz val="8.5"/>
        <rFont val="Calibri"/>
        <family val="2"/>
      </rPr>
      <t>69.20.170</t>
    </r>
  </si>
  <si>
    <r>
      <rPr>
        <sz val="8.5"/>
        <rFont val="Calibri"/>
        <family val="2"/>
      </rPr>
      <t>Calha de aço com 4 tomadas 2P+T ‐ 250 V, com cabo</t>
    </r>
  </si>
  <si>
    <r>
      <rPr>
        <sz val="8.5"/>
        <rFont val="Calibri"/>
        <family val="2"/>
      </rPr>
      <t>69.20.180</t>
    </r>
  </si>
  <si>
    <r>
      <rPr>
        <sz val="8.5"/>
        <rFont val="Calibri"/>
        <family val="2"/>
      </rPr>
      <t>Cordão óptico duplex, multimodo com conector LC/LC ‐ 2,5 m</t>
    </r>
  </si>
  <si>
    <r>
      <rPr>
        <sz val="8.5"/>
        <rFont val="Calibri"/>
        <family val="2"/>
      </rPr>
      <t>69.20.200</t>
    </r>
  </si>
  <si>
    <r>
      <rPr>
        <sz val="8.5"/>
        <rFont val="Calibri"/>
        <family val="2"/>
      </rPr>
      <t>Bandeja fixa para rack, 19´ x 500 mm</t>
    </r>
  </si>
  <si>
    <r>
      <rPr>
        <sz val="8.5"/>
        <rFont val="Calibri"/>
        <family val="2"/>
      </rPr>
      <t>69.20.210</t>
    </r>
  </si>
  <si>
    <r>
      <rPr>
        <sz val="8.5"/>
        <rFont val="Calibri"/>
        <family val="2"/>
      </rPr>
      <t>Bandeja fixa para rack, 19´ x 800 mm</t>
    </r>
  </si>
  <si>
    <r>
      <rPr>
        <sz val="8.5"/>
        <rFont val="Calibri"/>
        <family val="2"/>
      </rPr>
      <t>69.20.220</t>
    </r>
  </si>
  <si>
    <r>
      <rPr>
        <sz val="8.5"/>
        <rFont val="Calibri"/>
        <family val="2"/>
      </rPr>
      <t>Bandeja deslizante para rack, 19´ x 800 mm</t>
    </r>
  </si>
  <si>
    <r>
      <rPr>
        <sz val="8.5"/>
        <rFont val="Calibri"/>
        <family val="2"/>
      </rPr>
      <t>69.20.230</t>
    </r>
  </si>
  <si>
    <r>
      <rPr>
        <sz val="8.5"/>
        <rFont val="Calibri"/>
        <family val="2"/>
      </rPr>
      <t>Calha de aço com 8 tomadas 2P+T ‐ 250 V, com cabo</t>
    </r>
  </si>
  <si>
    <r>
      <rPr>
        <sz val="8.5"/>
        <rFont val="Calibri"/>
        <family val="2"/>
      </rPr>
      <t>69.20.240</t>
    </r>
  </si>
  <si>
    <r>
      <rPr>
        <sz val="8.5"/>
        <rFont val="Calibri"/>
        <family val="2"/>
      </rPr>
      <t>Calha de aço com 12 tomadas 2P+T ‐ 250 V, com cabo</t>
    </r>
  </si>
  <si>
    <r>
      <rPr>
        <sz val="8.5"/>
        <rFont val="Calibri"/>
        <family val="2"/>
      </rPr>
      <t>69.20.248</t>
    </r>
  </si>
  <si>
    <r>
      <rPr>
        <sz val="8.5"/>
        <rFont val="Calibri"/>
        <family val="2"/>
      </rPr>
      <t>Painel frontal cego ‐ 19´ x 1 U</t>
    </r>
  </si>
  <si>
    <r>
      <rPr>
        <sz val="8.5"/>
        <rFont val="Calibri"/>
        <family val="2"/>
      </rPr>
      <t>69.20.250</t>
    </r>
  </si>
  <si>
    <r>
      <rPr>
        <sz val="8.5"/>
        <rFont val="Calibri"/>
        <family val="2"/>
      </rPr>
      <t>Painel frontal cego ‐ 19´ x 2 U</t>
    </r>
  </si>
  <si>
    <r>
      <rPr>
        <sz val="8.5"/>
        <rFont val="Calibri"/>
        <family val="2"/>
      </rPr>
      <t>69.20.260</t>
    </r>
  </si>
  <si>
    <r>
      <rPr>
        <sz val="8.5"/>
        <rFont val="Calibri"/>
        <family val="2"/>
      </rPr>
      <t>Protetor de surto híbrido para rede de telecomunicações</t>
    </r>
  </si>
  <si>
    <r>
      <rPr>
        <sz val="8.5"/>
        <rFont val="Calibri"/>
        <family val="2"/>
      </rPr>
      <t>69.20.270</t>
    </r>
  </si>
  <si>
    <r>
      <rPr>
        <sz val="8.5"/>
        <rFont val="Calibri"/>
        <family val="2"/>
      </rPr>
      <t>Divisor interno com 1 entrada e 2 saídas ‐ 75 Ohms</t>
    </r>
  </si>
  <si>
    <r>
      <rPr>
        <sz val="8.5"/>
        <rFont val="Calibri"/>
        <family val="2"/>
      </rPr>
      <t>69.20.280</t>
    </r>
  </si>
  <si>
    <r>
      <rPr>
        <sz val="8.5"/>
        <rFont val="Calibri"/>
        <family val="2"/>
      </rPr>
      <t>Divisor interno com 1 entrada e 4 saídas ‐ 75 Ohms</t>
    </r>
  </si>
  <si>
    <r>
      <rPr>
        <sz val="8.5"/>
        <rFont val="Calibri"/>
        <family val="2"/>
      </rPr>
      <t>69.20.290</t>
    </r>
  </si>
  <si>
    <r>
      <rPr>
        <sz val="8.5"/>
        <rFont val="Calibri"/>
        <family val="2"/>
      </rPr>
      <t>Tomada blindada para VHF/UHF, CATV e FM, frequência 5 MHz a 1 GHz</t>
    </r>
  </si>
  <si>
    <r>
      <rPr>
        <sz val="8.5"/>
        <rFont val="Calibri"/>
        <family val="2"/>
      </rPr>
      <t>69.20.300</t>
    </r>
  </si>
  <si>
    <r>
      <rPr>
        <sz val="8.5"/>
        <rFont val="Calibri"/>
        <family val="2"/>
      </rPr>
      <t>Bloco de distribuição com protetor de surtos, para 10 pares, BTDG‐10</t>
    </r>
  </si>
  <si>
    <r>
      <rPr>
        <sz val="8.5"/>
        <rFont val="Calibri"/>
        <family val="2"/>
      </rPr>
      <t>69.20.340</t>
    </r>
  </si>
  <si>
    <r>
      <rPr>
        <sz val="8.5"/>
        <rFont val="Calibri"/>
        <family val="2"/>
      </rPr>
      <t>Tomada para TV, tipo pino Jack, com placa</t>
    </r>
  </si>
  <si>
    <r>
      <rPr>
        <sz val="8.5"/>
        <rFont val="Calibri"/>
        <family val="2"/>
      </rPr>
      <t>69.20.350</t>
    </r>
  </si>
  <si>
    <r>
      <rPr>
        <sz val="8.5"/>
        <rFont val="Calibri"/>
        <family val="2"/>
      </rPr>
      <t>Caixa de emenda ventilada, em polipropileno, para até 200 pares</t>
    </r>
  </si>
  <si>
    <r>
      <rPr>
        <sz val="8.5"/>
        <rFont val="Calibri"/>
        <family val="2"/>
      </rPr>
      <t>SINALIZACAO VIARIA</t>
    </r>
  </si>
  <si>
    <r>
      <rPr>
        <sz val="8.5"/>
        <rFont val="Calibri"/>
        <family val="2"/>
      </rPr>
      <t>70.01</t>
    </r>
  </si>
  <si>
    <r>
      <rPr>
        <sz val="8.5"/>
        <rFont val="Calibri"/>
        <family val="2"/>
      </rPr>
      <t>Dispositivo viario</t>
    </r>
  </si>
  <si>
    <r>
      <rPr>
        <sz val="8.5"/>
        <rFont val="Calibri"/>
        <family val="2"/>
      </rPr>
      <t>70.01.002</t>
    </r>
  </si>
  <si>
    <r>
      <rPr>
        <sz val="8.5"/>
        <rFont val="Calibri"/>
        <family val="2"/>
      </rPr>
      <t>Faixa elevada para travessia de pedestres em massa asfáltica ‐ lombofaixa</t>
    </r>
  </si>
  <si>
    <r>
      <rPr>
        <sz val="8.5"/>
        <rFont val="Calibri"/>
        <family val="2"/>
      </rPr>
      <t>70.01.020</t>
    </r>
  </si>
  <si>
    <r>
      <rPr>
        <sz val="8.5"/>
        <rFont val="Calibri"/>
        <family val="2"/>
      </rPr>
      <t>Ondulação transversal em massa asfáltica ‐ lombada tipo A</t>
    </r>
  </si>
  <si>
    <r>
      <rPr>
        <sz val="8.5"/>
        <rFont val="Calibri"/>
        <family val="2"/>
      </rPr>
      <t>70.01.021</t>
    </r>
  </si>
  <si>
    <r>
      <rPr>
        <sz val="8.5"/>
        <rFont val="Calibri"/>
        <family val="2"/>
      </rPr>
      <t>Ondulação transversal em massa alfáltica ‐ lombada tipo B</t>
    </r>
  </si>
  <si>
    <r>
      <rPr>
        <sz val="8.5"/>
        <rFont val="Calibri"/>
        <family val="2"/>
      </rPr>
      <t>70.01.050</t>
    </r>
  </si>
  <si>
    <r>
      <rPr>
        <sz val="8.5"/>
        <rFont val="Calibri"/>
        <family val="2"/>
      </rPr>
      <t>Defensa semimaleavel simples</t>
    </r>
  </si>
  <si>
    <r>
      <rPr>
        <sz val="8.5"/>
        <rFont val="Calibri"/>
        <family val="2"/>
      </rPr>
      <t>70.02</t>
    </r>
  </si>
  <si>
    <r>
      <rPr>
        <sz val="8.5"/>
        <rFont val="Calibri"/>
        <family val="2"/>
      </rPr>
      <t>Sinalizacao horizontal</t>
    </r>
  </si>
  <si>
    <r>
      <rPr>
        <sz val="8.5"/>
        <rFont val="Calibri"/>
        <family val="2"/>
      </rPr>
      <t>70.02.001</t>
    </r>
  </si>
  <si>
    <r>
      <rPr>
        <sz val="8.5"/>
        <rFont val="Calibri"/>
        <family val="2"/>
      </rPr>
      <t>Limpeza, pré marcação e pré pintura de solo</t>
    </r>
  </si>
  <si>
    <r>
      <rPr>
        <sz val="8.5"/>
        <rFont val="Calibri"/>
        <family val="2"/>
      </rPr>
      <t>70.02.010</t>
    </r>
  </si>
  <si>
    <r>
      <rPr>
        <sz val="8.5"/>
        <rFont val="Calibri"/>
        <family val="2"/>
      </rPr>
      <t>Sinalização horizontal com tinta vinílica ou acrílica</t>
    </r>
  </si>
  <si>
    <r>
      <rPr>
        <sz val="8.5"/>
        <rFont val="Calibri"/>
        <family val="2"/>
      </rPr>
      <t>70.02.012</t>
    </r>
  </si>
  <si>
    <r>
      <rPr>
        <sz val="8.5"/>
        <rFont val="Calibri"/>
        <family val="2"/>
      </rPr>
      <t xml:space="preserve">Sinalização horizontal em laminado elastoplástico retrorefletivo e
</t>
    </r>
    <r>
      <rPr>
        <sz val="8.5"/>
        <rFont val="Calibri"/>
        <family val="2"/>
      </rPr>
      <t>antiderrapante, para faixas</t>
    </r>
  </si>
  <si>
    <r>
      <rPr>
        <sz val="8.5"/>
        <rFont val="Calibri"/>
        <family val="2"/>
      </rPr>
      <t>70.02.013</t>
    </r>
  </si>
  <si>
    <r>
      <rPr>
        <sz val="8.5"/>
        <rFont val="Calibri"/>
        <family val="2"/>
      </rPr>
      <t xml:space="preserve">Sinalização horizontal em laminado elastoplástico retrorefletivo e
</t>
    </r>
    <r>
      <rPr>
        <sz val="8.5"/>
        <rFont val="Calibri"/>
        <family val="2"/>
      </rPr>
      <t>antiderrapante, para símbolos e letras</t>
    </r>
  </si>
  <si>
    <r>
      <rPr>
        <sz val="8.5"/>
        <rFont val="Calibri"/>
        <family val="2"/>
      </rPr>
      <t>70.02.014</t>
    </r>
  </si>
  <si>
    <r>
      <rPr>
        <sz val="8.5"/>
        <rFont val="Calibri"/>
        <family val="2"/>
      </rPr>
      <t xml:space="preserve">Sinalização horizontal em massa termoplástica à quente por aspersão,
</t>
    </r>
    <r>
      <rPr>
        <sz val="8.5"/>
        <rFont val="Calibri"/>
        <family val="2"/>
      </rPr>
      <t>espessura de 1,5 mm, para faixas</t>
    </r>
  </si>
  <si>
    <r>
      <rPr>
        <sz val="8.5"/>
        <rFont val="Calibri"/>
        <family val="2"/>
      </rPr>
      <t>70.02.016</t>
    </r>
  </si>
  <si>
    <r>
      <rPr>
        <sz val="8.5"/>
        <rFont val="Calibri"/>
        <family val="2"/>
      </rPr>
      <t xml:space="preserve">Sinalização horizontal em massa termoplástica à quente por extrusão,
</t>
    </r>
    <r>
      <rPr>
        <sz val="8.5"/>
        <rFont val="Calibri"/>
        <family val="2"/>
      </rPr>
      <t>espessura de 3,0 mm, para faixas</t>
    </r>
  </si>
  <si>
    <r>
      <rPr>
        <sz val="8.5"/>
        <rFont val="Calibri"/>
        <family val="2"/>
      </rPr>
      <t>70.02.017</t>
    </r>
  </si>
  <si>
    <r>
      <rPr>
        <sz val="8.5"/>
        <rFont val="Calibri"/>
        <family val="2"/>
      </rPr>
      <t xml:space="preserve">Sinalização horizontal em massa termoplástica à quente por extrusão,
</t>
    </r>
    <r>
      <rPr>
        <sz val="8.5"/>
        <rFont val="Calibri"/>
        <family val="2"/>
      </rPr>
      <t>espessura de 3,0 mm, para legendas</t>
    </r>
  </si>
  <si>
    <r>
      <rPr>
        <sz val="8.5"/>
        <rFont val="Calibri"/>
        <family val="2"/>
      </rPr>
      <t>70.02.020</t>
    </r>
  </si>
  <si>
    <r>
      <rPr>
        <sz val="8.5"/>
        <rFont val="Calibri"/>
        <family val="2"/>
      </rPr>
      <t>Sinalização horizontal em plástico a frio manual, para faixas</t>
    </r>
  </si>
  <si>
    <r>
      <rPr>
        <sz val="8.5"/>
        <rFont val="Calibri"/>
        <family val="2"/>
      </rPr>
      <t>70.02.021</t>
    </r>
  </si>
  <si>
    <r>
      <rPr>
        <sz val="8.5"/>
        <rFont val="Calibri"/>
        <family val="2"/>
      </rPr>
      <t>Sinalização horizontal em termoplástico de alto relevo</t>
    </r>
  </si>
  <si>
    <r>
      <rPr>
        <sz val="8.5"/>
        <rFont val="Calibri"/>
        <family val="2"/>
      </rPr>
      <t>70.02.022</t>
    </r>
  </si>
  <si>
    <r>
      <rPr>
        <sz val="8.5"/>
        <rFont val="Calibri"/>
        <family val="2"/>
      </rPr>
      <t>Sinalização horizontal em tinta a base de resina acrílica emulsionada em água</t>
    </r>
  </si>
  <si>
    <r>
      <rPr>
        <sz val="8.5"/>
        <rFont val="Calibri"/>
        <family val="2"/>
      </rPr>
      <t>70.03</t>
    </r>
  </si>
  <si>
    <r>
      <rPr>
        <sz val="8.5"/>
        <rFont val="Calibri"/>
        <family val="2"/>
      </rPr>
      <t>Sinalizacao vertical</t>
    </r>
  </si>
  <si>
    <r>
      <rPr>
        <sz val="8.5"/>
        <rFont val="Calibri"/>
        <family val="2"/>
      </rPr>
      <t>70.03.001</t>
    </r>
  </si>
  <si>
    <r>
      <rPr>
        <sz val="8.5"/>
        <rFont val="Calibri"/>
        <family val="2"/>
      </rPr>
      <t xml:space="preserve">Placa para sinalização viária em chapa de aço, totalmente refletiva com
</t>
    </r>
    <r>
      <rPr>
        <sz val="8.5"/>
        <rFont val="Calibri"/>
        <family val="2"/>
      </rPr>
      <t>película IA/IA ‐ área até 2,0 m²</t>
    </r>
  </si>
  <si>
    <r>
      <rPr>
        <sz val="8.5"/>
        <rFont val="Calibri"/>
        <family val="2"/>
      </rPr>
      <t>70.03.003</t>
    </r>
  </si>
  <si>
    <r>
      <rPr>
        <sz val="8.5"/>
        <rFont val="Calibri"/>
        <family val="2"/>
      </rPr>
      <t xml:space="preserve">Placa para sinalização viária em chapa de aço, totalmente refletiva com
</t>
    </r>
    <r>
      <rPr>
        <sz val="8.5"/>
        <rFont val="Calibri"/>
        <family val="2"/>
      </rPr>
      <t>película III/III ‐ área até 2,0 m²</t>
    </r>
  </si>
  <si>
    <r>
      <rPr>
        <sz val="8.5"/>
        <rFont val="Calibri"/>
        <family val="2"/>
      </rPr>
      <t>70.03.006</t>
    </r>
  </si>
  <si>
    <r>
      <rPr>
        <sz val="8.5"/>
        <rFont val="Calibri"/>
        <family val="2"/>
      </rPr>
      <t xml:space="preserve">Placa para sinalização viária em chapa de alumínio, totalmente refletiva com
</t>
    </r>
    <r>
      <rPr>
        <sz val="8.5"/>
        <rFont val="Calibri"/>
        <family val="2"/>
      </rPr>
      <t>película IA/IA ‐ área até 2,0 m²</t>
    </r>
  </si>
  <si>
    <r>
      <rPr>
        <sz val="8.5"/>
        <rFont val="Calibri"/>
        <family val="2"/>
      </rPr>
      <t>70.03.008</t>
    </r>
  </si>
  <si>
    <r>
      <rPr>
        <sz val="8.5"/>
        <rFont val="Calibri"/>
        <family val="2"/>
      </rPr>
      <t xml:space="preserve">Placa para sinalização viária em chapa de alumínio, totalmente refletiva com
</t>
    </r>
    <r>
      <rPr>
        <sz val="8.5"/>
        <rFont val="Calibri"/>
        <family val="2"/>
      </rPr>
      <t>película III/III ‐ área até 2,0 m²</t>
    </r>
  </si>
  <si>
    <r>
      <rPr>
        <sz val="8.5"/>
        <rFont val="Calibri"/>
        <family val="2"/>
      </rPr>
      <t>70.03.009</t>
    </r>
  </si>
  <si>
    <r>
      <rPr>
        <sz val="8.5"/>
        <rFont val="Calibri"/>
        <family val="2"/>
      </rPr>
      <t xml:space="preserve">Placa para sinalização viária em chapa de alumínio, totalmente refletiva com
</t>
    </r>
    <r>
      <rPr>
        <sz val="8.5"/>
        <rFont val="Calibri"/>
        <family val="2"/>
      </rPr>
      <t>película III/III ‐ área maior que 2,0 m²</t>
    </r>
  </si>
  <si>
    <r>
      <rPr>
        <sz val="8.5"/>
        <rFont val="Calibri"/>
        <family val="2"/>
      </rPr>
      <t>70.03.010</t>
    </r>
  </si>
  <si>
    <r>
      <rPr>
        <sz val="8.5"/>
        <rFont val="Calibri"/>
        <family val="2"/>
      </rPr>
      <t xml:space="preserve">Placa para sinalização viária em alumínio composto, totalmente refletiva com
</t>
    </r>
    <r>
      <rPr>
        <sz val="8.5"/>
        <rFont val="Calibri"/>
        <family val="2"/>
      </rPr>
      <t>película IA/IA ‐ área até 2,0 m²</t>
    </r>
  </si>
  <si>
    <r>
      <rPr>
        <sz val="8.5"/>
        <rFont val="Calibri"/>
        <family val="2"/>
      </rPr>
      <t>70.03.012</t>
    </r>
  </si>
  <si>
    <r>
      <rPr>
        <sz val="8.5"/>
        <rFont val="Calibri"/>
        <family val="2"/>
      </rPr>
      <t xml:space="preserve">Placa para sinalização viária em alumínio composto, totalmente refletiva com
</t>
    </r>
    <r>
      <rPr>
        <sz val="8.5"/>
        <rFont val="Calibri"/>
        <family val="2"/>
      </rPr>
      <t>película III/III ‐ área até 2,0 m²</t>
    </r>
  </si>
  <si>
    <r>
      <rPr>
        <sz val="8.5"/>
        <rFont val="Calibri"/>
        <family val="2"/>
      </rPr>
      <t>70.03.013</t>
    </r>
  </si>
  <si>
    <r>
      <rPr>
        <sz val="8.5"/>
        <rFont val="Calibri"/>
        <family val="2"/>
      </rPr>
      <t xml:space="preserve">Placa para sinalização viária em alumínio composto, totalmente refletiva com
</t>
    </r>
    <r>
      <rPr>
        <sz val="8.5"/>
        <rFont val="Calibri"/>
        <family val="2"/>
      </rPr>
      <t>película III/III ‐ área maior que 2,0 m²</t>
    </r>
  </si>
  <si>
    <r>
      <rPr>
        <sz val="8.5"/>
        <rFont val="Calibri"/>
        <family val="2"/>
      </rPr>
      <t>70.04</t>
    </r>
  </si>
  <si>
    <r>
      <rPr>
        <sz val="8.5"/>
        <rFont val="Calibri"/>
        <family val="2"/>
      </rPr>
      <t>Coluna cônica</t>
    </r>
  </si>
  <si>
    <r>
      <rPr>
        <sz val="8.5"/>
        <rFont val="Calibri"/>
        <family val="2"/>
      </rPr>
      <t>70.04.001</t>
    </r>
  </si>
  <si>
    <r>
      <rPr>
        <sz val="8.5"/>
        <rFont val="Calibri"/>
        <family val="2"/>
      </rPr>
      <t>Coluna simples (PP), diâmetro de 2 1/2´ e comprimento de 3,6 m</t>
    </r>
  </si>
  <si>
    <r>
      <rPr>
        <sz val="8.5"/>
        <rFont val="Calibri"/>
        <family val="2"/>
      </rPr>
      <t>70.04.002</t>
    </r>
  </si>
  <si>
    <r>
      <rPr>
        <sz val="8.5"/>
        <rFont val="Calibri"/>
        <family val="2"/>
      </rPr>
      <t>Coluna simples (P‐51), para fixação de placa de orientação</t>
    </r>
  </si>
  <si>
    <r>
      <rPr>
        <sz val="8.5"/>
        <rFont val="Calibri"/>
        <family val="2"/>
      </rPr>
      <t>70.04.003</t>
    </r>
  </si>
  <si>
    <r>
      <rPr>
        <sz val="8.5"/>
        <rFont val="Calibri"/>
        <family val="2"/>
      </rPr>
      <t>Coluna dupla (P‐53) para fixação de placa de orientação</t>
    </r>
  </si>
  <si>
    <r>
      <rPr>
        <sz val="8.5"/>
        <rFont val="Calibri"/>
        <family val="2"/>
      </rPr>
      <t>70.04.004</t>
    </r>
  </si>
  <si>
    <r>
      <rPr>
        <sz val="8.5"/>
        <rFont val="Calibri"/>
        <family val="2"/>
      </rPr>
      <t>Coluna (P‐57) para fixação de placa de orientação, com braço projetado</t>
    </r>
  </si>
  <si>
    <r>
      <rPr>
        <sz val="8.5"/>
        <rFont val="Calibri"/>
        <family val="2"/>
      </rPr>
      <t>70.04.005</t>
    </r>
  </si>
  <si>
    <r>
      <rPr>
        <sz val="8.5"/>
        <rFont val="Calibri"/>
        <family val="2"/>
      </rPr>
      <t>Braço (P‐55) para fixação em poste de concreto</t>
    </r>
  </si>
  <si>
    <r>
      <rPr>
        <sz val="8.5"/>
        <rFont val="Calibri"/>
        <family val="2"/>
      </rPr>
      <t>70.04.006</t>
    </r>
  </si>
  <si>
    <r>
      <rPr>
        <sz val="8.5"/>
        <rFont val="Calibri"/>
        <family val="2"/>
      </rPr>
      <t>Coluna dupla (PP), diâmetro de 2 x 2 1/2´ e comprimento de 3,6 m</t>
    </r>
  </si>
  <si>
    <r>
      <rPr>
        <sz val="8.5"/>
        <rFont val="Calibri"/>
        <family val="2"/>
      </rPr>
      <t>70.04.007</t>
    </r>
  </si>
  <si>
    <r>
      <rPr>
        <sz val="8.5"/>
        <rFont val="Calibri"/>
        <family val="2"/>
      </rPr>
      <t>Coluna semafórica simples 101 mm x 6 m</t>
    </r>
  </si>
  <si>
    <r>
      <rPr>
        <sz val="8.5"/>
        <rFont val="Calibri"/>
        <family val="2"/>
      </rPr>
      <t>70.05</t>
    </r>
  </si>
  <si>
    <r>
      <rPr>
        <sz val="8.5"/>
        <rFont val="Calibri"/>
        <family val="2"/>
      </rPr>
      <t>Sinalizacao semaforica e complementar</t>
    </r>
  </si>
  <si>
    <r>
      <rPr>
        <sz val="8.5"/>
        <rFont val="Calibri"/>
        <family val="2"/>
      </rPr>
      <t>70.05.001</t>
    </r>
  </si>
  <si>
    <r>
      <rPr>
        <sz val="8.5"/>
        <rFont val="Calibri"/>
        <family val="2"/>
      </rPr>
      <t>Botoeira convencional para pedestre</t>
    </r>
  </si>
  <si>
    <r>
      <rPr>
        <sz val="8.5"/>
        <rFont val="Calibri"/>
        <family val="2"/>
      </rPr>
      <t>70.05.002</t>
    </r>
  </si>
  <si>
    <r>
      <rPr>
        <sz val="8.5"/>
        <rFont val="Calibri"/>
        <family val="2"/>
      </rPr>
      <t>Botoeira sonora para deficientes visuais</t>
    </r>
  </si>
  <si>
    <r>
      <rPr>
        <sz val="8.5"/>
        <rFont val="Calibri"/>
        <family val="2"/>
      </rPr>
      <t>70.05.006</t>
    </r>
  </si>
  <si>
    <r>
      <rPr>
        <sz val="8.5"/>
        <rFont val="Calibri"/>
        <family val="2"/>
      </rPr>
      <t>Luminária LED 20W com braço, para travessia de pedestre</t>
    </r>
  </si>
  <si>
    <r>
      <rPr>
        <sz val="8.5"/>
        <rFont val="Calibri"/>
        <family val="2"/>
      </rPr>
      <t>70.05.011</t>
    </r>
  </si>
  <si>
    <r>
      <rPr>
        <sz val="8.5"/>
        <rFont val="Calibri"/>
        <family val="2"/>
      </rPr>
      <t>Grupo focal para pedestre com lâmpada LED e contador regressivo</t>
    </r>
  </si>
  <si>
    <r>
      <rPr>
        <sz val="8.5"/>
        <rFont val="Calibri"/>
        <family val="2"/>
      </rPr>
      <t>70.05.020</t>
    </r>
  </si>
  <si>
    <r>
      <rPr>
        <sz val="8.5"/>
        <rFont val="Calibri"/>
        <family val="2"/>
      </rPr>
      <t>Grupo focal veicular com lâmpada LED, com anteparo e suportes de fixação</t>
    </r>
  </si>
  <si>
    <r>
      <rPr>
        <sz val="8.5"/>
        <rFont val="Calibri"/>
        <family val="2"/>
      </rPr>
      <t>70.06</t>
    </r>
  </si>
  <si>
    <r>
      <rPr>
        <sz val="8.5"/>
        <rFont val="Calibri"/>
        <family val="2"/>
      </rPr>
      <t>Tachas e tachoes</t>
    </r>
  </si>
  <si>
    <r>
      <rPr>
        <sz val="8.5"/>
        <rFont val="Calibri"/>
        <family val="2"/>
      </rPr>
      <t>70.06.001</t>
    </r>
  </si>
  <si>
    <r>
      <rPr>
        <sz val="8.5"/>
        <rFont val="Calibri"/>
        <family val="2"/>
      </rPr>
      <t>Segregador (bate rodas) refletivo</t>
    </r>
  </si>
  <si>
    <r>
      <rPr>
        <sz val="8.5"/>
        <rFont val="Calibri"/>
        <family val="2"/>
      </rPr>
      <t>70.06.010</t>
    </r>
  </si>
  <si>
    <r>
      <rPr>
        <sz val="8.5"/>
        <rFont val="Calibri"/>
        <family val="2"/>
      </rPr>
      <t>Tacha refletiva de vidro temperado</t>
    </r>
  </si>
  <si>
    <r>
      <rPr>
        <sz val="8.5"/>
        <rFont val="Calibri"/>
        <family val="2"/>
      </rPr>
      <t>70.06.011</t>
    </r>
  </si>
  <si>
    <r>
      <rPr>
        <sz val="8.5"/>
        <rFont val="Calibri"/>
        <family val="2"/>
      </rPr>
      <t>Tacha tipo I bidirecional refletiva</t>
    </r>
  </si>
  <si>
    <r>
      <rPr>
        <sz val="8.5"/>
        <rFont val="Calibri"/>
        <family val="2"/>
      </rPr>
      <t>70.06.012</t>
    </r>
  </si>
  <si>
    <r>
      <rPr>
        <sz val="8.5"/>
        <rFont val="Calibri"/>
        <family val="2"/>
      </rPr>
      <t>Tacha tipo I monodirecional refletiva</t>
    </r>
  </si>
  <si>
    <r>
      <rPr>
        <sz val="8.5"/>
        <rFont val="Calibri"/>
        <family val="2"/>
      </rPr>
      <t>70.06.013</t>
    </r>
  </si>
  <si>
    <r>
      <rPr>
        <sz val="8.5"/>
        <rFont val="Calibri"/>
        <family val="2"/>
      </rPr>
      <t>Tacha tipo II bidirecional refletiva</t>
    </r>
  </si>
  <si>
    <r>
      <rPr>
        <sz val="8.5"/>
        <rFont val="Calibri"/>
        <family val="2"/>
      </rPr>
      <t>70.06.014</t>
    </r>
  </si>
  <si>
    <r>
      <rPr>
        <sz val="8.5"/>
        <rFont val="Calibri"/>
        <family val="2"/>
      </rPr>
      <t>Tacha tipo II monodirecional refletiva</t>
    </r>
  </si>
  <si>
    <r>
      <rPr>
        <sz val="8.5"/>
        <rFont val="Calibri"/>
        <family val="2"/>
      </rPr>
      <t>70.06.020</t>
    </r>
  </si>
  <si>
    <r>
      <rPr>
        <sz val="8.5"/>
        <rFont val="Calibri"/>
        <family val="2"/>
      </rPr>
      <t>Tachão tipo I bidirecional refletivo</t>
    </r>
  </si>
  <si>
    <r>
      <rPr>
        <sz val="8.5"/>
        <rFont val="Calibri"/>
        <family val="2"/>
      </rPr>
      <t>70.06.021</t>
    </r>
  </si>
  <si>
    <r>
      <rPr>
        <sz val="8.5"/>
        <rFont val="Calibri"/>
        <family val="2"/>
      </rPr>
      <t>Tachão tipo I monodirecional refletivo</t>
    </r>
  </si>
  <si>
    <r>
      <rPr>
        <sz val="8.5"/>
        <rFont val="Calibri"/>
        <family val="2"/>
      </rPr>
      <t>SINALIZACAO E COMUNICACAO VISUAL</t>
    </r>
  </si>
  <si>
    <r>
      <rPr>
        <sz val="8.5"/>
        <rFont val="Calibri"/>
        <family val="2"/>
      </rPr>
      <t>97.02</t>
    </r>
  </si>
  <si>
    <r>
      <rPr>
        <sz val="8.5"/>
        <rFont val="Calibri"/>
        <family val="2"/>
      </rPr>
      <t>Placas, porticos e obeliscos arquitetônicos</t>
    </r>
  </si>
  <si>
    <r>
      <rPr>
        <sz val="8.5"/>
        <rFont val="Calibri"/>
        <family val="2"/>
      </rPr>
      <t>97.02.030</t>
    </r>
  </si>
  <si>
    <r>
      <rPr>
        <sz val="8.5"/>
        <rFont val="Calibri"/>
        <family val="2"/>
      </rPr>
      <t>Placa comemorativa em aço inoxidável escovado</t>
    </r>
  </si>
  <si>
    <r>
      <rPr>
        <sz val="8.5"/>
        <rFont val="Calibri"/>
        <family val="2"/>
      </rPr>
      <t>97.02.036</t>
    </r>
  </si>
  <si>
    <r>
      <rPr>
        <sz val="8.5"/>
        <rFont val="Calibri"/>
        <family val="2"/>
      </rPr>
      <t>Placa de identificação em PVC com texto em vinil</t>
    </r>
  </si>
  <si>
    <r>
      <rPr>
        <sz val="8.5"/>
        <rFont val="Calibri"/>
        <family val="2"/>
      </rPr>
      <t>97.02.190</t>
    </r>
  </si>
  <si>
    <r>
      <rPr>
        <sz val="8.5"/>
        <rFont val="Calibri"/>
        <family val="2"/>
      </rPr>
      <t>Placa de identificação em acrílico com texto em vinil</t>
    </r>
  </si>
  <si>
    <r>
      <rPr>
        <sz val="8.5"/>
        <rFont val="Calibri"/>
        <family val="2"/>
      </rPr>
      <t>97.02.193</t>
    </r>
  </si>
  <si>
    <r>
      <rPr>
        <sz val="8.5"/>
        <rFont val="Calibri"/>
        <family val="2"/>
      </rPr>
      <t>Placa de sinalização em PVC fotoluminescente (200x200mm), com indicação de equipamentos de alarme, detecção e extinção de incêndio</t>
    </r>
  </si>
  <si>
    <r>
      <rPr>
        <sz val="8.5"/>
        <rFont val="Calibri"/>
        <family val="2"/>
      </rPr>
      <t>97.02.194</t>
    </r>
  </si>
  <si>
    <r>
      <rPr>
        <sz val="8.5"/>
        <rFont val="Calibri"/>
        <family val="2"/>
      </rPr>
      <t xml:space="preserve">Placa de sinalização em PVC fotoluminescente (150x150mm), com indicação
</t>
    </r>
    <r>
      <rPr>
        <sz val="8.5"/>
        <rFont val="Calibri"/>
        <family val="2"/>
      </rPr>
      <t>de equipamentos de combate à incêndio e alarme</t>
    </r>
  </si>
  <si>
    <r>
      <rPr>
        <sz val="8.5"/>
        <rFont val="Calibri"/>
        <family val="2"/>
      </rPr>
      <t>97.02.195</t>
    </r>
  </si>
  <si>
    <r>
      <rPr>
        <sz val="8.5"/>
        <rFont val="Calibri"/>
        <family val="2"/>
      </rPr>
      <t xml:space="preserve">Placa de sinalização em PVC fotoluminescente (240x120mm), com indicação
</t>
    </r>
    <r>
      <rPr>
        <sz val="8.5"/>
        <rFont val="Calibri"/>
        <family val="2"/>
      </rPr>
      <t>de rota de evacuação e saída de emergência</t>
    </r>
  </si>
  <si>
    <r>
      <rPr>
        <sz val="8.5"/>
        <rFont val="Calibri"/>
        <family val="2"/>
      </rPr>
      <t>97.02.196</t>
    </r>
  </si>
  <si>
    <r>
      <rPr>
        <sz val="8.5"/>
        <rFont val="Calibri"/>
        <family val="2"/>
      </rPr>
      <t xml:space="preserve">Placa de sinalização em PVC fotoluminescente, com identificação de
</t>
    </r>
    <r>
      <rPr>
        <sz val="8.5"/>
        <rFont val="Calibri"/>
        <family val="2"/>
      </rPr>
      <t>pavimentos</t>
    </r>
  </si>
  <si>
    <r>
      <rPr>
        <sz val="8.5"/>
        <rFont val="Calibri"/>
        <family val="2"/>
      </rPr>
      <t>97.02.197</t>
    </r>
  </si>
  <si>
    <r>
      <rPr>
        <sz val="8.5"/>
        <rFont val="Calibri"/>
        <family val="2"/>
      </rPr>
      <t>Placa de sinalização em PVC, com indicação de alerta</t>
    </r>
  </si>
  <si>
    <r>
      <rPr>
        <sz val="8.5"/>
        <rFont val="Calibri"/>
        <family val="2"/>
      </rPr>
      <t>97.02.198</t>
    </r>
  </si>
  <si>
    <r>
      <rPr>
        <sz val="8.5"/>
        <rFont val="Calibri"/>
        <family val="2"/>
      </rPr>
      <t>Placa de sinalização em PVC, com indicação de proibição normativa</t>
    </r>
  </si>
  <si>
    <r>
      <rPr>
        <sz val="8.5"/>
        <rFont val="Calibri"/>
        <family val="2"/>
      </rPr>
      <t>97.02.210</t>
    </r>
  </si>
  <si>
    <r>
      <rPr>
        <sz val="8.5"/>
        <rFont val="Calibri"/>
        <family val="2"/>
      </rPr>
      <t>Placa de sinalização em PVC para ambientes</t>
    </r>
  </si>
  <si>
    <r>
      <rPr>
        <sz val="8.5"/>
        <rFont val="Calibri"/>
        <family val="2"/>
      </rPr>
      <t>97.03</t>
    </r>
  </si>
  <si>
    <r>
      <rPr>
        <sz val="8.5"/>
        <rFont val="Calibri"/>
        <family val="2"/>
      </rPr>
      <t>Pintura de letras e pictogramas</t>
    </r>
  </si>
  <si>
    <r>
      <rPr>
        <sz val="8.5"/>
        <rFont val="Calibri"/>
        <family val="2"/>
      </rPr>
      <t>97.03.010</t>
    </r>
  </si>
  <si>
    <r>
      <rPr>
        <sz val="8.5"/>
        <rFont val="Calibri"/>
        <family val="2"/>
      </rPr>
      <t>Sinalização com pictograma em tinta acrílica</t>
    </r>
  </si>
  <si>
    <r>
      <rPr>
        <sz val="8.5"/>
        <rFont val="Calibri"/>
        <family val="2"/>
      </rPr>
      <t>97.05</t>
    </r>
  </si>
  <si>
    <r>
      <rPr>
        <sz val="8.5"/>
        <rFont val="Calibri"/>
        <family val="2"/>
      </rPr>
      <t>Placas, porticos e sinalizacao viaria</t>
    </r>
  </si>
  <si>
    <r>
      <rPr>
        <sz val="8.5"/>
        <rFont val="Calibri"/>
        <family val="2"/>
      </rPr>
      <t>97.05.070</t>
    </r>
  </si>
  <si>
    <r>
      <rPr>
        <sz val="8.5"/>
        <rFont val="Calibri"/>
        <family val="2"/>
      </rPr>
      <t xml:space="preserve">Manta de borracha para sinalização em estacionamento e proteção de coluna
</t>
    </r>
    <r>
      <rPr>
        <sz val="8.5"/>
        <rFont val="Calibri"/>
        <family val="2"/>
      </rPr>
      <t>e parede, de 1000 x 750 mm e espessura 10 mm</t>
    </r>
  </si>
  <si>
    <r>
      <rPr>
        <sz val="8.5"/>
        <rFont val="Calibri"/>
        <family val="2"/>
      </rPr>
      <t>97.05.080</t>
    </r>
  </si>
  <si>
    <r>
      <rPr>
        <sz val="8.5"/>
        <rFont val="Calibri"/>
        <family val="2"/>
      </rPr>
      <t xml:space="preserve">Cantoneira de borracha para sinalização em estacionamento e proteção de
</t>
    </r>
    <r>
      <rPr>
        <sz val="8.5"/>
        <rFont val="Calibri"/>
        <family val="2"/>
      </rPr>
      <t>coluna, de 750 x 100 x 100 mm e espessura 10 mm</t>
    </r>
  </si>
  <si>
    <r>
      <rPr>
        <sz val="8.5"/>
        <rFont val="Calibri"/>
        <family val="2"/>
      </rPr>
      <t>97.05.130</t>
    </r>
  </si>
  <si>
    <r>
      <rPr>
        <sz val="8.5"/>
        <rFont val="Calibri"/>
        <family val="2"/>
      </rPr>
      <t>Colocação de placa em suporte de madeira / metálico ‐ solo</t>
    </r>
  </si>
  <si>
    <r>
      <rPr>
        <sz val="8.5"/>
        <rFont val="Calibri"/>
        <family val="2"/>
      </rPr>
      <t>97.05.140</t>
    </r>
  </si>
  <si>
    <r>
      <rPr>
        <sz val="8.5"/>
        <rFont val="Calibri"/>
        <family val="2"/>
      </rPr>
      <t>Suporte de perfil metálico galvanizado</t>
    </r>
  </si>
  <si>
    <r>
      <rPr>
        <sz val="8.5"/>
        <rFont val="Calibri"/>
        <family val="2"/>
      </rPr>
      <t>ARQUITETURA DE INTERIORES</t>
    </r>
  </si>
  <si>
    <r>
      <rPr>
        <sz val="8.5"/>
        <rFont val="Calibri"/>
        <family val="2"/>
      </rPr>
      <t>98.02</t>
    </r>
  </si>
  <si>
    <r>
      <rPr>
        <sz val="8.5"/>
        <rFont val="Calibri"/>
        <family val="2"/>
      </rPr>
      <t>Mobiliario</t>
    </r>
  </si>
  <si>
    <r>
      <rPr>
        <sz val="8.5"/>
        <rFont val="Calibri"/>
        <family val="2"/>
      </rPr>
      <t>98.02.210</t>
    </r>
  </si>
  <si>
    <r>
      <rPr>
        <sz val="8.5"/>
        <rFont val="Calibri"/>
        <family val="2"/>
      </rPr>
      <t>Banco de madeira com encosto e pés em ferro fundido pintado</t>
    </r>
  </si>
  <si>
    <t>Levantamento planimétrico de área pavimentada para veículo e pedestre</t>
  </si>
  <si>
    <t>MEMÓRIA DE CÁLCULO DE PAVIMENTAÇÃO E CALÇAMENTO</t>
  </si>
  <si>
    <t>T7 Aterro Rumo</t>
  </si>
  <si>
    <t>Trecho T7 - Aterro Rumo</t>
  </si>
  <si>
    <t>CBUQ FXIII</t>
  </si>
  <si>
    <t>CBUQ FXIIIpol.
(esp. m)</t>
  </si>
  <si>
    <t>BGS
(esp.)</t>
  </si>
  <si>
    <t xml:space="preserve">ARGAMASSA CIMEN.E AREIA TRACO 1:3 ESP 2CM                                      </t>
  </si>
  <si>
    <t xml:space="preserve">SUPORTE TUBULAR GALVANIZADO D=2 1/2"                                           </t>
  </si>
  <si>
    <t xml:space="preserve">ACRESC.ESC.ENS.EXPL.C/1,5M PROF.ALEM 3M                                        </t>
  </si>
  <si>
    <t xml:space="preserve">VEICULO C/CAPAC.P/4 PES. 1.000CC TURBO COND. A                                 </t>
  </si>
  <si>
    <t xml:space="preserve">VEICULO C/CAPAC.P/4 PES. 1.000CC TURBO COND. B                                 </t>
  </si>
  <si>
    <t xml:space="preserve">VEICULO C/CAPAC.P/4 PES. 1.000CC TURBO COND. C                                 </t>
  </si>
  <si>
    <t xml:space="preserve">VEICULO CAPAC.4PESSOAS 1.0CC TURBO - COND.D                                    </t>
  </si>
  <si>
    <t xml:space="preserve">VEICULO C/CAPAC.P/4 PES. 1.0 110CV COND.                                       </t>
  </si>
  <si>
    <t xml:space="preserve">VEICULO C/CAPAC.P/4 PES. 1.0 110CV COND. F                                     </t>
  </si>
  <si>
    <t xml:space="preserve">VEICULO C/CAPAC.P/4 PES. 1.300CC COND. A                                       </t>
  </si>
  <si>
    <t xml:space="preserve">VEICULO C/CAPAC.P/4 PES. 1.300CC COND. B                                       </t>
  </si>
  <si>
    <t xml:space="preserve">VEICULO C/CAPAC.P/4 PES. 1.300CC COND. C                                       </t>
  </si>
  <si>
    <t xml:space="preserve">VEICULO C/CAPAC.P/4 PES.1.300CC                                                </t>
  </si>
  <si>
    <t xml:space="preserve">VEICULO C/CAPAC.P/4 PES. 1.300CC COND. E                                       </t>
  </si>
  <si>
    <t xml:space="preserve">VEICULO C/CAPAC.P/4 PES. 1.300CC COND. F                                       </t>
  </si>
  <si>
    <t xml:space="preserve">                              Data de Referência: 30/09/2022</t>
  </si>
  <si>
    <t>0+12,000</t>
  </si>
  <si>
    <t>15+16,000</t>
  </si>
  <si>
    <t>12+15,70</t>
  </si>
  <si>
    <t>14+9,00</t>
  </si>
  <si>
    <t>ATERRO RUMO</t>
  </si>
  <si>
    <t>OAE</t>
  </si>
  <si>
    <t>PAVIMENTO TIPO II OAE</t>
  </si>
  <si>
    <t>TRIPLA ONDA</t>
  </si>
  <si>
    <t>Continuidade (1,00x1,00)</t>
  </si>
  <si>
    <t>Canalizacao</t>
  </si>
  <si>
    <t>Zebrado ZPA</t>
  </si>
  <si>
    <t>R-7</t>
  </si>
  <si>
    <t>R-19 (30km/h)</t>
  </si>
  <si>
    <t>MP-1</t>
  </si>
  <si>
    <t>C-03</t>
  </si>
  <si>
    <t>C-04</t>
  </si>
  <si>
    <t>DERSP Set/22</t>
  </si>
  <si>
    <t>DR3C3</t>
  </si>
  <si>
    <t>Grama</t>
  </si>
  <si>
    <t>Concreto fck=20MPa</t>
  </si>
  <si>
    <t>Escavação Manual</t>
  </si>
  <si>
    <t>Aço CA-60</t>
  </si>
  <si>
    <t>Tela Metálica</t>
  </si>
  <si>
    <t>Dispositivo</t>
  </si>
  <si>
    <t>Unid</t>
  </si>
  <si>
    <t>Meio Fio</t>
  </si>
  <si>
    <t>Concreto fck=15MPa</t>
  </si>
  <si>
    <r>
      <t>m</t>
    </r>
    <r>
      <rPr>
        <vertAlign val="superscript"/>
        <sz val="9"/>
        <rFont val="Arial"/>
        <family val="2"/>
      </rPr>
      <t>3</t>
    </r>
  </si>
  <si>
    <t>Sarjeta de Concreto</t>
  </si>
  <si>
    <t>Guia Pré Moldada</t>
  </si>
  <si>
    <t>Meio Fio Sarjeta não Drenante</t>
  </si>
  <si>
    <t>DR1A</t>
  </si>
  <si>
    <t>Dimensões:</t>
  </si>
  <si>
    <t>DR1B1</t>
  </si>
  <si>
    <t>DR1B2</t>
  </si>
  <si>
    <t>DR6</t>
  </si>
  <si>
    <t>DR3B2</t>
  </si>
  <si>
    <t>DR3B4</t>
  </si>
  <si>
    <t>DR3B5</t>
  </si>
  <si>
    <t>DR3B7</t>
  </si>
  <si>
    <t>DR3B8</t>
  </si>
  <si>
    <t>DR3B10</t>
  </si>
  <si>
    <t>DR3C7</t>
  </si>
  <si>
    <t>DR5A</t>
  </si>
  <si>
    <r>
      <t>m</t>
    </r>
    <r>
      <rPr>
        <vertAlign val="superscript"/>
        <sz val="10"/>
        <rFont val="Arial"/>
        <family val="2"/>
      </rPr>
      <t>2</t>
    </r>
  </si>
  <si>
    <r>
      <t>m</t>
    </r>
    <r>
      <rPr>
        <vertAlign val="superscript"/>
        <sz val="10"/>
        <rFont val="Arial"/>
        <family val="2"/>
      </rPr>
      <t>3</t>
    </r>
  </si>
  <si>
    <t>Tratamento Superficial Simples</t>
  </si>
  <si>
    <t>DLR2</t>
  </si>
  <si>
    <t>x</t>
  </si>
  <si>
    <t>Manta Geotêxtil tipo B</t>
  </si>
  <si>
    <t>Brita 2</t>
  </si>
  <si>
    <t>Tubo PVC perf. Ø 0,10m</t>
  </si>
  <si>
    <t>DTR</t>
  </si>
  <si>
    <t>Escavação de Drenos e Bueiros</t>
  </si>
  <si>
    <t>TSS3</t>
  </si>
  <si>
    <t>Escavação manual</t>
  </si>
  <si>
    <t>CP TIPO 1</t>
  </si>
  <si>
    <t>DR12 - DESCIDA D`ÁGUA DE ATERRO TIPO ESCADA</t>
  </si>
  <si>
    <t xml:space="preserve"> Admitindo o Módulo B (H:V = 1.5:1)</t>
  </si>
  <si>
    <t>Junta Elástica em PVC Tipo O-12</t>
  </si>
  <si>
    <t>DR14 - SAIDA DE BUEIRO TIPO ESCADA DR-14 (Ø0,80;Mod. 2; tal. 1,5:1)</t>
  </si>
  <si>
    <t>DR10A1</t>
  </si>
  <si>
    <t>DISSIPADOR ENERG. P/ VALETAS OU CANALETAS COM PEDRA ARGAMASSADA</t>
  </si>
  <si>
    <t>Enrocamento de pedra argamassada</t>
  </si>
  <si>
    <t>DR10A2 - DISSIPADOR ENERG. P/ VALETAS OU CANALETAS COM PEDRA ARRUMADA</t>
  </si>
  <si>
    <t>Enrocamento de pedra arrumada</t>
  </si>
  <si>
    <t>DR10B1 - DISSIPADOR ENERG. P/ VALETAS OU CANALETAS COM PEDRA ARGAMASSADA</t>
  </si>
  <si>
    <t>DR10B2 - DISSIPADOR ENERG. P/ VALETAS OU CANALETAS COM PEDRA ARRUMADA</t>
  </si>
  <si>
    <t>DR13A - DESCIDA D`ÁGUA DE CORTE TIPO ESCADA (VAZÃO MÁXIMA ADMITIDA 0,65m³/s)</t>
  </si>
  <si>
    <t>Entrada para Descida</t>
  </si>
  <si>
    <t>unid.</t>
  </si>
  <si>
    <t>Saída - Lançamento Sarjeta=</t>
  </si>
  <si>
    <t>Boca de lobo tipo BLC - Dupla</t>
  </si>
  <si>
    <t>Escavação de Drenos e Bueiros além de 2,00m</t>
  </si>
  <si>
    <t>Alvenaria de blocos</t>
  </si>
  <si>
    <t>Revestimento de argamassa</t>
  </si>
  <si>
    <t>Gárgula Dupla</t>
  </si>
  <si>
    <t>Brita 1</t>
  </si>
  <si>
    <t xml:space="preserve">Poço de visita tipo A em bloco estrutural - para Ø 0,80 </t>
  </si>
  <si>
    <t>H=</t>
  </si>
  <si>
    <t>Chaminé=</t>
  </si>
  <si>
    <t>Balão=</t>
  </si>
  <si>
    <t>Alvenaria de Blocos</t>
  </si>
  <si>
    <t>Tampão de ferro fundido</t>
  </si>
  <si>
    <t xml:space="preserve">Caixa Coletora Tipo CX - 1 - para Ø 0,80 </t>
  </si>
  <si>
    <t>Grelha Pré Moldada</t>
  </si>
  <si>
    <t xml:space="preserve">Caixa Coletora Tipo CX - 2 - para Ø 1,20 </t>
  </si>
  <si>
    <t xml:space="preserve">Caixa Coletora Tipo CX - 3 - para Ø 0,60 </t>
  </si>
  <si>
    <t xml:space="preserve">Caixa Coletora Tipo CX - 4 - para Ø 1,20 </t>
  </si>
  <si>
    <t xml:space="preserve">Caixa Coletora Tipo CX - 10 - para Ø 0,80 </t>
  </si>
  <si>
    <t>DR11A</t>
  </si>
  <si>
    <r>
      <t>m</t>
    </r>
    <r>
      <rPr>
        <b/>
        <vertAlign val="superscript"/>
        <sz val="10"/>
        <color indexed="12"/>
        <rFont val="Calibri"/>
        <family val="2"/>
      </rPr>
      <t>3</t>
    </r>
  </si>
  <si>
    <t>DR11B</t>
  </si>
  <si>
    <t>b =</t>
  </si>
  <si>
    <t>Tubo de concreto simples para Ø 0,80m - CLASSE PA2</t>
  </si>
  <si>
    <t>BERÇO DE BRITA</t>
  </si>
  <si>
    <t>H =</t>
  </si>
  <si>
    <t>(altura de escavação)</t>
  </si>
  <si>
    <r>
      <t>h</t>
    </r>
    <r>
      <rPr>
        <vertAlign val="subscript"/>
        <sz val="10"/>
        <rFont val="Arial"/>
        <family val="2"/>
      </rPr>
      <t>1</t>
    </r>
    <r>
      <rPr>
        <sz val="10"/>
        <rFont val="Arial"/>
        <family val="2"/>
      </rPr>
      <t xml:space="preserve"> =</t>
    </r>
  </si>
  <si>
    <t>(altura de Reaterro)</t>
  </si>
  <si>
    <r>
      <t>h</t>
    </r>
    <r>
      <rPr>
        <vertAlign val="subscript"/>
        <sz val="10"/>
        <rFont val="Arial"/>
        <family val="2"/>
      </rPr>
      <t>2</t>
    </r>
    <r>
      <rPr>
        <sz val="10"/>
        <rFont val="Arial"/>
        <family val="2"/>
      </rPr>
      <t xml:space="preserve"> =</t>
    </r>
  </si>
  <si>
    <t>(altura de recobrimento)</t>
  </si>
  <si>
    <t>Espaç.:</t>
  </si>
  <si>
    <t>ESCAVAÇÃO RETANGULAR</t>
  </si>
  <si>
    <t>Tubo de concreto Ø 0,80 PA-2</t>
  </si>
  <si>
    <t>Enchimento Base Tubo com Pedra Britada</t>
  </si>
  <si>
    <t>Tubo de concreto simples para Ø 1,20m - CLASSE PA2</t>
  </si>
  <si>
    <t>Tubo de concreto Ø 1,20 PA-2</t>
  </si>
  <si>
    <t>Tubo de concreto simples para Ø 0,50m - CLASSE PA2</t>
  </si>
  <si>
    <t>Tubo de concreto Ø 0,50 PA-2</t>
  </si>
  <si>
    <t>Tubo de concreto simples para Ø 0,60m - CLASSE PA2</t>
  </si>
  <si>
    <t>Tubo de concreto Ø 0,60 PA-2</t>
  </si>
  <si>
    <t>Bueiro Simples Tubular Metálico MND Ø 1,60m</t>
  </si>
  <si>
    <t>Bueiro Metalico</t>
  </si>
  <si>
    <t>Peso esp.</t>
  </si>
  <si>
    <t>Boca tipo A1 para Ø 0,80m</t>
  </si>
  <si>
    <t>H-h=</t>
  </si>
  <si>
    <t>dl=</t>
  </si>
  <si>
    <t>Concreto Grout</t>
  </si>
  <si>
    <t>Boca tipo A1 para Ø 1,20m</t>
  </si>
  <si>
    <t>Boca tipo A1 para Ø 0,60m</t>
  </si>
  <si>
    <t>Galeria de concreto simples - 2,50 x 2,50 - Com aterro de até 5m</t>
  </si>
  <si>
    <t>(altura de Escavação Mecância)</t>
  </si>
  <si>
    <t>h =</t>
  </si>
  <si>
    <t>(altura de reaterro)</t>
  </si>
  <si>
    <t>Cimbramento</t>
  </si>
  <si>
    <t>Forma Aparente</t>
  </si>
  <si>
    <t>(esp. da parede = 0,25)</t>
  </si>
  <si>
    <t>Bica Corrida</t>
  </si>
  <si>
    <t>Galeria de concreto Tripla - 2,00 x 2,00 - Com aterro de até 5m - Escav. Triang.</t>
  </si>
  <si>
    <t>Majorado de consumo p/ galeria simples</t>
  </si>
  <si>
    <t>Ala para Galeria simples - 2,5 X 2,5 com Aterro de até 5,00 m</t>
  </si>
  <si>
    <t>JUNTAS</t>
  </si>
  <si>
    <t>VIGAS</t>
  </si>
  <si>
    <t>Canaleta de Concreto Polímero Tipo Aco - DR150V 10.0-F900</t>
  </si>
  <si>
    <t>Canal Trapezoidal sem Revestimento Talude = 1,5:1 (H:V)</t>
  </si>
  <si>
    <t>B =</t>
  </si>
  <si>
    <t>Talude</t>
  </si>
  <si>
    <t>(H:V)</t>
  </si>
  <si>
    <t>Canal Trapezoidal com revestimento em gabião CA2/CA3 / Talude = 1,5:1 (H:V)</t>
  </si>
  <si>
    <t>Gabião Manta</t>
  </si>
  <si>
    <r>
      <t>m</t>
    </r>
    <r>
      <rPr>
        <vertAlign val="superscript"/>
        <sz val="10"/>
        <rFont val="Calibri"/>
        <family val="2"/>
      </rPr>
      <t>²</t>
    </r>
  </si>
  <si>
    <t>Manta Geotêxtil</t>
  </si>
  <si>
    <t>Canal Trapezoidal com revestimento em gabião CA5 / Talude = 1,5:1 (H:V)</t>
  </si>
  <si>
    <t>Canal Retangular de Concreto CA-1 - (Escavação Retangular)</t>
  </si>
  <si>
    <t>Consumo de aço conf. Canal R2R conf. PP-DE-H07-014_A</t>
  </si>
  <si>
    <t>ÓRGÃO</t>
  </si>
  <si>
    <t>CÓDIGO</t>
  </si>
  <si>
    <t>DESCRIÇÃO</t>
  </si>
  <si>
    <t>Quant.
Total</t>
  </si>
  <si>
    <t>Irrigação de revestimento vegetal</t>
  </si>
  <si>
    <t>Brita 1 e 2</t>
  </si>
  <si>
    <t>24.15.07</t>
  </si>
  <si>
    <t>SICRO</t>
  </si>
  <si>
    <t>Bota-Fora</t>
  </si>
  <si>
    <t>Boca de lobo tipo BLT - Tripla</t>
  </si>
  <si>
    <t>Tubo de concreto simples para Ø 0,40m</t>
  </si>
  <si>
    <t>Tubo de concreto Ø 0,40</t>
  </si>
  <si>
    <t>SISTEMA BIFASICO</t>
  </si>
  <si>
    <t>CÓD</t>
  </si>
  <si>
    <t>CONJUNTO DE FERRAGENS POR POSTE</t>
  </si>
  <si>
    <t>Consumo</t>
  </si>
  <si>
    <t>Qtde.
Total</t>
  </si>
  <si>
    <t>LIGAÇÃO ELÉTRICA</t>
  </si>
  <si>
    <t>POSTE DE AÇO GALVANIZADO, TIPO RETO H=9M</t>
  </si>
  <si>
    <t>SINAPI</t>
  </si>
  <si>
    <t>91927</t>
  </si>
  <si>
    <t>CABO PARA LIGAÇÃO F+F+CONTROLE (BRANCO + VERMELHO+VERDE) #2,50mm²</t>
  </si>
  <si>
    <t>SIURB</t>
  </si>
  <si>
    <t>CONECTOR</t>
  </si>
  <si>
    <t>ATERRAMENTO</t>
  </si>
  <si>
    <t>INSUMO</t>
  </si>
  <si>
    <t>ELETRODUTO DE PVC Ø1"</t>
  </si>
  <si>
    <t>92986</t>
  </si>
  <si>
    <t>CABO COBRE #35mm²</t>
  </si>
  <si>
    <t>SOLDA EXOTÉRMICA</t>
  </si>
  <si>
    <t>CARTUCHO PARA CONEXÃO EXOTERMICA CABO/ CABO</t>
  </si>
  <si>
    <t>CARTUCHO PARA CONEXÃO EXOTERMICA ESTRUTURA METÁLICA</t>
  </si>
  <si>
    <t>101654</t>
  </si>
  <si>
    <t>101658</t>
  </si>
  <si>
    <t>COMPOSIÇÃO POR METRO LINEAR DE TRINCHEIRA (EXCETO)
LARG = 0,40 m</t>
  </si>
  <si>
    <t>CABO DE COBRE FLEXÍVEL ISOLADO, 35 MM² CIRCUITO TERRA</t>
  </si>
  <si>
    <t>" = EXTENSÃO LINEAR"</t>
  </si>
  <si>
    <t>CONCRETO FCK=15 MPA</t>
  </si>
  <si>
    <t>m³/m</t>
  </si>
  <si>
    <t>TELA Q61</t>
  </si>
  <si>
    <t>kg/m</t>
  </si>
  <si>
    <t>KG/M</t>
  </si>
  <si>
    <t>LASTRO DE AREIA</t>
  </si>
  <si>
    <t>92982</t>
  </si>
  <si>
    <t>CABO DE COBRE FLEXÍVEL ISOLADO, 16 MM², ANTI-CHAMA 0,6/1,0 KV (F+F+C)</t>
  </si>
  <si>
    <t>m/m</t>
  </si>
  <si>
    <t>CAIXA DE LIGAÇÃO
DIMENSÕES 0,50 x 0,50 x 0,50</t>
  </si>
  <si>
    <t>CAIXA DE PASSAGEM E TAMPA PRÉ-MOLDADAS EM CONCRETO, SEM FUNDO, 50X50CM</t>
  </si>
  <si>
    <t>" = UNIDADES EM PLANTA"</t>
  </si>
  <si>
    <t>CAIXA DE PASSAGEM EM ALVENARIA - ESCAVAÇÃO E APILOAMENTO</t>
  </si>
  <si>
    <t>m3/un</t>
  </si>
  <si>
    <t>LASTRO DE CONCRETO FCK=10MPA</t>
  </si>
  <si>
    <t>ENTRADA DE ENERGIA</t>
  </si>
  <si>
    <t>101498</t>
  </si>
  <si>
    <t>101632</t>
  </si>
  <si>
    <t>RELE FOTOELETRICO</t>
  </si>
  <si>
    <t>un/un</t>
  </si>
  <si>
    <t>93664</t>
  </si>
  <si>
    <t>DISJUNTOR BIPOLAR</t>
  </si>
  <si>
    <t>ELETRODUTO DE PVC RÍGIDO, ROSCÁVEL - 60MM (2")</t>
  </si>
  <si>
    <t>m/und</t>
  </si>
  <si>
    <t>CABO PARA LIGAÇÃO F+F+CONTROLE (BRANCO + VERDE) #2,50mm²</t>
  </si>
  <si>
    <t>ATERRAMENTO (CJ POR ENTRADA DE ENERGIA)</t>
  </si>
  <si>
    <t>POSTE DE AÇO GALVANIZADO, TIPO RETO H=10M</t>
  </si>
  <si>
    <t>REF.:</t>
  </si>
  <si>
    <t>CODIGO  DA COMPOSICAO</t>
  </si>
  <si>
    <t>DESCRICAO DA COMPOSICAO</t>
  </si>
  <si>
    <t>CUSTO TOTAL</t>
  </si>
  <si>
    <t>97141</t>
  </si>
  <si>
    <t>ASSENTAMENTO DE TUBO DE FERRO FUNDIDO PARA REDE DE ÁGUA, DN 80 MM, JUNTA ELÁSTICA, INSTALADO EM LOCAL COM NÍVEL ALTO DE INTERFERÊNCIAS (NÃO INCLUI FORNECIMENTO). AF_11/2017</t>
  </si>
  <si>
    <t>8,86</t>
  </si>
  <si>
    <t>97142</t>
  </si>
  <si>
    <t>ASSENTAMENTO DE TUBO DE FERRO FUNDIDO PARA REDE DE ÁGUA, DN 100 MM, JUNTA ELÁSTICA, INSTALADO EM LOCAL COM NÍVEL ALTO DE INTERFERÊNCIAS (NÃO INCLUI FORNECIMENTO). AF_11/2017</t>
  </si>
  <si>
    <t>9,87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</si>
  <si>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</si>
  <si>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</si>
  <si>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</si>
  <si>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</si>
  <si>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</si>
  <si>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</si>
  <si>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</si>
  <si>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</si>
  <si>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19,92</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</si>
  <si>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</si>
  <si>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</si>
  <si>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</si>
  <si>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</si>
  <si>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</si>
  <si>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</si>
  <si>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</si>
  <si>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</si>
  <si>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</si>
  <si>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</si>
  <si>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</si>
  <si>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</si>
  <si>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</si>
  <si>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</si>
  <si>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</si>
  <si>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</si>
  <si>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</si>
  <si>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</si>
  <si>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</si>
  <si>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</si>
  <si>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</si>
  <si>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</si>
  <si>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</si>
  <si>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</si>
  <si>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</si>
  <si>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</si>
  <si>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</si>
  <si>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</si>
  <si>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</si>
  <si>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</si>
  <si>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10,61</t>
  </si>
  <si>
    <t>97162</t>
  </si>
  <si>
    <t>ASSENTAMENTO DE TUBO DE FERRO FUNDIDO PARA REDE DE ÁGUA, DN 300 MM, JUNTA ELÁSTICA, INSTALADO EM LOCAL COM NÍVEL BAIXO DE INTERFERÊNCIAS (NÃO INCLUI FORNECIMENTO). AF_11/2017</t>
  </si>
  <si>
    <t>12,14</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</si>
  <si>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</si>
  <si>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</si>
  <si>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</si>
  <si>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</si>
  <si>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</si>
  <si>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</si>
  <si>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16,80</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</si>
  <si>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</si>
  <si>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</si>
  <si>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</si>
  <si>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</si>
  <si>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</si>
  <si>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</si>
  <si>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</si>
  <si>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</si>
  <si>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</si>
  <si>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</si>
  <si>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</si>
  <si>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</si>
  <si>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</si>
  <si>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</si>
  <si>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</si>
  <si>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</si>
  <si>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</si>
  <si>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</si>
  <si>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</si>
  <si>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</si>
  <si>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</si>
  <si>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</si>
  <si>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</si>
  <si>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</si>
  <si>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</si>
  <si>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</si>
  <si>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</si>
  <si>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</si>
  <si>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</si>
  <si>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</si>
  <si>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</si>
  <si>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</si>
  <si>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</si>
  <si>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</si>
  <si>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</si>
  <si>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</si>
  <si>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</si>
  <si>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</si>
  <si>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</si>
  <si>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</si>
  <si>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</si>
  <si>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</si>
  <si>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</si>
  <si>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</si>
  <si>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</si>
  <si>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</si>
  <si>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</si>
  <si>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</si>
  <si>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</si>
  <si>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</si>
  <si>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</si>
  <si>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</si>
  <si>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</si>
  <si>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</si>
  <si>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</si>
  <si>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</si>
  <si>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</si>
  <si>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</si>
  <si>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</si>
  <si>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</si>
  <si>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</si>
  <si>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</si>
  <si>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</si>
  <si>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</si>
  <si>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</si>
  <si>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</si>
  <si>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</si>
  <si>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</si>
  <si>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</si>
  <si>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</si>
  <si>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</si>
  <si>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</si>
  <si>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</si>
  <si>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</si>
  <si>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</si>
  <si>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</si>
  <si>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</si>
  <si>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</si>
  <si>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</si>
  <si>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</si>
  <si>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</si>
  <si>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</si>
  <si>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</si>
  <si>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</si>
  <si>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</si>
  <si>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</si>
  <si>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</si>
  <si>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</si>
  <si>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</si>
  <si>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</si>
  <si>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</si>
  <si>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</si>
  <si>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</si>
  <si>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</si>
  <si>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</si>
  <si>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</si>
  <si>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</si>
  <si>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</si>
  <si>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</si>
  <si>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</si>
  <si>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</si>
  <si>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</si>
  <si>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</si>
  <si>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</si>
  <si>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4,28</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</si>
  <si>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</si>
  <si>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</si>
  <si>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</si>
  <si>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</si>
  <si>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</si>
  <si>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</si>
  <si>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</si>
  <si>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</si>
  <si>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</si>
  <si>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</si>
  <si>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</si>
  <si>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</si>
  <si>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</si>
  <si>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</si>
  <si>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</si>
  <si>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</si>
  <si>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6,09</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</si>
  <si>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</si>
  <si>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</si>
  <si>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</si>
  <si>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</si>
  <si>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</si>
  <si>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</si>
  <si>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10,64</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</si>
  <si>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</si>
  <si>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</si>
  <si>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</si>
  <si>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</si>
  <si>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</si>
  <si>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</si>
  <si>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</si>
  <si>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</si>
  <si>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</si>
  <si>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</si>
  <si>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</si>
  <si>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</si>
  <si>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2,62</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</si>
  <si>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</si>
  <si>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</si>
  <si>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</si>
  <si>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</si>
  <si>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</si>
  <si>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</si>
  <si>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</si>
  <si>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</si>
  <si>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</si>
  <si>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</si>
  <si>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</si>
  <si>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</si>
  <si>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</si>
  <si>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</si>
  <si>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</si>
  <si>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</si>
  <si>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</si>
  <si>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</si>
  <si>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</si>
  <si>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</si>
  <si>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</si>
  <si>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</si>
  <si>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</si>
  <si>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</si>
  <si>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0,93</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</si>
  <si>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</si>
  <si>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</si>
  <si>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</si>
  <si>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</si>
  <si>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</si>
  <si>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</si>
  <si>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</si>
  <si>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</si>
  <si>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</si>
  <si>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</si>
  <si>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</si>
  <si>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</si>
  <si>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</si>
  <si>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</si>
  <si>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</si>
  <si>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</si>
  <si>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</si>
  <si>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TUBO DE CONCRETO PARA REDES COLETORAS DE ESGOTO SANITÁRIO, DIÂMETRO DE 300 MM, JUNTA ELÁSTICA, INSTALADO EM LOCAL COM BAIXO NÍVEL DE INTERFERÊNCIAS - FORNECIMENTO E ASSENTAMENTO. AF_12/2015</t>
  </si>
  <si>
    <t>196,95</t>
  </si>
  <si>
    <t>92834</t>
  </si>
  <si>
    <t>ASSENTAMENTO DE TUBO DE CONCRETO PARA REDES COLETORAS DE ESGOTO SANITÁRIO, DIÂMETRO DE 300 MM, JUNTA ELÁSTICA, INSTALADO EM LOCAL COM BAIXO NÍVEL DE INTERFERÊNCIAS (NÃO INCLUI FORNECIMENTO). AF_12/2015</t>
  </si>
  <si>
    <t>9,56</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</si>
  <si>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</si>
  <si>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</si>
  <si>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</si>
  <si>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</si>
  <si>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12,19</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</si>
  <si>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</si>
  <si>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</si>
  <si>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</si>
  <si>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</si>
  <si>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</si>
  <si>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</si>
  <si>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</si>
  <si>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</si>
  <si>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</si>
  <si>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</si>
  <si>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</si>
  <si>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</si>
  <si>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</si>
  <si>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</si>
  <si>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</si>
  <si>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</si>
  <si>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22,50</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</si>
  <si>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</si>
  <si>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</si>
  <si>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</si>
  <si>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</si>
  <si>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</si>
  <si>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</si>
  <si>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</si>
  <si>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</si>
  <si>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</si>
  <si>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</si>
  <si>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</si>
  <si>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</si>
  <si>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</si>
  <si>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</si>
  <si>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</si>
  <si>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</si>
  <si>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</si>
  <si>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</si>
  <si>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</si>
  <si>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</si>
  <si>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</si>
  <si>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</si>
  <si>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</si>
  <si>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</si>
  <si>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</si>
  <si>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</si>
  <si>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</si>
  <si>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</si>
  <si>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</si>
  <si>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</si>
  <si>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</si>
  <si>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</si>
  <si>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</si>
  <si>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</si>
  <si>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</si>
  <si>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</si>
  <si>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</si>
  <si>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</si>
  <si>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</si>
  <si>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</si>
  <si>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</si>
  <si>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</si>
  <si>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</si>
  <si>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</si>
  <si>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</si>
  <si>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</si>
  <si>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</si>
  <si>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</si>
  <si>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</si>
  <si>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</si>
  <si>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</si>
  <si>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</si>
  <si>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</si>
  <si>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</si>
  <si>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</si>
  <si>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</si>
  <si>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</si>
  <si>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</si>
  <si>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</si>
  <si>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</si>
  <si>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</si>
  <si>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</si>
  <si>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</si>
  <si>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</si>
  <si>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</si>
  <si>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</si>
  <si>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</si>
  <si>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</si>
  <si>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</si>
  <si>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</si>
  <si>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</si>
  <si>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</si>
  <si>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</si>
  <si>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</si>
  <si>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66,92</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</si>
  <si>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</si>
  <si>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</si>
  <si>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</si>
  <si>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</si>
  <si>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</si>
  <si>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</si>
  <si>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</si>
  <si>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</si>
  <si>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</si>
  <si>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</si>
  <si>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</si>
  <si>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</si>
  <si>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</si>
  <si>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</si>
  <si>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</si>
  <si>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</si>
  <si>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</si>
  <si>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</si>
  <si>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</si>
  <si>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</si>
  <si>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</si>
  <si>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</si>
  <si>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</si>
  <si>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</si>
  <si>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</si>
  <si>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</si>
  <si>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</si>
  <si>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</si>
  <si>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</si>
  <si>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</si>
  <si>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</si>
  <si>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</si>
  <si>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</si>
  <si>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</si>
  <si>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</si>
  <si>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</si>
  <si>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</si>
  <si>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</si>
  <si>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</si>
  <si>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</si>
  <si>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</si>
  <si>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</si>
  <si>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</si>
  <si>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</si>
  <si>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</si>
  <si>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</si>
  <si>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</si>
  <si>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</si>
  <si>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</si>
  <si>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</si>
  <si>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</si>
  <si>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</si>
  <si>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</si>
  <si>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</si>
  <si>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</si>
  <si>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</si>
  <si>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</si>
  <si>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</si>
  <si>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</si>
  <si>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</si>
  <si>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</si>
  <si>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</si>
  <si>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10,80</t>
  </si>
  <si>
    <t>97129</t>
  </si>
  <si>
    <t>ASSENTAMENTO DE TUBO DE PVC DEFOFO OU PRFV OU RPVC PARA REDE DE ÁGUA, DN 250 MM, JUNTA ELÁSTICA INTEGRADA, INSTALADO EM LOCAL COM NÍVEL ALTO DE INTERFERÊNCIAS (NÃO INCLUI FORNECIMENTO). AF_11/2017</t>
  </si>
  <si>
    <t>13,28</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</si>
  <si>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</si>
  <si>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</si>
  <si>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</si>
  <si>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</si>
  <si>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</si>
  <si>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</si>
  <si>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</si>
  <si>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</si>
  <si>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25,66</t>
  </si>
  <si>
    <t>97134</t>
  </si>
  <si>
    <t>ASSENTAMENTO DE TUBO DE PVC DEFOFO OU PRFV OU RPVC PARA REDE DE ÁGUA, DN 150 MM, JUNTA ELÁSTICA INTEGRADA, INSTALADO EM LOCAL COM NÍVEL BAIXO DE INTERFERÊNCIAS (NÃO INCLUI FORNECIMENTO). AF_11/2017</t>
  </si>
  <si>
    <t>2,41</t>
  </si>
  <si>
    <t>97135</t>
  </si>
  <si>
    <t>ASSENTAMENTO DE TUBO DE PVC DEFOFO OU PRFV OU RPVC PARA REDE DE ÁGUA, DN 200 MM, JUNTA ELÁSTICA INTEGRADA, INSTALADO EM LOCAL COM NÍVEL BAIXO DE INTERFERÊNCIAS (NÃO INCLUI FORNECIMENTO). AF_11/2017</t>
  </si>
  <si>
    <t>5,43</t>
  </si>
  <si>
    <t>97136</t>
  </si>
  <si>
    <t>ASSENTAMENTO DE TUBO DE PVC DEFOFO OU PRFV OU RPVC PARA REDE DE ÁGUA, DN 250 MM, JUNTA ELÁSTICA INTEGRADA, INSTALADO EM LOCAL COM NÍVEL BAIXO DE INTERFERÊNCIAS (NÃO INCLUI FORNECIMENTO). AF_11/2017</t>
  </si>
  <si>
    <t>6,69</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</si>
  <si>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</si>
  <si>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</si>
  <si>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</si>
  <si>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</si>
  <si>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</si>
  <si>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</si>
  <si>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10,43</t>
  </si>
  <si>
    <t>97140</t>
  </si>
  <si>
    <t>ASSENTAMENTO DE TUBO DE PVC DEFOFO OU PRFV OU RPVC PARA REDE DE ÁGUA, DN 500 MM, JUNTA ELÁSTICA INTEGRADA, INSTALADO EM LOCAL COM NÍVEL BAIXO DE INTERFERÊNCIAS (NÃO INCLUI FORNECIMENTO). AF_11/2017</t>
  </si>
  <si>
    <t>12,94</t>
  </si>
  <si>
    <t>103089</t>
  </si>
  <si>
    <t>ASSENTAMENTO DE TUBO DE FERRO FUNDIDO PARA REDE DE ÁGUA, DN 80 MM, JUNTA FLANGEADA (NÃO INCLUI O FORNECIMENTO). AF_09/2021</t>
  </si>
  <si>
    <t>11,38</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</si>
  <si>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</si>
  <si>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</si>
  <si>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</si>
  <si>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</si>
  <si>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</si>
  <si>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</si>
  <si>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</si>
  <si>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</si>
  <si>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</si>
  <si>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</si>
  <si>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</si>
  <si>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</si>
  <si>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</si>
  <si>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</si>
  <si>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</si>
  <si>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</si>
  <si>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</si>
  <si>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</si>
  <si>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</si>
  <si>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</si>
  <si>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</si>
  <si>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</si>
  <si>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</si>
  <si>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</si>
  <si>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</si>
  <si>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</si>
  <si>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</si>
  <si>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</si>
  <si>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</si>
  <si>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</si>
  <si>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</si>
  <si>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</si>
  <si>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</si>
  <si>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</si>
  <si>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</si>
  <si>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</si>
  <si>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</si>
  <si>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</si>
  <si>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</si>
  <si>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</si>
  <si>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</si>
  <si>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</si>
  <si>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</si>
  <si>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</si>
  <si>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</si>
  <si>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</si>
  <si>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</si>
  <si>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</si>
  <si>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</si>
  <si>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</si>
  <si>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</si>
  <si>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</si>
  <si>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</si>
  <si>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</si>
  <si>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</si>
  <si>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</si>
  <si>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</si>
  <si>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</si>
  <si>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</si>
  <si>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</si>
  <si>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</si>
  <si>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</si>
  <si>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</si>
  <si>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</si>
  <si>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</si>
  <si>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</si>
  <si>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</si>
  <si>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</si>
  <si>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</si>
  <si>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</si>
  <si>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</si>
  <si>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</si>
  <si>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</si>
  <si>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</si>
  <si>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</si>
  <si>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</si>
  <si>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</si>
  <si>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</si>
  <si>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</si>
  <si>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</si>
  <si>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</si>
  <si>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</si>
  <si>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</si>
  <si>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</si>
  <si>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</si>
  <si>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</si>
  <si>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</si>
  <si>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</si>
  <si>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</si>
  <si>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</si>
  <si>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</si>
  <si>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</si>
  <si>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</si>
  <si>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</si>
  <si>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</si>
  <si>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</si>
  <si>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</si>
  <si>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</si>
  <si>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</si>
  <si>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</si>
  <si>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</si>
  <si>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</si>
  <si>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</si>
  <si>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</si>
  <si>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</si>
  <si>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</si>
  <si>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</si>
  <si>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</si>
  <si>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</si>
  <si>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</si>
  <si>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</si>
  <si>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</si>
  <si>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</si>
  <si>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</si>
  <si>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</si>
  <si>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</si>
  <si>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</si>
  <si>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</si>
  <si>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</si>
  <si>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</si>
  <si>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</si>
  <si>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</si>
  <si>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</si>
  <si>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</si>
  <si>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</si>
  <si>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</si>
  <si>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</si>
  <si>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</si>
  <si>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5,70</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</si>
  <si>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</si>
  <si>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</si>
  <si>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</si>
  <si>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</si>
  <si>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</si>
  <si>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</si>
  <si>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</si>
  <si>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</si>
  <si>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</si>
  <si>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</si>
  <si>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</si>
  <si>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</si>
  <si>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</si>
  <si>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</si>
  <si>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</si>
  <si>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</si>
  <si>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</si>
  <si>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</si>
  <si>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</si>
  <si>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</si>
  <si>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</si>
  <si>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</si>
  <si>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</si>
  <si>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</si>
  <si>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</si>
  <si>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</si>
  <si>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</si>
  <si>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</si>
  <si>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</si>
  <si>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</si>
  <si>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4,13</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</si>
  <si>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</si>
  <si>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</si>
  <si>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</si>
  <si>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</si>
  <si>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</si>
  <si>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</si>
  <si>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</si>
  <si>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</si>
  <si>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</si>
  <si>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</si>
  <si>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</si>
  <si>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</si>
  <si>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</si>
  <si>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</si>
  <si>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</si>
  <si>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</si>
  <si>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</si>
  <si>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</si>
  <si>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</si>
  <si>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</si>
  <si>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</si>
  <si>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</si>
  <si>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65,10</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</si>
  <si>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</si>
  <si>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</si>
  <si>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</si>
  <si>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</si>
  <si>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</si>
  <si>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</si>
  <si>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8,26</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</si>
  <si>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</si>
  <si>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</si>
  <si>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</si>
  <si>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</si>
  <si>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</si>
  <si>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</si>
  <si>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</si>
  <si>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</si>
  <si>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</si>
  <si>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</si>
  <si>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</si>
  <si>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</si>
  <si>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</si>
  <si>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</si>
  <si>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</si>
  <si>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</si>
  <si>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</si>
  <si>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</si>
  <si>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</si>
  <si>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</si>
  <si>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</si>
  <si>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</si>
  <si>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</si>
  <si>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</si>
  <si>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</si>
  <si>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</si>
  <si>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</si>
  <si>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</si>
  <si>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</si>
  <si>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</si>
  <si>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</si>
  <si>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</si>
  <si>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</si>
  <si>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</si>
  <si>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</si>
  <si>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</si>
  <si>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</si>
  <si>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</si>
  <si>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</si>
  <si>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</si>
  <si>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</si>
  <si>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</si>
  <si>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</si>
  <si>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</si>
  <si>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34,69</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</si>
  <si>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</si>
  <si>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</si>
  <si>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</si>
  <si>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</si>
  <si>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</si>
  <si>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</si>
  <si>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</si>
  <si>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</si>
  <si>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</si>
  <si>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</si>
  <si>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</si>
  <si>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</si>
  <si>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</si>
  <si>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</si>
  <si>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</si>
  <si>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</si>
  <si>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</si>
  <si>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</si>
  <si>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</si>
  <si>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</si>
  <si>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</si>
  <si>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</si>
  <si>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</si>
  <si>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</si>
  <si>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</si>
  <si>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</si>
  <si>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</si>
  <si>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</si>
  <si>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</si>
  <si>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</si>
  <si>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</si>
  <si>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</si>
  <si>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</si>
  <si>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</si>
  <si>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</si>
  <si>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AF_02/2016_PA</t>
  </si>
  <si>
    <t>93243</t>
  </si>
  <si>
    <t>EXECUÇÃO DE RESERVATÓRIO ELEVADO DE ÁGUA (2000 LITROS) EM CANTEIRO DE OBRA, APOIADO EM ESTRUTURA DE MADEIRA. AF_02/2016_PA</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</si>
  <si>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</si>
  <si>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</si>
  <si>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</si>
  <si>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</si>
  <si>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</si>
  <si>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</si>
  <si>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</si>
  <si>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</si>
  <si>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</si>
  <si>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</si>
  <si>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</si>
  <si>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</si>
  <si>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</si>
  <si>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</si>
  <si>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</si>
  <si>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</si>
  <si>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</si>
  <si>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</si>
  <si>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</si>
  <si>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</si>
  <si>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</si>
  <si>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</si>
  <si>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</si>
  <si>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</si>
  <si>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</si>
  <si>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</si>
  <si>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</si>
  <si>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</si>
  <si>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</si>
  <si>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</si>
  <si>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</si>
  <si>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</si>
  <si>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</si>
  <si>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</si>
  <si>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</si>
  <si>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</si>
  <si>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</si>
  <si>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</si>
  <si>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</si>
  <si>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</si>
  <si>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</si>
  <si>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</si>
  <si>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</si>
  <si>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</si>
  <si>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</si>
  <si>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</si>
  <si>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</si>
  <si>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AF_05/2018_PS</t>
  </si>
  <si>
    <t>98462</t>
  </si>
  <si>
    <t>ESTRUTURA DE MADEIRA PROVISÓRIA PARA SUPORTE DE CAIXA D ÁGUA ELEVADA DE 3000 LITROS. AF_05/2018_PS</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</si>
  <si>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</si>
  <si>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</si>
  <si>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</si>
  <si>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</si>
  <si>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</si>
  <si>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</si>
  <si>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</si>
  <si>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</si>
  <si>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</si>
  <si>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</si>
  <si>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</si>
  <si>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</si>
  <si>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</si>
  <si>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</si>
  <si>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</si>
  <si>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</si>
  <si>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</si>
  <si>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</si>
  <si>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</si>
  <si>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</si>
  <si>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</si>
  <si>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</si>
  <si>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</si>
  <si>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11,02</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</si>
  <si>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</si>
  <si>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</si>
  <si>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</si>
  <si>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</si>
  <si>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</si>
  <si>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</si>
  <si>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</si>
  <si>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</si>
  <si>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</si>
  <si>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</si>
  <si>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</si>
  <si>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</si>
  <si>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</si>
  <si>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</si>
  <si>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</si>
  <si>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</si>
  <si>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</si>
  <si>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</si>
  <si>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</si>
  <si>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</si>
  <si>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</si>
  <si>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</si>
  <si>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</si>
  <si>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</si>
  <si>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</si>
  <si>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</si>
  <si>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35,00</t>
  </si>
  <si>
    <t>5921</t>
  </si>
  <si>
    <t>GRADE DE DISCO REBOCÁVEL COM 20 DISCOS 24" X 6 MM COM PNEUS PARA TRANSPORTE - CHP DIURNO. AF_06/2014</t>
  </si>
  <si>
    <t>5,75</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</si>
  <si>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</si>
  <si>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</si>
  <si>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</si>
  <si>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</si>
  <si>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</si>
  <si>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</si>
  <si>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</si>
  <si>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</si>
  <si>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</si>
  <si>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</si>
  <si>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63,19</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</si>
  <si>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</si>
  <si>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</si>
  <si>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</si>
  <si>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</si>
  <si>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</si>
  <si>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</si>
  <si>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</si>
  <si>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</si>
  <si>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</si>
  <si>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</si>
  <si>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</si>
  <si>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</si>
  <si>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</si>
  <si>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</si>
  <si>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</si>
  <si>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</si>
  <si>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</si>
  <si>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</si>
  <si>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</si>
  <si>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</si>
  <si>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</si>
  <si>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</si>
  <si>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</si>
  <si>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</si>
  <si>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</si>
  <si>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</si>
  <si>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5,68</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</si>
  <si>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</si>
  <si>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</si>
  <si>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</si>
  <si>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</si>
  <si>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5,92</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</si>
  <si>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</si>
  <si>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</si>
  <si>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</si>
  <si>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</si>
  <si>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</si>
  <si>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</si>
  <si>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</si>
  <si>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</si>
  <si>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</si>
  <si>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</si>
  <si>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</si>
  <si>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</si>
  <si>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</si>
  <si>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</si>
  <si>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2,20</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</si>
  <si>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</si>
  <si>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</si>
  <si>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</si>
  <si>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</si>
  <si>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</si>
  <si>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</si>
  <si>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</si>
  <si>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</si>
  <si>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</si>
  <si>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</si>
  <si>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</si>
  <si>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</si>
  <si>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</si>
  <si>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</si>
  <si>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</si>
  <si>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</si>
  <si>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</si>
  <si>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</si>
  <si>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</si>
  <si>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</si>
  <si>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13,19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</si>
  <si>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</si>
  <si>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</si>
  <si>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</si>
  <si>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</si>
  <si>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</si>
  <si>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</si>
  <si>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</si>
  <si>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</si>
  <si>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</si>
  <si>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</si>
  <si>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6,53</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</si>
  <si>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</si>
  <si>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</si>
  <si>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</si>
  <si>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</si>
  <si>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</si>
  <si>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</si>
  <si>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</si>
  <si>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</si>
  <si>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</si>
  <si>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</si>
  <si>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</si>
  <si>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</si>
  <si>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14,83</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</si>
  <si>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</si>
  <si>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</si>
  <si>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</si>
  <si>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</si>
  <si>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</si>
  <si>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</si>
  <si>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</si>
  <si>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</si>
  <si>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</si>
  <si>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</si>
  <si>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116,60</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</si>
  <si>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</si>
  <si>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</si>
  <si>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</si>
  <si>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</si>
  <si>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</si>
  <si>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</si>
  <si>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</si>
  <si>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</si>
  <si>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</si>
  <si>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</si>
  <si>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</si>
  <si>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</si>
  <si>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</si>
  <si>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</si>
  <si>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8,31</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</si>
  <si>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</si>
  <si>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</si>
  <si>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</si>
  <si>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</si>
  <si>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</si>
  <si>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</si>
  <si>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</si>
  <si>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</si>
  <si>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</si>
  <si>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</si>
  <si>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</si>
  <si>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</si>
  <si>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</si>
  <si>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</si>
  <si>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12,27</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</si>
  <si>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</si>
  <si>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</si>
  <si>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</si>
  <si>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</si>
  <si>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3,33</t>
  </si>
  <si>
    <t>92118</t>
  </si>
  <si>
    <t>DOSADOR DE AREIA, CAPACIDADE DE 26 LITROS - CHP DIURNO. AF_11/2015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</si>
  <si>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</si>
  <si>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</si>
  <si>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</si>
  <si>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</si>
  <si>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</si>
  <si>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</si>
  <si>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</si>
  <si>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</si>
  <si>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</si>
  <si>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</si>
  <si>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</si>
  <si>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</si>
  <si>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</si>
  <si>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</si>
  <si>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</si>
  <si>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</si>
  <si>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</si>
  <si>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</si>
  <si>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</si>
  <si>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</si>
  <si>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</si>
  <si>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</si>
  <si>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</si>
  <si>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</si>
  <si>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</si>
  <si>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AF_03/2016</t>
  </si>
  <si>
    <t>93415</t>
  </si>
  <si>
    <t>GERADOR PORTÁTIL MONOFÁSICO, POTÊNCIA 5500 VA, MOTOR A GASOLINA, POTÊNCIA DO MOTOR 13 CV - CHP DIURNO. AF_03/2016</t>
  </si>
  <si>
    <t>12,91</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</si>
  <si>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</si>
  <si>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</si>
  <si>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</si>
  <si>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</si>
  <si>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</si>
  <si>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</si>
  <si>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</si>
  <si>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</si>
  <si>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</si>
  <si>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</si>
  <si>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</si>
  <si>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</si>
  <si>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</si>
  <si>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</si>
  <si>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</si>
  <si>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</si>
  <si>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0,05</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</si>
  <si>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</si>
  <si>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</si>
  <si>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</si>
  <si>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</si>
  <si>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</si>
  <si>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</si>
  <si>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5,81</t>
  </si>
  <si>
    <t>95270</t>
  </si>
  <si>
    <t>RÉGUA VIBRATÓRIA DUPLA PARA CONCRETO, PESO DE 60KG, COMPRIMENTO 4 M, COM MOTOR A GASOLINA, POTÊNCIA 5,5 HP - CHP DIURNO. AF_09/2016</t>
  </si>
  <si>
    <t>8,04</t>
  </si>
  <si>
    <t>95276</t>
  </si>
  <si>
    <t>POLIDORA DE PISO (POLITRIZ), PESO DE 100KG, DIÂMETRO 450 MM, MOTOR ELÉTRICO, POTÊNCIA 4 HP - CHP DIURNO. AF_09/2016</t>
  </si>
  <si>
    <t>95282</t>
  </si>
  <si>
    <t>DESEMPENADEIRA DE CONCRETO, PESO DE 78 KG, 4 PÁS, MOTOR A GASOLINA, POTÊNCIA 5,5 HP - CHP DIURNO. AF_09/2016</t>
  </si>
  <si>
    <t>8,23</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</si>
  <si>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</si>
  <si>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</si>
  <si>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</si>
  <si>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</si>
  <si>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</si>
  <si>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</si>
  <si>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</si>
  <si>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</si>
  <si>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</si>
  <si>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</si>
  <si>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</si>
  <si>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</si>
  <si>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</si>
  <si>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</si>
  <si>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</si>
  <si>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</si>
  <si>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</si>
  <si>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</si>
  <si>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</si>
  <si>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</si>
  <si>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</si>
  <si>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</si>
  <si>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</si>
  <si>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</si>
  <si>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</si>
  <si>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</si>
  <si>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</si>
  <si>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</si>
  <si>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</si>
  <si>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</si>
  <si>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</si>
  <si>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</si>
  <si>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3,55</t>
  </si>
  <si>
    <t>99833</t>
  </si>
  <si>
    <t>LAVADORA DE ALTA PRESSAO (LAVA-JATO) PARA AGUA FRIA, PRESSAO DE OPERACAO ENTRE 1400 E 1900 LIB/POL2, VAZAO MAXIMA ENTRE 400 E 700 L/H - CHP DIURNO. AF_04/2019</t>
  </si>
  <si>
    <t>3,59</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</si>
  <si>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</si>
  <si>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</si>
  <si>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</si>
  <si>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</si>
  <si>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</si>
  <si>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</si>
  <si>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</si>
  <si>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</si>
  <si>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0,71</t>
  </si>
  <si>
    <t>104097</t>
  </si>
  <si>
    <t>TERMOFUSORA PARA TUBOS E CONEXÕES EM PPR COM DIÂMETROS DE 75 A 110 MM, POTÊNCIA DE *1100* W, TENSÃO 220 V - CHP DIURNO. AF_05/2022</t>
  </si>
  <si>
    <t>0,98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</si>
  <si>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</si>
  <si>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</si>
  <si>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</si>
  <si>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</si>
  <si>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</si>
  <si>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</si>
  <si>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</si>
  <si>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</si>
  <si>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</si>
  <si>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</si>
  <si>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</si>
  <si>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</si>
  <si>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</si>
  <si>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0,30</t>
  </si>
  <si>
    <t>5826</t>
  </si>
  <si>
    <t>CAMINHÃO TOCO, PBT 16.000 KG, CARGA ÚTIL MÁX. 10.685 KG, DIST. ENTRE EIXOS 4,8 M, POTÊNCIA 189 CV, INCLUSIVE CARROCERIA FIXA ABERTA DE MADEIRA P/ TRANSPORTE GERAL DE CARGA SECA, DIMEN. APROX. 2,5 X 7,00 X 0,50 M - CHI DIURNO. AF_06/2014</t>
  </si>
  <si>
    <t>50,18</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</si>
  <si>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</si>
  <si>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</si>
  <si>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</si>
  <si>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</si>
  <si>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</si>
  <si>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</si>
  <si>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5,24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</si>
  <si>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</si>
  <si>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</si>
  <si>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</si>
  <si>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</si>
  <si>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</si>
  <si>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</si>
  <si>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</si>
  <si>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</si>
  <si>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</si>
  <si>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</si>
  <si>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10,89</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</si>
  <si>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</si>
  <si>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</si>
  <si>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</si>
  <si>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</si>
  <si>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</si>
  <si>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</si>
  <si>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</si>
  <si>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</si>
  <si>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</si>
  <si>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</si>
  <si>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</si>
  <si>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</si>
  <si>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</si>
  <si>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</si>
  <si>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</si>
  <si>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</si>
  <si>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</si>
  <si>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</si>
  <si>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3,57</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</si>
  <si>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</si>
  <si>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</si>
  <si>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</si>
  <si>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</si>
  <si>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</si>
  <si>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</si>
  <si>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</si>
  <si>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</si>
  <si>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</si>
  <si>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</si>
  <si>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24,71</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</si>
  <si>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</si>
  <si>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</si>
  <si>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</si>
  <si>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</si>
  <si>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</si>
  <si>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</si>
  <si>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</si>
  <si>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</si>
  <si>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</si>
  <si>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</si>
  <si>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5,34</t>
  </si>
  <si>
    <t>7043</t>
  </si>
  <si>
    <t>MOTOBOMBA TRASH (PARA ÁGUA SUJA) AUTO ESCORVANTE, MOTOR GASOLINA DE 6,41 HP, DIÂMETROS DE SUCÇÃO X RECALQUE: 3" X 3", HM/Q = 10 MCA / 60 M3/H A 23 MCA / 0 M3/H - CHI DIURNO. AF_10/2014</t>
  </si>
  <si>
    <t>0,38</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</si>
  <si>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</si>
  <si>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</si>
  <si>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</si>
  <si>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</si>
  <si>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</si>
  <si>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</si>
  <si>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</si>
  <si>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</si>
  <si>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</si>
  <si>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</si>
  <si>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</si>
  <si>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</si>
  <si>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</si>
  <si>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</si>
  <si>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</si>
  <si>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</si>
  <si>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</si>
  <si>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</si>
  <si>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0,96</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</si>
  <si>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</si>
  <si>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</si>
  <si>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</si>
  <si>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</si>
  <si>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8,39</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</si>
  <si>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</si>
  <si>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</si>
  <si>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</si>
  <si>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</si>
  <si>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</si>
  <si>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</si>
  <si>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</si>
  <si>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</si>
  <si>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</si>
  <si>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</si>
  <si>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</si>
  <si>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</si>
  <si>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</si>
  <si>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</si>
  <si>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44,15</t>
  </si>
  <si>
    <t>89218</t>
  </si>
  <si>
    <t>BATE-ESTACAS POR GRAVIDADE, POTÊNCIA DE 160 HP, PESO DO MARTELO ATÉ 3 TONELADAS - CHI DIURNO. AF_11/2014</t>
  </si>
  <si>
    <t>86,90</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</si>
  <si>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</si>
  <si>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</si>
  <si>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</si>
  <si>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</si>
  <si>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</si>
  <si>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</si>
  <si>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</si>
  <si>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</si>
  <si>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</si>
  <si>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</si>
  <si>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</si>
  <si>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</si>
  <si>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</si>
  <si>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</si>
  <si>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</si>
  <si>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</si>
  <si>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</si>
  <si>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</si>
  <si>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</si>
  <si>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</si>
  <si>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0,49</t>
  </si>
  <si>
    <t>90626</t>
  </si>
  <si>
    <t>PERFURATRIZ MANUAL, TORQUE MÁXIMO 83 N.M, POTÊNCIA 5 CV, COM DIÂMETRO MÁXIMO 4" - CHI DIURNO. AF_06/2015</t>
  </si>
  <si>
    <t>1,98</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</si>
  <si>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</si>
  <si>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</si>
  <si>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</si>
  <si>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</si>
  <si>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</si>
  <si>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</si>
  <si>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</si>
  <si>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</si>
  <si>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</si>
  <si>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</si>
  <si>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4,73</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</si>
  <si>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</si>
  <si>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</si>
  <si>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</si>
  <si>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</si>
  <si>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</si>
  <si>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</si>
  <si>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</si>
  <si>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</si>
  <si>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</si>
  <si>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</si>
  <si>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</si>
  <si>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</si>
  <si>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</si>
  <si>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</si>
  <si>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</si>
  <si>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</si>
  <si>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</si>
  <si>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</si>
  <si>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</si>
  <si>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</si>
  <si>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</si>
  <si>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</si>
  <si>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</si>
  <si>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</si>
  <si>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0,58</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</si>
  <si>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</si>
  <si>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</si>
  <si>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</si>
  <si>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</si>
  <si>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</si>
  <si>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</si>
  <si>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</si>
  <si>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</si>
  <si>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</si>
  <si>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</si>
  <si>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</si>
  <si>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</si>
  <si>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</si>
  <si>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</si>
  <si>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</si>
  <si>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</si>
  <si>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</si>
  <si>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</si>
  <si>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</si>
  <si>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</si>
  <si>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</si>
  <si>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</si>
  <si>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1,13</t>
  </si>
  <si>
    <t>92119</t>
  </si>
  <si>
    <t>DOSADOR DE AREIA, CAPACIDADE DE 26 LITROS - CHI DIURNO. AF_11/2015</t>
  </si>
  <si>
    <t>0,27</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</si>
  <si>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</si>
  <si>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</si>
  <si>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</si>
  <si>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</si>
  <si>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</si>
  <si>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</si>
  <si>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</si>
  <si>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</si>
  <si>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0,14</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</si>
  <si>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</si>
  <si>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</si>
  <si>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</si>
  <si>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</si>
  <si>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</si>
  <si>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</si>
  <si>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</si>
  <si>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</si>
  <si>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0,48</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</si>
  <si>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</si>
  <si>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</si>
  <si>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</si>
  <si>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</si>
  <si>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</si>
  <si>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</si>
  <si>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</si>
  <si>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</si>
  <si>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</si>
  <si>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</si>
  <si>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</si>
  <si>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</si>
  <si>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</si>
  <si>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</si>
  <si>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</si>
  <si>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</si>
  <si>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</si>
  <si>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</si>
  <si>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</si>
  <si>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</si>
  <si>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</si>
  <si>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</si>
  <si>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</si>
  <si>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</si>
  <si>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</si>
  <si>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</si>
  <si>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</si>
  <si>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</si>
  <si>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</si>
  <si>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</si>
  <si>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</si>
  <si>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GRUA ASCENCIONAL, LANÇA DE 42 M, CAPACIDADE DE 1,5 T A 30 M, ALTURA ATÉ 39 M - CHI DIURNO. AF_08/2016</t>
  </si>
  <si>
    <t>95259</t>
  </si>
  <si>
    <t>MARTELO DEMOLIDOR PNEUMÁTICO MANUAL, 32 KG - CHI DIURNO. AF_09/2016</t>
  </si>
  <si>
    <t>24,55</t>
  </si>
  <si>
    <t>95265</t>
  </si>
  <si>
    <t>COMPACTADOR DE SOLOS DE PERCUSÃO (SOQUETE) COM MOTOR A GASOLINA, POTÊNCIA 3 CV - CHI DIURNO. AF_09/2016</t>
  </si>
  <si>
    <t>0,74</t>
  </si>
  <si>
    <t>95271</t>
  </si>
  <si>
    <t>RÉGUA VIBRATÓRIA DUPLA PARA CONCRETO, PESO DE 60KG, COMPRIMENTO 4 M, COM MOTOR A GASOLINA, POTÊNCIA 5,5 HP - CHI DIURNO. AF_09/2016</t>
  </si>
  <si>
    <t>0,50</t>
  </si>
  <si>
    <t>95277</t>
  </si>
  <si>
    <t>POLIDORA DE PISO (POLITRIZ), PESO DE 100KG, DIÂMETRO 450 MM, MOTOR ELÉTRICO, POTÊNCIA 4 HP - CHI DIURNO. AF_09/2016</t>
  </si>
  <si>
    <t>95283</t>
  </si>
  <si>
    <t>DESEMPENADEIRA DE CONCRETO, PESO DE 78 KG, 4 PÁS, MOTOR A GASOLINA, POTÊNCIA 5,5 HP - CHI DIURNO. AF_09/2016</t>
  </si>
  <si>
    <t>0,60</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</si>
  <si>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</si>
  <si>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</si>
  <si>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</si>
  <si>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</si>
  <si>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</si>
  <si>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</si>
  <si>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</si>
  <si>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</si>
  <si>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</si>
  <si>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</si>
  <si>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</si>
  <si>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</si>
  <si>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</si>
  <si>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</si>
  <si>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11,10</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</si>
  <si>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</si>
  <si>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</si>
  <si>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</si>
  <si>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</si>
  <si>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</si>
  <si>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</si>
  <si>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</si>
  <si>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</si>
  <si>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</si>
  <si>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</si>
  <si>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</si>
  <si>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</si>
  <si>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</si>
  <si>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</si>
  <si>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</si>
  <si>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</si>
  <si>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</si>
  <si>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</si>
  <si>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</si>
  <si>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</si>
  <si>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</si>
  <si>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</si>
  <si>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0,17</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</si>
  <si>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</si>
  <si>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</si>
  <si>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</si>
  <si>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</si>
  <si>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</si>
  <si>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</si>
  <si>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</si>
  <si>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</si>
  <si>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</si>
  <si>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</si>
  <si>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</si>
  <si>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0,18</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</si>
  <si>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</si>
  <si>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</si>
  <si>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</si>
  <si>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</si>
  <si>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</si>
  <si>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</si>
  <si>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</si>
  <si>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</si>
  <si>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</si>
  <si>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</si>
  <si>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</si>
  <si>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</si>
  <si>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</si>
  <si>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</si>
  <si>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</si>
  <si>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33,74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</si>
  <si>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</si>
  <si>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</si>
  <si>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</si>
  <si>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</si>
  <si>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</si>
  <si>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</si>
  <si>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39,69</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</si>
  <si>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</si>
  <si>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</si>
  <si>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</si>
  <si>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</si>
  <si>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16,95</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</si>
  <si>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</si>
  <si>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</si>
  <si>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</si>
  <si>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</si>
  <si>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17,85</t>
  </si>
  <si>
    <t>5705</t>
  </si>
  <si>
    <t>CAMINHÃO TOCO, PBT 16.000 KG, CARGA ÚTIL MÁX. 10.685 KG, DIST. ENTRE EIXOS 4,8 M, POTÊNCIA 189 CV, INCLUSIVE CARROCERIA FIXA ABERTA DE MADEIRA P/ TRANSPORTE GERAL DE CARGA SECA, DIMEN. APROX. 2,5 X 7,00 X 0,50 M - MANUTENÇÃO. AF_06/2014</t>
  </si>
  <si>
    <t>31,63</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</si>
  <si>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</si>
  <si>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</si>
  <si>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</si>
  <si>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</si>
  <si>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</si>
  <si>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</si>
  <si>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</si>
  <si>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</si>
  <si>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</si>
  <si>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</si>
  <si>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73,52</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</si>
  <si>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</si>
  <si>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</si>
  <si>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</si>
  <si>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</si>
  <si>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</si>
  <si>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</si>
  <si>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</si>
  <si>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</si>
  <si>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</si>
  <si>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</si>
  <si>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</si>
  <si>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</si>
  <si>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</si>
  <si>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</si>
  <si>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</si>
  <si>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</si>
  <si>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</si>
  <si>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</si>
  <si>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</si>
  <si>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</si>
  <si>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</si>
  <si>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</si>
  <si>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</si>
  <si>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</si>
  <si>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</si>
  <si>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</si>
  <si>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30,10</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</si>
  <si>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</si>
  <si>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</si>
  <si>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</si>
  <si>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</si>
  <si>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</si>
  <si>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</si>
  <si>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</si>
  <si>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</si>
  <si>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</si>
  <si>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</si>
  <si>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4,54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</si>
  <si>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</si>
  <si>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</si>
  <si>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</si>
  <si>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</si>
  <si>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</si>
  <si>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</si>
  <si>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</si>
  <si>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</si>
  <si>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</si>
  <si>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</si>
  <si>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</si>
  <si>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</si>
  <si>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</si>
  <si>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</si>
  <si>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0,80</t>
  </si>
  <si>
    <t>7034</t>
  </si>
  <si>
    <t>TANQUE DE ASFALTO ESTACIONÁRIO COM SERPENTINA, CAPACIDADE 30.000 L - MANUTENÇÃO. AF_06/2014</t>
  </si>
  <si>
    <t>5,67</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</si>
  <si>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</si>
  <si>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</si>
  <si>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</si>
  <si>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</si>
  <si>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</si>
  <si>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</si>
  <si>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</si>
  <si>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</si>
  <si>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</si>
  <si>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</si>
  <si>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0,34</t>
  </si>
  <si>
    <t>7045</t>
  </si>
  <si>
    <t>MOTOBOMBA TRASH (PARA ÁGUA SUJA) AUTO ESCORVANTE, MOTOR GASOLINA DE 6,41 HP, DIÂMETROS DE SUCÇÃO X RECALQUE: 3" X 3", HM/Q = 10 MCA / 60 M3/H A 23 MCA / 0 M3/H - JUROS. AF_10/2014</t>
  </si>
  <si>
    <t>0,04</t>
  </si>
  <si>
    <t>7046</t>
  </si>
  <si>
    <t>MOTOBOMBA TRASH (PARA ÁGUA SUJA) AUTO ESCORVANTE, MOTOR GASOLINA DE 6,41 HP, DIÂMETROS DE SUCÇÃO X RECALQUE: 3" X 3", HM/Q = 10 MCA / 60 M3/H A 23 MCA / 0 M3/H - MANUTENÇÃO. AF_10/2014</t>
  </si>
  <si>
    <t>0,37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</si>
  <si>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</si>
  <si>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</si>
  <si>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</si>
  <si>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</si>
  <si>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</si>
  <si>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</si>
  <si>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</si>
  <si>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</si>
  <si>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</si>
  <si>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</si>
  <si>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</si>
  <si>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</si>
  <si>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</si>
  <si>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</si>
  <si>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</si>
  <si>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</si>
  <si>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</si>
  <si>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</si>
  <si>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</si>
  <si>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</si>
  <si>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</si>
  <si>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</si>
  <si>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</si>
  <si>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</si>
  <si>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</si>
  <si>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</si>
  <si>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</si>
  <si>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</si>
  <si>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</si>
  <si>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</si>
  <si>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</si>
  <si>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</si>
  <si>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</si>
  <si>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</si>
  <si>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</si>
  <si>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</si>
  <si>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</si>
  <si>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</si>
  <si>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</si>
  <si>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</si>
  <si>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</si>
  <si>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</si>
  <si>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</si>
  <si>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</si>
  <si>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</si>
  <si>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</si>
  <si>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</si>
  <si>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</si>
  <si>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9,57</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</si>
  <si>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</si>
  <si>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</si>
  <si>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</si>
  <si>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</si>
  <si>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</si>
  <si>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</si>
  <si>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</si>
  <si>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</si>
  <si>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</si>
  <si>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</si>
  <si>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</si>
  <si>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</si>
  <si>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</si>
  <si>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</si>
  <si>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</si>
  <si>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</si>
  <si>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</si>
  <si>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</si>
  <si>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</si>
  <si>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</si>
  <si>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</si>
  <si>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</si>
  <si>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</si>
  <si>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</si>
  <si>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1,44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</si>
  <si>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</si>
  <si>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</si>
  <si>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</si>
  <si>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</si>
  <si>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</si>
  <si>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</si>
  <si>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</si>
  <si>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</si>
  <si>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</si>
  <si>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</si>
  <si>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</si>
  <si>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</si>
  <si>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</si>
  <si>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</si>
  <si>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4,57</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</si>
  <si>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</si>
  <si>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</si>
  <si>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</si>
  <si>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</si>
  <si>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</si>
  <si>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</si>
  <si>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</si>
  <si>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</si>
  <si>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36,60</t>
  </si>
  <si>
    <t>83761</t>
  </si>
  <si>
    <t>GRUPO DE SOLDAGEM COM GERADOR A DIESEL 60 CV PARA SOLDA ELÉTRICA, SOBRE 04 RODAS, COM MOTOR 4 CILINDROS 600 A - DEPRECIAÇÃO. AF_02/2016</t>
  </si>
  <si>
    <t>8,81</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</si>
  <si>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</si>
  <si>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</si>
  <si>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</si>
  <si>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</si>
  <si>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</si>
  <si>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</si>
  <si>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</si>
  <si>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</si>
  <si>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</si>
  <si>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0,43</t>
  </si>
  <si>
    <t>87441</t>
  </si>
  <si>
    <t>BETONEIRA CAPACIDADE NOMINAL 400 L, CAPACIDADE DE MISTURA 310 L, MOTOR A DIESEL POTÊNCIA 5,0 CV, SEM CARREGADOR - DEPRECIAÇÃO. AF_06/2014</t>
  </si>
  <si>
    <t>0,47</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</si>
  <si>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</si>
  <si>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</si>
  <si>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</si>
  <si>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</si>
  <si>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0,59</t>
  </si>
  <si>
    <t>87444</t>
  </si>
  <si>
    <t>BETONEIRA CAPACIDADE NOMINAL 400 L, CAPACIDADE DE MISTURA 310 L, MOTOR A DIESEL POTÊNCIA 5,0 CV, SEM CARREGADOR - MATERIAIS NA OPERAÇÃO. AF_06/2014</t>
  </si>
  <si>
    <t>88387</t>
  </si>
  <si>
    <t>MISTURADOR DE ARGAMASSA, EIXO HORIZONTAL, CAPACIDADE DE MISTURA 300 KG, MOTOR ELÉTRICO POTÊNCIA 5 CV - DEPRECIAÇÃO. AF_06/2014</t>
  </si>
  <si>
    <t>0,92</t>
  </si>
  <si>
    <t>88389</t>
  </si>
  <si>
    <t>MISTURADOR DE ARGAMASSA, EIXO HORIZONTAL, CAPACIDADE DE MISTURA 300 KG, MOTOR ELÉTRICO POTÊNCIA 5 CV - JUROS. AF_06/2014</t>
  </si>
  <si>
    <t>0,10</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</si>
  <si>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</si>
  <si>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</si>
  <si>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</si>
  <si>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</si>
  <si>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</si>
  <si>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</si>
  <si>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1,09</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</si>
  <si>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</si>
  <si>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</si>
  <si>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</si>
  <si>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</si>
  <si>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</si>
  <si>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</si>
  <si>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</si>
  <si>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</si>
  <si>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</si>
  <si>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</si>
  <si>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</si>
  <si>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</si>
  <si>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0,95</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</si>
  <si>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</si>
  <si>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</si>
  <si>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</si>
  <si>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</si>
  <si>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</si>
  <si>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</si>
  <si>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0,67</t>
  </si>
  <si>
    <t>88425</t>
  </si>
  <si>
    <t>PROJETOR DE ARGAMASSA, CAPACIDADE DE PROJEÇÃO 1,5 M3/H, ALCANCE DE 30 ATÉ 60 M, MOTOR ELÉTRICO POTÊNCIA 7,5 HP - MANUTENÇÃO. AF_06/2014</t>
  </si>
  <si>
    <t>7,07</t>
  </si>
  <si>
    <t>88427</t>
  </si>
  <si>
    <t>PROJETOR DE ARGAMASSA, CAPACIDADE DE PROJEÇÃO 1,5 M3/H, ALCANCE DE 30 ATÉ 60 M, MOTOR ELÉTRICO POTÊNCIA 7,5 HP - MATERIAIS NA OPERAÇÃO. AF_06/2014</t>
  </si>
  <si>
    <t>0,79</t>
  </si>
  <si>
    <t>88434</t>
  </si>
  <si>
    <t>PROJETOR DE ARGAMASSA, CAPACIDADE DE PROJEÇÃO 2 M3/H, ALCANCE ATÉ 50 M, MOTOR ELÉTRICO POTÊNCIA 7,5 HP - DEPRECIAÇÃO. AF_06/2014</t>
  </si>
  <si>
    <t>7,50</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</si>
  <si>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</si>
  <si>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</si>
  <si>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</si>
  <si>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</si>
  <si>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</si>
  <si>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</si>
  <si>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</si>
  <si>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</si>
  <si>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</si>
  <si>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</si>
  <si>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</si>
  <si>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</si>
  <si>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</si>
  <si>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</si>
  <si>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</si>
  <si>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</si>
  <si>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</si>
  <si>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</si>
  <si>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</si>
  <si>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</si>
  <si>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</si>
  <si>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</si>
  <si>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</si>
  <si>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</si>
  <si>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</si>
  <si>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</si>
  <si>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</si>
  <si>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</si>
  <si>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33,89</t>
  </si>
  <si>
    <t>88840</t>
  </si>
  <si>
    <t>TRATOR DE ESTEIRAS, POTÊNCIA 125 HP, PESO OPERACIONAL 12,9 T, COM LÂMINA 2,7 M3 - JUROS. AF_10/2014</t>
  </si>
  <si>
    <t>7,62</t>
  </si>
  <si>
    <t>88841</t>
  </si>
  <si>
    <t>TRATOR DE ESTEIRAS, POTÊNCIA 125 HP, PESO OPERACIONAL 12,9 T, COM LÂMINA 2,7 M3 - MANUTENÇÃO. AF_10/2014</t>
  </si>
  <si>
    <t>60,59</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</si>
  <si>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</si>
  <si>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</si>
  <si>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</si>
  <si>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</si>
  <si>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</si>
  <si>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</si>
  <si>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</si>
  <si>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</si>
  <si>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</si>
  <si>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</si>
  <si>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</si>
  <si>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</si>
  <si>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4,00</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</si>
  <si>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</si>
  <si>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</si>
  <si>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</si>
  <si>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</si>
  <si>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</si>
  <si>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</si>
  <si>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3,66</t>
  </si>
  <si>
    <t>88859</t>
  </si>
  <si>
    <t>RETROESCAVADEIRA SOBRE RODAS COM CARREGADEIRA, TRAÇÃO 4X2, POTÊNCIA LÍQ. 79 HP, CAÇAMBA CARREG. CAP. MÍN. 1 M3, CAÇAMBA RETRO CAP. 0,20 M3, PESO OPERACIONAL MÍN. 6.570 KG, PROFUNDIDADE ESCAVAÇÃO MÁX. 4,37 M - DEPRECIAÇÃO. AF_06/2014</t>
  </si>
  <si>
    <t>24,00</t>
  </si>
  <si>
    <t>88860</t>
  </si>
  <si>
    <t>RETROESCAVADEIRA SOBRE RODAS COM CARREGADEIRA, TRAÇÃO 4X2, POTÊNCIA LÍQ. 79 HP, CAÇAMBA CARREG. CAP. MÍN. 1 M3, CAÇAMBA RETRO CAP. 0,20 M3, PESO OPERACIONAL MÍN. 6.570 KG, PROFUNDIDADE ESCAVAÇÃO MÁX. 4,37 M - JUROS. AF_06/2014</t>
  </si>
  <si>
    <t>3,25</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</si>
  <si>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</si>
  <si>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</si>
  <si>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</si>
  <si>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</si>
  <si>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7,18</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</si>
  <si>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</si>
  <si>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</si>
  <si>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</si>
  <si>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</si>
  <si>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</si>
  <si>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</si>
  <si>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</si>
  <si>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</si>
  <si>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9,45</t>
  </si>
  <si>
    <t>89011</t>
  </si>
  <si>
    <t>RETROESCAVADEIRA SOBRE RODAS COM CARREGADEIRA, TRAÇÃO 4X4, POTÊNCIA LÍQ. 72 HP, CAÇAMBA CARREG. CAP. MÍN. 0,79 M3, CAÇAMBA RETRO CAP. 0,18 M3, PESO OPERACIONAL MÍN. 7.140 KG, PROFUNDIDADE ESCAVAÇÃO MÁX. 4,50 M - DEPRECIAÇÃO. AF_06/2014</t>
  </si>
  <si>
    <t>26,04</t>
  </si>
  <si>
    <t>89012</t>
  </si>
  <si>
    <t>RETROESCAVADEIRA SOBRE RODAS COM CARREGADEIRA, TRAÇÃO 4X4, POTÊNCIA LÍQ. 72 HP, CAÇAMBA CARREG. CAP. MÍN. 0,79 M3, CAÇAMBA RETRO CAP. 0,18 M3, PESO OPERACIONAL MÍN. 7.140 KG, PROFUNDIDADE ESCAVAÇÃO MÁX. 4,50 M - JUROS. AF_06/2014</t>
  </si>
  <si>
    <t>3,53</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</si>
  <si>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</si>
  <si>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</si>
  <si>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</si>
  <si>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</si>
  <si>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</si>
  <si>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</si>
  <si>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</si>
  <si>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</si>
  <si>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0,62</t>
  </si>
  <si>
    <t>89017</t>
  </si>
  <si>
    <t>TRATOR DE ESTEIRAS, POTÊNCIA 170 HP, PESO OPERACIONAL 19 T, CAÇAMBA 5,2 M3 - DEPRECIAÇÃO. AF_06/2014</t>
  </si>
  <si>
    <t>89018</t>
  </si>
  <si>
    <t>TRATOR DE ESTEIRAS, POTÊNCIA 170 HP, PESO OPERACIONAL 19 T, CAÇAMBA 5,2 M3 - JUROS. AF_06/2014</t>
  </si>
  <si>
    <t>9,39</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</si>
  <si>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</si>
  <si>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</si>
  <si>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</si>
  <si>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</si>
  <si>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</si>
  <si>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</si>
  <si>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</si>
  <si>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</si>
  <si>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0,65</t>
  </si>
  <si>
    <t>89025</t>
  </si>
  <si>
    <t>TANQUE DE ASFALTO ESTACIONÁRIO COM MAÇARICO, CAPACIDADE 20.000 L - MANUTENÇÃO. AF_06/2014</t>
  </si>
  <si>
    <t>4,61</t>
  </si>
  <si>
    <t>89026</t>
  </si>
  <si>
    <t>TANQUE DE ASFALTO ESTACIONÁRIO COM MAÇARICO, CAPACIDADE 20.000 L - MATERIAIS NA OPERAÇÃO. AF_06/2014</t>
  </si>
  <si>
    <t>89029</t>
  </si>
  <si>
    <t>TRATOR DE ESTEIRAS, POTÊNCIA 100 HP, PESO OPERACIONAL 9,4 T, COM LÂMINA 2,19 M3 - DEPRECIAÇÃO. AF_06/2014</t>
  </si>
  <si>
    <t>32,38</t>
  </si>
  <si>
    <t>89030</t>
  </si>
  <si>
    <t>TRATOR DE ESTEIRAS, POTÊNCIA 100 HP, PESO OPERACIONAL 9,4 T, COM LÂMINA 2,19 M3 - JUROS. AF_06/2014</t>
  </si>
  <si>
    <t>89033</t>
  </si>
  <si>
    <t>TRATOR DE PNEUS, POTÊNCIA 85 CV, TRAÇÃO 4X4, PESO COM LASTRO DE 4.675 KG - DEPRECIAÇÃO. AF_06/2014</t>
  </si>
  <si>
    <t>13,85</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</si>
  <si>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</si>
  <si>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</si>
  <si>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</si>
  <si>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</si>
  <si>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</si>
  <si>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</si>
  <si>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</si>
  <si>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</si>
  <si>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</si>
  <si>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</si>
  <si>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7,37</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</si>
  <si>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</si>
  <si>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</si>
  <si>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</si>
  <si>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</si>
  <si>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</si>
  <si>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</si>
  <si>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</si>
  <si>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</si>
  <si>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</si>
  <si>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</si>
  <si>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27,70</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</si>
  <si>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</si>
  <si>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</si>
  <si>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</si>
  <si>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</si>
  <si>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</si>
  <si>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</si>
  <si>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0,16</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</si>
  <si>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</si>
  <si>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</si>
  <si>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</si>
  <si>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</si>
  <si>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</si>
  <si>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</si>
  <si>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</si>
  <si>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</si>
  <si>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</si>
  <si>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</si>
  <si>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</si>
  <si>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</si>
  <si>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</si>
  <si>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</si>
  <si>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</si>
  <si>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</si>
  <si>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</si>
  <si>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</si>
  <si>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</si>
  <si>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</si>
  <si>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</si>
  <si>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</si>
  <si>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</si>
  <si>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</si>
  <si>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</si>
  <si>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</si>
  <si>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</si>
  <si>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</si>
  <si>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</si>
  <si>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</si>
  <si>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</si>
  <si>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</si>
  <si>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</si>
  <si>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</si>
  <si>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</si>
  <si>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</si>
  <si>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</si>
  <si>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</si>
  <si>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76,37</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</si>
  <si>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</si>
  <si>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</si>
  <si>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</si>
  <si>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</si>
  <si>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</si>
  <si>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</si>
  <si>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</si>
  <si>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</si>
  <si>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23,67</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</si>
  <si>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</si>
  <si>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</si>
  <si>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</si>
  <si>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</si>
  <si>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</si>
  <si>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</si>
  <si>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</si>
  <si>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</si>
  <si>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</si>
  <si>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</si>
  <si>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</si>
  <si>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</si>
  <si>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</si>
  <si>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</si>
  <si>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9,24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</si>
  <si>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</si>
  <si>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</si>
  <si>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</si>
  <si>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</si>
  <si>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</si>
  <si>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</si>
  <si>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</si>
  <si>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AF_11/2014</t>
  </si>
  <si>
    <t>89275</t>
  </si>
  <si>
    <t>BETONEIRA CAPACIDADE NOMINAL DE 600 L, CAPACIDADE DE MISTURA 440 L, MOTOR A DIESEL POTÊNCIA 10 CV, COM CARREGADOR - JUROS. AF_11/2014</t>
  </si>
  <si>
    <t>0,20</t>
  </si>
  <si>
    <t>89276</t>
  </si>
  <si>
    <t>BETONEIRA CAPACIDADE NOMINAL DE 600 L, CAPACIDADE DE MISTURA 440 L, MOTOR A DIESEL POTÊNCIA 10 CV, COM CARREGADOR - MANUTENÇÃO. AF_11/2014</t>
  </si>
  <si>
    <t>89277</t>
  </si>
  <si>
    <t>BETONEIRA CAPACIDADE NOMINAL DE 600 L, CAPACIDADE DE MISTURA 440 L, MOTOR A DIESEL POTÊNCIA 10 CV, COM CARREGADOR - MATERIAIS NA OPERAÇÃO. AF_11/2014</t>
  </si>
  <si>
    <t>9,14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</si>
  <si>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</si>
  <si>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</si>
  <si>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</si>
  <si>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</si>
  <si>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</si>
  <si>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</si>
  <si>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</si>
  <si>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</si>
  <si>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</si>
  <si>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</si>
  <si>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</si>
  <si>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</si>
  <si>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</si>
  <si>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</si>
  <si>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</si>
  <si>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</si>
  <si>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</si>
  <si>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</si>
  <si>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6,20</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</si>
  <si>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</si>
  <si>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</si>
  <si>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</si>
  <si>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</si>
  <si>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</si>
  <si>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</si>
  <si>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</si>
  <si>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</si>
  <si>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</si>
  <si>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</si>
  <si>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</si>
  <si>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</si>
  <si>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</si>
  <si>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</si>
  <si>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0,39</t>
  </si>
  <si>
    <t>90621</t>
  </si>
  <si>
    <t>PERFURATRIZ MANUAL, TORQUE MÁXIMO 83 N.M, POTÊNCIA 5 CV, COM DIÂMETRO MÁXIMO 4" - DEPRECIAÇÃO. AF_06/2015</t>
  </si>
  <si>
    <t>90622</t>
  </si>
  <si>
    <t>PERFURATRIZ MANUAL, TORQUE MÁXIMO 83 N.M, POTÊNCIA 5 CV, COM DIÂMETRO MÁXIMO 4" - JUROS. AF_06/2015</t>
  </si>
  <si>
    <t>0,21</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</si>
  <si>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</si>
  <si>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</si>
  <si>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</si>
  <si>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</si>
  <si>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</si>
  <si>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</si>
  <si>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</si>
  <si>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</si>
  <si>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6,63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</si>
  <si>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</si>
  <si>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</si>
  <si>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</si>
  <si>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</si>
  <si>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1,11</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</si>
  <si>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</si>
  <si>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</si>
  <si>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</si>
  <si>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</si>
  <si>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0,51</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</si>
  <si>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</si>
  <si>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</si>
  <si>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</si>
  <si>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</si>
  <si>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</si>
  <si>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</si>
  <si>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</si>
  <si>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</si>
  <si>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</si>
  <si>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</si>
  <si>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7,11</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</si>
  <si>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</si>
  <si>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</si>
  <si>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</si>
  <si>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</si>
  <si>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0,97</t>
  </si>
  <si>
    <t>90647</t>
  </si>
  <si>
    <t>BOMBA CENTRÍFUGA MONOESTÁGIO COM MOTOR ELÉTRICO MONOFÁSICO, POTÊNCIA 15 HP, DIÂMETRO DO ROTOR 173 MM, HM/Q = 30 MCA / 90 M3/H A 45 MCA / 55 M3/H - JUROS. AF_06/2015</t>
  </si>
  <si>
    <t>0,11</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</si>
  <si>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</si>
  <si>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</si>
  <si>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</si>
  <si>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</si>
  <si>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</si>
  <si>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</si>
  <si>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4,23</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</si>
  <si>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</si>
  <si>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</si>
  <si>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</si>
  <si>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</si>
  <si>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</si>
  <si>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</si>
  <si>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</si>
  <si>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</si>
  <si>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</si>
  <si>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</si>
  <si>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0,53</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</si>
  <si>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</si>
  <si>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</si>
  <si>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</si>
  <si>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</si>
  <si>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</si>
  <si>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</si>
  <si>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</si>
  <si>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</si>
  <si>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0,91</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</si>
  <si>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</si>
  <si>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</si>
  <si>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</si>
  <si>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</si>
  <si>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</si>
  <si>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</si>
  <si>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</si>
  <si>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</si>
  <si>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</si>
  <si>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</si>
  <si>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</si>
  <si>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</si>
  <si>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</si>
  <si>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</si>
  <si>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</si>
  <si>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</si>
  <si>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</si>
  <si>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</si>
  <si>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</si>
  <si>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</si>
  <si>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</si>
  <si>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</si>
  <si>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26,72</t>
  </si>
  <si>
    <t>90683</t>
  </si>
  <si>
    <t>MANIPULADOR TELESCÓPICO, POTÊNCIA DE 85 HP, CAPACIDADE DE CARGA DE 3.500 KG, ALTURA MÁXIMA DE ELEVAÇÃO DE 12,3 M - JUROS. AF_06/2015</t>
  </si>
  <si>
    <t>3,17</t>
  </si>
  <si>
    <t>90684</t>
  </si>
  <si>
    <t>MANIPULADOR TELESCÓPICO, POTÊNCIA DE 85 HP, CAPACIDADE DE CARGA DE 3.500 KG, ALTURA MÁXIMA DE ELEVAÇÃO DE 12,3 M - MANUTENÇÃO. AF_06/2015</t>
  </si>
  <si>
    <t>29,22</t>
  </si>
  <si>
    <t>90685</t>
  </si>
  <si>
    <t>MANIPULADOR TELESCÓPICO, POTÊNCIA DE 85 HP, CAPACIDADE DE CARGA DE 3.500 KG, ALTURA MÁXIMA DE ELEVAÇÃO DE 12,3 M - MATERIAIS NA OPERAÇÃO. AF_06/2015</t>
  </si>
  <si>
    <t>62,10</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</si>
  <si>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</si>
  <si>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</si>
  <si>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</si>
  <si>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</si>
  <si>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</si>
  <si>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</si>
  <si>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</si>
  <si>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</si>
  <si>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43,48</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</si>
  <si>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</si>
  <si>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</si>
  <si>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</si>
  <si>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</si>
  <si>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</si>
  <si>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</si>
  <si>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</si>
  <si>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</si>
  <si>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</si>
  <si>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</si>
  <si>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</si>
  <si>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</si>
  <si>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</si>
  <si>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</si>
  <si>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</si>
  <si>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</si>
  <si>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</si>
  <si>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</si>
  <si>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</si>
  <si>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</si>
  <si>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</si>
  <si>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</si>
  <si>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</si>
  <si>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</si>
  <si>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2,32</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</si>
  <si>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</si>
  <si>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</si>
  <si>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</si>
  <si>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</si>
  <si>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</si>
  <si>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</si>
  <si>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</si>
  <si>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</si>
  <si>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</si>
  <si>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</si>
  <si>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</si>
  <si>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</si>
  <si>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</si>
  <si>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</si>
  <si>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</si>
  <si>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</si>
  <si>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</si>
  <si>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</si>
  <si>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</si>
  <si>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</si>
  <si>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3,29</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</si>
  <si>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</si>
  <si>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</si>
  <si>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</si>
  <si>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</si>
  <si>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</si>
  <si>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</si>
  <si>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</si>
  <si>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</si>
  <si>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0,07</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</si>
  <si>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</si>
  <si>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</si>
  <si>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</si>
  <si>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</si>
  <si>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</si>
  <si>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</si>
  <si>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</si>
  <si>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</si>
  <si>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0,08</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</si>
  <si>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</si>
  <si>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</si>
  <si>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</si>
  <si>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</si>
  <si>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7,14</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</si>
  <si>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</si>
  <si>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</si>
  <si>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</si>
  <si>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</si>
  <si>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</si>
  <si>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</si>
  <si>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2,39</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</si>
  <si>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</si>
  <si>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</si>
  <si>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</si>
  <si>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</si>
  <si>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</si>
  <si>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</si>
  <si>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</si>
  <si>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</si>
  <si>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18,43</t>
  </si>
  <si>
    <t>91368</t>
  </si>
  <si>
    <t>CAMINHÃO BASCULANTE 6 M3, PESO BRUTO TOTAL 16.000 KG, CARGA ÚTIL MÁXIMA 13.071 KG, DISTÂNCIA ENTRE EIXOS 4,80 M, POTÊNCIA 230 CV INCLUSIVE CAÇAMBA METÁLICA - JUROS. AF_06/2014</t>
  </si>
  <si>
    <t>3,58</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</si>
  <si>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</si>
  <si>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</si>
  <si>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</si>
  <si>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</si>
  <si>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</si>
  <si>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</si>
  <si>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</si>
  <si>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</si>
  <si>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</si>
  <si>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</si>
  <si>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</si>
  <si>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</si>
  <si>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</si>
  <si>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</si>
  <si>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</si>
  <si>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</si>
  <si>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</si>
  <si>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</si>
  <si>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</si>
  <si>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</si>
  <si>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</si>
  <si>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</si>
  <si>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</si>
  <si>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</si>
  <si>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</si>
  <si>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</si>
  <si>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</si>
  <si>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</si>
  <si>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4,78</t>
  </si>
  <si>
    <t>91398</t>
  </si>
  <si>
    <t>CAMINHÃO PIPA 10.000 L TRUCADO, PESO BRUTO TOTAL 23.000 KG, CARGA ÚTIL MÁXIMA 15.935 KG, DISTÂNCIA ENTRE EIXOS 4,8 M, POTÊNCIA 230 CV, INCLUSIVE TANQUE DE AÇO PARA TRANSPORTE DE ÁGUA - IMPOSTOS E SEGUROS. AF_06/2014</t>
  </si>
  <si>
    <t>3,79</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</si>
  <si>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</si>
  <si>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</si>
  <si>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</si>
  <si>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</si>
  <si>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</si>
  <si>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</si>
  <si>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</si>
  <si>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</si>
  <si>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</si>
  <si>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</si>
  <si>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</si>
  <si>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</si>
  <si>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</si>
  <si>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</si>
  <si>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</si>
  <si>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</si>
  <si>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0,76</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</si>
  <si>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</si>
  <si>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</si>
  <si>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</si>
  <si>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</si>
  <si>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</si>
  <si>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</si>
  <si>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</si>
  <si>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</si>
  <si>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</si>
  <si>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</si>
  <si>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</si>
  <si>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</si>
  <si>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</si>
  <si>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</si>
  <si>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</si>
  <si>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</si>
  <si>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</si>
  <si>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</si>
  <si>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</si>
  <si>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</si>
  <si>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</si>
  <si>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</si>
  <si>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5,44</t>
  </si>
  <si>
    <t>91643</t>
  </si>
  <si>
    <t>CAMINHÃO DE TRANSPORTE DE MATERIAL ASFÁLTICO 30.000 L, COM CAVALO MECÂNICO DE CAPACIDADE MÁXIMA DE TRAÇÃO COMBINADO DE 66.000 KG, POTÊNCIA 360 CV, INCLUSIVE TANQUE DE ASFALTO COM SERPENTINA - MANUTENÇÃO. AF_08/2015</t>
  </si>
  <si>
    <t>60,00</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</si>
  <si>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</si>
  <si>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</si>
  <si>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</si>
  <si>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</si>
  <si>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0,09</t>
  </si>
  <si>
    <t>91689</t>
  </si>
  <si>
    <t>SERRA CIRCULAR DE BANCADA COM MOTOR ELÉTRICO POTÊNCIA DE 5HP, COM COIFA PARA DISCO 10" - JUROS. AF_08/2015</t>
  </si>
  <si>
    <t>91690</t>
  </si>
  <si>
    <t>SERRA CIRCULAR DE BANCADA COM MOTOR ELÉTRICO POTÊNCIA DE 5HP, COM COIFA PARA DISCO 10" - MANUTENÇÃO. AF_08/2015</t>
  </si>
  <si>
    <t>0,06</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</si>
  <si>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</si>
  <si>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</si>
  <si>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</si>
  <si>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</si>
  <si>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</si>
  <si>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</si>
  <si>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0,66</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</si>
  <si>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</si>
  <si>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</si>
  <si>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</si>
  <si>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</si>
  <si>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</si>
  <si>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</si>
  <si>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</si>
  <si>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</si>
  <si>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</si>
  <si>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</si>
  <si>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</si>
  <si>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</si>
  <si>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</si>
  <si>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</si>
  <si>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1,01</t>
  </si>
  <si>
    <t>92109</t>
  </si>
  <si>
    <t>PENEIRA ROTATIVA COM MOTOR ELÉTRICO TRIFÁSICO DE 2 CV, CILINDRO DE 1 M X 0,60 M, COM FUROS DE 3,17 MM - JUROS. AF_11/2015</t>
  </si>
  <si>
    <t>0,12</t>
  </si>
  <si>
    <t>92110</t>
  </si>
  <si>
    <t>PENEIRA ROTATIVA COM MOTOR ELÉTRICO TRIFÁSICO DE 2 CV, CILINDRO DE 1 M X 0,60 M, COM FUROS DE 3,17 MM - MANUTENÇÃO. AF_11/2015</t>
  </si>
  <si>
    <t>1,27</t>
  </si>
  <si>
    <t>92111</t>
  </si>
  <si>
    <t>PENEIRA ROTATIVA COM MOTOR ELÉTRICO TRIFÁSICO DE 2 CV, CILINDRO DE 1 M X 0,60 M, COM FUROS DE 3,17 MM - MATERIAIS NA OPERAÇÃO. AF_11/2015</t>
  </si>
  <si>
    <t>92114</t>
  </si>
  <si>
    <t>DOSADOR DE AREIA, CAPACIDADE DE 26 LITROS - DEPRECIAÇÃO. AF_11/2015</t>
  </si>
  <si>
    <t>0,25</t>
  </si>
  <si>
    <t>92115</t>
  </si>
  <si>
    <t>DOSADOR DE AREIA, CAPACIDADE DE 26 LITROS - JUROS. AF_11/2015</t>
  </si>
  <si>
    <t>0,02</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</si>
  <si>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</si>
  <si>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</si>
  <si>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</si>
  <si>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</si>
  <si>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</si>
  <si>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</si>
  <si>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</si>
  <si>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</si>
  <si>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</si>
  <si>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</si>
  <si>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</si>
  <si>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</si>
  <si>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38,46</t>
  </si>
  <si>
    <t>92140</t>
  </si>
  <si>
    <t>CAMINHONETE CABINE SIMPLES COM MOTOR 1.6 FLEX, CÂMBIO MANUAL, POTÊNCIA 101/104 CV, 2 PORTAS - DEPRECIAÇÃO. AF_11/2015</t>
  </si>
  <si>
    <t>4,63</t>
  </si>
  <si>
    <t>92141</t>
  </si>
  <si>
    <t>CAMINHONETE CABINE SIMPLES COM MOTOR 1.6 FLEX, CÂMBIO MANUAL, POTÊNCIA 101/104 CV, 2 PORTAS - JUROS. AF_11/2015</t>
  </si>
  <si>
    <t>0,73</t>
  </si>
  <si>
    <t>92142</t>
  </si>
  <si>
    <t>CAMINHONETE CABINE SIMPLES COM MOTOR 1.6 FLEX, CÂMBIO MANUAL, POTÊNCIA 101/104 CV, 2 PORTAS - IMPOSTOS E SEGUROS. AF_11/2015</t>
  </si>
  <si>
    <t>0,57</t>
  </si>
  <si>
    <t>92143</t>
  </si>
  <si>
    <t>CAMINHONETE CABINE SIMPLES COM MOTOR 1.6 FLEX, CÂMBIO MANUAL, POTÊNCIA 101/104 CV, 2 PORTAS - MANUTENÇÃO. AF_11/2015</t>
  </si>
  <si>
    <t>5,79</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</si>
  <si>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</si>
  <si>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</si>
  <si>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</si>
  <si>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</si>
  <si>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</si>
  <si>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</si>
  <si>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5,00</t>
  </si>
  <si>
    <t>92239</t>
  </si>
  <si>
    <t>CAMINHÃO DE TRANSPORTE DE MATERIAL ASFÁLTICO 20.000 L, COM CAVALO MECÂNICO DE CAPACIDADE MÁXIMA DE TRAÇÃO COMBINADO DE 45.000 KG, POTÊNCIA 330 CV, INCLUSIVE TANQUE DE ASFALTO COM MAÇARICO - IMPOSTOS E SEGUROS. AF_12/2015</t>
  </si>
  <si>
    <t>3,96</t>
  </si>
  <si>
    <t>92240</t>
  </si>
  <si>
    <t>CAMINHÃO DE TRANSPORTE DE MATERIAL ASFÁLTICO 20.000 L, COM CAVALO MECÂNICO DE CAPACIDADE MÁXIMA DE TRAÇÃO COMBINADO DE 45.000 KG, POTÊNCIA 330 CV, INCLUSIVE TANQUE DE ASFALTO COM MAÇARICO - MANUTENÇÃO. AF_12/2015</t>
  </si>
  <si>
    <t>43,59</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</si>
  <si>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</si>
  <si>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</si>
  <si>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</si>
  <si>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</si>
  <si>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</si>
  <si>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</si>
  <si>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0,01</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</si>
  <si>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</si>
  <si>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</si>
  <si>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</si>
  <si>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</si>
  <si>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</si>
  <si>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</si>
  <si>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</si>
  <si>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</si>
  <si>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</si>
  <si>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</si>
  <si>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</si>
  <si>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</si>
  <si>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</si>
  <si>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</si>
  <si>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</si>
  <si>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</si>
  <si>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</si>
  <si>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</si>
  <si>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</si>
  <si>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</si>
  <si>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</si>
  <si>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</si>
  <si>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</si>
  <si>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</si>
  <si>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</si>
  <si>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</si>
  <si>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</si>
  <si>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</si>
  <si>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</si>
  <si>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</si>
  <si>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</si>
  <si>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</si>
  <si>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0,54</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</si>
  <si>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</si>
  <si>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</si>
  <si>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</si>
  <si>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</si>
  <si>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</si>
  <si>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</si>
  <si>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</si>
  <si>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</si>
  <si>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</si>
  <si>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</si>
  <si>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</si>
  <si>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</si>
  <si>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</si>
  <si>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</si>
  <si>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</si>
  <si>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</si>
  <si>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25,70</t>
  </si>
  <si>
    <t>93271</t>
  </si>
  <si>
    <t>GRUA ASCENCIONAL, LANÇA DE 30 M, CAPACIDADE DE 1,0 T A 30 M, ALTURA ATÉ 39 M   MATERIAIS NA OPERAÇÃO. AF_03/2016</t>
  </si>
  <si>
    <t>93277</t>
  </si>
  <si>
    <t>GUINCHO ELÉTRICO DE COLUNA, CAPACIDADE 400 KG, COM MOTO FREIO, MOTOR TRIFÁSICO DE 1,25 CV - DEPRECIAÇÃO. AF_03/2016</t>
  </si>
  <si>
    <t>0,32</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</si>
  <si>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</si>
  <si>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</si>
  <si>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</si>
  <si>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</si>
  <si>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</si>
  <si>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</si>
  <si>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</si>
  <si>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</si>
  <si>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</si>
  <si>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</si>
  <si>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</si>
  <si>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</si>
  <si>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</si>
  <si>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</si>
  <si>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</si>
  <si>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</si>
  <si>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14,07</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</si>
  <si>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</si>
  <si>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</si>
  <si>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</si>
  <si>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</si>
  <si>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4,05</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</si>
  <si>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</si>
  <si>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</si>
  <si>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</si>
  <si>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</si>
  <si>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</si>
  <si>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</si>
  <si>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</si>
  <si>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</si>
  <si>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</si>
  <si>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</si>
  <si>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0,94</t>
  </si>
  <si>
    <t>93406</t>
  </si>
  <si>
    <t>MÁQUINA JATO DE PRESSAO PORTÁTIL, CAMARA DE 1 SAIDA, CAPACIDADE 280 L, DIAMETRO 670 MM, BICO DE JATO CURTO VENTURI DE 5/16'' , MANGUEIRA DE 1'' COM COMPRESSOR DE AR REBOCÁVEL 189 PCM E MOTOR DIESEL 63 CV - MANUTENÇÃO. AF_03/2016</t>
  </si>
  <si>
    <t>8,68</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</si>
  <si>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</si>
  <si>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</si>
  <si>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</si>
  <si>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</si>
  <si>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0,31</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</si>
  <si>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</si>
  <si>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</si>
  <si>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</si>
  <si>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</si>
  <si>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</si>
  <si>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</si>
  <si>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</si>
  <si>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</si>
  <si>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</si>
  <si>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4,16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</si>
  <si>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</si>
  <si>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</si>
  <si>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</si>
  <si>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</si>
  <si>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</si>
  <si>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</si>
  <si>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</si>
  <si>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</si>
  <si>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</si>
  <si>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</si>
  <si>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</si>
  <si>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</si>
  <si>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</si>
  <si>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</si>
  <si>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</si>
  <si>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</si>
  <si>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125,93</t>
  </si>
  <si>
    <t>93430</t>
  </si>
  <si>
    <t>USINA DE MISTURA ASFÁLTICA À QUENTE, TIPO CONTRA FLUXO, PROD 40 A 80 TON/HORA - JUROS. AF_03/2016</t>
  </si>
  <si>
    <t>19,84</t>
  </si>
  <si>
    <t>93431</t>
  </si>
  <si>
    <t>USINA DE MISTURA ASFÁLTICA À QUENTE, TIPO CONTRA FLUXO, PROD 40 A 80 TON/HORA - MANUTENÇÃO. AF_03/2016</t>
  </si>
  <si>
    <t>157,53</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</si>
  <si>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</si>
  <si>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</si>
  <si>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</si>
  <si>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</si>
  <si>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</si>
  <si>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</si>
  <si>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</si>
  <si>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</si>
  <si>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7,73</t>
  </si>
  <si>
    <t>93438</t>
  </si>
  <si>
    <t>USINA DE ASFALTO À FRIO, CAPACIDADE DE 40 A 60 TON/HORA, ELÉTRICA POTÊNCIA 30 CV - MATERIAIS NA OPERAÇÃO. AF_03/2016</t>
  </si>
  <si>
    <t>95114</t>
  </si>
  <si>
    <t>MARTELETE OU ROMPEDOR PNEUMÁTICO MANUAL, 28 KG, COM SILENCIADOR - DEPRECIAÇÃO. AF_07/2016</t>
  </si>
  <si>
    <t>1,33</t>
  </si>
  <si>
    <t>95115</t>
  </si>
  <si>
    <t>MARTELETE OU ROMPEDOR PNEUMÁTICO MANUAL, 28 KG, COM SILENCIADOR - JUROS. AF_07/2016</t>
  </si>
  <si>
    <t>0,15</t>
  </si>
  <si>
    <t>95116</t>
  </si>
  <si>
    <t>USINA DE CONCRETO FIXA, CAPACIDADE NOMINAL DE 90 A 120 M3/H, SEM SILO - DEPRECIAÇÃO. AF_07/2016</t>
  </si>
  <si>
    <t>31,99</t>
  </si>
  <si>
    <t>95117</t>
  </si>
  <si>
    <t>USINA DE CONCRETO FIXA, CAPACIDADE NOMINAL DE 90 A 120 M3/H, SEM SILO - JUROS. AF_07/2016</t>
  </si>
  <si>
    <t>5,04</t>
  </si>
  <si>
    <t>95118</t>
  </si>
  <si>
    <t>USINA MISTURADORA DE SOLOS, CAPACIDADE DE 200 A 500 TON/H, POTENCIA 75KW - DEPRECIAÇÃO. AF_07/2016</t>
  </si>
  <si>
    <t>57,75</t>
  </si>
  <si>
    <t>95119</t>
  </si>
  <si>
    <t>USINA MISTURADORA DE SOLOS, CAPACIDADE DE 200 A 500 TON/H, POTENCIA 75KW - JUROS. AF_07/2016</t>
  </si>
  <si>
    <t>9,09</t>
  </si>
  <si>
    <t>95120</t>
  </si>
  <si>
    <t>USINA MISTURADORA DE SOLOS, CAPACIDADE DE 200 A 500 TON/H, POTENCIA 75KW - MATERIAIS NA OPERAÇÃO. AF_07/2016</t>
  </si>
  <si>
    <t>95123</t>
  </si>
  <si>
    <t>DISTRIBUIDOR DE AGREGADOS AUTOPROPELIDO, CAP 3 M3, A DIESEL, POTÊNCIA 176CV - DEPRECIAÇÃO. AF_07/2016</t>
  </si>
  <si>
    <t>17,49</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</si>
  <si>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</si>
  <si>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</si>
  <si>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</si>
  <si>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</si>
  <si>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</si>
  <si>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</si>
  <si>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</si>
  <si>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</si>
  <si>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</si>
  <si>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</si>
  <si>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</si>
  <si>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</si>
  <si>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</si>
  <si>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</si>
  <si>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35,19</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</si>
  <si>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</si>
  <si>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</si>
  <si>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</si>
  <si>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</si>
  <si>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</si>
  <si>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</si>
  <si>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</si>
  <si>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</si>
  <si>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53,24</t>
  </si>
  <si>
    <t>95209</t>
  </si>
  <si>
    <t>GRUA ASCENCIONAL, LANCA DE 42 M, CAPACIDADE DE 1,5 T A 30 M, ALTURA ATE 39 M  JUROS. AF_08/2016</t>
  </si>
  <si>
    <t>6,32</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</si>
  <si>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</si>
  <si>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</si>
  <si>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</si>
  <si>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</si>
  <si>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</si>
  <si>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</si>
  <si>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</si>
  <si>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</si>
  <si>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1,18</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</si>
  <si>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</si>
  <si>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</si>
  <si>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</si>
  <si>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</si>
  <si>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</si>
  <si>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</si>
  <si>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</si>
  <si>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</si>
  <si>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</si>
  <si>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</si>
  <si>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1,23</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</si>
  <si>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</si>
  <si>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</si>
  <si>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</si>
  <si>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</si>
  <si>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</si>
  <si>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</si>
  <si>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</si>
  <si>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</si>
  <si>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</si>
  <si>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0,45</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</si>
  <si>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</si>
  <si>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</si>
  <si>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</si>
  <si>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</si>
  <si>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</si>
  <si>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</si>
  <si>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</si>
  <si>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</si>
  <si>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0,35</t>
  </si>
  <si>
    <t>95275</t>
  </si>
  <si>
    <t>POLIDORA DE PISO (POLITRIZ), PESO DE 100KG, DIÂMETRO 450 MM, MOTOR ELÉTRICO, POTÊNCIA 4 HP  MATERIAIS NA OPERAÇÃO. AF_09/2016</t>
  </si>
  <si>
    <t>1,90</t>
  </si>
  <si>
    <t>95278</t>
  </si>
  <si>
    <t>DESEMPENADEIRA DE CONCRETO, PESO DE 78 KG, 4 PÁS, MOTOR A GASOLINA, POTÊNCIA 5,5 HP - DEPRECIAÇÃO. AF_09/2016</t>
  </si>
  <si>
    <t>0,55</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</si>
  <si>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</si>
  <si>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</si>
  <si>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</si>
  <si>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</si>
  <si>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</si>
  <si>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</si>
  <si>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</si>
  <si>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</si>
  <si>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</si>
  <si>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</si>
  <si>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</si>
  <si>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</si>
  <si>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</si>
  <si>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</si>
  <si>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</si>
  <si>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</si>
  <si>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</si>
  <si>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</si>
  <si>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</si>
  <si>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</si>
  <si>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</si>
  <si>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</si>
  <si>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</si>
  <si>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</si>
  <si>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</si>
  <si>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</si>
  <si>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</si>
  <si>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</si>
  <si>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</si>
  <si>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</si>
  <si>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</si>
  <si>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</si>
  <si>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</si>
  <si>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</si>
  <si>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</si>
  <si>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</si>
  <si>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3,07</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</si>
  <si>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</si>
  <si>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</si>
  <si>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</si>
  <si>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</si>
  <si>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7,57</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</si>
  <si>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</si>
  <si>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</si>
  <si>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</si>
  <si>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</si>
  <si>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</si>
  <si>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</si>
  <si>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</si>
  <si>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</si>
  <si>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7,29</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</si>
  <si>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</si>
  <si>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</si>
  <si>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</si>
  <si>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</si>
  <si>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</si>
  <si>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</si>
  <si>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1,69</t>
  </si>
  <si>
    <t>95870</t>
  </si>
  <si>
    <t>GRUPO GERADOR COM CARENAGEM, MOTOR DIESEL POTÊNCIA STANDART ENTRE 250 E 260 KVA - MANUTENÇÃO. AF_12/2016</t>
  </si>
  <si>
    <t>8,40</t>
  </si>
  <si>
    <t>95871</t>
  </si>
  <si>
    <t>GRUPO GERADOR COM CARENAGEM, MOTOR DIESEL POTÊNCIA STANDART ENTRE 250 E 260 KVA - MATERIAIS NA OPERAÇÃO. AF_12/2016</t>
  </si>
  <si>
    <t>95874</t>
  </si>
  <si>
    <t>GRUPO GERADOR COM CARENAGEM, MOTOR DIESEL POTÊNCIA STANDART ENTRE 250 E 260 KVA - DEPRECIAÇÃO. AF_12/2016</t>
  </si>
  <si>
    <t>9,41</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</si>
  <si>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</si>
  <si>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</si>
  <si>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</si>
  <si>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</si>
  <si>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</si>
  <si>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</si>
  <si>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25,49</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</si>
  <si>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</si>
  <si>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</si>
  <si>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</si>
  <si>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</si>
  <si>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</si>
  <si>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</si>
  <si>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</si>
  <si>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</si>
  <si>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</si>
  <si>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</si>
  <si>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</si>
  <si>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</si>
  <si>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</si>
  <si>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</si>
  <si>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</si>
  <si>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</si>
  <si>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19,69</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</si>
  <si>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</si>
  <si>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</si>
  <si>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</si>
  <si>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</si>
  <si>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</si>
  <si>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</si>
  <si>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</si>
  <si>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</si>
  <si>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4,24</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</si>
  <si>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</si>
  <si>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</si>
  <si>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</si>
  <si>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</si>
  <si>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</si>
  <si>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</si>
  <si>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</si>
  <si>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</si>
  <si>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</si>
  <si>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</si>
  <si>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</si>
  <si>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</si>
  <si>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19,96</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</si>
  <si>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</si>
  <si>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</si>
  <si>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</si>
  <si>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</si>
  <si>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</si>
  <si>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</si>
  <si>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</si>
  <si>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</si>
  <si>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</si>
  <si>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</si>
  <si>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</si>
  <si>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</si>
  <si>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</si>
  <si>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</si>
  <si>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26,29</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</si>
  <si>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</si>
  <si>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</si>
  <si>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</si>
  <si>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</si>
  <si>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</si>
  <si>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</si>
  <si>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</si>
  <si>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</si>
  <si>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</si>
  <si>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</si>
  <si>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7,30</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</si>
  <si>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</si>
  <si>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</si>
  <si>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</si>
  <si>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</si>
  <si>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</si>
  <si>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</si>
  <si>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</si>
  <si>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</si>
  <si>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</si>
  <si>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</si>
  <si>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</si>
  <si>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</si>
  <si>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</si>
  <si>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</si>
  <si>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</si>
  <si>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</si>
  <si>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</si>
  <si>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</si>
  <si>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</si>
  <si>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</si>
  <si>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</si>
  <si>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</si>
  <si>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</si>
  <si>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</si>
  <si>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193,50</t>
  </si>
  <si>
    <t>100640</t>
  </si>
  <si>
    <t>USINA DE MISTURA ASFÁLTICA À QUENTE, TIPO CONTRA FLUXO, PROD 100 A 140 TON/HORA - MATERIAIS NA OPERAÇÃO. AF_12/2019</t>
  </si>
  <si>
    <t>100643</t>
  </si>
  <si>
    <t>USINA DE ASFALTO, TIPO GRAVIMÉTRICA, PROD 150 TON/HORA - DEPRECIAÇÃO. AF_12/2019</t>
  </si>
  <si>
    <t>316,94</t>
  </si>
  <si>
    <t>100644</t>
  </si>
  <si>
    <t>USINA DE ASFALTO, TIPO GRAVIMÉTRICA, PROD 150 TON/HORA - JUROS. AF_12/2019</t>
  </si>
  <si>
    <t>57,05</t>
  </si>
  <si>
    <t>100645</t>
  </si>
  <si>
    <t>USINA DE ASFALTO, TIPO GRAVIMÉTRICA, PROD 150 TON/HORA - MANUTENÇÃO. AF_12/2019</t>
  </si>
  <si>
    <t>509,49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</si>
  <si>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</si>
  <si>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</si>
  <si>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</si>
  <si>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</si>
  <si>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</si>
  <si>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</si>
  <si>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</si>
  <si>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</si>
  <si>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</si>
  <si>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</si>
  <si>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</si>
  <si>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</si>
  <si>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</si>
  <si>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</si>
  <si>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2,55</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</si>
  <si>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</si>
  <si>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</si>
  <si>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</si>
  <si>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</si>
  <si>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</si>
  <si>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</si>
  <si>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</si>
  <si>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</si>
  <si>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</si>
  <si>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</si>
  <si>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</si>
  <si>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</si>
  <si>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</si>
  <si>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</si>
  <si>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</si>
  <si>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</si>
  <si>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</si>
  <si>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</si>
  <si>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</si>
  <si>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</si>
  <si>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</si>
  <si>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</si>
  <si>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</si>
  <si>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</si>
  <si>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</si>
  <si>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</si>
  <si>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</si>
  <si>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</si>
  <si>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</si>
  <si>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</si>
  <si>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</si>
  <si>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</si>
  <si>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0,70</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</si>
  <si>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</si>
  <si>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</si>
  <si>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</si>
  <si>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</si>
  <si>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</si>
  <si>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</si>
  <si>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</si>
  <si>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</si>
  <si>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</si>
  <si>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</si>
  <si>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</si>
  <si>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</si>
  <si>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</si>
  <si>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</si>
  <si>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</si>
  <si>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</si>
  <si>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3,26</t>
  </si>
  <si>
    <t>103156</t>
  </si>
  <si>
    <t>MÁQUINA PARA SOLDA POR ELETROFUSÃO PARA TUBOS DE POLIETILENO DE ALTA DENSIDADE (PEAD) COM DIÂMETRO EXTERNO DE 20 A 800 MM, POTÊNCIA ENTRE 2750 E 3000 W - MATERIAIS NA OPERAÇÃO. AF_10/2021</t>
  </si>
  <si>
    <t>1,78</t>
  </si>
  <si>
    <t>103162</t>
  </si>
  <si>
    <t>MÁQUINA PARA SOLDA POR ELETROFUSÃO PARA TUBOS DE POLIETILENO DE ALTA DENSIDADE (PEAD) COM DIÂMETRO EXTERNO DE 20 A 1600 MM, POTÊNCIA DE 3500 W - MATERIAIS NA OPERAÇÃO. AF_10/2021</t>
  </si>
  <si>
    <t>2,23</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</si>
  <si>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</si>
  <si>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</si>
  <si>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</si>
  <si>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</si>
  <si>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1,42</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</si>
  <si>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</si>
  <si>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</si>
  <si>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</si>
  <si>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</si>
  <si>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</si>
  <si>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</si>
  <si>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</si>
  <si>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</si>
  <si>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</si>
  <si>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</si>
  <si>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6,79</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</si>
  <si>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</si>
  <si>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</si>
  <si>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</si>
  <si>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</si>
  <si>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</si>
  <si>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</si>
  <si>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</si>
  <si>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</si>
  <si>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1,14</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</si>
  <si>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</si>
  <si>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</si>
  <si>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</si>
  <si>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</si>
  <si>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</si>
  <si>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</si>
  <si>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</si>
  <si>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</si>
  <si>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</si>
  <si>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</si>
  <si>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</si>
  <si>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</si>
  <si>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</si>
  <si>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</si>
  <si>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</si>
  <si>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</si>
  <si>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</si>
  <si>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</si>
  <si>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</si>
  <si>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</si>
  <si>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</si>
  <si>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</si>
  <si>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</si>
  <si>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</si>
  <si>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</si>
  <si>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</si>
  <si>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</si>
  <si>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</si>
  <si>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</si>
  <si>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</si>
  <si>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</si>
  <si>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</si>
  <si>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</si>
  <si>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</si>
  <si>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</si>
  <si>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</si>
  <si>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</si>
  <si>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</si>
  <si>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</si>
  <si>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</si>
  <si>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</si>
  <si>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</si>
  <si>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</si>
  <si>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</si>
  <si>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</si>
  <si>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</si>
  <si>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</si>
  <si>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</si>
  <si>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</si>
  <si>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</si>
  <si>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</si>
  <si>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</si>
  <si>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</si>
  <si>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</si>
  <si>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</si>
  <si>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</si>
  <si>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</si>
  <si>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</si>
  <si>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</si>
  <si>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</si>
  <si>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</si>
  <si>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</si>
  <si>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</si>
  <si>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</si>
  <si>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</si>
  <si>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</si>
  <si>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</si>
  <si>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</si>
  <si>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</si>
  <si>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</si>
  <si>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</si>
  <si>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</si>
  <si>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</si>
  <si>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</si>
  <si>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</si>
  <si>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</si>
  <si>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</si>
  <si>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</si>
  <si>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</si>
  <si>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</si>
  <si>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</si>
  <si>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</si>
  <si>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26,44</t>
  </si>
  <si>
    <t>92567</t>
  </si>
  <si>
    <t>FABRICAÇÃO E INSTALAÇÃO DE ESTRUTURA PONTALETADA DE MADEIRA NÃO APARELHADA PARA TELHADOS COM MAIS QUE 2 ÁGUAS E PARA TELHA CERÂMICA OU DE CONCRETO, INCLUSO TRANSPORTE VERTICAL. AF_12/2015</t>
  </si>
  <si>
    <t>37,46</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</si>
  <si>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</si>
  <si>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</si>
  <si>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</si>
  <si>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</si>
  <si>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</si>
  <si>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</si>
  <si>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</si>
  <si>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</si>
  <si>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</si>
  <si>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</si>
  <si>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</si>
  <si>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</si>
  <si>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</si>
  <si>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</si>
  <si>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47,82</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</si>
  <si>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</si>
  <si>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</si>
  <si>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</si>
  <si>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</si>
  <si>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</si>
  <si>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</si>
  <si>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</si>
  <si>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</si>
  <si>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25,00</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</si>
  <si>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</si>
  <si>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</si>
  <si>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</si>
  <si>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</si>
  <si>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</si>
  <si>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</si>
  <si>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</si>
  <si>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</si>
  <si>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19,65</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</si>
  <si>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</si>
  <si>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</si>
  <si>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</si>
  <si>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</si>
  <si>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</si>
  <si>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</si>
  <si>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</si>
  <si>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</si>
  <si>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</si>
  <si>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</si>
  <si>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</si>
  <si>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</si>
  <si>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</si>
  <si>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</si>
  <si>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</si>
  <si>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</si>
  <si>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</si>
  <si>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</si>
  <si>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20,81</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</si>
  <si>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</si>
  <si>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</si>
  <si>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</si>
  <si>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</si>
  <si>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</si>
  <si>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</si>
  <si>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</si>
  <si>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</si>
  <si>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</si>
  <si>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</si>
  <si>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</si>
  <si>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</si>
  <si>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</si>
  <si>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</si>
  <si>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</si>
  <si>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</si>
  <si>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</si>
  <si>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</si>
  <si>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</si>
  <si>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</si>
  <si>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</si>
  <si>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</si>
  <si>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</si>
  <si>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</si>
  <si>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</si>
  <si>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</si>
  <si>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</si>
  <si>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</si>
  <si>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</si>
  <si>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</si>
  <si>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</si>
  <si>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</si>
  <si>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</si>
  <si>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</si>
  <si>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</si>
  <si>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</si>
  <si>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</si>
  <si>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</si>
  <si>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</si>
  <si>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</si>
  <si>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</si>
  <si>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</si>
  <si>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</si>
  <si>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</si>
  <si>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</si>
  <si>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</si>
  <si>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</si>
  <si>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</si>
  <si>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20,92</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</si>
  <si>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</si>
  <si>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</si>
  <si>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</si>
  <si>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</si>
  <si>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</si>
  <si>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</si>
  <si>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</si>
  <si>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</si>
  <si>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</si>
  <si>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</si>
  <si>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</si>
  <si>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</si>
  <si>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</si>
  <si>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</si>
  <si>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</si>
  <si>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</si>
  <si>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</si>
  <si>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</si>
  <si>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</si>
  <si>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</si>
  <si>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184,88</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</si>
  <si>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</si>
  <si>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</si>
  <si>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</si>
  <si>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</si>
  <si>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</si>
  <si>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</si>
  <si>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</si>
  <si>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</si>
  <si>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</si>
  <si>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</si>
  <si>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</si>
  <si>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</si>
  <si>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</si>
  <si>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</si>
  <si>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</si>
  <si>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</si>
  <si>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</si>
  <si>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</si>
  <si>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</si>
  <si>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</si>
  <si>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</si>
  <si>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</si>
  <si>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</si>
  <si>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</si>
  <si>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</si>
  <si>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</si>
  <si>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</si>
  <si>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</si>
  <si>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</si>
  <si>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</si>
  <si>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46,55</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</si>
  <si>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</si>
  <si>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</si>
  <si>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</si>
  <si>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</si>
  <si>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</si>
  <si>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</si>
  <si>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</si>
  <si>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</si>
  <si>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</si>
  <si>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</si>
  <si>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</si>
  <si>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</si>
  <si>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</si>
  <si>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</si>
  <si>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</si>
  <si>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</si>
  <si>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</si>
  <si>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</si>
  <si>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KG</t>
  </si>
  <si>
    <t>13,39</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</si>
  <si>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</si>
  <si>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</si>
  <si>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</si>
  <si>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</si>
  <si>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</si>
  <si>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</si>
  <si>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</si>
  <si>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</si>
  <si>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</si>
  <si>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</si>
  <si>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</si>
  <si>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</si>
  <si>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</si>
  <si>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</si>
  <si>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</si>
  <si>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</si>
  <si>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</si>
  <si>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</si>
  <si>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</si>
  <si>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</si>
  <si>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</si>
  <si>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</si>
  <si>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</si>
  <si>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</si>
  <si>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</si>
  <si>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</si>
  <si>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</si>
  <si>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</si>
  <si>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</si>
  <si>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</si>
  <si>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</si>
  <si>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</si>
  <si>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</si>
  <si>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</si>
  <si>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</si>
  <si>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</si>
  <si>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</si>
  <si>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</si>
  <si>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</si>
  <si>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</si>
  <si>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</si>
  <si>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</si>
  <si>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</si>
  <si>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</si>
  <si>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</si>
  <si>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</si>
  <si>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</si>
  <si>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</si>
  <si>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</si>
  <si>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</si>
  <si>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</si>
  <si>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</si>
  <si>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</si>
  <si>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</si>
  <si>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</si>
  <si>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</si>
  <si>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</si>
  <si>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</si>
  <si>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</si>
  <si>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</si>
  <si>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</si>
  <si>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</si>
  <si>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</si>
  <si>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</si>
  <si>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</si>
  <si>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</si>
  <si>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</si>
  <si>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</si>
  <si>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</si>
  <si>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</si>
  <si>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13,89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</si>
  <si>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</si>
  <si>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</si>
  <si>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</si>
  <si>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</si>
  <si>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</si>
  <si>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</si>
  <si>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</si>
  <si>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</si>
  <si>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</si>
  <si>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</si>
  <si>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</si>
  <si>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</si>
  <si>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</si>
  <si>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</si>
  <si>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</si>
  <si>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</si>
  <si>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</si>
  <si>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</si>
  <si>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</si>
  <si>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</si>
  <si>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54,90</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</si>
  <si>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</si>
  <si>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</si>
  <si>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</si>
  <si>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</si>
  <si>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</si>
  <si>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</si>
  <si>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</si>
  <si>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</si>
  <si>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</si>
  <si>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</si>
  <si>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</si>
  <si>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</si>
  <si>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</si>
  <si>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</si>
  <si>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</si>
  <si>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</si>
  <si>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</si>
  <si>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</si>
  <si>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</si>
  <si>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</si>
  <si>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</si>
  <si>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</si>
  <si>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</si>
  <si>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</si>
  <si>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</si>
  <si>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</si>
  <si>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</si>
  <si>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</si>
  <si>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</si>
  <si>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</si>
  <si>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</si>
  <si>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</si>
  <si>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</si>
  <si>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</si>
  <si>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35,63</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</si>
  <si>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</si>
  <si>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</si>
  <si>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</si>
  <si>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</si>
  <si>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</si>
  <si>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</si>
  <si>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</si>
  <si>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</si>
  <si>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</si>
  <si>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</si>
  <si>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</si>
  <si>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</si>
  <si>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</si>
  <si>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</si>
  <si>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</si>
  <si>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</si>
  <si>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102705</t>
  </si>
  <si>
    <t>TUBO DE PVC CORRUGADO RÍGIDO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</si>
  <si>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</si>
  <si>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</si>
  <si>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</si>
  <si>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</si>
  <si>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26,14</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</si>
  <si>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</si>
  <si>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</si>
  <si>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</si>
  <si>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</si>
  <si>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</si>
  <si>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</si>
  <si>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</si>
  <si>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</si>
  <si>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</si>
  <si>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</si>
  <si>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</si>
  <si>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</si>
  <si>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</si>
  <si>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</si>
  <si>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</si>
  <si>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</si>
  <si>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</si>
  <si>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</si>
  <si>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</si>
  <si>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</si>
  <si>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</si>
  <si>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</si>
  <si>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</si>
  <si>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</si>
  <si>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</si>
  <si>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</si>
  <si>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</si>
  <si>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</si>
  <si>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</si>
  <si>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</si>
  <si>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</si>
  <si>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</si>
  <si>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</si>
  <si>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</si>
  <si>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</si>
  <si>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</si>
  <si>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</si>
  <si>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</si>
  <si>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</si>
  <si>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</si>
  <si>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</si>
  <si>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</si>
  <si>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</si>
  <si>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</si>
  <si>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</si>
  <si>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</si>
  <si>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</si>
  <si>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</si>
  <si>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</si>
  <si>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</si>
  <si>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</si>
  <si>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</si>
  <si>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</si>
  <si>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</si>
  <si>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</si>
  <si>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</si>
  <si>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</si>
  <si>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</si>
  <si>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</si>
  <si>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</si>
  <si>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</si>
  <si>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</si>
  <si>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</si>
  <si>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</si>
  <si>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</si>
  <si>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</si>
  <si>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</si>
  <si>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</si>
  <si>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</si>
  <si>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</si>
  <si>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</si>
  <si>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</si>
  <si>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</si>
  <si>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</si>
  <si>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</si>
  <si>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</si>
  <si>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</si>
  <si>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</si>
  <si>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</si>
  <si>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</si>
  <si>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</si>
  <si>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</si>
  <si>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</si>
  <si>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</si>
  <si>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</si>
  <si>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</si>
  <si>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</si>
  <si>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</si>
  <si>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</si>
  <si>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</si>
  <si>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</si>
  <si>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</si>
  <si>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</si>
  <si>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</si>
  <si>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</si>
  <si>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</si>
  <si>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</si>
  <si>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</si>
  <si>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</si>
  <si>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</si>
  <si>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</si>
  <si>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</si>
  <si>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</si>
  <si>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</si>
  <si>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</si>
  <si>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</si>
  <si>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</si>
  <si>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</si>
  <si>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</si>
  <si>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</si>
  <si>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</si>
  <si>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</si>
  <si>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</si>
  <si>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</si>
  <si>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</si>
  <si>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</si>
  <si>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</si>
  <si>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</si>
  <si>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</si>
  <si>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</si>
  <si>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</si>
  <si>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</si>
  <si>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</si>
  <si>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</si>
  <si>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</si>
  <si>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</si>
  <si>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</si>
  <si>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</si>
  <si>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</si>
  <si>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</si>
  <si>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</si>
  <si>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</si>
  <si>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</si>
  <si>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</si>
  <si>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</si>
  <si>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</si>
  <si>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</si>
  <si>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</si>
  <si>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</si>
  <si>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</si>
  <si>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</si>
  <si>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</si>
  <si>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</si>
  <si>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</si>
  <si>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</si>
  <si>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</si>
  <si>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</si>
  <si>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</si>
  <si>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</si>
  <si>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</si>
  <si>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</si>
  <si>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</si>
  <si>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</si>
  <si>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</si>
  <si>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</si>
  <si>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</si>
  <si>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</si>
  <si>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</si>
  <si>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</si>
  <si>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</si>
  <si>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</si>
  <si>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</si>
  <si>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</si>
  <si>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</si>
  <si>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</si>
  <si>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</si>
  <si>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</si>
  <si>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</si>
  <si>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</si>
  <si>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</si>
  <si>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</si>
  <si>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</si>
  <si>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</si>
  <si>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</si>
  <si>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</si>
  <si>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</si>
  <si>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</si>
  <si>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</si>
  <si>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</si>
  <si>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</si>
  <si>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</si>
  <si>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</si>
  <si>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14,15</t>
  </si>
  <si>
    <t>100344</t>
  </si>
  <si>
    <t>ARMAÇÃO DE CORTINA DE CONTENÇÃO EM CONCRETO ARMADO, COM AÇO CA-50 DE 10 MM - MONTAGEM. AF_07/2019</t>
  </si>
  <si>
    <t>12,65</t>
  </si>
  <si>
    <t>100345</t>
  </si>
  <si>
    <t>ARMAÇÃO DE CORTINA DE CONTENÇÃO EM CONCRETO ARMADO, COM AÇO CA-50 DE 12,5 MM - MONTAGEM. AF_07/2019</t>
  </si>
  <si>
    <t>10,69</t>
  </si>
  <si>
    <t>100346</t>
  </si>
  <si>
    <t>ARMAÇÃO DE CORTINA DE CONTENÇÃO EM CONCRETO ARMADO, COM AÇO CA-50 DE 16 MM - MONTAGEM. AF_07/2019</t>
  </si>
  <si>
    <t>10,13</t>
  </si>
  <si>
    <t>100347</t>
  </si>
  <si>
    <t>ARMAÇÃO DE CORTINA DE CONTENÇÃO EM CONCRETO ARMADO, COM AÇO CA-50 DE 20 MM - MONTAGEM. AF_07/2019</t>
  </si>
  <si>
    <t>100348</t>
  </si>
  <si>
    <t>ARMAÇÃO DE CORTINA DE CONTENÇÃO EM CONCRETO ARMADO, COM AÇO CA-50 DE 25 MM - MONTAGEM. AF_07/2019</t>
  </si>
  <si>
    <t>11,09</t>
  </si>
  <si>
    <t>100349</t>
  </si>
  <si>
    <t>CONCRETAGEM DE CORTINA DE CONTENÇÃO, ATRAVÉS DE BOMBA   LANÇAMENTO, ADENSAMENTO E ACABAMENTO. AF_07/2019</t>
  </si>
  <si>
    <t>102989</t>
  </si>
  <si>
    <t>CANALETA MEIA CANA PRÉ-MOLDADA DE CONCRETO (D = 20 CM) - FORNECIMENTO E INSTALAÇÃO. AF_08/2021</t>
  </si>
  <si>
    <t>102990</t>
  </si>
  <si>
    <t>CANALETA MEIA CANA PRÉ-MOLDADA DE CONCRETO (D = 30 CM) - FORNECIMENTO E INSTALAÇÃO. AF_08/2021</t>
  </si>
  <si>
    <t>46,08</t>
  </si>
  <si>
    <t>102991</t>
  </si>
  <si>
    <t>CANALETA MEIA CANA PRÉ-MOLDADA DE CONCRETO (D = 40 CM) - FORNECIMENTO E INSTALAÇÃO. AF_08/2021</t>
  </si>
  <si>
    <t>102992</t>
  </si>
  <si>
    <t>CANALETA MEIA CANA PRÉ-MOLDADA DE CONCRETO (D = 50 CM) - FORNECIMENTO E INSTALAÇÃO. AF_08/2021</t>
  </si>
  <si>
    <t>87,26</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</si>
  <si>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</si>
  <si>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</si>
  <si>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</si>
  <si>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</si>
  <si>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</si>
  <si>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</si>
  <si>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</si>
  <si>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</si>
  <si>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</si>
  <si>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</si>
  <si>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88,96</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</si>
  <si>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</si>
  <si>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</si>
  <si>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</si>
  <si>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</si>
  <si>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</si>
  <si>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</si>
  <si>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</si>
  <si>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</si>
  <si>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</si>
  <si>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</si>
  <si>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</si>
  <si>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</si>
  <si>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</si>
  <si>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</si>
  <si>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</si>
  <si>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</si>
  <si>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</si>
  <si>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</si>
  <si>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</si>
  <si>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</si>
  <si>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</si>
  <si>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</si>
  <si>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</si>
  <si>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</si>
  <si>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</si>
  <si>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</si>
  <si>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</si>
  <si>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</si>
  <si>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</si>
  <si>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</si>
  <si>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</si>
  <si>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</si>
  <si>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</si>
  <si>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</si>
  <si>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</si>
  <si>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</si>
  <si>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</si>
  <si>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</si>
  <si>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</si>
  <si>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</si>
  <si>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</si>
  <si>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</si>
  <si>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</si>
  <si>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</si>
  <si>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</si>
  <si>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</si>
  <si>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</si>
  <si>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</si>
  <si>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</si>
  <si>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</si>
  <si>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</si>
  <si>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</si>
  <si>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</si>
  <si>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</si>
  <si>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</si>
  <si>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</si>
  <si>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</si>
  <si>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</si>
  <si>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</si>
  <si>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</si>
  <si>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</si>
  <si>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</si>
  <si>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</si>
  <si>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</si>
  <si>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</si>
  <si>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</si>
  <si>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</si>
  <si>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</si>
  <si>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</si>
  <si>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</si>
  <si>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</si>
  <si>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</si>
  <si>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</si>
  <si>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</si>
  <si>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</si>
  <si>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</si>
  <si>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</si>
  <si>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</si>
  <si>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</si>
  <si>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</si>
  <si>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</si>
  <si>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</si>
  <si>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</si>
  <si>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</si>
  <si>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</si>
  <si>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</si>
  <si>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</si>
  <si>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</si>
  <si>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</si>
  <si>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</si>
  <si>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</si>
  <si>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</si>
  <si>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</si>
  <si>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</si>
  <si>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</si>
  <si>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</si>
  <si>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</si>
  <si>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</si>
  <si>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</si>
  <si>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</si>
  <si>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</si>
  <si>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</si>
  <si>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</si>
  <si>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</si>
  <si>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</si>
  <si>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</si>
  <si>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</si>
  <si>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</si>
  <si>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</si>
  <si>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</si>
  <si>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</si>
  <si>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</si>
  <si>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</si>
  <si>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</si>
  <si>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</si>
  <si>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</si>
  <si>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</si>
  <si>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</si>
  <si>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</si>
  <si>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</si>
  <si>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</si>
  <si>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</si>
  <si>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</si>
  <si>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</si>
  <si>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</si>
  <si>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</si>
  <si>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</si>
  <si>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</si>
  <si>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</si>
  <si>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</si>
  <si>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</si>
  <si>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</si>
  <si>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</si>
  <si>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</si>
  <si>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</si>
  <si>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</si>
  <si>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</si>
  <si>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</si>
  <si>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</si>
  <si>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</si>
  <si>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</si>
  <si>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</si>
  <si>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</si>
  <si>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</si>
  <si>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</si>
  <si>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</si>
  <si>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</si>
  <si>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</si>
  <si>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</si>
  <si>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</si>
  <si>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</si>
  <si>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</si>
  <si>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</si>
  <si>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</si>
  <si>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</si>
  <si>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</si>
  <si>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</si>
  <si>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</si>
  <si>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</si>
  <si>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</si>
  <si>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</si>
  <si>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</si>
  <si>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</si>
  <si>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</si>
  <si>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</si>
  <si>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</si>
  <si>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</si>
  <si>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</si>
  <si>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</si>
  <si>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</si>
  <si>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</si>
  <si>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</si>
  <si>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</si>
  <si>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</si>
  <si>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</si>
  <si>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</si>
  <si>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</si>
  <si>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</si>
  <si>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</si>
  <si>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</si>
  <si>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</si>
  <si>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</si>
  <si>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</si>
  <si>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</si>
  <si>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</si>
  <si>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</si>
  <si>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</si>
  <si>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</si>
  <si>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</si>
  <si>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</si>
  <si>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</si>
  <si>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</si>
  <si>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</si>
  <si>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</si>
  <si>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</si>
  <si>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</si>
  <si>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</si>
  <si>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</si>
  <si>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</si>
  <si>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</si>
  <si>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</si>
  <si>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</si>
  <si>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</si>
  <si>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</si>
  <si>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</si>
  <si>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</si>
  <si>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</si>
  <si>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</si>
  <si>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</si>
  <si>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</si>
  <si>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</si>
  <si>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</si>
  <si>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</si>
  <si>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</si>
  <si>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</si>
  <si>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</si>
  <si>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</si>
  <si>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</si>
  <si>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</si>
  <si>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</si>
  <si>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</si>
  <si>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</si>
  <si>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</si>
  <si>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</si>
  <si>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</si>
  <si>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</si>
  <si>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</si>
  <si>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</si>
  <si>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</si>
  <si>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</si>
  <si>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</si>
  <si>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</si>
  <si>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</si>
  <si>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</si>
  <si>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</si>
  <si>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</si>
  <si>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</si>
  <si>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</si>
  <si>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</si>
  <si>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</si>
  <si>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</si>
  <si>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</si>
  <si>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</si>
  <si>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</si>
  <si>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</si>
  <si>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</si>
  <si>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</si>
  <si>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</si>
  <si>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</si>
  <si>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</si>
  <si>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</si>
  <si>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</si>
  <si>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</si>
  <si>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</si>
  <si>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</si>
  <si>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</si>
  <si>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</si>
  <si>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</si>
  <si>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</si>
  <si>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</si>
  <si>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</si>
  <si>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</si>
  <si>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</si>
  <si>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</si>
  <si>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</si>
  <si>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</si>
  <si>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</si>
  <si>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</si>
  <si>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</si>
  <si>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</si>
  <si>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</si>
  <si>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</si>
  <si>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</si>
  <si>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</si>
  <si>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</si>
  <si>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</si>
  <si>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</si>
  <si>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</si>
  <si>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</si>
  <si>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</si>
  <si>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</si>
  <si>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</si>
  <si>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</si>
  <si>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</si>
  <si>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</si>
  <si>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</si>
  <si>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</si>
  <si>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</si>
  <si>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</si>
  <si>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</si>
  <si>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</si>
  <si>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</si>
  <si>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</si>
  <si>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</si>
  <si>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</si>
  <si>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</si>
  <si>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</si>
  <si>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</si>
  <si>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</si>
  <si>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</si>
  <si>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</si>
  <si>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</si>
  <si>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</si>
  <si>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</si>
  <si>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</si>
  <si>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</si>
  <si>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</si>
  <si>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</si>
  <si>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</si>
  <si>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</si>
  <si>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</si>
  <si>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</si>
  <si>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</si>
  <si>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</si>
  <si>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</si>
  <si>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</si>
  <si>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</si>
  <si>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</si>
  <si>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</si>
  <si>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</si>
  <si>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</si>
  <si>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</si>
  <si>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</si>
  <si>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</si>
  <si>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</si>
  <si>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</si>
  <si>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</si>
  <si>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</si>
  <si>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</si>
  <si>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</si>
  <si>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</si>
  <si>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</si>
  <si>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</si>
  <si>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</si>
  <si>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</si>
  <si>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</si>
  <si>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</si>
  <si>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</si>
  <si>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</si>
  <si>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</si>
  <si>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</si>
  <si>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</si>
  <si>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</si>
  <si>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</si>
  <si>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</si>
  <si>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</si>
  <si>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</si>
  <si>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</si>
  <si>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</si>
  <si>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</si>
  <si>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</si>
  <si>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</si>
  <si>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</si>
  <si>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</si>
  <si>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</si>
  <si>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</si>
  <si>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</si>
  <si>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</si>
  <si>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</si>
  <si>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</si>
  <si>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</si>
  <si>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</si>
  <si>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</si>
  <si>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</si>
  <si>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</si>
  <si>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</si>
  <si>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</si>
  <si>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</si>
  <si>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</si>
  <si>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</si>
  <si>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</si>
  <si>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</si>
  <si>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</si>
  <si>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</si>
  <si>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94263</t>
  </si>
  <si>
    <t>GUIA (MEIO-FIO) CONCRETO, MOLDADA  IN LOCO  EM TRECHO RETO COM EXTRUSORA, 13 CM BASE X 22 CM ALTURA. AF_06/2016</t>
  </si>
  <si>
    <t>94264</t>
  </si>
  <si>
    <t>GUIA (MEIO-FIO) CONCRETO, MOLDADA  IN LOCO  EM TRECHO CURVO COM EXTRUSORA, 13 CM BASE X 22 CM ALTURA. AF_06/2016</t>
  </si>
  <si>
    <t>37,57</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</si>
  <si>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</si>
  <si>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</si>
  <si>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</si>
  <si>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</si>
  <si>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</si>
  <si>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</si>
  <si>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</si>
  <si>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</si>
  <si>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</si>
  <si>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</si>
  <si>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</si>
  <si>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</si>
  <si>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</si>
  <si>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30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</si>
  <si>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</si>
  <si>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</si>
  <si>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</si>
  <si>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</si>
  <si>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</si>
  <si>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</si>
  <si>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</si>
  <si>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t>
  </si>
  <si>
    <t>94276</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</si>
  <si>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</si>
  <si>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</si>
  <si>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</si>
  <si>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40,31</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</si>
  <si>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</si>
  <si>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</si>
  <si>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</si>
  <si>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</si>
  <si>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</si>
  <si>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</si>
  <si>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</si>
  <si>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</si>
  <si>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</si>
  <si>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</si>
  <si>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</si>
  <si>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</si>
  <si>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</si>
  <si>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</si>
  <si>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</si>
  <si>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</si>
  <si>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</si>
  <si>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</si>
  <si>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</si>
  <si>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</si>
  <si>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</si>
  <si>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</si>
  <si>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</si>
  <si>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</si>
  <si>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</si>
  <si>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</si>
  <si>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</si>
  <si>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</si>
  <si>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</si>
  <si>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</si>
  <si>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75,23</t>
  </si>
  <si>
    <t>94293</t>
  </si>
  <si>
    <t>EXECUÇÃO DE SARJETÃO DE CONCRETO USINADO, MOLDADA  IN LOCO  EM TRECHO RETO, 100 CM BASE X 20 CM ALTURA. AF_06/2016</t>
  </si>
  <si>
    <t>94294</t>
  </si>
  <si>
    <t>EXECUÇÃO DE ESCORAS DE CONCRETO PARA CONTENÇÃO DE GUIAS PRÉ-FABRICADAS. AF_06/2016</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</si>
  <si>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</si>
  <si>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</si>
  <si>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</si>
  <si>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</si>
  <si>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</si>
  <si>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</si>
  <si>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14,47</t>
  </si>
  <si>
    <t>102730</t>
  </si>
  <si>
    <t>ARMAÇÃO DE MURO ALA E MURO TESTA UTILIZANDO AÇO CA-50 DE 10 MM - MONTAGEM. AF_07/2021</t>
  </si>
  <si>
    <t>12,89</t>
  </si>
  <si>
    <t>102731</t>
  </si>
  <si>
    <t>ARMAÇÃO DE MURO ALA E MURO TESTA UTILIZANDO AÇO CA-50 DE 12,5 MM - MONTAGEM. AF_07/2021</t>
  </si>
  <si>
    <t>102732</t>
  </si>
  <si>
    <t>ARMAÇÃO DE MURO ALA E MURO TESTA UTILIZANDO AÇO CA-50 DE 16 MM - MONTAGEM. AF_07/2021</t>
  </si>
  <si>
    <t>10,25</t>
  </si>
  <si>
    <t>102733</t>
  </si>
  <si>
    <t>ARMAÇÃO DE MURO ALA E MURO TESTA UTILIZANDO AÇO CA-50 DE 20 MM - MONTAGEM. AF_07/2021</t>
  </si>
  <si>
    <t>11,43</t>
  </si>
  <si>
    <t>102734</t>
  </si>
  <si>
    <t>ARMAÇÃO DE SOLEIRA UTILIZANDO AÇO CA-50 DE 6,3 MM - MONTAGEM. AF_07/2021</t>
  </si>
  <si>
    <t>102735</t>
  </si>
  <si>
    <t>ARMAÇÃO DE SOLEIRA UTILIZANDO AÇO CA-50 DE 8 MM - MONTAGEM. AF_07/2021</t>
  </si>
  <si>
    <t>13,66</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</si>
  <si>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</si>
  <si>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</si>
  <si>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</si>
  <si>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</si>
  <si>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</si>
  <si>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</si>
  <si>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</si>
  <si>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</si>
  <si>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</si>
  <si>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</si>
  <si>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</si>
  <si>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</si>
  <si>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</si>
  <si>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</si>
  <si>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</si>
  <si>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</si>
  <si>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</si>
  <si>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</si>
  <si>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</si>
  <si>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</si>
  <si>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</si>
  <si>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</si>
  <si>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</si>
  <si>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</si>
  <si>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</si>
  <si>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</si>
  <si>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</si>
  <si>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</si>
  <si>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</si>
  <si>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</si>
  <si>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</si>
  <si>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</si>
  <si>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</si>
  <si>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</si>
  <si>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</si>
  <si>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</si>
  <si>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</si>
  <si>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</si>
  <si>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</si>
  <si>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</si>
  <si>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</si>
  <si>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</si>
  <si>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</si>
  <si>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</si>
  <si>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</si>
  <si>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</si>
  <si>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</si>
  <si>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</si>
  <si>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</si>
  <si>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</si>
  <si>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</si>
  <si>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</si>
  <si>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</si>
  <si>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</si>
  <si>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</si>
  <si>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</si>
  <si>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</si>
  <si>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</si>
  <si>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</si>
  <si>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</si>
  <si>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</si>
  <si>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</si>
  <si>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</si>
  <si>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</si>
  <si>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</si>
  <si>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</si>
  <si>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</si>
  <si>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</si>
  <si>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</si>
  <si>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</si>
  <si>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</si>
  <si>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</si>
  <si>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</si>
  <si>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</si>
  <si>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</si>
  <si>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</si>
  <si>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</si>
  <si>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</si>
  <si>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</si>
  <si>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</si>
  <si>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</si>
  <si>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</si>
  <si>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</si>
  <si>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</si>
  <si>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</si>
  <si>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</si>
  <si>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</si>
  <si>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</si>
  <si>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</si>
  <si>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</si>
  <si>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</si>
  <si>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</si>
  <si>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</si>
  <si>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</si>
  <si>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</si>
  <si>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</si>
  <si>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</si>
  <si>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</si>
  <si>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</si>
  <si>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</si>
  <si>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</si>
  <si>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</si>
  <si>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</si>
  <si>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</si>
  <si>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</si>
  <si>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</si>
  <si>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</si>
  <si>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</si>
  <si>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</si>
  <si>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</si>
  <si>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</si>
  <si>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</si>
  <si>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</si>
  <si>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</si>
  <si>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</si>
  <si>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</si>
  <si>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</si>
  <si>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</si>
  <si>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</si>
  <si>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</si>
  <si>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</si>
  <si>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</si>
  <si>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</si>
  <si>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</si>
  <si>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</si>
  <si>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</si>
  <si>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</si>
  <si>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</si>
  <si>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</si>
  <si>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</si>
  <si>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</si>
  <si>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</si>
  <si>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</si>
  <si>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</si>
  <si>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</si>
  <si>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</si>
  <si>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</si>
  <si>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</si>
  <si>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</si>
  <si>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</si>
  <si>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19,43</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</si>
  <si>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</si>
  <si>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</si>
  <si>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</si>
  <si>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</si>
  <si>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14,97</t>
  </si>
  <si>
    <t>101575</t>
  </si>
  <si>
    <t>ESCORAMENTO DE VALA, TIPO PONTALETEAMENTO, COM PROFUNDIDADE DE 3,0 A 4,5 M, LARGURA MAIOR OU IGUAL A 1,5 M E MENOR QUE 2,5 M. AF_08/2020</t>
  </si>
  <si>
    <t>23,74</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</si>
  <si>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</si>
  <si>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</si>
  <si>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</si>
  <si>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</si>
  <si>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</si>
  <si>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</si>
  <si>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</si>
  <si>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</si>
  <si>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</si>
  <si>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</si>
  <si>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</si>
  <si>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</si>
  <si>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</si>
  <si>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</si>
  <si>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</si>
  <si>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</si>
  <si>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</si>
  <si>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</si>
  <si>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</si>
  <si>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</si>
  <si>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</si>
  <si>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</si>
  <si>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</si>
  <si>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</si>
  <si>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</si>
  <si>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</si>
  <si>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</si>
  <si>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</si>
  <si>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</si>
  <si>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</si>
  <si>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</si>
  <si>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</si>
  <si>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</si>
  <si>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</si>
  <si>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</si>
  <si>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</si>
  <si>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</si>
  <si>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</si>
  <si>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</si>
  <si>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</si>
  <si>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</si>
  <si>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</si>
  <si>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</si>
  <si>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</si>
  <si>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22,00</t>
  </si>
  <si>
    <t>101604</t>
  </si>
  <si>
    <t>ESCORAMENTO DE VALA, TIPO BLINDAGEM, COM PROFUNDIDADE DE 3,0 A 4,5 M, LARGURA MENOR QUE 1,5 M - EXECUÇÃO, NÃO INCLUI MATERIAL. AF_08/2020</t>
  </si>
  <si>
    <t>8,73</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</si>
  <si>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</si>
  <si>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</si>
  <si>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</si>
  <si>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</si>
  <si>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</si>
  <si>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</si>
  <si>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</si>
  <si>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</si>
  <si>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</si>
  <si>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</si>
  <si>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</si>
  <si>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</si>
  <si>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</si>
  <si>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</si>
  <si>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</si>
  <si>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</si>
  <si>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</si>
  <si>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</si>
  <si>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</si>
  <si>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</si>
  <si>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</si>
  <si>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</si>
  <si>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</si>
  <si>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</si>
  <si>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</si>
  <si>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</si>
  <si>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</si>
  <si>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</si>
  <si>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</si>
  <si>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</si>
  <si>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</si>
  <si>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</si>
  <si>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</si>
  <si>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</si>
  <si>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</si>
  <si>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</si>
  <si>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</si>
  <si>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</si>
  <si>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</si>
  <si>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</si>
  <si>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</si>
  <si>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</si>
  <si>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</si>
  <si>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</si>
  <si>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</si>
  <si>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</si>
  <si>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</si>
  <si>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</si>
  <si>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</si>
  <si>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</si>
  <si>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</si>
  <si>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</si>
  <si>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</si>
  <si>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</si>
  <si>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</si>
  <si>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</si>
  <si>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</si>
  <si>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</si>
  <si>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</si>
  <si>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</si>
  <si>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</si>
  <si>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</si>
  <si>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</si>
  <si>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</si>
  <si>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</si>
  <si>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</si>
  <si>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</si>
  <si>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</si>
  <si>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</si>
  <si>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</si>
  <si>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</si>
  <si>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</si>
  <si>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</si>
  <si>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</si>
  <si>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</si>
  <si>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</si>
  <si>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</si>
  <si>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</si>
  <si>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</si>
  <si>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</si>
  <si>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</si>
  <si>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</si>
  <si>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</si>
  <si>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</si>
  <si>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</si>
  <si>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</si>
  <si>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</si>
  <si>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</si>
  <si>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</si>
  <si>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</si>
  <si>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</si>
  <si>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</si>
  <si>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</si>
  <si>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</si>
  <si>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</si>
  <si>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</si>
  <si>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</si>
  <si>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</si>
  <si>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</si>
  <si>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</si>
  <si>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</si>
  <si>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</si>
  <si>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</si>
  <si>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</si>
  <si>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</si>
  <si>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</si>
  <si>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</si>
  <si>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</si>
  <si>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</si>
  <si>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</si>
  <si>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</si>
  <si>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</si>
  <si>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</si>
  <si>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</si>
  <si>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</si>
  <si>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</si>
  <si>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</si>
  <si>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</si>
  <si>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</si>
  <si>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</si>
  <si>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</si>
  <si>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</si>
  <si>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</si>
  <si>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</si>
  <si>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</si>
  <si>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</si>
  <si>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</si>
  <si>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</si>
  <si>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</si>
  <si>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</si>
  <si>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</si>
  <si>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</si>
  <si>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</si>
  <si>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</si>
  <si>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</si>
  <si>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</si>
  <si>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</si>
  <si>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</si>
  <si>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</si>
  <si>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</si>
  <si>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</si>
  <si>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</si>
  <si>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</si>
  <si>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</si>
  <si>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</si>
  <si>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</si>
  <si>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</si>
  <si>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</si>
  <si>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</si>
  <si>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</si>
  <si>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</si>
  <si>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</si>
  <si>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</si>
  <si>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</si>
  <si>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</si>
  <si>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</si>
  <si>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</si>
  <si>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</si>
  <si>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</si>
  <si>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</si>
  <si>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</si>
  <si>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</si>
  <si>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9,03</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</si>
  <si>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</si>
  <si>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</si>
  <si>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</si>
  <si>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</si>
  <si>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</si>
  <si>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</si>
  <si>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</si>
  <si>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</si>
  <si>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</si>
  <si>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</si>
  <si>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</si>
  <si>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</si>
  <si>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</si>
  <si>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</si>
  <si>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</si>
  <si>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</si>
  <si>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</si>
  <si>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</si>
  <si>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</si>
  <si>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</si>
  <si>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</si>
  <si>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</si>
  <si>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</si>
  <si>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</si>
  <si>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</si>
  <si>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</si>
  <si>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</si>
  <si>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</si>
  <si>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</si>
  <si>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</si>
  <si>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</si>
  <si>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</si>
  <si>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</si>
  <si>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</si>
  <si>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</si>
  <si>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</si>
  <si>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</si>
  <si>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</si>
  <si>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</si>
  <si>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</si>
  <si>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</si>
  <si>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</si>
  <si>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</si>
  <si>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</si>
  <si>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</si>
  <si>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</si>
  <si>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</si>
  <si>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</si>
  <si>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</si>
  <si>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</si>
  <si>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</si>
  <si>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</si>
  <si>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</si>
  <si>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</si>
  <si>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</si>
  <si>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</si>
  <si>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</si>
  <si>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</si>
  <si>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</si>
  <si>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</si>
  <si>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</si>
  <si>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</si>
  <si>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</si>
  <si>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</si>
  <si>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</si>
  <si>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</si>
  <si>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</si>
  <si>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</si>
  <si>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</si>
  <si>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</si>
  <si>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</si>
  <si>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</si>
  <si>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</si>
  <si>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</si>
  <si>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</si>
  <si>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</si>
  <si>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</si>
  <si>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</si>
  <si>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</si>
  <si>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AF_04/2019_PS</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</si>
  <si>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</si>
  <si>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</si>
  <si>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</si>
  <si>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</si>
  <si>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</si>
  <si>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</si>
  <si>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</si>
  <si>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</si>
  <si>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</si>
  <si>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</si>
  <si>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</si>
  <si>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</si>
  <si>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</si>
  <si>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</si>
  <si>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</si>
  <si>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</si>
  <si>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</si>
  <si>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</si>
  <si>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</si>
  <si>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</si>
  <si>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</si>
  <si>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</si>
  <si>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</si>
  <si>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</si>
  <si>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</si>
  <si>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</si>
  <si>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</si>
  <si>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</si>
  <si>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</si>
  <si>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</si>
  <si>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</si>
  <si>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</si>
  <si>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</si>
  <si>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</si>
  <si>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</si>
  <si>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</si>
  <si>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</si>
  <si>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</si>
  <si>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</si>
  <si>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</si>
  <si>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</si>
  <si>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</si>
  <si>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</si>
  <si>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</si>
  <si>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</si>
  <si>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</si>
  <si>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151,32</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</si>
  <si>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</si>
  <si>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</si>
  <si>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</si>
  <si>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</si>
  <si>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</si>
  <si>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</si>
  <si>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</si>
  <si>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</si>
  <si>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</si>
  <si>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</si>
  <si>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</si>
  <si>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</si>
  <si>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</si>
  <si>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</si>
  <si>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</si>
  <si>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</si>
  <si>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</si>
  <si>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</si>
  <si>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</si>
  <si>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</si>
  <si>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</si>
  <si>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</si>
  <si>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</si>
  <si>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</si>
  <si>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</si>
  <si>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</si>
  <si>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</si>
  <si>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</si>
  <si>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</si>
  <si>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</si>
  <si>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</si>
  <si>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</si>
  <si>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</si>
  <si>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</si>
  <si>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</si>
  <si>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</si>
  <si>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</si>
  <si>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</si>
  <si>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</si>
  <si>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</si>
  <si>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</si>
  <si>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</si>
  <si>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</si>
  <si>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</si>
  <si>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</si>
  <si>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</si>
  <si>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</si>
  <si>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</si>
  <si>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</si>
  <si>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</si>
  <si>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</si>
  <si>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</si>
  <si>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</si>
  <si>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</si>
  <si>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</si>
  <si>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</si>
  <si>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</si>
  <si>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</si>
  <si>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</si>
  <si>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</si>
  <si>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</si>
  <si>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</si>
  <si>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</si>
  <si>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</si>
  <si>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</si>
  <si>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</si>
  <si>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</si>
  <si>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</si>
  <si>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22,68</t>
  </si>
  <si>
    <t>102192</t>
  </si>
  <si>
    <t>REMOÇÃO DE VIDRO TEMPERADO FIXADO EM PERFIL U. AF_01/2021</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</si>
  <si>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</si>
  <si>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</si>
  <si>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</si>
  <si>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</si>
  <si>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</si>
  <si>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</si>
  <si>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</si>
  <si>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</si>
  <si>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</si>
  <si>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</si>
  <si>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</si>
  <si>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</si>
  <si>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21,63</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</si>
  <si>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</si>
  <si>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</si>
  <si>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</si>
  <si>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</si>
  <si>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</si>
  <si>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</si>
  <si>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</si>
  <si>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</si>
  <si>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</si>
  <si>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</si>
  <si>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</si>
  <si>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</si>
  <si>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</si>
  <si>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</si>
  <si>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</si>
  <si>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</si>
  <si>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</si>
  <si>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</si>
  <si>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</si>
  <si>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</si>
  <si>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</si>
  <si>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</si>
  <si>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</si>
  <si>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</si>
  <si>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</si>
  <si>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</si>
  <si>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</si>
  <si>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</si>
  <si>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</si>
  <si>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</si>
  <si>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</si>
  <si>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</si>
  <si>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</si>
  <si>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</si>
  <si>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</si>
  <si>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</si>
  <si>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</si>
  <si>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</si>
  <si>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</si>
  <si>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</si>
  <si>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</si>
  <si>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</si>
  <si>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</si>
  <si>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</si>
  <si>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</si>
  <si>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</si>
  <si>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47,89</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</si>
  <si>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</si>
  <si>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</si>
  <si>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</si>
  <si>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</si>
  <si>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</si>
  <si>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</si>
  <si>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</si>
  <si>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</si>
  <si>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</si>
  <si>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</si>
  <si>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</si>
  <si>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</si>
  <si>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</si>
  <si>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</si>
  <si>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</si>
  <si>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</si>
  <si>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</si>
  <si>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</si>
  <si>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</si>
  <si>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</si>
  <si>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</si>
  <si>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</si>
  <si>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</si>
  <si>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</si>
  <si>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143,29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</si>
  <si>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</si>
  <si>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</si>
  <si>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</si>
  <si>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</si>
  <si>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</si>
  <si>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</si>
  <si>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16,46</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</si>
  <si>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</si>
  <si>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</si>
  <si>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</si>
  <si>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</si>
  <si>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</si>
  <si>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</si>
  <si>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15,51</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</si>
  <si>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</si>
  <si>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</si>
  <si>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</si>
  <si>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</si>
  <si>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</si>
  <si>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</si>
  <si>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</si>
  <si>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</si>
  <si>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</si>
  <si>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</si>
  <si>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</si>
  <si>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</si>
  <si>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</si>
  <si>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</si>
  <si>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</si>
  <si>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</si>
  <si>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</si>
  <si>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</si>
  <si>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</si>
  <si>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</si>
  <si>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</si>
  <si>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</si>
  <si>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</si>
  <si>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</si>
  <si>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</si>
  <si>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LASTRO DE CONCRETO MAGRO, APLICADO EM PISOS, LAJES SOBRE SOLO OU RADIERS, ESPESSURA DE 3 CM. AF_07/2016</t>
  </si>
  <si>
    <t>16,37</t>
  </si>
  <si>
    <t>95241</t>
  </si>
  <si>
    <t>LASTRO DE CONCRETO MAGRO, APLICADO EM PISOS, LAJES SOBRE SOLO OU RADIERS, ESPESSURA DE 5 CM. AF_07/2016</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</si>
  <si>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</si>
  <si>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</si>
  <si>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</si>
  <si>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</si>
  <si>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</si>
  <si>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</si>
  <si>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</si>
  <si>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</si>
  <si>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</si>
  <si>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</si>
  <si>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</si>
  <si>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</si>
  <si>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96623</t>
  </si>
  <si>
    <t>LASTRO COM MATERIAL GRANULAR, APLICADO EM BLOCOS DE COROAMENTO, ESPESSURA DE *10 CM*. AF_08/2017</t>
  </si>
  <si>
    <t>96624</t>
  </si>
  <si>
    <t>LASTRO COM MATERIAL GRANULAR (PEDRA BRITADA N.2), APLICADO EM PISOS OU LAJES SOBRE SOLO, ESPESSURA DE *10 CM*. AF_08/2017</t>
  </si>
  <si>
    <t>97082</t>
  </si>
  <si>
    <t>ESCAVAÇÃO MANUAL DE VIGA DE BORDA PARA RADIER. AF_09/2021</t>
  </si>
  <si>
    <t>97083</t>
  </si>
  <si>
    <t>COMPACTAÇÃO MECÂNICA DE SOLO PARA EXECUÇÃO DE RADIER, PISO DE CONCRETO OU LAJE SOBRE SOLO, COM COMPACTADOR DE SOLOS A PERCUSSÃO. AF_09/2021</t>
  </si>
  <si>
    <t>3,48</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</si>
  <si>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</si>
  <si>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</si>
  <si>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</si>
  <si>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</si>
  <si>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</si>
  <si>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</si>
  <si>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</si>
  <si>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</si>
  <si>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</si>
  <si>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</si>
  <si>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</si>
  <si>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</si>
  <si>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16,98</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</si>
  <si>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</si>
  <si>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</si>
  <si>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</si>
  <si>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</si>
  <si>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</si>
  <si>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</si>
  <si>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14,93</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</si>
  <si>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</si>
  <si>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</si>
  <si>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</si>
  <si>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</si>
  <si>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</si>
  <si>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</si>
  <si>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</si>
  <si>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</si>
  <si>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</si>
  <si>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</si>
  <si>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</si>
  <si>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LASTRO COM MATERIAL GRANULAR (PEDRA BRITADA N.3), APLICADO EM PISOS OU LAJES SOBRE SOLO, ESPESSURA DE *10 CM*. AF_07/2019</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</si>
  <si>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</si>
  <si>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</si>
  <si>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</si>
  <si>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</si>
  <si>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</si>
  <si>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</si>
  <si>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</si>
  <si>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</si>
  <si>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</si>
  <si>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</si>
  <si>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</si>
  <si>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</si>
  <si>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</si>
  <si>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</si>
  <si>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</si>
  <si>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</si>
  <si>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</si>
  <si>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</si>
  <si>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</si>
  <si>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</si>
  <si>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</si>
  <si>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</si>
  <si>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</si>
  <si>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</si>
  <si>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</si>
  <si>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</si>
  <si>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</si>
  <si>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</si>
  <si>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112,68</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</si>
  <si>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</si>
  <si>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</si>
  <si>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</si>
  <si>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</si>
  <si>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</si>
  <si>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</si>
  <si>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</si>
  <si>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</si>
  <si>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</si>
  <si>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</si>
  <si>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</si>
  <si>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</si>
  <si>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</si>
  <si>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</si>
  <si>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</si>
  <si>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</si>
  <si>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13,97</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</si>
  <si>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</si>
  <si>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</si>
  <si>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</si>
  <si>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</si>
  <si>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</si>
  <si>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</si>
  <si>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</si>
  <si>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</si>
  <si>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</si>
  <si>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</si>
  <si>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</si>
  <si>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</si>
  <si>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</si>
  <si>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</si>
  <si>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</si>
  <si>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</si>
  <si>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</si>
  <si>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</si>
  <si>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</si>
  <si>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</si>
  <si>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61,58</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</si>
  <si>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</si>
  <si>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</si>
  <si>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</si>
  <si>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</si>
  <si>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</si>
  <si>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</si>
  <si>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</si>
  <si>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</si>
  <si>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</si>
  <si>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</si>
  <si>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</si>
  <si>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</si>
  <si>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</si>
  <si>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</si>
  <si>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</si>
  <si>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</si>
  <si>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</si>
  <si>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</si>
  <si>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</si>
  <si>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</si>
  <si>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</si>
  <si>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</si>
  <si>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</si>
  <si>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</si>
  <si>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</si>
  <si>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</si>
  <si>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</si>
  <si>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</si>
  <si>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</si>
  <si>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</si>
  <si>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</si>
  <si>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</si>
  <si>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</si>
  <si>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</si>
  <si>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</si>
  <si>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</si>
  <si>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</si>
  <si>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</si>
  <si>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</si>
  <si>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</si>
  <si>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</si>
  <si>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</si>
  <si>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</si>
  <si>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</si>
  <si>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</si>
  <si>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</si>
  <si>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</si>
  <si>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</si>
  <si>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</si>
  <si>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</si>
  <si>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</si>
  <si>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</si>
  <si>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</si>
  <si>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</si>
  <si>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</si>
  <si>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</si>
  <si>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</si>
  <si>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</si>
  <si>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</si>
  <si>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</si>
  <si>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</si>
  <si>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</si>
  <si>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</si>
  <si>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</si>
  <si>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97,45</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</si>
  <si>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</si>
  <si>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</si>
  <si>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</si>
  <si>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</si>
  <si>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</si>
  <si>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</si>
  <si>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</si>
  <si>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</si>
  <si>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</si>
  <si>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</si>
  <si>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</si>
  <si>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</si>
  <si>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</si>
  <si>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</si>
  <si>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</si>
  <si>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</si>
  <si>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</si>
  <si>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</si>
  <si>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</si>
  <si>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</si>
  <si>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</si>
  <si>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</si>
  <si>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</si>
  <si>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</si>
  <si>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</si>
  <si>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</si>
  <si>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</si>
  <si>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</si>
  <si>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</si>
  <si>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</si>
  <si>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</si>
  <si>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</si>
  <si>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</si>
  <si>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</si>
  <si>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</si>
  <si>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</si>
  <si>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</si>
  <si>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</si>
  <si>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</si>
  <si>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</si>
  <si>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</si>
  <si>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</si>
  <si>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</si>
  <si>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</si>
  <si>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</si>
  <si>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</si>
  <si>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</si>
  <si>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</si>
  <si>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68,46</t>
  </si>
  <si>
    <t>92506</t>
  </si>
  <si>
    <t>MONTAGEM E DESMONTAGEM DE FÔRMA DE LAJE NERVURADA COM CUBETA E ASSOALHO, PÉ-DIREITO SIMPLES, EM CHAPA DE MADEIRA COMPENSADA RESINADA, 18 UTILIZAÇÕES. AF_09/2020</t>
  </si>
  <si>
    <t>59,32</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</si>
  <si>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</si>
  <si>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</si>
  <si>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</si>
  <si>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</si>
  <si>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</si>
  <si>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</si>
  <si>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</si>
  <si>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</si>
  <si>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</si>
  <si>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</si>
  <si>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</si>
  <si>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</si>
  <si>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46,82</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</si>
  <si>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</si>
  <si>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</si>
  <si>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</si>
  <si>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</si>
  <si>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</si>
  <si>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</si>
  <si>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</si>
  <si>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</si>
  <si>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</si>
  <si>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</si>
  <si>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</si>
  <si>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</si>
  <si>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</si>
  <si>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</si>
  <si>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</si>
  <si>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</si>
  <si>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</si>
  <si>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</si>
  <si>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</si>
  <si>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</si>
  <si>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34,89</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</si>
  <si>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</si>
  <si>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</si>
  <si>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</si>
  <si>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</si>
  <si>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</si>
  <si>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</si>
  <si>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</si>
  <si>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</si>
  <si>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</si>
  <si>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</si>
  <si>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</si>
  <si>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</si>
  <si>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</si>
  <si>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</si>
  <si>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</si>
  <si>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</si>
  <si>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</si>
  <si>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</si>
  <si>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</si>
  <si>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</si>
  <si>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</si>
  <si>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</si>
  <si>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</si>
  <si>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</si>
  <si>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</si>
  <si>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</si>
  <si>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</si>
  <si>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</si>
  <si>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</si>
  <si>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</si>
  <si>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</si>
  <si>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</si>
  <si>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</si>
  <si>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</si>
  <si>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</si>
  <si>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</si>
  <si>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</si>
  <si>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</si>
  <si>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</si>
  <si>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</si>
  <si>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</si>
  <si>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</si>
  <si>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</si>
  <si>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</si>
  <si>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</si>
  <si>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</si>
  <si>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</si>
  <si>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</si>
  <si>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</si>
  <si>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</si>
  <si>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</si>
  <si>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</si>
  <si>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</si>
  <si>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</si>
  <si>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</si>
  <si>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</si>
  <si>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</si>
  <si>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</si>
  <si>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</si>
  <si>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</si>
  <si>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</si>
  <si>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</si>
  <si>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</si>
  <si>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</si>
  <si>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</si>
  <si>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</si>
  <si>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</si>
  <si>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</si>
  <si>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</si>
  <si>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</si>
  <si>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</si>
  <si>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</si>
  <si>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</si>
  <si>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</si>
  <si>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</si>
  <si>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</si>
  <si>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</si>
  <si>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</si>
  <si>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</si>
  <si>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</si>
  <si>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</si>
  <si>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</si>
  <si>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</si>
  <si>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</si>
  <si>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</si>
  <si>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</si>
  <si>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</si>
  <si>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</si>
  <si>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</si>
  <si>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</si>
  <si>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</si>
  <si>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</si>
  <si>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187,66</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</si>
  <si>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</si>
  <si>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</si>
  <si>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</si>
  <si>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</si>
  <si>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</si>
  <si>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</si>
  <si>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</si>
  <si>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</si>
  <si>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</si>
  <si>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</si>
  <si>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</si>
  <si>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</si>
  <si>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</si>
  <si>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</si>
  <si>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</si>
  <si>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</si>
  <si>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</si>
  <si>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</si>
  <si>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</si>
  <si>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</si>
  <si>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</si>
  <si>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</si>
  <si>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</si>
  <si>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</si>
  <si>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</si>
  <si>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</si>
  <si>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</si>
  <si>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</si>
  <si>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</si>
  <si>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</si>
  <si>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</si>
  <si>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</si>
  <si>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</si>
  <si>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</si>
  <si>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</si>
  <si>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</si>
  <si>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</si>
  <si>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</si>
  <si>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</si>
  <si>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</si>
  <si>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</si>
  <si>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</si>
  <si>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</si>
  <si>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</si>
  <si>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</si>
  <si>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</si>
  <si>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</si>
  <si>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</si>
  <si>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</si>
  <si>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</si>
  <si>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</si>
  <si>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</si>
  <si>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</si>
  <si>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</si>
  <si>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</si>
  <si>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</si>
  <si>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</si>
  <si>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</si>
  <si>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</si>
  <si>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</si>
  <si>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</si>
  <si>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</si>
  <si>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</si>
  <si>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</si>
  <si>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</si>
  <si>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</si>
  <si>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</si>
  <si>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</si>
  <si>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</si>
  <si>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</si>
  <si>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</si>
  <si>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</si>
  <si>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</si>
  <si>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</si>
  <si>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</si>
  <si>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</si>
  <si>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</si>
  <si>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</si>
  <si>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</si>
  <si>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</si>
  <si>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</si>
  <si>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</si>
  <si>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</si>
  <si>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</si>
  <si>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</si>
  <si>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</si>
  <si>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</si>
  <si>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</si>
  <si>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</si>
  <si>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</si>
  <si>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</si>
  <si>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</si>
  <si>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</si>
  <si>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</si>
  <si>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</si>
  <si>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</si>
  <si>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</si>
  <si>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</si>
  <si>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</si>
  <si>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</si>
  <si>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</si>
  <si>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</si>
  <si>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</si>
  <si>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</si>
  <si>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</si>
  <si>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</si>
  <si>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</si>
  <si>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</si>
  <si>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</si>
  <si>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</si>
  <si>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</si>
  <si>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</si>
  <si>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</si>
  <si>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</si>
  <si>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</si>
  <si>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</si>
  <si>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</si>
  <si>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</si>
  <si>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</si>
  <si>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</si>
  <si>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</si>
  <si>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</si>
  <si>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</si>
  <si>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</si>
  <si>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</si>
  <si>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</si>
  <si>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</si>
  <si>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</si>
  <si>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</si>
  <si>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</si>
  <si>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</si>
  <si>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</si>
  <si>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</si>
  <si>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</si>
  <si>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</si>
  <si>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</si>
  <si>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</si>
  <si>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</si>
  <si>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</si>
  <si>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</si>
  <si>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</si>
  <si>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</si>
  <si>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</si>
  <si>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</si>
  <si>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</si>
  <si>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</si>
  <si>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17,10</t>
  </si>
  <si>
    <t>90000</t>
  </si>
  <si>
    <t>ARMAÇÃO DE VERGA E CONTRAVERGA DE ALVENARIA ESTRUTURAL; DIÂMETRO DE 10,0 MM. AF_09/2021</t>
  </si>
  <si>
    <t>13,79</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</si>
  <si>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</si>
  <si>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</si>
  <si>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</si>
  <si>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</si>
  <si>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</si>
  <si>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</si>
  <si>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</si>
  <si>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</si>
  <si>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</si>
  <si>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</si>
  <si>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8,70</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</si>
  <si>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</si>
  <si>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</si>
  <si>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</si>
  <si>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</si>
  <si>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</si>
  <si>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</si>
  <si>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</si>
  <si>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</si>
  <si>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13,32</t>
  </si>
  <si>
    <t>91602</t>
  </si>
  <si>
    <t>ARMAÇÃO DO SISTEMA DE PAREDES DE CONCRETO, EXECUTADA COMO REFORÇO, VERGALHÃO DE 8,0 MM DE DIÂMETRO. AF_06/2019</t>
  </si>
  <si>
    <t>91603</t>
  </si>
  <si>
    <t>ARMAÇÃO DO SISTEMA DE PAREDES DE CONCRETO, EXECUTADA COMO REFORÇO, VERGALHÃO DE 10,0 MM DE DIÂMETRO. AF_06/2019</t>
  </si>
  <si>
    <t>11,62</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</si>
  <si>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</si>
  <si>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</si>
  <si>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</si>
  <si>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</si>
  <si>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</si>
  <si>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</si>
  <si>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</si>
  <si>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</si>
  <si>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</si>
  <si>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</si>
  <si>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</si>
  <si>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</si>
  <si>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</si>
  <si>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</si>
  <si>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11,22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</si>
  <si>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</si>
  <si>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</si>
  <si>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</si>
  <si>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</si>
  <si>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16,31</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</si>
  <si>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</si>
  <si>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</si>
  <si>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</si>
  <si>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</si>
  <si>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</si>
  <si>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</si>
  <si>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92771</t>
  </si>
  <si>
    <t>ARMAÇÃO DE LAJE DE ESTRUTURA CONVENCIONAL DE CONCRETO ARMADO UTILIZANDO AÇO CA-50 DE 10,0 MM - MONTAGEM. AF_06/2022</t>
  </si>
  <si>
    <t>11,57</t>
  </si>
  <si>
    <t>92772</t>
  </si>
  <si>
    <t>ARMAÇÃO DE LAJE DE ESTRUTURA CONVENCIONAL DE CONCRETO ARMADO UTILIZANDO AÇO CA-50 DE 12,5 MM - MONTAGEM. AF_06/2022</t>
  </si>
  <si>
    <t>9,72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</si>
  <si>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</si>
  <si>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</si>
  <si>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</si>
  <si>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</si>
  <si>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92798</t>
  </si>
  <si>
    <t>CORTE E DOBRA DE AÇO CA-50, DIÂMETRO DE 25,0 MM. AF_06/2022</t>
  </si>
  <si>
    <t>10,14</t>
  </si>
  <si>
    <t>92799</t>
  </si>
  <si>
    <t>CORTE E DOBRA DE AÇO CA-60, DIÂMETRO DE 4,2 MM. AF_06/2022</t>
  </si>
  <si>
    <t>92800</t>
  </si>
  <si>
    <t>CORTE E DOBRA DE AÇO CA-60, DIÂMETRO DE 5,0 MM. AF_06/2022</t>
  </si>
  <si>
    <t>92801</t>
  </si>
  <si>
    <t>CORTE E DOBRA DE AÇO CA-50, DIÂMETRO DE 6,3 MM. AF_06/2022</t>
  </si>
  <si>
    <t>92802</t>
  </si>
  <si>
    <t>CORTE E DOBRA DE AÇO CA-50, DIÂMETRO DE 8,0 MM. AF_06/2022</t>
  </si>
  <si>
    <t>10,95</t>
  </si>
  <si>
    <t>92803</t>
  </si>
  <si>
    <t>CORTE E DOBRA DE AÇO CA-50, DIÂMETRO DE 10,0 MM. AF_06/2022</t>
  </si>
  <si>
    <t>92804</t>
  </si>
  <si>
    <t>CORTE E DOBRA DE AÇO CA-50, DIÂMETRO DE 12,5 MM. AF_06/2022</t>
  </si>
  <si>
    <t>92805</t>
  </si>
  <si>
    <t>CORTE E DOBRA DE AÇO CA-50, DIÂMETRO DE 16,0 MM. AF_06/2022</t>
  </si>
  <si>
    <t>8,60</t>
  </si>
  <si>
    <t>92806</t>
  </si>
  <si>
    <t>CORTE E DOBRA DE AÇO CA-50, DIÂMETRO DE 20,0 MM. AF_06/2022</t>
  </si>
  <si>
    <t>92875</t>
  </si>
  <si>
    <t>CORTE E DOBRA DE AÇO CA-25, DIÂMETRO DE 6,3 MM. AF_06/2022</t>
  </si>
  <si>
    <t>10,38</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</si>
  <si>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</si>
  <si>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</si>
  <si>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</si>
  <si>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</si>
  <si>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</si>
  <si>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</si>
  <si>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</si>
  <si>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</si>
  <si>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10,70</t>
  </si>
  <si>
    <t>92880</t>
  </si>
  <si>
    <t>CORTE E DOBRA DE AÇO CA-25, DIÂMETRO DE 20,0 MM. AF_06/2022</t>
  </si>
  <si>
    <t>10,93</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</si>
  <si>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</si>
  <si>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</si>
  <si>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</si>
  <si>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</si>
  <si>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</si>
  <si>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</si>
  <si>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</si>
  <si>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</si>
  <si>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92885</t>
  </si>
  <si>
    <t>ARMAÇÃO UTILIZANDO AÇO CA-25 DE 12,5 MM - MONTAGEM. AF_06/2022</t>
  </si>
  <si>
    <t>92886</t>
  </si>
  <si>
    <t>ARMAÇÃO UTILIZANDO AÇO CA-25 DE 16,0 MM - MONTAGEM. AF_06/2022</t>
  </si>
  <si>
    <t>12,13</t>
  </si>
  <si>
    <t>92887</t>
  </si>
  <si>
    <t>ARMAÇÃO UTILIZANDO AÇO CA-25 DE 20,0 MM - MONTAGEM. AF_06/2022</t>
  </si>
  <si>
    <t>12,06</t>
  </si>
  <si>
    <t>92888</t>
  </si>
  <si>
    <t>ARMAÇÃO UTILIZANDO AÇO CA-25 DE 25,0 MM - MONTAGEM. AF_06/2022</t>
  </si>
  <si>
    <t>92915</t>
  </si>
  <si>
    <t>ARMAÇÃO DE ESTRUTURAS DIVERSAS DE CONCRETO ARMADO, EXCETO VIGAS, PILARES, LAJES E FUNDAÇÕES, UTILIZANDO AÇO CA-60 DE 5,0 MM - MONTAGEM. AF_06/2022</t>
  </si>
  <si>
    <t>17,60</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</si>
  <si>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</si>
  <si>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</si>
  <si>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</si>
  <si>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</si>
  <si>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</si>
  <si>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</si>
  <si>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13,00</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</si>
  <si>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</si>
  <si>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</si>
  <si>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</si>
  <si>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</si>
  <si>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</si>
  <si>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</si>
  <si>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</si>
  <si>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</si>
  <si>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11,40</t>
  </si>
  <si>
    <t>95448</t>
  </si>
  <si>
    <t>CORTE E DOBRA DE AÇO CA-50, DIÂMERO DE 32 MM. AF_06/2022</t>
  </si>
  <si>
    <t>95576</t>
  </si>
  <si>
    <t>MONTAGEM DE ARMADURA DE ESTACAS, DIÂMETRO = 8,0 MM. AF_09/2021_PS</t>
  </si>
  <si>
    <t>95577</t>
  </si>
  <si>
    <t>MONTAGEM DE ARMADURA DE ESTACAS, DIÂMETRO = 10,0 MM. AF_09/2021_PS</t>
  </si>
  <si>
    <t>11,66</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</si>
  <si>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</si>
  <si>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</si>
  <si>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</si>
  <si>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</si>
  <si>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</si>
  <si>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</si>
  <si>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</si>
  <si>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</si>
  <si>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</si>
  <si>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</si>
  <si>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</si>
  <si>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</si>
  <si>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</si>
  <si>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</si>
  <si>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</si>
  <si>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</si>
  <si>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</si>
  <si>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</si>
  <si>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</si>
  <si>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</si>
  <si>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</si>
  <si>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20,88</t>
  </si>
  <si>
    <t>95945</t>
  </si>
  <si>
    <t>ARMAÇÃO DE ESCADA, DE UMA ESTRUTURA CONVENCIONAL DE CONCRETO ARMADO UTILIZANDO AÇO CA-50 DE 8,0 MM - MONTAGEM. AF_11/2020</t>
  </si>
  <si>
    <t>17,06</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</si>
  <si>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</si>
  <si>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</si>
  <si>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</si>
  <si>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</si>
  <si>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</si>
  <si>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</si>
  <si>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</si>
  <si>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</si>
  <si>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</si>
  <si>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</si>
  <si>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</si>
  <si>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</si>
  <si>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</si>
  <si>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</si>
  <si>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</si>
  <si>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</si>
  <si>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</si>
  <si>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</si>
  <si>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</si>
  <si>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</si>
  <si>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100064</t>
  </si>
  <si>
    <t>ARMAÇÃO DO SISTEMA DE PAREDES DE CONCRETO, EXECUTADA COMO ARMADURA POSITIVA DE LAJES, TELA Q-159. AF_06/2019</t>
  </si>
  <si>
    <t>100066</t>
  </si>
  <si>
    <t>ARMAÇÃO DO SISTEMA DE PAREDES DE CONCRETO, EXECUTADA COMO ARMADURA POSITIVA DE LAJES, TELA Q-196. AF_06/2019</t>
  </si>
  <si>
    <t>12,10</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</si>
  <si>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</si>
  <si>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</si>
  <si>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</si>
  <si>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</si>
  <si>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</si>
  <si>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</si>
  <si>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</si>
  <si>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</si>
  <si>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</si>
  <si>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</si>
  <si>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9,61</t>
  </si>
  <si>
    <t>102923</t>
  </si>
  <si>
    <t>ARMAÇÃO DE CINTA DE ALVENARIA ESTRUTURAL; DIÂMETRO DE 16,0 MM. AF_09/2021</t>
  </si>
  <si>
    <t>8,50</t>
  </si>
  <si>
    <t>103088</t>
  </si>
  <si>
    <t>ARMAÇÃO DE VERGA E CONTRAVERGA DE ALVENARIA ESTRUTURAL; DIÂMETRO DE 12,5 MM. AF_09/2021</t>
  </si>
  <si>
    <t>10,83</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</si>
  <si>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</si>
  <si>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</si>
  <si>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</si>
  <si>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</si>
  <si>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</si>
  <si>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</si>
  <si>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</si>
  <si>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</si>
  <si>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11,63</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</si>
  <si>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</si>
  <si>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</si>
  <si>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</si>
  <si>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</si>
  <si>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</si>
  <si>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</si>
  <si>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</si>
  <si>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</si>
  <si>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21,19</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</si>
  <si>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</si>
  <si>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</si>
  <si>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</si>
  <si>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</si>
  <si>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</si>
  <si>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</si>
  <si>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</si>
  <si>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</si>
  <si>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</si>
  <si>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</si>
  <si>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</si>
  <si>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</si>
  <si>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</si>
  <si>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</si>
  <si>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</si>
  <si>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</si>
  <si>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</si>
  <si>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</si>
  <si>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</si>
  <si>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</si>
  <si>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</si>
  <si>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</si>
  <si>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</si>
  <si>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</si>
  <si>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</si>
  <si>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</si>
  <si>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</si>
  <si>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</si>
  <si>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</si>
  <si>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</si>
  <si>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</si>
  <si>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</si>
  <si>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</si>
  <si>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</si>
  <si>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</si>
  <si>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</si>
  <si>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</si>
  <si>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</si>
  <si>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</si>
  <si>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</si>
  <si>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</si>
  <si>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</si>
  <si>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</si>
  <si>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</si>
  <si>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</si>
  <si>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</si>
  <si>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</si>
  <si>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</si>
  <si>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</si>
  <si>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</si>
  <si>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</si>
  <si>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</si>
  <si>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</si>
  <si>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</si>
  <si>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</si>
  <si>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</si>
  <si>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</si>
  <si>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</si>
  <si>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</si>
  <si>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</si>
  <si>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</si>
  <si>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</si>
  <si>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</si>
  <si>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</si>
  <si>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</si>
  <si>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</si>
  <si>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</si>
  <si>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</si>
  <si>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</si>
  <si>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</si>
  <si>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</si>
  <si>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</si>
  <si>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</si>
  <si>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</si>
  <si>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</si>
  <si>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</si>
  <si>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</si>
  <si>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</si>
  <si>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</si>
  <si>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</si>
  <si>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</si>
  <si>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</si>
  <si>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</si>
  <si>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</si>
  <si>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</si>
  <si>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</si>
  <si>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</si>
  <si>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</si>
  <si>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</si>
  <si>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</si>
  <si>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</si>
  <si>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</si>
  <si>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</si>
  <si>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</si>
  <si>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</si>
  <si>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</si>
  <si>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</si>
  <si>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</si>
  <si>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</si>
  <si>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</si>
  <si>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</si>
  <si>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</si>
  <si>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</si>
  <si>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</si>
  <si>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</si>
  <si>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</si>
  <si>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</si>
  <si>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</si>
  <si>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</si>
  <si>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</si>
  <si>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</si>
  <si>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</si>
  <si>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</si>
  <si>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</si>
  <si>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</si>
  <si>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</si>
  <si>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</si>
  <si>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</si>
  <si>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</si>
  <si>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t>
  </si>
  <si>
    <t>103673</t>
  </si>
  <si>
    <t>LANÇAMENTO COM USO DE BOMBA, ADENSAMENTO E ACABAMENTO DE CONCRETO EM ESTRUTURAS. AF_02/2022</t>
  </si>
  <si>
    <t>103674</t>
  </si>
  <si>
    <t>CONCRETAGEM DE VIGAS E LAJES, FCK=25 MPA, PARA LAJES PREMOLDADAS COM USO DE BOMBA - LANÇAMENTO, ADENSAMENTO E ACABAMENTO. AF_02/2022</t>
  </si>
  <si>
    <t>103675</t>
  </si>
  <si>
    <t>CONCRETAGEM DE VIGAS E LAJES, FCK=25 MPA, PARA LAJES MACIÇAS OU NERVURADAS COM USO DE BOMBA - LANÇAMENTO, ADENSAMENTO E ACABAMENTO. AF_02/2022</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</si>
  <si>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</si>
  <si>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</si>
  <si>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</si>
  <si>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</si>
  <si>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</si>
  <si>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</si>
  <si>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</si>
  <si>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</si>
  <si>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</si>
  <si>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</si>
  <si>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</si>
  <si>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</si>
  <si>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</si>
  <si>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</si>
  <si>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</si>
  <si>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</si>
  <si>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</si>
  <si>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t>
  </si>
  <si>
    <t>103685</t>
  </si>
  <si>
    <t>CONCRETAGEM DE MURETAS, FCK=25 MPA, COM USO DE BOMBA - LANÇAMENTO, ADENSAMENTO E ACABAMENTO. AF_02/2022</t>
  </si>
  <si>
    <t>103686</t>
  </si>
  <si>
    <t>CONCRETAGEM DE ESCADAS, FCK=25 MPA, COM USO DE BOMBA - LANÇAMENTO, ADENSAMENTO E ACABAMENTO. AF_02/2022</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</si>
  <si>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</si>
  <si>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</si>
  <si>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</si>
  <si>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</si>
  <si>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</si>
  <si>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</si>
  <si>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</si>
  <si>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</si>
  <si>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</si>
  <si>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</si>
  <si>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</si>
  <si>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</si>
  <si>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</si>
  <si>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TRATAMENTO DE JUNTA DE DILATAÇÃO, COM TARUGO DE POLIETILENO E SELANTE PU, INCLUSO PREENCHIMENTO COM ESPUMA EXPANSIVA PU. AF_06/2018</t>
  </si>
  <si>
    <t>98576</t>
  </si>
  <si>
    <t>TRATAMENTO DE JUNTA DE DILATAÇÃO COM MANTA ASFÁLTICA ADERIDA COM MAÇARICO. AF_06/2018</t>
  </si>
  <si>
    <t>23,68</t>
  </si>
  <si>
    <t>98577</t>
  </si>
  <si>
    <t>TRATAMENTO DE JUNTA SERRADA, COM TARUGO DE POLIETILENO E SELANTE À BASE DE SILICONE.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</si>
  <si>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</si>
  <si>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</si>
  <si>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</si>
  <si>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</si>
  <si>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</si>
  <si>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</si>
  <si>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</si>
  <si>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</si>
  <si>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64,76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</si>
  <si>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</si>
  <si>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</si>
  <si>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</si>
  <si>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</si>
  <si>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</si>
  <si>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</si>
  <si>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</si>
  <si>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</si>
  <si>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</si>
  <si>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</si>
  <si>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</si>
  <si>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</si>
  <si>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</si>
  <si>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</si>
  <si>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</si>
  <si>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</si>
  <si>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</si>
  <si>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</si>
  <si>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</si>
  <si>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</si>
  <si>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</si>
  <si>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</si>
  <si>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</si>
  <si>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</si>
  <si>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</si>
  <si>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</si>
  <si>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</si>
  <si>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</si>
  <si>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</si>
  <si>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</si>
  <si>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</si>
  <si>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</si>
  <si>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</si>
  <si>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</si>
  <si>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</si>
  <si>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</si>
  <si>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</si>
  <si>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</si>
  <si>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</si>
  <si>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</si>
  <si>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</si>
  <si>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</si>
  <si>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</si>
  <si>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</si>
  <si>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</si>
  <si>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</si>
  <si>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</si>
  <si>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</si>
  <si>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</si>
  <si>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</si>
  <si>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</si>
  <si>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AF_01/2018_PS</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</si>
  <si>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</si>
  <si>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</si>
  <si>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</si>
  <si>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</si>
  <si>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</si>
  <si>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</si>
  <si>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</si>
  <si>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</si>
  <si>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</si>
  <si>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</si>
  <si>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</si>
  <si>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</si>
  <si>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</si>
  <si>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</si>
  <si>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</si>
  <si>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</si>
  <si>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</si>
  <si>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</si>
  <si>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</si>
  <si>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</si>
  <si>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</si>
  <si>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</si>
  <si>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</si>
  <si>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</si>
  <si>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</si>
  <si>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</si>
  <si>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</si>
  <si>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</si>
  <si>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</si>
  <si>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</si>
  <si>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</si>
  <si>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</si>
  <si>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</si>
  <si>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</si>
  <si>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</si>
  <si>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</si>
  <si>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</si>
  <si>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</si>
  <si>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</si>
  <si>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</si>
  <si>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</si>
  <si>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</si>
  <si>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</si>
  <si>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</si>
  <si>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</si>
  <si>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</si>
  <si>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</si>
  <si>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</si>
  <si>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</si>
  <si>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</si>
  <si>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</si>
  <si>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</si>
  <si>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17,63</t>
  </si>
  <si>
    <t>100764</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</si>
  <si>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</si>
  <si>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</si>
  <si>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</si>
  <si>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</si>
  <si>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</si>
  <si>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</si>
  <si>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100768</t>
  </si>
  <si>
    <t>100769</t>
  </si>
  <si>
    <t>CONTRAVENTAMENTO COM CANTONEIRAS DE AÇO, ABAS IGUAIS, COM CONEXÕES PARAFUSADAS, INCLUSOS MÃO DE OBRA, TRANSPORTE E IÇAMENTO UTILIZANDO GUINDASTE, PARA EDIFÍCIOS DE 3 A 5 PAVIMENTOS - FORNECIMENTO E INSTALAÇÃO. AF_01/2020_PSA</t>
  </si>
  <si>
    <t>100770</t>
  </si>
  <si>
    <t>100771</t>
  </si>
  <si>
    <t>CONTRAVENTAMENTO COM CANTONEIRAS DE AÇO, ABAS IGUAIS, COM CONEXÕES PARAFUSADAS, INCLUSOS MÃO DE OBRA, TRANSPORTE E IÇAMENTO UTILIZANDO GRUA, PARA EDIFÍCIOS DE 6 A 10 PAVIMENTOS - FORNECIMENTO E INSTALAÇÃO. AF_01/2020_PSA</t>
  </si>
  <si>
    <t>100772</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</si>
  <si>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</si>
  <si>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</si>
  <si>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</si>
  <si>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</si>
  <si>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13,26</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</si>
  <si>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</si>
  <si>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</si>
  <si>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</si>
  <si>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</si>
  <si>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</si>
  <si>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</si>
  <si>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</si>
  <si>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</si>
  <si>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11,50</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</si>
  <si>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</si>
  <si>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</si>
  <si>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</si>
  <si>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</si>
  <si>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</si>
  <si>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</si>
  <si>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17,04</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</si>
  <si>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</si>
  <si>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</si>
  <si>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</si>
  <si>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</si>
  <si>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</si>
  <si>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</si>
  <si>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</si>
  <si>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</si>
  <si>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</si>
  <si>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</si>
  <si>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</si>
  <si>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</si>
  <si>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</si>
  <si>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</si>
  <si>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</si>
  <si>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</si>
  <si>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</si>
  <si>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</si>
  <si>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</si>
  <si>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</si>
  <si>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</si>
  <si>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</si>
  <si>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</si>
  <si>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</si>
  <si>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</si>
  <si>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</si>
  <si>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</si>
  <si>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</si>
  <si>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</si>
  <si>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</si>
  <si>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</si>
  <si>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</si>
  <si>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</si>
  <si>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</si>
  <si>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</si>
  <si>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</si>
  <si>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29,13</t>
  </si>
  <si>
    <t>104472</t>
  </si>
  <si>
    <t>COMPOSIÇÃO PARAMÉTRICA PARA FORNECIMENTO E MONTAGEM DE ESTRUTURA METÁLICA PARA COBERTURA DE GALPÕES COM ESTRUTURA DE APOIO EM TRELIÇA TIPO ARCO. AF_11/2022</t>
  </si>
  <si>
    <t>43,16</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</si>
  <si>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</si>
  <si>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</si>
  <si>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</si>
  <si>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</si>
  <si>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</si>
  <si>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</si>
  <si>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</si>
  <si>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</si>
  <si>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</si>
  <si>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</si>
  <si>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</si>
  <si>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</si>
  <si>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</si>
  <si>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</si>
  <si>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</si>
  <si>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</si>
  <si>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</si>
  <si>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</si>
  <si>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</si>
  <si>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</si>
  <si>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</si>
  <si>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</si>
  <si>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41,96</t>
  </si>
  <si>
    <t>98555</t>
  </si>
  <si>
    <t>IMPERMEABILIZAÇÃO DE SUPERFÍCIE COM ARGAMASSA POLIMÉRICA / MEMBRANA ACRÍLICA, 3 DEMÃOS. AF_06/2018</t>
  </si>
  <si>
    <t>28,30</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</si>
  <si>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</si>
  <si>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</si>
  <si>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</si>
  <si>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</si>
  <si>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98559</t>
  </si>
  <si>
    <t>TRATAMENTO DE RODAPÉ COM VÉU DE POLIÉSTER. AF_06/2018</t>
  </si>
  <si>
    <t>4,96</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</si>
  <si>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</si>
  <si>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</si>
  <si>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</si>
  <si>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</si>
  <si>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</si>
  <si>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</si>
  <si>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</si>
  <si>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</si>
  <si>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</si>
  <si>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</si>
  <si>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</si>
  <si>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</si>
  <si>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</si>
  <si>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</si>
  <si>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</si>
  <si>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</si>
  <si>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</si>
  <si>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</si>
  <si>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</si>
  <si>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</si>
  <si>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</si>
  <si>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</si>
  <si>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</si>
  <si>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</si>
  <si>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</si>
  <si>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</si>
  <si>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</si>
  <si>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</si>
  <si>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</si>
  <si>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</si>
  <si>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</si>
  <si>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</si>
  <si>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</si>
  <si>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9,67</t>
  </si>
  <si>
    <t>91833</t>
  </si>
  <si>
    <t>91834</t>
  </si>
  <si>
    <t>91835</t>
  </si>
  <si>
    <t>91836</t>
  </si>
  <si>
    <t>91837</t>
  </si>
  <si>
    <t>91839</t>
  </si>
  <si>
    <t>91840</t>
  </si>
  <si>
    <t>91841</t>
  </si>
  <si>
    <t>91842</t>
  </si>
  <si>
    <t>91843</t>
  </si>
  <si>
    <t>91844</t>
  </si>
  <si>
    <t>91845</t>
  </si>
  <si>
    <t>91846</t>
  </si>
  <si>
    <t>11,74</t>
  </si>
  <si>
    <t>91847</t>
  </si>
  <si>
    <t>15,38</t>
  </si>
  <si>
    <t>91849</t>
  </si>
  <si>
    <t>91850</t>
  </si>
  <si>
    <t>13,45</t>
  </si>
  <si>
    <t>91851</t>
  </si>
  <si>
    <t>91852</t>
  </si>
  <si>
    <t>91853</t>
  </si>
  <si>
    <t>11,06</t>
  </si>
  <si>
    <t>91854</t>
  </si>
  <si>
    <t>91855</t>
  </si>
  <si>
    <t>91856</t>
  </si>
  <si>
    <t>91857</t>
  </si>
  <si>
    <t>91859</t>
  </si>
  <si>
    <t>91860</t>
  </si>
  <si>
    <t>91861</t>
  </si>
  <si>
    <t>91862</t>
  </si>
  <si>
    <t>91863</t>
  </si>
  <si>
    <t>91864</t>
  </si>
  <si>
    <t>91865</t>
  </si>
  <si>
    <t>22,70</t>
  </si>
  <si>
    <t>91866</t>
  </si>
  <si>
    <t>9,48</t>
  </si>
  <si>
    <t>91867</t>
  </si>
  <si>
    <t>91868</t>
  </si>
  <si>
    <t>91869</t>
  </si>
  <si>
    <t>20,45</t>
  </si>
  <si>
    <t>91870</t>
  </si>
  <si>
    <t>91871</t>
  </si>
  <si>
    <t>91872</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</si>
  <si>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</si>
  <si>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</si>
  <si>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</si>
  <si>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</si>
  <si>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</si>
  <si>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</si>
  <si>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</si>
  <si>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</si>
  <si>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</si>
  <si>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</si>
  <si>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</si>
  <si>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</si>
  <si>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</si>
  <si>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</si>
  <si>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</si>
  <si>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</si>
  <si>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</si>
  <si>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20,96</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</si>
  <si>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</si>
  <si>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</si>
  <si>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</si>
  <si>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</si>
  <si>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</si>
  <si>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</si>
  <si>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</si>
  <si>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</si>
  <si>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</si>
  <si>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91875</t>
  </si>
  <si>
    <t>91876</t>
  </si>
  <si>
    <t>10,23</t>
  </si>
  <si>
    <t>91877</t>
  </si>
  <si>
    <t>13,44</t>
  </si>
  <si>
    <t>91878</t>
  </si>
  <si>
    <t>91879</t>
  </si>
  <si>
    <t>91880</t>
  </si>
  <si>
    <t>91881</t>
  </si>
  <si>
    <t>91882</t>
  </si>
  <si>
    <t>9,63</t>
  </si>
  <si>
    <t>91884</t>
  </si>
  <si>
    <t>91885</t>
  </si>
  <si>
    <t>91886</t>
  </si>
  <si>
    <t>15,42</t>
  </si>
  <si>
    <t>91887</t>
  </si>
  <si>
    <t>91889</t>
  </si>
  <si>
    <t>91890</t>
  </si>
  <si>
    <t>12,61</t>
  </si>
  <si>
    <t>91892</t>
  </si>
  <si>
    <t>91893</t>
  </si>
  <si>
    <t>91895</t>
  </si>
  <si>
    <t>91896</t>
  </si>
  <si>
    <t>91898</t>
  </si>
  <si>
    <t>91899</t>
  </si>
  <si>
    <t>91901</t>
  </si>
  <si>
    <t>12,71</t>
  </si>
  <si>
    <t>91902</t>
  </si>
  <si>
    <t>91904</t>
  </si>
  <si>
    <t>17,17</t>
  </si>
  <si>
    <t>91905</t>
  </si>
  <si>
    <t>91907</t>
  </si>
  <si>
    <t>91908</t>
  </si>
  <si>
    <t>23,65</t>
  </si>
  <si>
    <t>91910</t>
  </si>
  <si>
    <t>25,79</t>
  </si>
  <si>
    <t>91911</t>
  </si>
  <si>
    <t>15,98</t>
  </si>
  <si>
    <t>91913</t>
  </si>
  <si>
    <t>91914</t>
  </si>
  <si>
    <t>91916</t>
  </si>
  <si>
    <t>19,46</t>
  </si>
  <si>
    <t>91917</t>
  </si>
  <si>
    <t>91919</t>
  </si>
  <si>
    <t>91920</t>
  </si>
  <si>
    <t>91922</t>
  </si>
  <si>
    <t>93013</t>
  </si>
  <si>
    <t>LUVA PARA ELETRODUTO, PVC, ROSCÁVEL, DN 50 MM (1 1/2"), PARA REDE ENTERRADA DE DISTRIBUIÇÃO DE ENERGIA ELÉTRICA - FORNECIMENTO E INSTALAÇÃO. AF_12/2021</t>
  </si>
  <si>
    <t>17,39</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</si>
  <si>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</si>
  <si>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</si>
  <si>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</si>
  <si>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</si>
  <si>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</si>
  <si>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</si>
  <si>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</si>
  <si>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</si>
  <si>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</si>
  <si>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</si>
  <si>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26,45</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</si>
  <si>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</si>
  <si>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</si>
  <si>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</si>
  <si>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</si>
  <si>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</si>
  <si>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</si>
  <si>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</si>
  <si>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</si>
  <si>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</si>
  <si>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</si>
  <si>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</si>
  <si>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104395</t>
  </si>
  <si>
    <t>CONDULETE DE PVC, TIPO E, PARA ELETRODUTO DE PVC SOLDÁVEL DN 20 MM (1/2''), APARENTE - FORNECIMENTO E INSTALAÇÃO. AF_10/2022</t>
  </si>
  <si>
    <t>91924</t>
  </si>
  <si>
    <t>91925</t>
  </si>
  <si>
    <t>3,40</t>
  </si>
  <si>
    <t>91926</t>
  </si>
  <si>
    <t>4,09</t>
  </si>
  <si>
    <t>91928</t>
  </si>
  <si>
    <t>6,17</t>
  </si>
  <si>
    <t>91929</t>
  </si>
  <si>
    <t>6,52</t>
  </si>
  <si>
    <t>91930</t>
  </si>
  <si>
    <t>91931</t>
  </si>
  <si>
    <t>91932</t>
  </si>
  <si>
    <t>91933</t>
  </si>
  <si>
    <t>91934</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</si>
  <si>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</si>
  <si>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</si>
  <si>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</si>
  <si>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</si>
  <si>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</si>
  <si>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</si>
  <si>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CABO DE COBRE FLEXÍVEL ISOLADO, 16 MM², ANTI-CHAMA 0,6/1,0 KV, PARA DISTRIBUIÇÃO - FORNECIMENTO E INSTALAÇÃO. AF_12/2015</t>
  </si>
  <si>
    <t>92984</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</si>
  <si>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</si>
  <si>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</si>
  <si>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</si>
  <si>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</si>
  <si>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47,17</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</si>
  <si>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</si>
  <si>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</si>
  <si>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</si>
  <si>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</si>
  <si>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</si>
  <si>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</si>
  <si>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</si>
  <si>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</si>
  <si>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</si>
  <si>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</si>
  <si>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</si>
  <si>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</si>
  <si>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</si>
  <si>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</si>
  <si>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</si>
  <si>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</si>
  <si>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</si>
  <si>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</si>
  <si>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8,52</t>
  </si>
  <si>
    <t>101886</t>
  </si>
  <si>
    <t>CABO DE COBRE ISOLADO, 16 MM², ANTI-CHAMA 450/750 V, INSTALADO EM ELETROCALHA OU PERFILADO - FORNECIMENTO E INSTALAÇÃO. AF_10/2020</t>
  </si>
  <si>
    <t>12,84</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</si>
  <si>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</si>
  <si>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</si>
  <si>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</si>
  <si>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</si>
  <si>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</si>
  <si>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</si>
  <si>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</si>
  <si>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91937</t>
  </si>
  <si>
    <t>91939</t>
  </si>
  <si>
    <t>34,95</t>
  </si>
  <si>
    <t>91940</t>
  </si>
  <si>
    <t>91941</t>
  </si>
  <si>
    <t>91942</t>
  </si>
  <si>
    <t>91943</t>
  </si>
  <si>
    <t>91944</t>
  </si>
  <si>
    <t>92865</t>
  </si>
  <si>
    <t>92866</t>
  </si>
  <si>
    <t>92867</t>
  </si>
  <si>
    <t>92868</t>
  </si>
  <si>
    <t>92869</t>
  </si>
  <si>
    <t>92870</t>
  </si>
  <si>
    <t>92871</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</si>
  <si>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</si>
  <si>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</si>
  <si>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</si>
  <si>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</si>
  <si>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</si>
  <si>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</si>
  <si>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</si>
  <si>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</si>
  <si>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</si>
  <si>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</si>
  <si>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</si>
  <si>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</si>
  <si>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</si>
  <si>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</si>
  <si>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</si>
  <si>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</si>
  <si>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</si>
  <si>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30,50</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</si>
  <si>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</si>
  <si>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</si>
  <si>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</si>
  <si>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</si>
  <si>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</si>
  <si>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</si>
  <si>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</si>
  <si>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</si>
  <si>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</si>
  <si>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</si>
  <si>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</si>
  <si>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</si>
  <si>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</si>
  <si>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</si>
  <si>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</si>
  <si>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</si>
  <si>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</si>
  <si>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</si>
  <si>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</si>
  <si>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</si>
  <si>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</si>
  <si>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</si>
  <si>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27,76</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</si>
  <si>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</si>
  <si>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</si>
  <si>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</si>
  <si>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</si>
  <si>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</si>
  <si>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</si>
  <si>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40,89</t>
  </si>
  <si>
    <t>95810</t>
  </si>
  <si>
    <t>CONDULETE DE PVC, TIPO LB, PARA ELETRODUTO DE PVC SOLDÁVEL DN 20 MM (1/2''), APARENTE - FORNECIMENTO E INSTALAÇÃO. AF_10/2022</t>
  </si>
  <si>
    <t>16,04</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</si>
  <si>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</si>
  <si>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</si>
  <si>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</si>
  <si>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</si>
  <si>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28,92</t>
  </si>
  <si>
    <t>95813</t>
  </si>
  <si>
    <t>CONDULETE DE PVC, TIPO TB, PARA ELETRODUTO DE PVC SOLDÁVEL DN 20 MM (1/2''), APARENTE - FORNECIMENTO E INSTALAÇÃO. AF_10/2022</t>
  </si>
  <si>
    <t>18,86</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</si>
  <si>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</si>
  <si>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</si>
  <si>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</si>
  <si>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</si>
  <si>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37,49</t>
  </si>
  <si>
    <t>95816</t>
  </si>
  <si>
    <t>CONDULETE DE PVC, TIPO X, PARA ELETRODUTO DE PVC SOLDÁVEL DN 20 MM (1/2''), APARENTE - FORNECIMENTO E INSTALAÇÃO. AF_10/2022</t>
  </si>
  <si>
    <t>33,90</t>
  </si>
  <si>
    <t>95817</t>
  </si>
  <si>
    <t>CONDULETE DE PVC, TIPO X, PARA ELETRODUTO DE PVC SOLDÁVEL DN 25 MM (3/4), APARENTE - FORNECIMENTO E INSTALAÇÃO. AF_10/2022</t>
  </si>
  <si>
    <t>95818</t>
  </si>
  <si>
    <t>CONDULETE DE PVC, TIPO X, PARA ELETRODUTO DE PVC SOLDÁVEL DN 32 MM (1''), APARENTE - FORNECIMENTO E INSTALAÇÃO. AF_10/2022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</si>
  <si>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</si>
  <si>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</si>
  <si>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</si>
  <si>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</si>
  <si>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</si>
  <si>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</si>
  <si>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</si>
  <si>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</si>
  <si>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</si>
  <si>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</si>
  <si>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</si>
  <si>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</si>
  <si>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</si>
  <si>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</si>
  <si>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</si>
  <si>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</si>
  <si>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</si>
  <si>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</si>
  <si>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</si>
  <si>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</si>
  <si>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</si>
  <si>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</si>
  <si>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</si>
  <si>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</si>
  <si>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</si>
  <si>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</si>
  <si>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</si>
  <si>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</si>
  <si>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</si>
  <si>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</si>
  <si>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</si>
  <si>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</si>
  <si>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</si>
  <si>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</si>
  <si>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</si>
  <si>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</si>
  <si>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</si>
  <si>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</si>
  <si>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</si>
  <si>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</si>
  <si>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26,30</t>
  </si>
  <si>
    <t>104402</t>
  </si>
  <si>
    <t>CONDULETE DE PVC, TIPO C, PARA ELETRODUTO DE PVC SOLDÁVEL DN 25 MM (3/4''), APARENTE - FORNECIMENTO E INSTALAÇÃO. AF_10/2022</t>
  </si>
  <si>
    <t>28,17</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</si>
  <si>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</si>
  <si>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</si>
  <si>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</si>
  <si>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</si>
  <si>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</si>
  <si>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</si>
  <si>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</si>
  <si>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</si>
  <si>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</si>
  <si>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</si>
  <si>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</si>
  <si>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</si>
  <si>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</si>
  <si>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</si>
  <si>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</si>
  <si>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</si>
  <si>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</si>
  <si>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</si>
  <si>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</si>
  <si>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</si>
  <si>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</si>
  <si>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</si>
  <si>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</si>
  <si>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</si>
  <si>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</si>
  <si>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</si>
  <si>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</si>
  <si>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</si>
  <si>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</si>
  <si>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</si>
  <si>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</si>
  <si>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</si>
  <si>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</si>
  <si>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</si>
  <si>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</si>
  <si>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</si>
  <si>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</si>
  <si>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</si>
  <si>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</si>
  <si>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</si>
  <si>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</si>
  <si>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</si>
  <si>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</si>
  <si>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</si>
  <si>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</si>
  <si>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</si>
  <si>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</si>
  <si>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</si>
  <si>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</si>
  <si>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</si>
  <si>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</si>
  <si>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</si>
  <si>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</si>
  <si>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</si>
  <si>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</si>
  <si>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</si>
  <si>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</si>
  <si>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</si>
  <si>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</si>
  <si>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</si>
  <si>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</si>
  <si>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</si>
  <si>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</si>
  <si>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</si>
  <si>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</si>
  <si>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</si>
  <si>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</si>
  <si>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</si>
  <si>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</si>
  <si>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</si>
  <si>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</si>
  <si>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</si>
  <si>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</si>
  <si>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</si>
  <si>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</si>
  <si>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</si>
  <si>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</si>
  <si>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29,96</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</si>
  <si>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</si>
  <si>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</si>
  <si>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</si>
  <si>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</si>
  <si>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</si>
  <si>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</si>
  <si>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</si>
  <si>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</si>
  <si>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</si>
  <si>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</si>
  <si>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</si>
  <si>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</si>
  <si>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</si>
  <si>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</si>
  <si>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</si>
  <si>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</si>
  <si>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</si>
  <si>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</si>
  <si>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</si>
  <si>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</si>
  <si>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</si>
  <si>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</si>
  <si>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</si>
  <si>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</si>
  <si>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</si>
  <si>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</si>
  <si>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</si>
  <si>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</si>
  <si>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</si>
  <si>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</si>
  <si>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</si>
  <si>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91946</t>
  </si>
  <si>
    <t>8,33</t>
  </si>
  <si>
    <t>91947</t>
  </si>
  <si>
    <t>7,13</t>
  </si>
  <si>
    <t>91949</t>
  </si>
  <si>
    <t>91950</t>
  </si>
  <si>
    <t>12,86</t>
  </si>
  <si>
    <t>91951</t>
  </si>
  <si>
    <t>91952</t>
  </si>
  <si>
    <t>20,46</t>
  </si>
  <si>
    <t>91953</t>
  </si>
  <si>
    <t>91954</t>
  </si>
  <si>
    <t>91955</t>
  </si>
  <si>
    <t>35,91</t>
  </si>
  <si>
    <t>91956</t>
  </si>
  <si>
    <t>91957</t>
  </si>
  <si>
    <t>91958</t>
  </si>
  <si>
    <t>37,22</t>
  </si>
  <si>
    <t>91959</t>
  </si>
  <si>
    <t>91960</t>
  </si>
  <si>
    <t>91961</t>
  </si>
  <si>
    <t>59,72</t>
  </si>
  <si>
    <t>91962</t>
  </si>
  <si>
    <t>91963</t>
  </si>
  <si>
    <t>91964</t>
  </si>
  <si>
    <t>61,04</t>
  </si>
  <si>
    <t>91965</t>
  </si>
  <si>
    <t>91966</t>
  </si>
  <si>
    <t>91967</t>
  </si>
  <si>
    <t>62,31</t>
  </si>
  <si>
    <t>91968</t>
  </si>
  <si>
    <t>91969</t>
  </si>
  <si>
    <t>91970</t>
  </si>
  <si>
    <t>91971</t>
  </si>
  <si>
    <t>91972</t>
  </si>
  <si>
    <t>91973</t>
  </si>
  <si>
    <t>91974</t>
  </si>
  <si>
    <t>91975</t>
  </si>
  <si>
    <t>91976</t>
  </si>
  <si>
    <t>91977</t>
  </si>
  <si>
    <t>91978</t>
  </si>
  <si>
    <t>91979</t>
  </si>
  <si>
    <t>91980</t>
  </si>
  <si>
    <t>91981</t>
  </si>
  <si>
    <t>91982</t>
  </si>
  <si>
    <t>91983</t>
  </si>
  <si>
    <t>91984</t>
  </si>
  <si>
    <t>19,40</t>
  </si>
  <si>
    <t>91985</t>
  </si>
  <si>
    <t>91986</t>
  </si>
  <si>
    <t>39,28</t>
  </si>
  <si>
    <t>91987</t>
  </si>
  <si>
    <t>91988</t>
  </si>
  <si>
    <t>91989</t>
  </si>
  <si>
    <t>31,60</t>
  </si>
  <si>
    <t>91990</t>
  </si>
  <si>
    <t>91991</t>
  </si>
  <si>
    <t>40,20</t>
  </si>
  <si>
    <t>91992</t>
  </si>
  <si>
    <t>91993</t>
  </si>
  <si>
    <t>48,53</t>
  </si>
  <si>
    <t>91994</t>
  </si>
  <si>
    <t>91995</t>
  </si>
  <si>
    <t>91996</t>
  </si>
  <si>
    <t>91997</t>
  </si>
  <si>
    <t>91998</t>
  </si>
  <si>
    <t>91999</t>
  </si>
  <si>
    <t>24,08</t>
  </si>
  <si>
    <t>92000</t>
  </si>
  <si>
    <t>30,32</t>
  </si>
  <si>
    <t>92001</t>
  </si>
  <si>
    <t>92002</t>
  </si>
  <si>
    <t>92003</t>
  </si>
  <si>
    <t>92004</t>
  </si>
  <si>
    <t>57,56</t>
  </si>
  <si>
    <t>92005</t>
  </si>
  <si>
    <t>92006</t>
  </si>
  <si>
    <t>40,22</t>
  </si>
  <si>
    <t>92007</t>
  </si>
  <si>
    <t>92008</t>
  </si>
  <si>
    <t>92009</t>
  </si>
  <si>
    <t>92010</t>
  </si>
  <si>
    <t>92011</t>
  </si>
  <si>
    <t>78,24</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</si>
  <si>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</si>
  <si>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</si>
  <si>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</si>
  <si>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</si>
  <si>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</si>
  <si>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</si>
  <si>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</si>
  <si>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</si>
  <si>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</si>
  <si>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</si>
  <si>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</si>
  <si>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</si>
  <si>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</si>
  <si>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</si>
  <si>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</si>
  <si>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</si>
  <si>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</si>
  <si>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</si>
  <si>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</si>
  <si>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</si>
  <si>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</si>
  <si>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</si>
  <si>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</si>
  <si>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</si>
  <si>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</si>
  <si>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</si>
  <si>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</si>
  <si>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</si>
  <si>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</si>
  <si>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</si>
  <si>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</si>
  <si>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</si>
  <si>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</si>
  <si>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</si>
  <si>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</si>
  <si>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</si>
  <si>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</si>
  <si>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</si>
  <si>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</si>
  <si>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</si>
  <si>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</si>
  <si>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</si>
  <si>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</si>
  <si>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</si>
  <si>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</si>
  <si>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</si>
  <si>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</si>
  <si>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</si>
  <si>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</si>
  <si>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</si>
  <si>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77,48</t>
  </si>
  <si>
    <t>97598</t>
  </si>
  <si>
    <t>SENSOR DE PRESENÇA SEM FOTOCÉLULA, FIXAÇÃO EM TETO - FORNECIMENTO E INSTALAÇÃO. AF_02/2020</t>
  </si>
  <si>
    <t>97599</t>
  </si>
  <si>
    <t>LUMINÁRIA DE EMERGÊNCIA, COM 30 LÂMPADAS LED DE 2 W, SEM REATOR - FORNECIMENTO E INSTALAÇÃO. AF_02/2020</t>
  </si>
  <si>
    <t>30,27</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</si>
  <si>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</si>
  <si>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</si>
  <si>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</si>
  <si>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</si>
  <si>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</si>
  <si>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</si>
  <si>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</si>
  <si>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</si>
  <si>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</si>
  <si>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</si>
  <si>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</si>
  <si>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</si>
  <si>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</si>
  <si>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</si>
  <si>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</si>
  <si>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</si>
  <si>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</si>
  <si>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</si>
  <si>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66,67</t>
  </si>
  <si>
    <t>97618</t>
  </si>
  <si>
    <t>LÂMPADA TUBULAR FLUORESCENTE T5 DE 14 W, BASE G13 - FORNECIMENTO E INSTALAÇÃO. AF_02/2020_PS</t>
  </si>
  <si>
    <t>100902</t>
  </si>
  <si>
    <t>LÂMPADA TUBULAR LED DE 9/10 W, BASE G13 - FORNECIMENTO E INSTALAÇÃO. AF_02/2020_PS</t>
  </si>
  <si>
    <t>100903</t>
  </si>
  <si>
    <t>LÂMPADA TUBULAR LED DE 18/20 W, BASE G13 - FORNECIMENTO E INSTALAÇÃO. AF_02/2020_PS</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</si>
  <si>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</si>
  <si>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</si>
  <si>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</si>
  <si>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</si>
  <si>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</si>
  <si>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</si>
  <si>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</si>
  <si>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</si>
  <si>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</si>
  <si>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</si>
  <si>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</si>
  <si>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</si>
  <si>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74,29</t>
  </si>
  <si>
    <t>100922</t>
  </si>
  <si>
    <t>REATOR DE PARTIDA RÁPIDA PARA LÂMPADA FLUORESCENTE 1X20W - FORNECIMENTO E INSTALAÇÃO. AF_02/2020</t>
  </si>
  <si>
    <t>100923</t>
  </si>
  <si>
    <t>REATOR DE PARTIDA RÁPIDA PARA LÂMPADA FLUORESCENTE 1X40W - FORNECIMENTO E INSTALAÇÃO. AF_02/2020</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</si>
  <si>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</si>
  <si>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</si>
  <si>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</si>
  <si>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</si>
  <si>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</si>
  <si>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</si>
  <si>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</si>
  <si>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</si>
  <si>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</si>
  <si>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</si>
  <si>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</si>
  <si>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</si>
  <si>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</si>
  <si>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</si>
  <si>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</si>
  <si>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</si>
  <si>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</si>
  <si>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</si>
  <si>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</si>
  <si>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</si>
  <si>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</si>
  <si>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</si>
  <si>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</si>
  <si>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</si>
  <si>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</si>
  <si>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</si>
  <si>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</si>
  <si>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</si>
  <si>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</si>
  <si>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</si>
  <si>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</si>
  <si>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</si>
  <si>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</si>
  <si>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</si>
  <si>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</si>
  <si>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</si>
  <si>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</si>
  <si>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</si>
  <si>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</si>
  <si>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</si>
  <si>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</si>
  <si>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</si>
  <si>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</si>
  <si>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</si>
  <si>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</si>
  <si>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</si>
  <si>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</si>
  <si>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</si>
  <si>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</si>
  <si>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</si>
  <si>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</si>
  <si>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</si>
  <si>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</si>
  <si>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</si>
  <si>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</si>
  <si>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</si>
  <si>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</si>
  <si>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</si>
  <si>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</si>
  <si>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</si>
  <si>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</si>
  <si>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</si>
  <si>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</si>
  <si>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</si>
  <si>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</si>
  <si>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</si>
  <si>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</si>
  <si>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</si>
  <si>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</si>
  <si>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</si>
  <si>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</si>
  <si>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</si>
  <si>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</si>
  <si>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</si>
  <si>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</si>
  <si>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</si>
  <si>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</si>
  <si>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</si>
  <si>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</si>
  <si>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</si>
  <si>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</si>
  <si>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</si>
  <si>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</si>
  <si>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</si>
  <si>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</si>
  <si>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</si>
  <si>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</si>
  <si>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</si>
  <si>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</si>
  <si>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</si>
  <si>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</si>
  <si>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</si>
  <si>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</si>
  <si>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</si>
  <si>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</si>
  <si>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</si>
  <si>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</si>
  <si>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</si>
  <si>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</si>
  <si>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</si>
  <si>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</si>
  <si>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</si>
  <si>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</si>
  <si>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</si>
  <si>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</si>
  <si>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</si>
  <si>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</si>
  <si>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</si>
  <si>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</si>
  <si>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</si>
  <si>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</si>
  <si>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</si>
  <si>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</si>
  <si>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</si>
  <si>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</si>
  <si>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</si>
  <si>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</si>
  <si>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</si>
  <si>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</si>
  <si>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</si>
  <si>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</si>
  <si>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</si>
  <si>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</si>
  <si>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</si>
  <si>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</si>
  <si>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</si>
  <si>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</si>
  <si>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</si>
  <si>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</si>
  <si>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9,16</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</si>
  <si>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</si>
  <si>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</si>
  <si>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</si>
  <si>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</si>
  <si>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</si>
  <si>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</si>
  <si>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</si>
  <si>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</si>
  <si>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</si>
  <si>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</si>
  <si>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</si>
  <si>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</si>
  <si>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</si>
  <si>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</si>
  <si>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</si>
  <si>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</si>
  <si>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</si>
  <si>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</si>
  <si>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</si>
  <si>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</si>
  <si>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</si>
  <si>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</si>
  <si>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</si>
  <si>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</si>
  <si>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</si>
  <si>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</si>
  <si>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</si>
  <si>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</si>
  <si>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</si>
  <si>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</si>
  <si>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</si>
  <si>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</si>
  <si>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</si>
  <si>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</si>
  <si>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</si>
  <si>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</si>
  <si>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</si>
  <si>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</si>
  <si>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</si>
  <si>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</si>
  <si>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</si>
  <si>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</si>
  <si>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</si>
  <si>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</si>
  <si>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</si>
  <si>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</si>
  <si>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</si>
  <si>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</si>
  <si>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</si>
  <si>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</si>
  <si>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</si>
  <si>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</si>
  <si>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</si>
  <si>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</si>
  <si>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</si>
  <si>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50,16</t>
  </si>
  <si>
    <t>101649</t>
  </si>
  <si>
    <t>LÂMPADA VAPOR DE SÓDIO 250 W - FORNECIMENTO E INSTALAÇÃO. AF_08/2020</t>
  </si>
  <si>
    <t>57,73</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</si>
  <si>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</si>
  <si>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</si>
  <si>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</si>
  <si>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</si>
  <si>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</si>
  <si>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</si>
  <si>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</si>
  <si>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</si>
  <si>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</si>
  <si>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</si>
  <si>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</si>
  <si>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</si>
  <si>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</si>
  <si>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</si>
  <si>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</si>
  <si>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</si>
  <si>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</si>
  <si>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</si>
  <si>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</si>
  <si>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</si>
  <si>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</si>
  <si>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</si>
  <si>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</si>
  <si>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</si>
  <si>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</si>
  <si>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</si>
  <si>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</si>
  <si>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</si>
  <si>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</si>
  <si>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</si>
  <si>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</si>
  <si>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</si>
  <si>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</si>
  <si>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</si>
  <si>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</si>
  <si>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</si>
  <si>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</si>
  <si>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</si>
  <si>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</si>
  <si>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</si>
  <si>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</si>
  <si>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</si>
  <si>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</si>
  <si>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</si>
  <si>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</si>
  <si>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</si>
  <si>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</si>
  <si>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</si>
  <si>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</si>
  <si>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</si>
  <si>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</si>
  <si>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</si>
  <si>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</si>
  <si>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</si>
  <si>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</si>
  <si>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</si>
  <si>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</si>
  <si>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</si>
  <si>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</si>
  <si>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</si>
  <si>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</si>
  <si>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</si>
  <si>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</si>
  <si>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</si>
  <si>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</si>
  <si>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</si>
  <si>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</si>
  <si>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</si>
  <si>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</si>
  <si>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</si>
  <si>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</si>
  <si>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</si>
  <si>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</si>
  <si>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</si>
  <si>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</si>
  <si>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</si>
  <si>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</si>
  <si>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</si>
  <si>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</si>
  <si>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</si>
  <si>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</si>
  <si>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</si>
  <si>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</si>
  <si>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</si>
  <si>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</si>
  <si>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</si>
  <si>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</si>
  <si>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</si>
  <si>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596,96</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</si>
  <si>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</si>
  <si>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</si>
  <si>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</si>
  <si>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</si>
  <si>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</si>
  <si>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</si>
  <si>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</si>
  <si>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</si>
  <si>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</si>
  <si>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</si>
  <si>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</si>
  <si>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</si>
  <si>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</si>
  <si>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</si>
  <si>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</si>
  <si>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</si>
  <si>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</si>
  <si>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</si>
  <si>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</si>
  <si>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</si>
  <si>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</si>
  <si>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</si>
  <si>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</si>
  <si>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</si>
  <si>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</si>
  <si>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</si>
  <si>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</si>
  <si>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</si>
  <si>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</si>
  <si>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</si>
  <si>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</si>
  <si>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</si>
  <si>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</si>
  <si>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</si>
  <si>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</si>
  <si>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</si>
  <si>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</si>
  <si>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</si>
  <si>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</si>
  <si>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</si>
  <si>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</si>
  <si>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</si>
  <si>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</si>
  <si>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</si>
  <si>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</si>
  <si>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</si>
  <si>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</si>
  <si>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</si>
  <si>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</si>
  <si>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</si>
  <si>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</si>
  <si>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</si>
  <si>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</si>
  <si>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</si>
  <si>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</si>
  <si>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</si>
  <si>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</si>
  <si>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</si>
  <si>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</si>
  <si>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</si>
  <si>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</si>
  <si>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</si>
  <si>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</si>
  <si>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</si>
  <si>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</si>
  <si>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</si>
  <si>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</si>
  <si>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</si>
  <si>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</si>
  <si>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</si>
  <si>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</si>
  <si>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</si>
  <si>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</si>
  <si>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</si>
  <si>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</si>
  <si>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</si>
  <si>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</si>
  <si>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</si>
  <si>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</si>
  <si>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</si>
  <si>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</si>
  <si>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</si>
  <si>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</si>
  <si>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</si>
  <si>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</si>
  <si>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</si>
  <si>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</si>
  <si>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</si>
  <si>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</si>
  <si>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</si>
  <si>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</si>
  <si>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</si>
  <si>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</si>
  <si>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</si>
  <si>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</si>
  <si>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</si>
  <si>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</si>
  <si>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</si>
  <si>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</si>
  <si>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</si>
  <si>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</si>
  <si>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</si>
  <si>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</si>
  <si>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</si>
  <si>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</si>
  <si>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</si>
  <si>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</si>
  <si>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</si>
  <si>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</si>
  <si>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</si>
  <si>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</si>
  <si>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</si>
  <si>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</si>
  <si>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</si>
  <si>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</si>
  <si>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</si>
  <si>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</si>
  <si>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</si>
  <si>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</si>
  <si>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</si>
  <si>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</si>
  <si>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</si>
  <si>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</si>
  <si>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</si>
  <si>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27,54</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</si>
  <si>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</si>
  <si>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</si>
  <si>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</si>
  <si>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</si>
  <si>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</si>
  <si>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</si>
  <si>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</si>
  <si>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</si>
  <si>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</si>
  <si>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</si>
  <si>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</si>
  <si>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</si>
  <si>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</si>
  <si>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</si>
  <si>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</si>
  <si>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</si>
  <si>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</si>
  <si>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</si>
  <si>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</si>
  <si>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</si>
  <si>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</si>
  <si>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</si>
  <si>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</si>
  <si>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</si>
  <si>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</si>
  <si>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</si>
  <si>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</si>
  <si>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</si>
  <si>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</si>
  <si>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</si>
  <si>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</si>
  <si>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</si>
  <si>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</si>
  <si>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</si>
  <si>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</si>
  <si>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</si>
  <si>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5,55</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</si>
  <si>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</si>
  <si>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</si>
  <si>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</si>
  <si>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</si>
  <si>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6,80</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</si>
  <si>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</si>
  <si>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</si>
  <si>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</si>
  <si>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</si>
  <si>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8,37</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</si>
  <si>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</si>
  <si>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</si>
  <si>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</si>
  <si>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</si>
  <si>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</si>
  <si>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</si>
  <si>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27,38</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</si>
  <si>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</si>
  <si>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</si>
  <si>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</si>
  <si>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</si>
  <si>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</si>
  <si>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</si>
  <si>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</si>
  <si>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</si>
  <si>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</si>
  <si>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</si>
  <si>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</si>
  <si>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</si>
  <si>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</si>
  <si>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</si>
  <si>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</si>
  <si>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</si>
  <si>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16,59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</si>
  <si>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</si>
  <si>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</si>
  <si>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</si>
  <si>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</si>
  <si>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</si>
  <si>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</si>
  <si>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</si>
  <si>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</si>
  <si>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10,34</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</si>
  <si>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</si>
  <si>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</si>
  <si>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</si>
  <si>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</si>
  <si>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</si>
  <si>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</si>
  <si>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</si>
  <si>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</si>
  <si>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</si>
  <si>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</si>
  <si>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17,75</t>
  </si>
  <si>
    <t>98287</t>
  </si>
  <si>
    <t>CABO TELEFÔNICO CCI-50 1 PAR, SEM BLINDAGEM, INSTALADO EM DISTRIBUIÇÃO DE EDIFICAÇÃO INSTITUCIONAL - FORNECIMENTO E INSTALAÇÃO. AF_11/2019</t>
  </si>
  <si>
    <t>1,75</t>
  </si>
  <si>
    <t>98288</t>
  </si>
  <si>
    <t>CABO TELEFÔNICO CCI-50 2 PARES, SEM BLINDAGEM, INSTALADO EM DISTRIBUIÇÃO DE EDIFICAÇÃO INSTITUCIONAL - FORNECIMENTO E INSTALAÇÃO. AF_11/2019</t>
  </si>
  <si>
    <t>2,68</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</si>
  <si>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</si>
  <si>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</si>
  <si>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</si>
  <si>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</si>
  <si>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</si>
  <si>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</si>
  <si>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4,59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</si>
  <si>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</si>
  <si>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</si>
  <si>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</si>
  <si>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</si>
  <si>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10,09</t>
  </si>
  <si>
    <t>98400</t>
  </si>
  <si>
    <t>CABO TELEFÔNICO CTP-APL-50 10 PARES INSTALADO EM ENTRADA DE EDIFICAÇÃO - FORNECIMENTO E INSTALAÇÃO. AF_11/2019</t>
  </si>
  <si>
    <t>98401</t>
  </si>
  <si>
    <t>CABO TELEFÔNICO CTP-APL-50 20 PARES INSTALADO EM ENTRADA DE EDIFICAÇÃO - FORNECIMENTO E INSTALAÇÃO. AF_11/2019</t>
  </si>
  <si>
    <t>24,03</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</si>
  <si>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</si>
  <si>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</si>
  <si>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</si>
  <si>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</si>
  <si>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</si>
  <si>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</si>
  <si>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</si>
  <si>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</si>
  <si>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</si>
  <si>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</si>
  <si>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</si>
  <si>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</si>
  <si>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</si>
  <si>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</si>
  <si>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</si>
  <si>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</si>
  <si>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</si>
  <si>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</si>
  <si>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</si>
  <si>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</si>
  <si>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</si>
  <si>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PINTURA ANTICORROSIVA DE DUTO METÁLICO. AF_04/2018</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</si>
  <si>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</si>
  <si>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</si>
  <si>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</si>
  <si>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</si>
  <si>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</si>
  <si>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</si>
  <si>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</si>
  <si>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</si>
  <si>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</si>
  <si>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</si>
  <si>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</si>
  <si>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</si>
  <si>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</si>
  <si>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</si>
  <si>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</si>
  <si>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</si>
  <si>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</si>
  <si>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</si>
  <si>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</si>
  <si>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</si>
  <si>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</si>
  <si>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</si>
  <si>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</si>
  <si>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</si>
  <si>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</si>
  <si>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</si>
  <si>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</si>
  <si>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</si>
  <si>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</si>
  <si>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</si>
  <si>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</si>
  <si>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</si>
  <si>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</si>
  <si>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</si>
  <si>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</si>
  <si>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</si>
  <si>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</si>
  <si>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</si>
  <si>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</si>
  <si>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</si>
  <si>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</si>
  <si>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</si>
  <si>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</si>
  <si>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</si>
  <si>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</si>
  <si>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</si>
  <si>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</si>
  <si>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</si>
  <si>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</si>
  <si>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</si>
  <si>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</si>
  <si>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</si>
  <si>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</si>
  <si>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</si>
  <si>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</si>
  <si>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</si>
  <si>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</si>
  <si>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</si>
  <si>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</si>
  <si>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</si>
  <si>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</si>
  <si>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</si>
  <si>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</si>
  <si>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</si>
  <si>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</si>
  <si>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</si>
  <si>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</si>
  <si>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</si>
  <si>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</si>
  <si>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</si>
  <si>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</si>
  <si>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</si>
  <si>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</si>
  <si>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</si>
  <si>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</si>
  <si>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</si>
  <si>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</si>
  <si>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</si>
  <si>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</si>
  <si>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</si>
  <si>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</si>
  <si>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</si>
  <si>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</si>
  <si>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</si>
  <si>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</si>
  <si>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</si>
  <si>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</si>
  <si>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</si>
  <si>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</si>
  <si>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</si>
  <si>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</si>
  <si>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</si>
  <si>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</si>
  <si>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</si>
  <si>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</si>
  <si>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</si>
  <si>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24,82</t>
  </si>
  <si>
    <t>98300</t>
  </si>
  <si>
    <t>CABO COAXIAL RG6 95% - FORNECIMENTO E INSTALAÇÃO. AF_11/2019</t>
  </si>
  <si>
    <t>6,84</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</si>
  <si>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</si>
  <si>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</si>
  <si>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</si>
  <si>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</si>
  <si>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</si>
  <si>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</si>
  <si>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</si>
  <si>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</si>
  <si>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</si>
  <si>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</si>
  <si>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</si>
  <si>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</si>
  <si>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</si>
  <si>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</si>
  <si>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</si>
  <si>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</si>
  <si>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100553</t>
  </si>
  <si>
    <t>CABO COAXIAL RG11 95% - FORNECIMENTO E INSTALAÇÃO. AF_11/2019</t>
  </si>
  <si>
    <t>100554</t>
  </si>
  <si>
    <t>CABO COAXIAL RG59 95% - FORNECIMENTO E INSTALAÇÃO. AF_11/2019</t>
  </si>
  <si>
    <t>100555</t>
  </si>
  <si>
    <t>RACK ABERTO EM COLUNA 44U PARA SERVIDOR - FORNECIMENTO E INSTALAÇÃO. AF_11/2019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</si>
  <si>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</si>
  <si>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</si>
  <si>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</si>
  <si>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</si>
  <si>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</si>
  <si>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</si>
  <si>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</si>
  <si>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</si>
  <si>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</si>
  <si>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</si>
  <si>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</si>
  <si>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</si>
  <si>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</si>
  <si>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</si>
  <si>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</si>
  <si>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</si>
  <si>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11,76</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</si>
  <si>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</si>
  <si>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</si>
  <si>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</si>
  <si>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</si>
  <si>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</si>
  <si>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</si>
  <si>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</si>
  <si>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</si>
  <si>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</si>
  <si>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</si>
  <si>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</si>
  <si>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</si>
  <si>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</si>
  <si>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</si>
  <si>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</si>
  <si>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</si>
  <si>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</si>
  <si>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</si>
  <si>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</si>
  <si>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</si>
  <si>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</si>
  <si>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</si>
  <si>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</si>
  <si>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</si>
  <si>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</si>
  <si>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</si>
  <si>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</si>
  <si>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</si>
  <si>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</si>
  <si>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</si>
  <si>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</si>
  <si>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</si>
  <si>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</si>
  <si>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</si>
  <si>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24,26</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</si>
  <si>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</si>
  <si>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</si>
  <si>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</si>
  <si>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</si>
  <si>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</si>
  <si>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</si>
  <si>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</si>
  <si>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</si>
  <si>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</si>
  <si>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</si>
  <si>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</si>
  <si>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</si>
  <si>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</si>
  <si>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</si>
  <si>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</si>
  <si>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</si>
  <si>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</si>
  <si>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</si>
  <si>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</si>
  <si>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</si>
  <si>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</si>
  <si>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</si>
  <si>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</si>
  <si>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</si>
  <si>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</si>
  <si>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</si>
  <si>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</si>
  <si>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</si>
  <si>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</si>
  <si>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</si>
  <si>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19,21</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</si>
  <si>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</si>
  <si>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</si>
  <si>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</si>
  <si>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</si>
  <si>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</si>
  <si>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</si>
  <si>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</si>
  <si>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</si>
  <si>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</si>
  <si>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</si>
  <si>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</si>
  <si>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</si>
  <si>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</si>
  <si>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</si>
  <si>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</si>
  <si>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</si>
  <si>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</si>
  <si>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</si>
  <si>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</si>
  <si>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</si>
  <si>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</si>
  <si>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</si>
  <si>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</si>
  <si>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</si>
  <si>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</si>
  <si>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</si>
  <si>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</si>
  <si>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</si>
  <si>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</si>
  <si>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</si>
  <si>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</si>
  <si>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</si>
  <si>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</si>
  <si>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</si>
  <si>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</si>
  <si>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</si>
  <si>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</si>
  <si>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</si>
  <si>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</si>
  <si>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</si>
  <si>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</si>
  <si>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</si>
  <si>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</si>
  <si>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</si>
  <si>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</si>
  <si>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</si>
  <si>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</si>
  <si>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</si>
  <si>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</si>
  <si>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</si>
  <si>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</si>
  <si>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</si>
  <si>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</si>
  <si>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</si>
  <si>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</si>
  <si>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</si>
  <si>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</si>
  <si>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</si>
  <si>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</si>
  <si>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</si>
  <si>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</si>
  <si>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</si>
  <si>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</si>
  <si>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</si>
  <si>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</si>
  <si>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</si>
  <si>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</si>
  <si>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</si>
  <si>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</si>
  <si>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</si>
  <si>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</si>
  <si>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</si>
  <si>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</si>
  <si>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</si>
  <si>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</si>
  <si>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</si>
  <si>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</si>
  <si>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</si>
  <si>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</si>
  <si>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</si>
  <si>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</si>
  <si>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</si>
  <si>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</si>
  <si>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</si>
  <si>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</si>
  <si>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</si>
  <si>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</si>
  <si>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</si>
  <si>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</si>
  <si>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</si>
  <si>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</si>
  <si>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</si>
  <si>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</si>
  <si>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</si>
  <si>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</si>
  <si>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</si>
  <si>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</si>
  <si>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</si>
  <si>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</si>
  <si>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</si>
  <si>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</si>
  <si>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</si>
  <si>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</si>
  <si>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</si>
  <si>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</si>
  <si>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</si>
  <si>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</si>
  <si>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</si>
  <si>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</si>
  <si>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</si>
  <si>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</si>
  <si>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</si>
  <si>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</si>
  <si>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</si>
  <si>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</si>
  <si>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</si>
  <si>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</si>
  <si>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</si>
  <si>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</si>
  <si>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</si>
  <si>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</si>
  <si>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</si>
  <si>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</si>
  <si>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</si>
  <si>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</si>
  <si>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</si>
  <si>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</si>
  <si>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</si>
  <si>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</si>
  <si>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</si>
  <si>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</si>
  <si>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</si>
  <si>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</si>
  <si>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</si>
  <si>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</si>
  <si>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</si>
  <si>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</si>
  <si>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</si>
  <si>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</si>
  <si>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</si>
  <si>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</si>
  <si>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</si>
  <si>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</si>
  <si>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</si>
  <si>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</si>
  <si>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</si>
  <si>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</si>
  <si>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</si>
  <si>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</si>
  <si>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</si>
  <si>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</si>
  <si>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</si>
  <si>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</si>
  <si>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</si>
  <si>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12,25</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</si>
  <si>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</si>
  <si>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</si>
  <si>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</si>
  <si>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</si>
  <si>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26,67</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</si>
  <si>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</si>
  <si>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</si>
  <si>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</si>
  <si>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</si>
  <si>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</si>
  <si>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</si>
  <si>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</si>
  <si>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</si>
  <si>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</si>
  <si>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</si>
  <si>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</si>
  <si>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</si>
  <si>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</si>
  <si>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</si>
  <si>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</si>
  <si>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</si>
  <si>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</si>
  <si>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</si>
  <si>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</si>
  <si>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</si>
  <si>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</si>
  <si>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</si>
  <si>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</si>
  <si>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</si>
  <si>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94723</t>
  </si>
  <si>
    <t>TUBO, CPVC, SOLDÁVEL, DN 114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</si>
  <si>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</si>
  <si>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</si>
  <si>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</si>
  <si>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</si>
  <si>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44,53</t>
  </si>
  <si>
    <t>96636</t>
  </si>
  <si>
    <t>TUBO, PPR, DN 25, CLASSE PN 25 INSTALADO EM RAMAL OU SUB-RAMAL DE ÁGUA   FORNECIMENTO E INSTALAÇÃO. AF_08/2022</t>
  </si>
  <si>
    <t>96644</t>
  </si>
  <si>
    <t>TUBO, PPR, DN 25, CLASSE PN 20,  INSTALADO EM RAMAL DE DISTRIBUIÇÃO DE ÁGUA   FORNECIMENTO E INSTALAÇÃO. AF_08/2022</t>
  </si>
  <si>
    <t>23,71</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</si>
  <si>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</si>
  <si>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</si>
  <si>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</si>
  <si>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</si>
  <si>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</si>
  <si>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</si>
  <si>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</si>
  <si>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</si>
  <si>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</si>
  <si>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</si>
  <si>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</si>
  <si>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</si>
  <si>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18,17</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</si>
  <si>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</si>
  <si>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</si>
  <si>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</si>
  <si>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</si>
  <si>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</si>
  <si>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</si>
  <si>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</si>
  <si>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</si>
  <si>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</si>
  <si>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</si>
  <si>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</si>
  <si>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</si>
  <si>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</si>
  <si>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</si>
  <si>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</si>
  <si>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</si>
  <si>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</si>
  <si>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</si>
  <si>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</si>
  <si>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</si>
  <si>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</si>
  <si>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</si>
  <si>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</si>
  <si>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</si>
  <si>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</si>
  <si>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</si>
  <si>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</si>
  <si>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</si>
  <si>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</si>
  <si>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</si>
  <si>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</si>
  <si>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TUBO, PPR, DN 20, CLASSE PN 20,  INSTALADO EM RESERVAÇÃO DE ÁGUA DE EDIFICAÇÃO QUE POSSUA RESERVATÓRIO DE FIBRA/FIBROCIMENTO  FORNECIMENTO E INSTALAÇÃO. AF_06/2016</t>
  </si>
  <si>
    <t>10,37</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</si>
  <si>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</si>
  <si>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</si>
  <si>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</si>
  <si>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</si>
  <si>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</si>
  <si>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</si>
  <si>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</si>
  <si>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</si>
  <si>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</si>
  <si>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</si>
  <si>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</si>
  <si>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</si>
  <si>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</si>
  <si>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</si>
  <si>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</si>
  <si>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</si>
  <si>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</si>
  <si>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</si>
  <si>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</si>
  <si>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</si>
  <si>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23,19</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</si>
  <si>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</si>
  <si>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</si>
  <si>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</si>
  <si>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</si>
  <si>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39,27</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</si>
  <si>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</si>
  <si>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</si>
  <si>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</si>
  <si>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</si>
  <si>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</si>
  <si>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</si>
  <si>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</si>
  <si>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</si>
  <si>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</si>
  <si>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</si>
  <si>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</si>
  <si>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96799</t>
  </si>
  <si>
    <t>96800</t>
  </si>
  <si>
    <t>96801</t>
  </si>
  <si>
    <t>29,27</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</si>
  <si>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</si>
  <si>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</si>
  <si>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</si>
  <si>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</si>
  <si>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</si>
  <si>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</si>
  <si>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</si>
  <si>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</si>
  <si>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</si>
  <si>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</si>
  <si>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</si>
  <si>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</si>
  <si>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</si>
  <si>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</si>
  <si>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</si>
  <si>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</si>
  <si>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</si>
  <si>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</si>
  <si>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</si>
  <si>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</si>
  <si>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</si>
  <si>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</si>
  <si>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</si>
  <si>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</si>
  <si>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</si>
  <si>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</si>
  <si>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</si>
  <si>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</si>
  <si>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</si>
  <si>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</si>
  <si>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</si>
  <si>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</si>
  <si>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</si>
  <si>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</si>
  <si>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</si>
  <si>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</si>
  <si>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</si>
  <si>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</si>
  <si>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</si>
  <si>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</si>
  <si>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</si>
  <si>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</si>
  <si>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</si>
  <si>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</si>
  <si>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</si>
  <si>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</si>
  <si>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</si>
  <si>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</si>
  <si>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</si>
  <si>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</si>
  <si>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</si>
  <si>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</si>
  <si>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</si>
  <si>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</si>
  <si>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</si>
  <si>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</si>
  <si>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</si>
  <si>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</si>
  <si>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</si>
  <si>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</si>
  <si>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</si>
  <si>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</si>
  <si>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</si>
  <si>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</si>
  <si>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29,88</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</si>
  <si>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</si>
  <si>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</si>
  <si>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</si>
  <si>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</si>
  <si>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</si>
  <si>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</si>
  <si>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</si>
  <si>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</si>
  <si>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</si>
  <si>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</si>
  <si>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</si>
  <si>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</si>
  <si>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53,54</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</si>
  <si>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</si>
  <si>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</si>
  <si>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</si>
  <si>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</si>
  <si>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</si>
  <si>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</si>
  <si>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</si>
  <si>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</si>
  <si>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</si>
  <si>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</si>
  <si>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</si>
  <si>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</si>
  <si>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</si>
  <si>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</si>
  <si>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</si>
  <si>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</si>
  <si>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</si>
  <si>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</si>
  <si>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</si>
  <si>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</si>
  <si>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</si>
  <si>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</si>
  <si>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</si>
  <si>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</si>
  <si>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</si>
  <si>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</si>
  <si>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</si>
  <si>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</si>
  <si>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</si>
  <si>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</si>
  <si>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</si>
  <si>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</si>
  <si>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</si>
  <si>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</si>
  <si>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</si>
  <si>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</si>
  <si>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</si>
  <si>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</si>
  <si>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</si>
  <si>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</si>
  <si>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</si>
  <si>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</si>
  <si>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</si>
  <si>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</si>
  <si>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</si>
  <si>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</si>
  <si>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</si>
  <si>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</si>
  <si>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</si>
  <si>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</si>
  <si>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</si>
  <si>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</si>
  <si>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</si>
  <si>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</si>
  <si>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</si>
  <si>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</si>
  <si>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</si>
  <si>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</si>
  <si>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</si>
  <si>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</si>
  <si>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</si>
  <si>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</si>
  <si>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</si>
  <si>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</si>
  <si>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</si>
  <si>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</si>
  <si>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</si>
  <si>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</si>
  <si>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</si>
  <si>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</si>
  <si>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</si>
  <si>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</si>
  <si>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72,20</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</si>
  <si>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</si>
  <si>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</si>
  <si>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</si>
  <si>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</si>
  <si>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</si>
  <si>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</si>
  <si>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</si>
  <si>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</si>
  <si>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</si>
  <si>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</si>
  <si>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</si>
  <si>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</si>
  <si>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</si>
  <si>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</si>
  <si>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</si>
  <si>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</si>
  <si>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</si>
  <si>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</si>
  <si>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</si>
  <si>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</si>
  <si>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25,84</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</si>
  <si>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</si>
  <si>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</si>
  <si>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</si>
  <si>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</si>
  <si>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</si>
  <si>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</si>
  <si>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</si>
  <si>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</si>
  <si>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</si>
  <si>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</si>
  <si>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10,32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</si>
  <si>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</si>
  <si>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</si>
  <si>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</si>
  <si>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</si>
  <si>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</si>
  <si>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</si>
  <si>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</si>
  <si>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</si>
  <si>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</si>
  <si>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</si>
  <si>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</si>
  <si>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</si>
  <si>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</si>
  <si>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</si>
  <si>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</si>
  <si>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</si>
  <si>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</si>
  <si>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</si>
  <si>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</si>
  <si>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</si>
  <si>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</si>
  <si>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</si>
  <si>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</si>
  <si>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</si>
  <si>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</si>
  <si>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</si>
  <si>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</si>
  <si>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</si>
  <si>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</si>
  <si>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</si>
  <si>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</si>
  <si>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</si>
  <si>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</si>
  <si>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</si>
  <si>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</si>
  <si>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</si>
  <si>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10,81</t>
  </si>
  <si>
    <t>89381</t>
  </si>
  <si>
    <t>LUVA COM BUCHA DE LATÃO, PVC, SOLDÁVEL, DN 25MM X 3/4 , INSTALADO EM RAMAL OU SUB-RAMAL DE ÁGUA - FORNECIMENTO E INSTALAÇÃO. AF_06/2022</t>
  </si>
  <si>
    <t>13,41</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</si>
  <si>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</si>
  <si>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</si>
  <si>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</si>
  <si>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</si>
  <si>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</si>
  <si>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</si>
  <si>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14,08</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</si>
  <si>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</si>
  <si>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</si>
  <si>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</si>
  <si>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</si>
  <si>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</si>
  <si>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</si>
  <si>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</si>
  <si>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</si>
  <si>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</si>
  <si>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</si>
  <si>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</si>
  <si>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</si>
  <si>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9,35</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</si>
  <si>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</si>
  <si>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</si>
  <si>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</si>
  <si>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</si>
  <si>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</si>
  <si>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</si>
  <si>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</si>
  <si>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</si>
  <si>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</si>
  <si>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</si>
  <si>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</si>
  <si>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</si>
  <si>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</si>
  <si>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</si>
  <si>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</si>
  <si>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</si>
  <si>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</si>
  <si>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</si>
  <si>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</si>
  <si>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</si>
  <si>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7,93</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</si>
  <si>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</si>
  <si>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</si>
  <si>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</si>
  <si>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</si>
  <si>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</si>
  <si>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</si>
  <si>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</si>
  <si>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</si>
  <si>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9,40</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</si>
  <si>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</si>
  <si>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</si>
  <si>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</si>
  <si>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</si>
  <si>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11,90</t>
  </si>
  <si>
    <t>89411</t>
  </si>
  <si>
    <t>CURVA 45 GRAUS, PVC, SOLDÁVEL, DN 25MM, INSTALADO EM RAMAL DE DISTRIBUIÇÃO DE ÁGUA - FORNECIMENTO E INSTALAÇÃO. AF_06/2022</t>
  </si>
  <si>
    <t>11,31</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</si>
  <si>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</si>
  <si>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</si>
  <si>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</si>
  <si>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</si>
  <si>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</si>
  <si>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</si>
  <si>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</si>
  <si>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</si>
  <si>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</si>
  <si>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</si>
  <si>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</si>
  <si>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</si>
  <si>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</si>
  <si>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</si>
  <si>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</si>
  <si>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</si>
  <si>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</si>
  <si>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</si>
  <si>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</si>
  <si>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</si>
  <si>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</si>
  <si>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</si>
  <si>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6,96</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</si>
  <si>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</si>
  <si>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</si>
  <si>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</si>
  <si>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</si>
  <si>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</si>
  <si>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</si>
  <si>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</si>
  <si>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</si>
  <si>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</si>
  <si>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</si>
  <si>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6,54</t>
  </si>
  <si>
    <t>89430</t>
  </si>
  <si>
    <t>CURVA DE TRANSPOSIÇÃO, PVC, SOLDÁVEL, DN 25MM, INSTALADO EM RAMAL DE DISTRIBUIÇÃO DE ÁGUA   FORNECIMENTO E INSTALAÇÃO. AF_06/2022</t>
  </si>
  <si>
    <t>13,47</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</si>
  <si>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</si>
  <si>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</si>
  <si>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</si>
  <si>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</si>
  <si>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</si>
  <si>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</si>
  <si>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</si>
  <si>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</si>
  <si>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</si>
  <si>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</si>
  <si>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22,29</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</si>
  <si>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</si>
  <si>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</si>
  <si>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</si>
  <si>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</si>
  <si>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</si>
  <si>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</si>
  <si>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</si>
  <si>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</si>
  <si>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</si>
  <si>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</si>
  <si>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</si>
  <si>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</si>
  <si>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</si>
  <si>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</si>
  <si>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</si>
  <si>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</si>
  <si>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</si>
  <si>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</si>
  <si>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</si>
  <si>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</si>
  <si>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</si>
  <si>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</si>
  <si>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</si>
  <si>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</si>
  <si>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</si>
  <si>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</si>
  <si>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</si>
  <si>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</si>
  <si>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</si>
  <si>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</si>
  <si>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</si>
  <si>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</si>
  <si>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</si>
  <si>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</si>
  <si>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</si>
  <si>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</si>
  <si>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</si>
  <si>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</si>
  <si>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</si>
  <si>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</si>
  <si>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</si>
  <si>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</si>
  <si>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</si>
  <si>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</si>
  <si>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</si>
  <si>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</si>
  <si>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</si>
  <si>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</si>
  <si>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23,94</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</si>
  <si>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</si>
  <si>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</si>
  <si>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</si>
  <si>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</si>
  <si>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</si>
  <si>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</si>
  <si>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</si>
  <si>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</si>
  <si>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</si>
  <si>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</si>
  <si>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</si>
  <si>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</si>
  <si>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</si>
  <si>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</si>
  <si>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</si>
  <si>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</si>
  <si>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</si>
  <si>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</si>
  <si>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</si>
  <si>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</si>
  <si>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</si>
  <si>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</si>
  <si>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</si>
  <si>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</si>
  <si>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</si>
  <si>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</si>
  <si>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</si>
  <si>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</si>
  <si>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</si>
  <si>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</si>
  <si>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31,06</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</si>
  <si>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</si>
  <si>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</si>
  <si>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</si>
  <si>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</si>
  <si>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</si>
  <si>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</si>
  <si>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</si>
  <si>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</si>
  <si>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</si>
  <si>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</si>
  <si>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</si>
  <si>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</si>
  <si>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</si>
  <si>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</si>
  <si>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</si>
  <si>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</si>
  <si>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</si>
  <si>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</si>
  <si>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</si>
  <si>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</si>
  <si>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7,45</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</si>
  <si>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</si>
  <si>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</si>
  <si>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</si>
  <si>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</si>
  <si>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12,42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</si>
  <si>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</si>
  <si>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</si>
  <si>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</si>
  <si>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</si>
  <si>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</si>
  <si>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</si>
  <si>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</si>
  <si>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</si>
  <si>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</si>
  <si>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</si>
  <si>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</si>
  <si>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</si>
  <si>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</si>
  <si>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</si>
  <si>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</si>
  <si>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</si>
  <si>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</si>
  <si>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</si>
  <si>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</si>
  <si>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</si>
  <si>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43,54</t>
  </si>
  <si>
    <t>89551</t>
  </si>
  <si>
    <t>LUVA SOLDÁVEL E COM ROSCA, PVC, SOLDÁVEL, DN 32MM X 1 , INSTALADO EM PRUMADA DE ÁGUA - FORNECIMENTO E INSTALAÇÃO. AF_06/2022</t>
  </si>
  <si>
    <t>9,00</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</si>
  <si>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</si>
  <si>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</si>
  <si>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</si>
  <si>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</si>
  <si>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</si>
  <si>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</si>
  <si>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</si>
  <si>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</si>
  <si>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</si>
  <si>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</si>
  <si>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</si>
  <si>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</si>
  <si>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</si>
  <si>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</si>
  <si>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10,17</t>
  </si>
  <si>
    <t>89559</t>
  </si>
  <si>
    <t>TÊ DE INSPEÇÃO, PVC, SERIE R, ÁGUA PLUVIAL, DN 100 MM, JUNTA ELÁSTICA, FORNECIDO E INSTALADO EM RAMAL DE ENCAMINHAMENTO. AF_06/2022</t>
  </si>
  <si>
    <t>71,23</t>
  </si>
  <si>
    <t>89560</t>
  </si>
  <si>
    <t>LUVA DE CORRER, PVC, SOLDÁVEL, DN 40MM, INSTALADO EM PRUMADA DE ÁGUA   FORNECIMENTO E INSTALAÇÃO. AF_06/2022</t>
  </si>
  <si>
    <t>36,89</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</si>
  <si>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</si>
  <si>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</si>
  <si>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</si>
  <si>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</si>
  <si>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</si>
  <si>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</si>
  <si>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36,19</t>
  </si>
  <si>
    <t>89564</t>
  </si>
  <si>
    <t>LUVA COM ROSCA, PVC, SOLDÁVEL, DN 40MM X 1.1/4 , INSTALADO EM PRUMADA DE ÁGUA - FORNECIMENTO E INSTALAÇÃO. AF_06/2022</t>
  </si>
  <si>
    <t>16,41</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</si>
  <si>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</si>
  <si>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</si>
  <si>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</si>
  <si>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</si>
  <si>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</si>
  <si>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</si>
  <si>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</si>
  <si>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</si>
  <si>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</si>
  <si>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</si>
  <si>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</si>
  <si>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</si>
  <si>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</si>
  <si>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</si>
  <si>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</si>
  <si>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</si>
  <si>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9,06</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</si>
  <si>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</si>
  <si>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</si>
  <si>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</si>
  <si>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</si>
  <si>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</si>
  <si>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</si>
  <si>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11,92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</si>
  <si>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</si>
  <si>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</si>
  <si>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</si>
  <si>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</si>
  <si>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</si>
  <si>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</si>
  <si>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</si>
  <si>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</si>
  <si>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</si>
  <si>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</si>
  <si>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</si>
  <si>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</si>
  <si>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</si>
  <si>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</si>
  <si>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</si>
  <si>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</si>
  <si>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</si>
  <si>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</si>
  <si>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</si>
  <si>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</si>
  <si>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</si>
  <si>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</si>
  <si>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</si>
  <si>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</si>
  <si>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</si>
  <si>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</si>
  <si>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</si>
  <si>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</si>
  <si>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15,12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</si>
  <si>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</si>
  <si>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</si>
  <si>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</si>
  <si>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</si>
  <si>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23,55</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</si>
  <si>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</si>
  <si>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</si>
  <si>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</si>
  <si>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</si>
  <si>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</si>
  <si>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</si>
  <si>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26,55</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</si>
  <si>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</si>
  <si>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</si>
  <si>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</si>
  <si>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</si>
  <si>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</si>
  <si>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</si>
  <si>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</si>
  <si>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</si>
  <si>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</si>
  <si>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</si>
  <si>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</si>
  <si>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</si>
  <si>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</si>
  <si>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</si>
  <si>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</si>
  <si>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</si>
  <si>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</si>
  <si>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</si>
  <si>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</si>
  <si>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</si>
  <si>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89620</t>
  </si>
  <si>
    <t>TE, PVC, SOLDÁVEL, DN 32MM, INSTALADO EM PRUMADA DE ÁGUA - FORNECIMENTO E INSTALAÇÃO. AF_06/2022</t>
  </si>
  <si>
    <t>12,51</t>
  </si>
  <si>
    <t>89622</t>
  </si>
  <si>
    <t>TÊ DE REDUÇÃO, PVC, SOLDÁVEL, DN 32MM X 25MM, INSTALADO EM PRUMADA DE ÁGUA - FORNECIMENTO E INSTALAÇÃO. AF_06/2022</t>
  </si>
  <si>
    <t>14,91</t>
  </si>
  <si>
    <t>89623</t>
  </si>
  <si>
    <t>TE, PVC, SOLDÁVEL, DN 40MM, INSTALADO EM PRUMADA DE ÁGUA - FORNECIMENTO E INSTALAÇÃO. AF_06/2022</t>
  </si>
  <si>
    <t>20,44</t>
  </si>
  <si>
    <t>89624</t>
  </si>
  <si>
    <t>TÊ DE REDUÇÃO, PVC, SOLDÁVEL, DN 40MM X 32MM, INSTALADO EM PRUMADA DE ÁGUA - FORNECIMENTO E INSTALAÇÃO. AF_06/2022</t>
  </si>
  <si>
    <t>18,89</t>
  </si>
  <si>
    <t>89625</t>
  </si>
  <si>
    <t>TE, PVC, SOLDÁVEL, DN 50MM, INSTALADO EM PRUMADA DE ÁGUA - FORNECIMENTO E INSTALAÇÃO. AF_06/2022</t>
  </si>
  <si>
    <t>23,69</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</si>
  <si>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</si>
  <si>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</si>
  <si>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</si>
  <si>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</si>
  <si>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</si>
  <si>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</si>
  <si>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</si>
  <si>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</si>
  <si>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</si>
  <si>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</si>
  <si>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</si>
  <si>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</si>
  <si>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</si>
  <si>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</si>
  <si>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</si>
  <si>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</si>
  <si>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</si>
  <si>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</si>
  <si>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</si>
  <si>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</si>
  <si>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12,11</t>
  </si>
  <si>
    <t>89640</t>
  </si>
  <si>
    <t>JOELHO DE TRANSIÇÃO, 90 GRAUS, CPVC, SOLDÁVEL, DN 15MM X 1/2, INSTALADO EM RAMAL OU SUB-RAMAL DE ÁGUA - FORNECIMENTO E INSTALAÇÃO. AF_06/2022</t>
  </si>
  <si>
    <t>18,14</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</si>
  <si>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</si>
  <si>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</si>
  <si>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</si>
  <si>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</si>
  <si>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</si>
  <si>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</si>
  <si>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16,36</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</si>
  <si>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</si>
  <si>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</si>
  <si>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</si>
  <si>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</si>
  <si>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</si>
  <si>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</si>
  <si>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</si>
  <si>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</si>
  <si>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</si>
  <si>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</si>
  <si>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</si>
  <si>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</si>
  <si>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</si>
  <si>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</si>
  <si>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</si>
  <si>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</si>
  <si>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7,25</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</si>
  <si>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</si>
  <si>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</si>
  <si>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</si>
  <si>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</si>
  <si>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</si>
  <si>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</si>
  <si>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89655</t>
  </si>
  <si>
    <t>CONECTOR, CPVC, SOLDÁVEL, DN 15MM X 1/2 , INSTALADO EM RAMAL OU SUB-RAMAL DE ÁGUA   FORNECIMENTO E INSTALAÇÃO. AF_06/2022</t>
  </si>
  <si>
    <t>21,91</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</si>
  <si>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</si>
  <si>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</si>
  <si>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</si>
  <si>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</si>
  <si>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</si>
  <si>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</si>
  <si>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</si>
  <si>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</si>
  <si>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</si>
  <si>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</si>
  <si>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</si>
  <si>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</si>
  <si>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21,72</t>
  </si>
  <si>
    <t>89662</t>
  </si>
  <si>
    <t>CONECTOR, CPVC, SOLDÁVEL, DN 22MM X 1/2 , INSTALADO EM RAMAL OU SUB-RAMAL DE ÁGUA   FORNECIMENTO E INSTALAÇÃO. AF_06/2022</t>
  </si>
  <si>
    <t>28,20</t>
  </si>
  <si>
    <t>89663</t>
  </si>
  <si>
    <t>ADAPTADOR, CPVC, SOLDÁVEL, DN22MM, INSTALADO EM RAMAL OU SUB-RAMAL DE ÁGUA   FORNECIMENTO E INSTALAÇÃO. AF_06/2022</t>
  </si>
  <si>
    <t>27,36</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</si>
  <si>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</si>
  <si>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</si>
  <si>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</si>
  <si>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</si>
  <si>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</si>
  <si>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</si>
  <si>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</si>
  <si>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</si>
  <si>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26,69</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</si>
  <si>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</si>
  <si>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</si>
  <si>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</si>
  <si>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</si>
  <si>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</si>
  <si>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</si>
  <si>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</si>
  <si>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</si>
  <si>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</si>
  <si>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</si>
  <si>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</si>
  <si>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</si>
  <si>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28,14</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</si>
  <si>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</si>
  <si>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</si>
  <si>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</si>
  <si>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</si>
  <si>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33,53</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</si>
  <si>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</si>
  <si>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</si>
  <si>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</si>
  <si>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</si>
  <si>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11,87</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</si>
  <si>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</si>
  <si>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</si>
  <si>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</si>
  <si>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</si>
  <si>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</si>
  <si>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</si>
  <si>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</si>
  <si>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</si>
  <si>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</si>
  <si>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</si>
  <si>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</si>
  <si>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</si>
  <si>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</si>
  <si>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</si>
  <si>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</si>
  <si>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</si>
  <si>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</si>
  <si>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</si>
  <si>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55,56</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</si>
  <si>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</si>
  <si>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</si>
  <si>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</si>
  <si>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</si>
  <si>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</si>
  <si>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</si>
  <si>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</si>
  <si>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</si>
  <si>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</si>
  <si>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</si>
  <si>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</si>
  <si>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</si>
  <si>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19,61</t>
  </si>
  <si>
    <t>89695</t>
  </si>
  <si>
    <t>TÊ MISTURADOR, CPVC, SOLDÁVEL, DN15MM, INSTALADO EM RAMAL OU SUB-RAMAL DE ÁGUA   FORNECIMENTO E INSTALAÇÃO. AF_06/2022</t>
  </si>
  <si>
    <t>16,99</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</si>
  <si>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</si>
  <si>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</si>
  <si>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</si>
  <si>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</si>
  <si>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18,09</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</si>
  <si>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</si>
  <si>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</si>
  <si>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</si>
  <si>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</si>
  <si>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</si>
  <si>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</si>
  <si>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</si>
  <si>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</si>
  <si>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</si>
  <si>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</si>
  <si>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</si>
  <si>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</si>
  <si>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</si>
  <si>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</si>
  <si>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</si>
  <si>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</si>
  <si>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</si>
  <si>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</si>
  <si>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</si>
  <si>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</si>
  <si>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</si>
  <si>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</si>
  <si>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</si>
  <si>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</si>
  <si>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</si>
  <si>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</si>
  <si>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</si>
  <si>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</si>
  <si>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</si>
  <si>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</si>
  <si>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</si>
  <si>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</si>
  <si>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</si>
  <si>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</si>
  <si>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</si>
  <si>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</si>
  <si>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</si>
  <si>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</si>
  <si>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</si>
  <si>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</si>
  <si>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</si>
  <si>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</si>
  <si>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16,45</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</si>
  <si>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</si>
  <si>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</si>
  <si>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</si>
  <si>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</si>
  <si>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16,28</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</si>
  <si>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</si>
  <si>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</si>
  <si>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</si>
  <si>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</si>
  <si>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</si>
  <si>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</si>
  <si>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</si>
  <si>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</si>
  <si>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9,01</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</si>
  <si>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</si>
  <si>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</si>
  <si>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</si>
  <si>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</si>
  <si>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</si>
  <si>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</si>
  <si>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</si>
  <si>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</si>
  <si>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</si>
  <si>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</si>
  <si>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</si>
  <si>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</si>
  <si>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</si>
  <si>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</si>
  <si>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</si>
  <si>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</si>
  <si>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</si>
  <si>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</si>
  <si>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</si>
  <si>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</si>
  <si>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</si>
  <si>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</si>
  <si>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</si>
  <si>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</si>
  <si>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</si>
  <si>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</si>
  <si>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</si>
  <si>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</si>
  <si>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</si>
  <si>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</si>
  <si>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</si>
  <si>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</si>
  <si>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</si>
  <si>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</si>
  <si>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13,18</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</si>
  <si>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</si>
  <si>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</si>
  <si>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</si>
  <si>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</si>
  <si>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</si>
  <si>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</si>
  <si>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</si>
  <si>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</si>
  <si>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</si>
  <si>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</si>
  <si>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</si>
  <si>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</si>
  <si>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</si>
  <si>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</si>
  <si>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</si>
  <si>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</si>
  <si>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</si>
  <si>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</si>
  <si>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</si>
  <si>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</si>
  <si>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</si>
  <si>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</si>
  <si>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</si>
  <si>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</si>
  <si>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</si>
  <si>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</si>
  <si>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</si>
  <si>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</si>
  <si>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</si>
  <si>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</si>
  <si>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</si>
  <si>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</si>
  <si>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</si>
  <si>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</si>
  <si>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23,50</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</si>
  <si>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</si>
  <si>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</si>
  <si>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</si>
  <si>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</si>
  <si>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</si>
  <si>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</si>
  <si>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22,08</t>
  </si>
  <si>
    <t>89781</t>
  </si>
  <si>
    <t>JOELHO 90 GRAUS, CPVC, SOLDÁVEL, DN 42MM, INSTALADO EM PRUMADA DE ÁGUA   FORNECIMENTO E INSTALAÇÃO. AF_06/2022</t>
  </si>
  <si>
    <t>33,00</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</si>
  <si>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</si>
  <si>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</si>
  <si>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</si>
  <si>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</si>
  <si>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</si>
  <si>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</si>
  <si>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</si>
  <si>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</si>
  <si>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</si>
  <si>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</si>
  <si>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</si>
  <si>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</si>
  <si>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</si>
  <si>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</si>
  <si>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</si>
  <si>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</si>
  <si>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</si>
  <si>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</si>
  <si>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</si>
  <si>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</si>
  <si>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</si>
  <si>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</si>
  <si>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</si>
  <si>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</si>
  <si>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</si>
  <si>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</si>
  <si>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</si>
  <si>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</si>
  <si>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42,98</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</si>
  <si>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</si>
  <si>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</si>
  <si>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</si>
  <si>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</si>
  <si>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</si>
  <si>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</si>
  <si>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9,65</t>
  </si>
  <si>
    <t>89802</t>
  </si>
  <si>
    <t>JOELHO 45 GRAUS, PVC, SERIE NORMAL, ESGOTO PREDIAL, DN 50 MM, JUNTA ELÁSTICA, FORNECIDO E INSTALADO EM PRUMADA DE ESGOTO SANITÁRIO OU VENTILAÇÃO. AF_08/2022</t>
  </si>
  <si>
    <t>10,47</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</si>
  <si>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</si>
  <si>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</si>
  <si>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</si>
  <si>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</si>
  <si>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</si>
  <si>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</si>
  <si>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</si>
  <si>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</si>
  <si>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</si>
  <si>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</si>
  <si>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40,54</t>
  </si>
  <si>
    <t>89808</t>
  </si>
  <si>
    <t>CURVA LONGA 90 GRAUS, PVC, SERIE NORMAL, ESGOTO PREDIAL, DN 75 MM, JUNTA ELÁSTICA, FORNECIDO E INSTALADO EM PRUMADA DE ESGOTO SANITÁRIO OU VENTILAÇÃO. AF_08/2022</t>
  </si>
  <si>
    <t>63,82</t>
  </si>
  <si>
    <t>89809</t>
  </si>
  <si>
    <t>JOELHO 90 GRAUS, PVC, SERIE NORMAL, ESGOTO PREDIAL, DN 100 MM, JUNTA ELÁSTICA, FORNECIDO E INSTALADO EM PRUMADA DE ESGOTO SANITÁRIO OU VENTILAÇÃO. AF_08/2022</t>
  </si>
  <si>
    <t>29,76</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</si>
  <si>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</si>
  <si>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</si>
  <si>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</si>
  <si>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</si>
  <si>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</si>
  <si>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</si>
  <si>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</si>
  <si>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</si>
  <si>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</si>
  <si>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</si>
  <si>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</si>
  <si>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</si>
  <si>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</si>
  <si>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</si>
  <si>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36,72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</si>
  <si>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</si>
  <si>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</si>
  <si>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</si>
  <si>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</si>
  <si>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</si>
  <si>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</si>
  <si>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</si>
  <si>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</si>
  <si>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19,41</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</si>
  <si>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</si>
  <si>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</si>
  <si>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</si>
  <si>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</si>
  <si>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</si>
  <si>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</si>
  <si>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</si>
  <si>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</si>
  <si>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</si>
  <si>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</si>
  <si>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</si>
  <si>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</si>
  <si>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</si>
  <si>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</si>
  <si>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</si>
  <si>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</si>
  <si>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37,68</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</si>
  <si>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</si>
  <si>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</si>
  <si>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</si>
  <si>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</si>
  <si>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</si>
  <si>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</si>
  <si>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</si>
  <si>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</si>
  <si>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</si>
  <si>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</si>
  <si>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</si>
  <si>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</si>
  <si>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</si>
  <si>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</si>
  <si>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</si>
  <si>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</si>
  <si>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</si>
  <si>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</si>
  <si>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</si>
  <si>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</si>
  <si>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</si>
  <si>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</si>
  <si>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</si>
  <si>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</si>
  <si>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</si>
  <si>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</si>
  <si>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</si>
  <si>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</si>
  <si>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</si>
  <si>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</si>
  <si>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</si>
  <si>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</si>
  <si>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</si>
  <si>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</si>
  <si>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</si>
  <si>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</si>
  <si>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</si>
  <si>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</si>
  <si>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</si>
  <si>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</si>
  <si>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</si>
  <si>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</si>
  <si>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</si>
  <si>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</si>
  <si>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</si>
  <si>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</si>
  <si>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</si>
  <si>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</si>
  <si>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21,67</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</si>
  <si>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</si>
  <si>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</si>
  <si>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</si>
  <si>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</si>
  <si>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</si>
  <si>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</si>
  <si>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</si>
  <si>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</si>
  <si>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</si>
  <si>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</si>
  <si>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</si>
  <si>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</si>
  <si>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</si>
  <si>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</si>
  <si>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</si>
  <si>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</si>
  <si>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</si>
  <si>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</si>
  <si>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</si>
  <si>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</si>
  <si>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14,13</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</si>
  <si>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</si>
  <si>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</si>
  <si>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</si>
  <si>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</si>
  <si>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17,66</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</si>
  <si>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</si>
  <si>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</si>
  <si>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</si>
  <si>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</si>
  <si>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</si>
  <si>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</si>
  <si>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</si>
  <si>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</si>
  <si>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</si>
  <si>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</si>
  <si>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</si>
  <si>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</si>
  <si>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</si>
  <si>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</si>
  <si>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16,90</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</si>
  <si>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</si>
  <si>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</si>
  <si>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</si>
  <si>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</si>
  <si>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</si>
  <si>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</si>
  <si>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</si>
  <si>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</si>
  <si>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</si>
  <si>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</si>
  <si>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</si>
  <si>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</si>
  <si>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</si>
  <si>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</si>
  <si>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</si>
  <si>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</si>
  <si>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</si>
  <si>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</si>
  <si>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</si>
  <si>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</si>
  <si>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</si>
  <si>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</si>
  <si>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</si>
  <si>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</si>
  <si>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</si>
  <si>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</si>
  <si>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</si>
  <si>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</si>
  <si>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9,27</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</si>
  <si>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</si>
  <si>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</si>
  <si>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</si>
  <si>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</si>
  <si>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</si>
  <si>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</si>
  <si>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</si>
  <si>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</si>
  <si>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29,58</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</si>
  <si>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</si>
  <si>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</si>
  <si>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</si>
  <si>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</si>
  <si>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</si>
  <si>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</si>
  <si>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</si>
  <si>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</si>
  <si>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</si>
  <si>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</si>
  <si>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</si>
  <si>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</si>
  <si>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</si>
  <si>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</si>
  <si>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</si>
  <si>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</si>
  <si>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</si>
  <si>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</si>
  <si>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</si>
  <si>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</si>
  <si>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</si>
  <si>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</si>
  <si>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</si>
  <si>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</si>
  <si>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</si>
  <si>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</si>
  <si>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</si>
  <si>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</si>
  <si>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</si>
  <si>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</si>
  <si>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</si>
  <si>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</si>
  <si>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</si>
  <si>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</si>
  <si>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</si>
  <si>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</si>
  <si>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</si>
  <si>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</si>
  <si>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</si>
  <si>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</si>
  <si>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</si>
  <si>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</si>
  <si>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</si>
  <si>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</si>
  <si>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</si>
  <si>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</si>
  <si>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</si>
  <si>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</si>
  <si>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</si>
  <si>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</si>
  <si>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</si>
  <si>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</si>
  <si>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</si>
  <si>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</si>
  <si>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</si>
  <si>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</si>
  <si>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</si>
  <si>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</si>
  <si>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</si>
  <si>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</si>
  <si>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</si>
  <si>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</si>
  <si>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</si>
  <si>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</si>
  <si>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</si>
  <si>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</si>
  <si>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</si>
  <si>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</si>
  <si>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</si>
  <si>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</si>
  <si>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</si>
  <si>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</si>
  <si>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</si>
  <si>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</si>
  <si>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</si>
  <si>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</si>
  <si>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</si>
  <si>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</si>
  <si>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</si>
  <si>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</si>
  <si>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</si>
  <si>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</si>
  <si>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</si>
  <si>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</si>
  <si>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</si>
  <si>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</si>
  <si>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83,42</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</si>
  <si>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</si>
  <si>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</si>
  <si>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</si>
  <si>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</si>
  <si>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</si>
  <si>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</si>
  <si>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</si>
  <si>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</si>
  <si>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</si>
  <si>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</si>
  <si>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</si>
  <si>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</si>
  <si>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</si>
  <si>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</si>
  <si>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</si>
  <si>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</si>
  <si>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</si>
  <si>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</si>
  <si>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</si>
  <si>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</si>
  <si>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</si>
  <si>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</si>
  <si>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</si>
  <si>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</si>
  <si>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</si>
  <si>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</si>
  <si>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</si>
  <si>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</si>
  <si>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</si>
  <si>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</si>
  <si>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</si>
  <si>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</si>
  <si>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37,80</t>
  </si>
  <si>
    <t>92661</t>
  </si>
  <si>
    <t>NIPLE, EM FERRO GALVANIZADO, CONEXÃO ROSQUEADA, DN 40 (1 1/2"), INSTALADO EM REDE DE ALIMENTAÇÃO PARA SPRINKLER - FORNECIMENTO E INSTALAÇÃO. AF_10/2020</t>
  </si>
  <si>
    <t>43,00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</si>
  <si>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</si>
  <si>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</si>
  <si>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</si>
  <si>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</si>
  <si>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</si>
  <si>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</si>
  <si>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</si>
  <si>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</si>
  <si>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</si>
  <si>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</si>
  <si>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</si>
  <si>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</si>
  <si>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</si>
  <si>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</si>
  <si>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</si>
  <si>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</si>
  <si>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</si>
  <si>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</si>
  <si>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</si>
  <si>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</si>
  <si>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</si>
  <si>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</si>
  <si>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</si>
  <si>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</si>
  <si>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</si>
  <si>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</si>
  <si>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</si>
  <si>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</si>
  <si>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</si>
  <si>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</si>
  <si>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</si>
  <si>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</si>
  <si>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</si>
  <si>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</si>
  <si>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</si>
  <si>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</si>
  <si>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</si>
  <si>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</si>
  <si>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</si>
  <si>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</si>
  <si>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</si>
  <si>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</si>
  <si>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</si>
  <si>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</si>
  <si>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</si>
  <si>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</si>
  <si>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</si>
  <si>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</si>
  <si>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</si>
  <si>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</si>
  <si>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</si>
  <si>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</si>
  <si>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</si>
  <si>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</si>
  <si>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</si>
  <si>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</si>
  <si>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</si>
  <si>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</si>
  <si>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</si>
  <si>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</si>
  <si>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</si>
  <si>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</si>
  <si>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</si>
  <si>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</si>
  <si>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</si>
  <si>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</si>
  <si>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21,95</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</si>
  <si>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</si>
  <si>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</si>
  <si>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</si>
  <si>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</si>
  <si>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</si>
  <si>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</si>
  <si>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</si>
  <si>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</si>
  <si>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</si>
  <si>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</si>
  <si>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</si>
  <si>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</si>
  <si>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47,66</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</si>
  <si>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</si>
  <si>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</si>
  <si>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</si>
  <si>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</si>
  <si>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</si>
  <si>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</si>
  <si>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</si>
  <si>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</si>
  <si>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</si>
  <si>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</si>
  <si>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</si>
  <si>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</si>
  <si>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</si>
  <si>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</si>
  <si>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</si>
  <si>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</si>
  <si>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</si>
  <si>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</si>
  <si>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</si>
  <si>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</si>
  <si>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</si>
  <si>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</si>
  <si>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</si>
  <si>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</si>
  <si>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</si>
  <si>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</si>
  <si>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</si>
  <si>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</si>
  <si>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</si>
  <si>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</si>
  <si>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</si>
  <si>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</si>
  <si>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</si>
  <si>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</si>
  <si>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</si>
  <si>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</si>
  <si>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</si>
  <si>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</si>
  <si>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</si>
  <si>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</si>
  <si>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</si>
  <si>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</si>
  <si>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</si>
  <si>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</si>
  <si>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</si>
  <si>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</si>
  <si>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111,70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</si>
  <si>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</si>
  <si>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</si>
  <si>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</si>
  <si>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</si>
  <si>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</si>
  <si>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</si>
  <si>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</si>
  <si>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</si>
  <si>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</si>
  <si>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</si>
  <si>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</si>
  <si>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</si>
  <si>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</si>
  <si>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</si>
  <si>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</si>
  <si>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</si>
  <si>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</si>
  <si>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</si>
  <si>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</si>
  <si>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</si>
  <si>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</si>
  <si>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</si>
  <si>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</si>
  <si>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</si>
  <si>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</si>
  <si>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</si>
  <si>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</si>
  <si>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</si>
  <si>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</si>
  <si>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</si>
  <si>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</si>
  <si>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</si>
  <si>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</si>
  <si>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</si>
  <si>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</si>
  <si>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</si>
  <si>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</si>
  <si>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</si>
  <si>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</si>
  <si>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</si>
  <si>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31,02</t>
  </si>
  <si>
    <t>92939</t>
  </si>
  <si>
    <t>LUVA DE REDUÇÃO, EM FERRO GALVANIZADO, 1" X 3/4", CONEXÃO ROSQUEADA, INSTALADO EM REDE DE ALIMENTAÇÃO PARA SPRINKLER - FORNECIMENTO E INSTALAÇÃO. AF_10/2020</t>
  </si>
  <si>
    <t>31,29</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</si>
  <si>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</si>
  <si>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</si>
  <si>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</si>
  <si>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</si>
  <si>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</si>
  <si>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</si>
  <si>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</si>
  <si>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</si>
  <si>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</si>
  <si>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</si>
  <si>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</si>
  <si>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</si>
  <si>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</si>
  <si>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</si>
  <si>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</si>
  <si>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</si>
  <si>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</si>
  <si>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</si>
  <si>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</si>
  <si>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</si>
  <si>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</si>
  <si>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</si>
  <si>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</si>
  <si>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</si>
  <si>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</si>
  <si>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</si>
  <si>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</si>
  <si>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</si>
  <si>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</si>
  <si>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</si>
  <si>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</si>
  <si>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</si>
  <si>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</si>
  <si>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</si>
  <si>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</si>
  <si>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</si>
  <si>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</si>
  <si>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</si>
  <si>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</si>
  <si>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</si>
  <si>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</si>
  <si>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</si>
  <si>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</si>
  <si>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</si>
  <si>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</si>
  <si>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</si>
  <si>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</si>
  <si>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</si>
  <si>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</si>
  <si>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</si>
  <si>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26,70</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</si>
  <si>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</si>
  <si>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</si>
  <si>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</si>
  <si>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</si>
  <si>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</si>
  <si>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</si>
  <si>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43,32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</si>
  <si>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</si>
  <si>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</si>
  <si>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</si>
  <si>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</si>
  <si>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</si>
  <si>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</si>
  <si>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</si>
  <si>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</si>
  <si>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</si>
  <si>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</si>
  <si>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</si>
  <si>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</si>
  <si>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</si>
  <si>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</si>
  <si>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</si>
  <si>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</si>
  <si>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14,24</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</si>
  <si>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</si>
  <si>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</si>
  <si>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</si>
  <si>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</si>
  <si>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</si>
  <si>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</si>
  <si>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27,87</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</si>
  <si>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</si>
  <si>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</si>
  <si>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</si>
  <si>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</si>
  <si>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</si>
  <si>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</si>
  <si>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t>
  </si>
  <si>
    <t>93081</t>
  </si>
  <si>
    <t>CONECTOR EM BRONZE/LATÃO, DN 15 MM X 1/2", SEM ANEL DE SOLDA, BOLSA X ROSCA F, INSTALADO EM RAMAL DE DISTRIBUIÇÃO DE HIDRÁULICA PREDIAL - FORNECIMENTO E INSTALAÇÃO. AF_04/2022</t>
  </si>
  <si>
    <t>18,62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</si>
  <si>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</si>
  <si>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</si>
  <si>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</si>
  <si>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</si>
  <si>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</si>
  <si>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</si>
  <si>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14,55</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</si>
  <si>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</si>
  <si>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</si>
  <si>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</si>
  <si>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</si>
  <si>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</si>
  <si>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</si>
  <si>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</si>
  <si>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</si>
  <si>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</si>
  <si>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</si>
  <si>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</si>
  <si>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</si>
  <si>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</si>
  <si>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</si>
  <si>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</si>
  <si>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</si>
  <si>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</si>
  <si>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</si>
  <si>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</si>
  <si>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</si>
  <si>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</si>
  <si>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</si>
  <si>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</si>
  <si>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</si>
  <si>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20,08</t>
  </si>
  <si>
    <t>93099</t>
  </si>
  <si>
    <t>CURVA EM COBRE, DN 22 MM, 45 GRAUS, SEM ANEL DE SOLDA, BOLSA X BOLSA, INSTALADO EM RAMAL E SUB-RAMAL DE HIDRÁULICA PREDIAL - FORNECIMENTO E INSTALAÇÃO. AF_04/2022</t>
  </si>
  <si>
    <t>25,63</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</si>
  <si>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</si>
  <si>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</si>
  <si>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</si>
  <si>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</si>
  <si>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</si>
  <si>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</si>
  <si>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</si>
  <si>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</si>
  <si>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</si>
  <si>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</si>
  <si>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</si>
  <si>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</si>
  <si>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</si>
  <si>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</si>
  <si>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</si>
  <si>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</si>
  <si>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16,92</t>
  </si>
  <si>
    <t>93108</t>
  </si>
  <si>
    <t>BUCHA DE REDUÇÃO EM COBRE, DN 22 MM X 15 MM, SEM ANEL DE SOLDA, PONTA X BOLSA, INSTALADO EM RAMAL E SUB-RAMAL DE HIDRÁULICA PREDIAL - FORNECIMENTO E INSTALAÇÃO. AF_04/2022</t>
  </si>
  <si>
    <t>14,22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</si>
  <si>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</si>
  <si>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</si>
  <si>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</si>
  <si>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</si>
  <si>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</si>
  <si>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</si>
  <si>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</si>
  <si>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</si>
  <si>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</si>
  <si>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</si>
  <si>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</si>
  <si>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</si>
  <si>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</si>
  <si>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</si>
  <si>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</si>
  <si>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</si>
  <si>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</si>
  <si>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</si>
  <si>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57,07</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</si>
  <si>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</si>
  <si>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</si>
  <si>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</si>
  <si>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</si>
  <si>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</si>
  <si>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</si>
  <si>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</si>
  <si>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</si>
  <si>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</si>
  <si>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</si>
  <si>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</si>
  <si>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</si>
  <si>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</si>
  <si>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</si>
  <si>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</si>
  <si>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</si>
  <si>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</si>
  <si>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</si>
  <si>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</si>
  <si>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</si>
  <si>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</si>
  <si>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</si>
  <si>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</si>
  <si>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</si>
  <si>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</si>
  <si>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</si>
  <si>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87,07</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</si>
  <si>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</si>
  <si>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</si>
  <si>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</si>
  <si>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</si>
  <si>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</si>
  <si>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</si>
  <si>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</si>
  <si>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</si>
  <si>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</si>
  <si>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</si>
  <si>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</si>
  <si>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</si>
  <si>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</si>
  <si>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</si>
  <si>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</si>
  <si>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</si>
  <si>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</si>
  <si>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</si>
  <si>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</si>
  <si>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</si>
  <si>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</si>
  <si>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</si>
  <si>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</si>
  <si>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</si>
  <si>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</si>
  <si>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</si>
  <si>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80,87</t>
  </si>
  <si>
    <t>94608</t>
  </si>
  <si>
    <t>LUVA EM COBRE, DN 66 MM, SEM ANEL DE SOLDA, INSTALADO EM RESERVAÇÃO DE ÁGUA DE EDIFICAÇÃO QUE POSSUA RESERVATÓRIO DE FIBRA/FIBROCIMENTO  FORNECIMENTO E INSTALAÇÃO. AF_06/2016</t>
  </si>
  <si>
    <t>191,54</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</si>
  <si>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</si>
  <si>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</si>
  <si>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</si>
  <si>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</si>
  <si>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</si>
  <si>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</si>
  <si>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</si>
  <si>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</si>
  <si>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</si>
  <si>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</si>
  <si>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</si>
  <si>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</si>
  <si>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</si>
  <si>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</si>
  <si>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</si>
  <si>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</si>
  <si>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</si>
  <si>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</si>
  <si>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</si>
  <si>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</si>
  <si>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</si>
  <si>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</si>
  <si>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</si>
  <si>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</si>
  <si>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</si>
  <si>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</si>
  <si>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</si>
  <si>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</si>
  <si>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</si>
  <si>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</si>
  <si>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</si>
  <si>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</si>
  <si>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</si>
  <si>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</si>
  <si>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</si>
  <si>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</si>
  <si>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</si>
  <si>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</si>
  <si>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</si>
  <si>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</si>
  <si>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</si>
  <si>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</si>
  <si>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</si>
  <si>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</si>
  <si>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</si>
  <si>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</si>
  <si>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</si>
  <si>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</si>
  <si>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</si>
  <si>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</si>
  <si>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</si>
  <si>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</si>
  <si>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</si>
  <si>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</si>
  <si>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</si>
  <si>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</si>
  <si>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</si>
  <si>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</si>
  <si>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</si>
  <si>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</si>
  <si>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</si>
  <si>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</si>
  <si>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</si>
  <si>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</si>
  <si>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15,27</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</si>
  <si>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</si>
  <si>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</si>
  <si>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</si>
  <si>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</si>
  <si>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</si>
  <si>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</si>
  <si>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17,57</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</si>
  <si>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</si>
  <si>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</si>
  <si>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</si>
  <si>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</si>
  <si>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53,02</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</si>
  <si>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</si>
  <si>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</si>
  <si>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</si>
  <si>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</si>
  <si>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</si>
  <si>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</si>
  <si>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</si>
  <si>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</si>
  <si>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</si>
  <si>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</si>
  <si>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</si>
  <si>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</si>
  <si>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</si>
  <si>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</si>
  <si>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</si>
  <si>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</si>
  <si>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</si>
  <si>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</si>
  <si>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</si>
  <si>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</si>
  <si>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</si>
  <si>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</si>
  <si>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18,35</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</si>
  <si>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</si>
  <si>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</si>
  <si>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</si>
  <si>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</si>
  <si>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26,07</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</si>
  <si>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</si>
  <si>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</si>
  <si>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</si>
  <si>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</si>
  <si>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</si>
  <si>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</si>
  <si>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</si>
  <si>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</si>
  <si>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</si>
  <si>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</si>
  <si>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</si>
  <si>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</si>
  <si>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</si>
  <si>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</si>
  <si>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</si>
  <si>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</si>
  <si>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</si>
  <si>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</si>
  <si>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</si>
  <si>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</si>
  <si>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</si>
  <si>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</si>
  <si>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29,74</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</si>
  <si>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</si>
  <si>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</si>
  <si>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</si>
  <si>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</si>
  <si>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</si>
  <si>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</si>
  <si>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</si>
  <si>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</si>
  <si>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</si>
  <si>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</si>
  <si>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</si>
  <si>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</si>
  <si>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</si>
  <si>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</si>
  <si>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</si>
  <si>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</si>
  <si>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6,74</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</si>
  <si>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</si>
  <si>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</si>
  <si>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</si>
  <si>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</si>
  <si>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</si>
  <si>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</si>
  <si>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</si>
  <si>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</si>
  <si>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</si>
  <si>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</si>
  <si>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</si>
  <si>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</si>
  <si>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20,62</t>
  </si>
  <si>
    <t>94732</t>
  </si>
  <si>
    <t>CONECTOR, CPVC, SOLDÁVEL, DN 54 MM X 2",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</si>
  <si>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</si>
  <si>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</si>
  <si>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</si>
  <si>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</si>
  <si>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</si>
  <si>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</si>
  <si>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</si>
  <si>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</si>
  <si>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</si>
  <si>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</si>
  <si>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</si>
  <si>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</si>
  <si>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</si>
  <si>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</si>
  <si>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</si>
  <si>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</si>
  <si>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</si>
  <si>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</si>
  <si>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14,75</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</si>
  <si>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</si>
  <si>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</si>
  <si>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</si>
  <si>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</si>
  <si>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</si>
  <si>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</si>
  <si>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</si>
  <si>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</si>
  <si>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</si>
  <si>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</si>
  <si>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</si>
  <si>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</si>
  <si>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</si>
  <si>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</si>
  <si>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</si>
  <si>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</si>
  <si>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</si>
  <si>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</si>
  <si>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</si>
  <si>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</si>
  <si>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</si>
  <si>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</si>
  <si>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</si>
  <si>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</si>
  <si>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</si>
  <si>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</si>
  <si>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184,86</t>
  </si>
  <si>
    <t>94762</t>
  </si>
  <si>
    <t>TE, CPVC, SOLDÁVEL, DN 89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</si>
  <si>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</si>
  <si>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</si>
  <si>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</si>
  <si>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</si>
  <si>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</si>
  <si>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</si>
  <si>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</si>
  <si>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</si>
  <si>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</si>
  <si>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</si>
  <si>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</si>
  <si>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</si>
  <si>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</si>
  <si>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</si>
  <si>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</si>
  <si>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</si>
  <si>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</si>
  <si>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</si>
  <si>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</si>
  <si>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</si>
  <si>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</si>
  <si>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</si>
  <si>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</si>
  <si>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</si>
  <si>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</si>
  <si>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</si>
  <si>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</si>
  <si>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</si>
  <si>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</si>
  <si>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</si>
  <si>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</si>
  <si>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</si>
  <si>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</si>
  <si>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</si>
  <si>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</si>
  <si>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</si>
  <si>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</si>
  <si>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</si>
  <si>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</si>
  <si>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LUVA COM BUCHA DE LATÃO, PVC, SOLDÁVEL, DN 32MM X 1 , INSTALADO EM RAMAL DE DISTRIBUIÇÃO DE ÁGUA   FORNECIMENTO E INSTALAÇÃO. AF_06/2022</t>
  </si>
  <si>
    <t>25,99</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</si>
  <si>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</si>
  <si>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</si>
  <si>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</si>
  <si>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</si>
  <si>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</si>
  <si>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</si>
  <si>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</si>
  <si>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</si>
  <si>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</si>
  <si>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</si>
  <si>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</si>
  <si>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</si>
  <si>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</si>
  <si>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</si>
  <si>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</si>
  <si>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</si>
  <si>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26,31</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</si>
  <si>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</si>
  <si>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</si>
  <si>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</si>
  <si>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</si>
  <si>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22,76</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</si>
  <si>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</si>
  <si>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</si>
  <si>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</si>
  <si>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</si>
  <si>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</si>
  <si>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</si>
  <si>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</si>
  <si>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</si>
  <si>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</si>
  <si>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</si>
  <si>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</si>
  <si>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</si>
  <si>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</si>
  <si>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</si>
  <si>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21,89</t>
  </si>
  <si>
    <t>96656</t>
  </si>
  <si>
    <t>LUVA, PPR, DN 25 MM, CLASSE PN 25, INSTALADO EM RAMAL DE DISTRIBUIÇÃO DE ÁGUA   FORNECIMENTO E INSTALAÇÃO. AF_08/2022</t>
  </si>
  <si>
    <t>6,85</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</si>
  <si>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</si>
  <si>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</si>
  <si>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</si>
  <si>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</si>
  <si>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</si>
  <si>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</si>
  <si>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</si>
  <si>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</si>
  <si>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32,47</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</si>
  <si>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</si>
  <si>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</si>
  <si>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</si>
  <si>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</si>
  <si>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</si>
  <si>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</si>
  <si>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</si>
  <si>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</si>
  <si>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17,80</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</si>
  <si>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</si>
  <si>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</si>
  <si>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</si>
  <si>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</si>
  <si>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17,58</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</si>
  <si>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</si>
  <si>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</si>
  <si>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</si>
  <si>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</si>
  <si>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</si>
  <si>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</si>
  <si>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</si>
  <si>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</si>
  <si>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</si>
  <si>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</si>
  <si>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</si>
  <si>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</si>
  <si>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</si>
  <si>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</si>
  <si>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</si>
  <si>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</si>
  <si>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</si>
  <si>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</si>
  <si>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40,47</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</si>
  <si>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</si>
  <si>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</si>
  <si>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</si>
  <si>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</si>
  <si>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</si>
  <si>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</si>
  <si>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</si>
  <si>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</si>
  <si>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</si>
  <si>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</si>
  <si>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</si>
  <si>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</si>
  <si>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</si>
  <si>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</si>
  <si>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</si>
  <si>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CONECTOR MACHO, PPR, 25 X 1/2, CLASSE PN 25, INSTALADO EM PRUMADA DE ÁGUA   FORNECIMENTO E INSTALAÇÃO . AF_08/2022</t>
  </si>
  <si>
    <t>96700</t>
  </si>
  <si>
    <t>CONECTOR FÊMEA, PPR, 25 X 1/2, CLASSE PN 25, INSTALADO EM PRUMADA DE ÁGUA   FORNECIMENTO E INSTALAÇÃO . AF_08/2022</t>
  </si>
  <si>
    <t>96701</t>
  </si>
  <si>
    <t>LUVA, PPR, DN 32 MM, CLASSE PN 25, INSTALADO EM PRUMADA DE ÁGUA   FORNECIMENTO E INSTALAÇÃO. AF_08/2022</t>
  </si>
  <si>
    <t>11,85</t>
  </si>
  <si>
    <t>96702</t>
  </si>
  <si>
    <t>BUCHA DE REDUÇÃO, PPR, 32 X 25, CLASSE PN 25, INSTALADO EM PRUMADA DE ÁGUA   FORNECIMENTO E INSTALAÇÃO . AF_08/2022</t>
  </si>
  <si>
    <t>12,20</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</si>
  <si>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</si>
  <si>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</si>
  <si>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</si>
  <si>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</si>
  <si>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</si>
  <si>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</si>
  <si>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</si>
  <si>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</si>
  <si>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</si>
  <si>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</si>
  <si>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</si>
  <si>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</si>
  <si>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</si>
  <si>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</si>
  <si>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</si>
  <si>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</si>
  <si>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</si>
  <si>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</si>
  <si>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</si>
  <si>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</si>
  <si>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</si>
  <si>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</si>
  <si>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</si>
  <si>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</si>
  <si>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</si>
  <si>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</si>
  <si>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</si>
  <si>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</si>
  <si>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</si>
  <si>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</si>
  <si>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</si>
  <si>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</si>
  <si>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</si>
  <si>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</si>
  <si>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</si>
  <si>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</si>
  <si>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</si>
  <si>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</si>
  <si>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</si>
  <si>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</si>
  <si>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33,85</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</si>
  <si>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</si>
  <si>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</si>
  <si>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</si>
  <si>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</si>
  <si>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22,86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</si>
  <si>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</si>
  <si>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</si>
  <si>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</si>
  <si>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</si>
  <si>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</si>
  <si>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</si>
  <si>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</si>
  <si>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</si>
  <si>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</si>
  <si>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</si>
  <si>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</si>
  <si>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</si>
  <si>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</si>
  <si>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</si>
  <si>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</si>
  <si>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</si>
  <si>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</si>
  <si>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</si>
  <si>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</si>
  <si>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</si>
  <si>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37,51</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</si>
  <si>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</si>
  <si>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</si>
  <si>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</si>
  <si>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</si>
  <si>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</si>
  <si>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</si>
  <si>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</si>
  <si>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</si>
  <si>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21,78</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</si>
  <si>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</si>
  <si>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</si>
  <si>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</si>
  <si>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</si>
  <si>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</si>
  <si>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</si>
  <si>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</si>
  <si>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</si>
  <si>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45,99</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</si>
  <si>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</si>
  <si>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</si>
  <si>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</si>
  <si>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</si>
  <si>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</si>
  <si>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</si>
  <si>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</si>
  <si>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</si>
  <si>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</si>
  <si>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96803</t>
  </si>
  <si>
    <t>96804</t>
  </si>
  <si>
    <t>96805</t>
  </si>
  <si>
    <t>96806</t>
  </si>
  <si>
    <t>96807</t>
  </si>
  <si>
    <t>96808</t>
  </si>
  <si>
    <t>96809</t>
  </si>
  <si>
    <t>13,60</t>
  </si>
  <si>
    <t>96810</t>
  </si>
  <si>
    <t>96811</t>
  </si>
  <si>
    <t>96812</t>
  </si>
  <si>
    <t>96813</t>
  </si>
  <si>
    <t>96814</t>
  </si>
  <si>
    <t>96815</t>
  </si>
  <si>
    <t>96816</t>
  </si>
  <si>
    <t>96817</t>
  </si>
  <si>
    <t>96818</t>
  </si>
  <si>
    <t>96819</t>
  </si>
  <si>
    <t>96820</t>
  </si>
  <si>
    <t>96821</t>
  </si>
  <si>
    <t>32,21</t>
  </si>
  <si>
    <t>96822</t>
  </si>
  <si>
    <t>96823</t>
  </si>
  <si>
    <t>13,53</t>
  </si>
  <si>
    <t>96824</t>
  </si>
  <si>
    <t>96826</t>
  </si>
  <si>
    <t>96827</t>
  </si>
  <si>
    <t>96828</t>
  </si>
  <si>
    <t>96829</t>
  </si>
  <si>
    <t>96830</t>
  </si>
  <si>
    <t>21,85</t>
  </si>
  <si>
    <t>96832</t>
  </si>
  <si>
    <t>96833</t>
  </si>
  <si>
    <t>96834</t>
  </si>
  <si>
    <t>96836</t>
  </si>
  <si>
    <t>96837</t>
  </si>
  <si>
    <t>96838</t>
  </si>
  <si>
    <t>19,25</t>
  </si>
  <si>
    <t>96839</t>
  </si>
  <si>
    <t>96840</t>
  </si>
  <si>
    <t>24,19</t>
  </si>
  <si>
    <t>96841</t>
  </si>
  <si>
    <t>96842</t>
  </si>
  <si>
    <t>96843</t>
  </si>
  <si>
    <t>96844</t>
  </si>
  <si>
    <t>96845</t>
  </si>
  <si>
    <t>96846</t>
  </si>
  <si>
    <t>96847</t>
  </si>
  <si>
    <t>96848</t>
  </si>
  <si>
    <t>96849</t>
  </si>
  <si>
    <t>96850</t>
  </si>
  <si>
    <t>96852</t>
  </si>
  <si>
    <t>96853</t>
  </si>
  <si>
    <t>25,35</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</si>
  <si>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</si>
  <si>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</si>
  <si>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</si>
  <si>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</si>
  <si>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</si>
  <si>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</si>
  <si>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</si>
  <si>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</si>
  <si>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</si>
  <si>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</si>
  <si>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</si>
  <si>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</si>
  <si>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</si>
  <si>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</si>
  <si>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</si>
  <si>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</si>
  <si>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</si>
  <si>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</si>
  <si>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</si>
  <si>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</si>
  <si>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</si>
  <si>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</si>
  <si>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</si>
  <si>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</si>
  <si>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</si>
  <si>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</si>
  <si>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</si>
  <si>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</si>
  <si>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</si>
  <si>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</si>
  <si>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</si>
  <si>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</si>
  <si>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</si>
  <si>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</si>
  <si>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</si>
  <si>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</si>
  <si>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</si>
  <si>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</si>
  <si>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</si>
  <si>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</si>
  <si>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</si>
  <si>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</si>
  <si>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</si>
  <si>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</si>
  <si>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</si>
  <si>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</si>
  <si>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</si>
  <si>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</si>
  <si>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</si>
  <si>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</si>
  <si>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</si>
  <si>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</si>
  <si>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</si>
  <si>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</si>
  <si>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</si>
  <si>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</si>
  <si>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</si>
  <si>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</si>
  <si>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</si>
  <si>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</si>
  <si>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</si>
  <si>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</si>
  <si>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</si>
  <si>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</si>
  <si>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</si>
  <si>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</si>
  <si>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</si>
  <si>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</si>
  <si>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</si>
  <si>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</si>
  <si>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</si>
  <si>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</si>
  <si>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</si>
  <si>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</si>
  <si>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</si>
  <si>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</si>
  <si>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</si>
  <si>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</si>
  <si>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</si>
  <si>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</si>
  <si>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</si>
  <si>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</si>
  <si>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</si>
  <si>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</si>
  <si>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</si>
  <si>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</si>
  <si>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</si>
  <si>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</si>
  <si>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</si>
  <si>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</si>
  <si>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</si>
  <si>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</si>
  <si>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</si>
  <si>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</si>
  <si>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</si>
  <si>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</si>
  <si>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</si>
  <si>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</si>
  <si>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</si>
  <si>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</si>
  <si>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</si>
  <si>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</si>
  <si>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143,87</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</si>
  <si>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</si>
  <si>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</si>
  <si>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</si>
  <si>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</si>
  <si>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</si>
  <si>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</si>
  <si>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</si>
  <si>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</si>
  <si>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</si>
  <si>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</si>
  <si>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</si>
  <si>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</si>
  <si>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</si>
  <si>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</si>
  <si>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</si>
  <si>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</si>
  <si>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</si>
  <si>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</si>
  <si>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</si>
  <si>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</si>
  <si>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</si>
  <si>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</si>
  <si>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</si>
  <si>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</si>
  <si>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</si>
  <si>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</si>
  <si>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</si>
  <si>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</si>
  <si>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</si>
  <si>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</si>
  <si>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</si>
  <si>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</si>
  <si>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</si>
  <si>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</si>
  <si>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</si>
  <si>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</si>
  <si>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</si>
  <si>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</si>
  <si>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</si>
  <si>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</si>
  <si>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</si>
  <si>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</si>
  <si>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</si>
  <si>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</si>
  <si>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</si>
  <si>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</si>
  <si>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40,34</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</si>
  <si>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</si>
  <si>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</si>
  <si>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</si>
  <si>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</si>
  <si>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</si>
  <si>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</si>
  <si>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</si>
  <si>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</si>
  <si>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</si>
  <si>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</si>
  <si>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</si>
  <si>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</si>
  <si>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</si>
  <si>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</si>
  <si>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</si>
  <si>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</si>
  <si>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</si>
  <si>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</si>
  <si>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</si>
  <si>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</si>
  <si>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</si>
  <si>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</si>
  <si>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</si>
  <si>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</si>
  <si>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</si>
  <si>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</si>
  <si>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</si>
  <si>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</si>
  <si>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</si>
  <si>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</si>
  <si>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</si>
  <si>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</si>
  <si>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</si>
  <si>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</si>
  <si>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</si>
  <si>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</si>
  <si>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</si>
  <si>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</si>
  <si>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</si>
  <si>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</si>
  <si>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</si>
  <si>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</si>
  <si>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</si>
  <si>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</si>
  <si>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</si>
  <si>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</si>
  <si>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</si>
  <si>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</si>
  <si>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</si>
  <si>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</si>
  <si>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</si>
  <si>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</si>
  <si>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</si>
  <si>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</si>
  <si>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</si>
  <si>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</si>
  <si>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</si>
  <si>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</si>
  <si>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</si>
  <si>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</si>
  <si>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</si>
  <si>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</si>
  <si>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</si>
  <si>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</si>
  <si>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</si>
  <si>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</si>
  <si>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</si>
  <si>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</si>
  <si>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</si>
  <si>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</si>
  <si>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</si>
  <si>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</si>
  <si>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</si>
  <si>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</si>
  <si>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</si>
  <si>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</si>
  <si>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</si>
  <si>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</si>
  <si>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</si>
  <si>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</si>
  <si>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</si>
  <si>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</si>
  <si>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</si>
  <si>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</si>
  <si>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</si>
  <si>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</si>
  <si>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</si>
  <si>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</si>
  <si>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17,95</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</si>
  <si>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</si>
  <si>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</si>
  <si>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</si>
  <si>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</si>
  <si>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</si>
  <si>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</si>
  <si>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</si>
  <si>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</si>
  <si>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</si>
  <si>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</si>
  <si>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</si>
  <si>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</si>
  <si>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</si>
  <si>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</si>
  <si>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</si>
  <si>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</si>
  <si>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</si>
  <si>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</si>
  <si>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</si>
  <si>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</si>
  <si>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</si>
  <si>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</si>
  <si>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</si>
  <si>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</si>
  <si>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27,63</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</si>
  <si>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</si>
  <si>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</si>
  <si>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</si>
  <si>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</si>
  <si>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</si>
  <si>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</si>
  <si>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</si>
  <si>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</si>
  <si>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</si>
  <si>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</si>
  <si>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</si>
  <si>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</si>
  <si>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</si>
  <si>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</si>
  <si>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</si>
  <si>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</si>
  <si>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24,22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</si>
  <si>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</si>
  <si>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</si>
  <si>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</si>
  <si>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</si>
  <si>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</si>
  <si>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</si>
  <si>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</si>
  <si>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</si>
  <si>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</si>
  <si>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</si>
  <si>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</si>
  <si>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</si>
  <si>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</si>
  <si>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</si>
  <si>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</si>
  <si>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</si>
  <si>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</si>
  <si>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</si>
  <si>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</si>
  <si>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</si>
  <si>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</si>
  <si>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</si>
  <si>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</si>
  <si>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</si>
  <si>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</si>
  <si>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</si>
  <si>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</si>
  <si>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</si>
  <si>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29,93</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</si>
  <si>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</si>
  <si>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</si>
  <si>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</si>
  <si>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</si>
  <si>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</si>
  <si>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</si>
  <si>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</si>
  <si>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</si>
  <si>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42,15</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</si>
  <si>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</si>
  <si>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</si>
  <si>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</si>
  <si>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</si>
  <si>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</si>
  <si>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</si>
  <si>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</si>
  <si>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</si>
  <si>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</si>
  <si>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</si>
  <si>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</si>
  <si>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</si>
  <si>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20,14</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</si>
  <si>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</si>
  <si>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</si>
  <si>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</si>
  <si>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</si>
  <si>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</si>
  <si>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</si>
  <si>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</si>
  <si>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</si>
  <si>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</si>
  <si>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</si>
  <si>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</si>
  <si>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</si>
  <si>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</si>
  <si>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</si>
  <si>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</si>
  <si>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</si>
  <si>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</si>
  <si>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</si>
  <si>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</si>
  <si>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</si>
  <si>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</si>
  <si>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</si>
  <si>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</si>
  <si>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</si>
  <si>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</si>
  <si>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</si>
  <si>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</si>
  <si>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</si>
  <si>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</si>
  <si>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</si>
  <si>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</si>
  <si>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</si>
  <si>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</si>
  <si>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</si>
  <si>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</si>
  <si>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</si>
  <si>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</si>
  <si>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</si>
  <si>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</si>
  <si>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</si>
  <si>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</si>
  <si>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</si>
  <si>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</si>
  <si>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</si>
  <si>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</si>
  <si>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</si>
  <si>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</si>
  <si>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</si>
  <si>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</si>
  <si>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</si>
  <si>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</si>
  <si>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</si>
  <si>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12,87</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</si>
  <si>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</si>
  <si>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</si>
  <si>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</si>
  <si>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</si>
  <si>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</si>
  <si>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</si>
  <si>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</si>
  <si>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</si>
  <si>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</si>
  <si>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</si>
  <si>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</si>
  <si>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</si>
  <si>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</si>
  <si>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</si>
  <si>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</si>
  <si>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</si>
  <si>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</si>
  <si>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</si>
  <si>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</si>
  <si>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</si>
  <si>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</si>
  <si>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</si>
  <si>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</si>
  <si>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</si>
  <si>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</si>
  <si>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</si>
  <si>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</si>
  <si>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</si>
  <si>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</si>
  <si>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</si>
  <si>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</si>
  <si>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</si>
  <si>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32,83</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</si>
  <si>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</si>
  <si>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</si>
  <si>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</si>
  <si>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</si>
  <si>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</si>
  <si>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</si>
  <si>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</si>
  <si>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</si>
  <si>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</si>
  <si>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</si>
  <si>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</si>
  <si>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</si>
  <si>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</si>
  <si>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</si>
  <si>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</si>
  <si>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</si>
  <si>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11,81</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</si>
  <si>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</si>
  <si>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</si>
  <si>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</si>
  <si>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</si>
  <si>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6,21</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</si>
  <si>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</si>
  <si>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</si>
  <si>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</si>
  <si>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</si>
  <si>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9,33</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</si>
  <si>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</si>
  <si>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</si>
  <si>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</si>
  <si>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</si>
  <si>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</si>
  <si>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</si>
  <si>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</si>
  <si>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</si>
  <si>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</si>
  <si>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</si>
  <si>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</si>
  <si>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</si>
  <si>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</si>
  <si>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</si>
  <si>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</si>
  <si>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</si>
  <si>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</si>
  <si>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</si>
  <si>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</si>
  <si>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</si>
  <si>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</si>
  <si>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</si>
  <si>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</si>
  <si>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</si>
  <si>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</si>
  <si>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</si>
  <si>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</si>
  <si>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</si>
  <si>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11,20</t>
  </si>
  <si>
    <t>103975</t>
  </si>
  <si>
    <t>TE DE REDUÇÃO, 90 GRAUS, PVC, SOLDÁVEL, DN 50 MM X 20 MM, INSTALADO EM PRUMADA DE ÁGUA - FORNECIMENTO E INSTALAÇÃO. AF_06/2022</t>
  </si>
  <si>
    <t>18,68</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</si>
  <si>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</si>
  <si>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</si>
  <si>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</si>
  <si>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</si>
  <si>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</si>
  <si>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</si>
  <si>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</si>
  <si>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</si>
  <si>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</si>
  <si>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</si>
  <si>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</si>
  <si>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</si>
  <si>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</si>
  <si>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</si>
  <si>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20,83</t>
  </si>
  <si>
    <t>103985</t>
  </si>
  <si>
    <t>JOELHO 45 GRAUS, PVC, SOLDÁVEL, DN 50MM, INSTALADO EM RAMAL DE DISTRIBUIÇÃO DE ÁGUA - FORNECIMENTO E INSTALAÇÃO. AF_06/2022</t>
  </si>
  <si>
    <t>23,60</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</si>
  <si>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</si>
  <si>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</si>
  <si>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</si>
  <si>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</si>
  <si>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</si>
  <si>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</si>
  <si>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</si>
  <si>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</si>
  <si>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</si>
  <si>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</si>
  <si>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</si>
  <si>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</si>
  <si>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</si>
  <si>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</si>
  <si>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</si>
  <si>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</si>
  <si>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</si>
  <si>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</si>
  <si>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</si>
  <si>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</si>
  <si>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</si>
  <si>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</si>
  <si>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</si>
  <si>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</si>
  <si>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15,44</t>
  </si>
  <si>
    <t>103999</t>
  </si>
  <si>
    <t>BUCHA DE REDUÇÃO, LONGA, PVC, SOLDÁVEL, DN 50 X 25 MM, INSTALADO EM RAMAL DE DISTRIBUIÇÃO DE ÁGUA - FORNECIMENTO E INSTALAÇÃO. AF_06/2022</t>
  </si>
  <si>
    <t>13,24</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</si>
  <si>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</si>
  <si>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</si>
  <si>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</si>
  <si>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</si>
  <si>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14,50</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</si>
  <si>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</si>
  <si>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</si>
  <si>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</si>
  <si>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</si>
  <si>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</si>
  <si>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</si>
  <si>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</si>
  <si>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</si>
  <si>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38,90</t>
  </si>
  <si>
    <t>104006</t>
  </si>
  <si>
    <t>TÊ DE REDUÇÃO, PVC, SOLDÁVEL, DN 50MM X 25MM, INSTALADO EM RAMAL DE DISTRIBUIÇÃO DE ÁGUA - FORNECIMENTO E INSTALAÇÃO. AF_06/2022</t>
  </si>
  <si>
    <t>26,82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</si>
  <si>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</si>
  <si>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</si>
  <si>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</si>
  <si>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</si>
  <si>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</si>
  <si>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</si>
  <si>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</si>
  <si>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</si>
  <si>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</si>
  <si>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</si>
  <si>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</si>
  <si>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</si>
  <si>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11,48</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</si>
  <si>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</si>
  <si>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</si>
  <si>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</si>
  <si>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</si>
  <si>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</si>
  <si>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</si>
  <si>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</si>
  <si>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</si>
  <si>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</si>
  <si>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</si>
  <si>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</si>
  <si>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50,13</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</si>
  <si>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</si>
  <si>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</si>
  <si>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</si>
  <si>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</si>
  <si>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</si>
  <si>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</si>
  <si>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</si>
  <si>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</si>
  <si>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26,34</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</si>
  <si>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</si>
  <si>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</si>
  <si>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</si>
  <si>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</si>
  <si>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</si>
  <si>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</si>
  <si>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</si>
  <si>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</si>
  <si>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</si>
  <si>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</si>
  <si>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</si>
  <si>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</si>
  <si>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40,24</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</si>
  <si>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</si>
  <si>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</si>
  <si>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</si>
  <si>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</si>
  <si>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</si>
  <si>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</si>
  <si>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</si>
  <si>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</si>
  <si>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</si>
  <si>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</si>
  <si>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</si>
  <si>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</si>
  <si>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</si>
  <si>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</si>
  <si>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</si>
  <si>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</si>
  <si>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</si>
  <si>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</si>
  <si>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</si>
  <si>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</si>
  <si>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</si>
  <si>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</si>
  <si>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</si>
  <si>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</si>
  <si>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</si>
  <si>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</si>
  <si>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</si>
  <si>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</si>
  <si>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11,03</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</si>
  <si>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</si>
  <si>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</si>
  <si>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</si>
  <si>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</si>
  <si>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</si>
  <si>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</si>
  <si>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</si>
  <si>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</si>
  <si>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</si>
  <si>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</si>
  <si>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</si>
  <si>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</si>
  <si>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</si>
  <si>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</si>
  <si>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6,49</t>
  </si>
  <si>
    <t>104201</t>
  </si>
  <si>
    <t>TÊ MISTURADOR, PPR, F M M, DN 20 X 20 MM, INSTALADO EM RAMAL OU SUB-RAMAL DE ÁGUA - FORNECIMENTO E INSTALAÇÃO. AF_08/2022</t>
  </si>
  <si>
    <t>20,38</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</si>
  <si>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</si>
  <si>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</si>
  <si>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</si>
  <si>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</si>
  <si>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</si>
  <si>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</si>
  <si>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</si>
  <si>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</si>
  <si>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</si>
  <si>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</si>
  <si>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</si>
  <si>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</si>
  <si>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</si>
  <si>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</si>
  <si>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</si>
  <si>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</si>
  <si>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</si>
  <si>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</si>
  <si>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</si>
  <si>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</si>
  <si>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</si>
  <si>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</si>
  <si>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</si>
  <si>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</si>
  <si>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</si>
  <si>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</si>
  <si>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</si>
  <si>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</si>
  <si>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</si>
  <si>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</si>
  <si>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</si>
  <si>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</si>
  <si>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</si>
  <si>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</si>
  <si>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</si>
  <si>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</si>
  <si>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</si>
  <si>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</si>
  <si>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</si>
  <si>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</si>
  <si>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</si>
  <si>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</si>
  <si>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</si>
  <si>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</si>
  <si>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</si>
  <si>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</si>
  <si>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</si>
  <si>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</si>
  <si>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</si>
  <si>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</si>
  <si>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</si>
  <si>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</si>
  <si>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</si>
  <si>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</si>
  <si>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</si>
  <si>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</si>
  <si>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</si>
  <si>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</si>
  <si>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</si>
  <si>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</si>
  <si>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</si>
  <si>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</si>
  <si>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</si>
  <si>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</si>
  <si>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</si>
  <si>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</si>
  <si>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</si>
  <si>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</si>
  <si>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</si>
  <si>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</si>
  <si>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</si>
  <si>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</si>
  <si>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</si>
  <si>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</si>
  <si>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</si>
  <si>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</si>
  <si>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</si>
  <si>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</si>
  <si>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</si>
  <si>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</si>
  <si>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</si>
  <si>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</si>
  <si>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</si>
  <si>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</si>
  <si>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</si>
  <si>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</si>
  <si>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</si>
  <si>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</si>
  <si>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</si>
  <si>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</si>
  <si>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</si>
  <si>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</si>
  <si>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</si>
  <si>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</si>
  <si>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</si>
  <si>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</si>
  <si>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</si>
  <si>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</si>
  <si>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</si>
  <si>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</si>
  <si>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</si>
  <si>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</si>
  <si>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</si>
  <si>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</si>
  <si>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</si>
  <si>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</si>
  <si>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</si>
  <si>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</si>
  <si>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</si>
  <si>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</si>
  <si>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</si>
  <si>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</si>
  <si>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</si>
  <si>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</si>
  <si>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</si>
  <si>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</si>
  <si>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</si>
  <si>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</si>
  <si>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</si>
  <si>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</si>
  <si>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</si>
  <si>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7,17</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</si>
  <si>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</si>
  <si>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</si>
  <si>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</si>
  <si>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</si>
  <si>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</si>
  <si>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</si>
  <si>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</si>
  <si>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</si>
  <si>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</si>
  <si>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</si>
  <si>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7,90</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</si>
  <si>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</si>
  <si>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</si>
  <si>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</si>
  <si>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</si>
  <si>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</si>
  <si>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</si>
  <si>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</si>
  <si>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</si>
  <si>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</si>
  <si>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</si>
  <si>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</si>
  <si>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</si>
  <si>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</si>
  <si>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</si>
  <si>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</si>
  <si>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</si>
  <si>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</si>
  <si>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</si>
  <si>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</si>
  <si>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</si>
  <si>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</si>
  <si>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</si>
  <si>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</si>
  <si>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</si>
  <si>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</si>
  <si>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</si>
  <si>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</si>
  <si>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</si>
  <si>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</si>
  <si>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</si>
  <si>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</si>
  <si>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</si>
  <si>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</si>
  <si>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</si>
  <si>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</si>
  <si>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</si>
  <si>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</si>
  <si>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</si>
  <si>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</si>
  <si>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</si>
  <si>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</si>
  <si>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</si>
  <si>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</si>
  <si>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</si>
  <si>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</si>
  <si>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</si>
  <si>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</si>
  <si>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</si>
  <si>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</si>
  <si>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</si>
  <si>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</si>
  <si>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</si>
  <si>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</si>
  <si>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</si>
  <si>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</si>
  <si>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</si>
  <si>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</si>
  <si>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</si>
  <si>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</si>
  <si>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</si>
  <si>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</si>
  <si>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</si>
  <si>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</si>
  <si>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</si>
  <si>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</si>
  <si>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</si>
  <si>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</si>
  <si>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</si>
  <si>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</si>
  <si>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</si>
  <si>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</si>
  <si>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</si>
  <si>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</si>
  <si>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</si>
  <si>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</si>
  <si>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</si>
  <si>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</si>
  <si>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</si>
  <si>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86883</t>
  </si>
  <si>
    <t>SIFÃO DO TIPO FLEXÍVEL EM PVC 1  X 1.1/2  - FORNECIMENTO E INSTALAÇÃO. AF_01/2020</t>
  </si>
  <si>
    <t>14,03</t>
  </si>
  <si>
    <t>86884</t>
  </si>
  <si>
    <t>ENGATE FLEXÍVEL EM PLÁSTICO BRANCO, 1/2 X 30CM - FORNECIMENTO E INSTALAÇÃO. AF_01/2020</t>
  </si>
  <si>
    <t>86885</t>
  </si>
  <si>
    <t>ENGATE FLEXÍVEL EM PLÁSTICO BRANCO, 1/2 X 40CM - FORNECIMENTO E INSTALAÇÃO. AF_01/2020</t>
  </si>
  <si>
    <t>14,00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</si>
  <si>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</si>
  <si>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</si>
  <si>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</si>
  <si>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</si>
  <si>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</si>
  <si>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</si>
  <si>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</si>
  <si>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</si>
  <si>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</si>
  <si>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</si>
  <si>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</si>
  <si>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</si>
  <si>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</si>
  <si>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</si>
  <si>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</si>
  <si>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</si>
  <si>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</si>
  <si>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</si>
  <si>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</si>
  <si>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</si>
  <si>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</si>
  <si>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</si>
  <si>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</si>
  <si>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</si>
  <si>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</si>
  <si>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</si>
  <si>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</si>
  <si>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</si>
  <si>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</si>
  <si>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</si>
  <si>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</si>
  <si>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</si>
  <si>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</si>
  <si>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</si>
  <si>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</si>
  <si>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</si>
  <si>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</si>
  <si>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</si>
  <si>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</si>
  <si>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</si>
  <si>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</si>
  <si>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</si>
  <si>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</si>
  <si>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</si>
  <si>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</si>
  <si>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</si>
  <si>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</si>
  <si>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</si>
  <si>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</si>
  <si>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</si>
  <si>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</si>
  <si>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</si>
  <si>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</si>
  <si>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</si>
  <si>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</si>
  <si>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</si>
  <si>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</si>
  <si>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</si>
  <si>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</si>
  <si>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</si>
  <si>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</si>
  <si>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</si>
  <si>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</si>
  <si>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</si>
  <si>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</si>
  <si>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</si>
  <si>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</si>
  <si>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</si>
  <si>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</si>
  <si>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</si>
  <si>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</si>
  <si>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</si>
  <si>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</si>
  <si>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</si>
  <si>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</si>
  <si>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</si>
  <si>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</si>
  <si>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</si>
  <si>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</si>
  <si>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</si>
  <si>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</si>
  <si>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</si>
  <si>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</si>
  <si>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</si>
  <si>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</si>
  <si>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</si>
  <si>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</si>
  <si>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</si>
  <si>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</si>
  <si>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</si>
  <si>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</si>
  <si>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</si>
  <si>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</si>
  <si>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</si>
  <si>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</si>
  <si>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</si>
  <si>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</si>
  <si>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</si>
  <si>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</si>
  <si>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</si>
  <si>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</si>
  <si>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</si>
  <si>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</si>
  <si>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</si>
  <si>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</si>
  <si>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</si>
  <si>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</si>
  <si>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</si>
  <si>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</si>
  <si>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</si>
  <si>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</si>
  <si>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</si>
  <si>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</si>
  <si>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</si>
  <si>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</si>
  <si>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</si>
  <si>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</si>
  <si>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</si>
  <si>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</si>
  <si>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</si>
  <si>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</si>
  <si>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</si>
  <si>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</si>
  <si>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</si>
  <si>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</si>
  <si>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</si>
  <si>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</si>
  <si>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</si>
  <si>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</si>
  <si>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</si>
  <si>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</si>
  <si>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</si>
  <si>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</si>
  <si>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</si>
  <si>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</si>
  <si>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</si>
  <si>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</si>
  <si>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</si>
  <si>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</si>
  <si>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</si>
  <si>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</si>
  <si>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</si>
  <si>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</si>
  <si>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</si>
  <si>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100859</t>
  </si>
  <si>
    <t>MICTÓRIO SIFONADO LOUÇA BRANCA PARA ENTRADA DE ÁGUA EMBUTIDA  PADRÃO ALTO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</si>
  <si>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</si>
  <si>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</si>
  <si>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</si>
  <si>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</si>
  <si>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</si>
  <si>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</si>
  <si>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46,00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</si>
  <si>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</si>
  <si>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</si>
  <si>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</si>
  <si>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</si>
  <si>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</si>
  <si>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</si>
  <si>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</si>
  <si>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</si>
  <si>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</si>
  <si>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</si>
  <si>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</si>
  <si>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</si>
  <si>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</si>
  <si>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</si>
  <si>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</si>
  <si>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</si>
  <si>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</si>
  <si>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</si>
  <si>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</si>
  <si>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</si>
  <si>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</si>
  <si>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</si>
  <si>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</si>
  <si>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</si>
  <si>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</si>
  <si>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</si>
  <si>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</si>
  <si>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</si>
  <si>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</si>
  <si>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</si>
  <si>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</si>
  <si>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</si>
  <si>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</si>
  <si>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</si>
  <si>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</si>
  <si>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</si>
  <si>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</si>
  <si>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</si>
  <si>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</si>
  <si>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</si>
  <si>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</si>
  <si>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</si>
  <si>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</si>
  <si>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</si>
  <si>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</si>
  <si>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</si>
  <si>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</si>
  <si>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</si>
  <si>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</si>
  <si>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</si>
  <si>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</si>
  <si>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</si>
  <si>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</si>
  <si>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</si>
  <si>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</si>
  <si>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</si>
  <si>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</si>
  <si>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</si>
  <si>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</si>
  <si>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</si>
  <si>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</si>
  <si>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</si>
  <si>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</si>
  <si>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</si>
  <si>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</si>
  <si>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</si>
  <si>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</si>
  <si>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</si>
  <si>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</si>
  <si>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</si>
  <si>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</si>
  <si>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</si>
  <si>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</si>
  <si>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</si>
  <si>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</si>
  <si>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</si>
  <si>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</si>
  <si>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</si>
  <si>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</si>
  <si>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</si>
  <si>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</si>
  <si>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</si>
  <si>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</si>
  <si>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</si>
  <si>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</si>
  <si>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</si>
  <si>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</si>
  <si>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</si>
  <si>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</si>
  <si>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</si>
  <si>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</si>
  <si>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</si>
  <si>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</si>
  <si>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</si>
  <si>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</si>
  <si>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</si>
  <si>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</si>
  <si>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</si>
  <si>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</si>
  <si>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</si>
  <si>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</si>
  <si>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</si>
  <si>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</si>
  <si>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</si>
  <si>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</si>
  <si>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</si>
  <si>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</si>
  <si>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</si>
  <si>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</si>
  <si>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</si>
  <si>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</si>
  <si>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</si>
  <si>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</si>
  <si>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</si>
  <si>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</si>
  <si>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</si>
  <si>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</si>
  <si>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</si>
  <si>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</si>
  <si>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</si>
  <si>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</si>
  <si>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</si>
  <si>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</si>
  <si>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</si>
  <si>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</si>
  <si>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</si>
  <si>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</si>
  <si>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</si>
  <si>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</si>
  <si>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</si>
  <si>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</si>
  <si>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</si>
  <si>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</si>
  <si>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</si>
  <si>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</si>
  <si>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</si>
  <si>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</si>
  <si>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 FORNECIMENTO E INSTALAÇÃO. AF_08/2021</t>
  </si>
  <si>
    <t>89351</t>
  </si>
  <si>
    <t>REGISTRO DE PRESSÃO BRUTO, LATÃO,  ROSCÁVEL, 3/4'' - FORNECIMENTO E INSTALAÇÃO. AF_08/2021</t>
  </si>
  <si>
    <t>30,90</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</si>
  <si>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</si>
  <si>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</si>
  <si>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</si>
  <si>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</si>
  <si>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</si>
  <si>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</si>
  <si>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</si>
  <si>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</si>
  <si>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</si>
  <si>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</si>
  <si>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</si>
  <si>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</si>
  <si>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</si>
  <si>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</si>
  <si>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</si>
  <si>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</si>
  <si>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</si>
  <si>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</si>
  <si>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</si>
  <si>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</si>
  <si>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</si>
  <si>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</si>
  <si>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</si>
  <si>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</si>
  <si>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</si>
  <si>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</si>
  <si>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</si>
  <si>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</si>
  <si>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</si>
  <si>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</si>
  <si>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</si>
  <si>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</si>
  <si>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</si>
  <si>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</si>
  <si>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</si>
  <si>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</si>
  <si>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</si>
  <si>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</si>
  <si>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</si>
  <si>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</si>
  <si>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</si>
  <si>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</si>
  <si>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</si>
  <si>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</si>
  <si>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</si>
  <si>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</si>
  <si>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</si>
  <si>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</si>
  <si>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</si>
  <si>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</si>
  <si>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</si>
  <si>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</si>
  <si>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</si>
  <si>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</si>
  <si>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</si>
  <si>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</si>
  <si>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</si>
  <si>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</si>
  <si>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</si>
  <si>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</si>
  <si>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</si>
  <si>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</si>
  <si>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</si>
  <si>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</si>
  <si>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</si>
  <si>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</si>
  <si>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</si>
  <si>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</si>
  <si>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</si>
  <si>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</si>
  <si>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</si>
  <si>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</si>
  <si>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</si>
  <si>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</si>
  <si>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</si>
  <si>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</si>
  <si>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</si>
  <si>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</si>
  <si>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</si>
  <si>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</si>
  <si>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</si>
  <si>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</si>
  <si>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</si>
  <si>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</si>
  <si>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</si>
  <si>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</si>
  <si>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</si>
  <si>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</si>
  <si>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</si>
  <si>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</si>
  <si>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</si>
  <si>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</si>
  <si>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</si>
  <si>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</si>
  <si>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</si>
  <si>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</si>
  <si>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</si>
  <si>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</si>
  <si>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</si>
  <si>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</si>
  <si>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</si>
  <si>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</si>
  <si>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65,51</t>
  </si>
  <si>
    <t>99629</t>
  </si>
  <si>
    <t>VÁLVULA DE RETENÇÃO VERTICAL, DE BRONZE, ROSCÁVEL, 1" - FORNECIMENTO E INSTALAÇÃO. AF_08/2021</t>
  </si>
  <si>
    <t>73,17</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</si>
  <si>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</si>
  <si>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</si>
  <si>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</si>
  <si>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</si>
  <si>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</si>
  <si>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</si>
  <si>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</si>
  <si>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</si>
  <si>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</si>
  <si>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</si>
  <si>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</si>
  <si>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</si>
  <si>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</si>
  <si>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</si>
  <si>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</si>
  <si>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</si>
  <si>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</si>
  <si>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</si>
  <si>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</si>
  <si>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</si>
  <si>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</si>
  <si>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</si>
  <si>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</si>
  <si>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</si>
  <si>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</si>
  <si>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</si>
  <si>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</si>
  <si>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</si>
  <si>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</si>
  <si>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</si>
  <si>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</si>
  <si>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</si>
  <si>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</si>
  <si>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</si>
  <si>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</si>
  <si>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</si>
  <si>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</si>
  <si>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</si>
  <si>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</si>
  <si>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</si>
  <si>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</si>
  <si>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</si>
  <si>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</si>
  <si>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</si>
  <si>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</si>
  <si>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</si>
  <si>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</si>
  <si>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</si>
  <si>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</si>
  <si>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</si>
  <si>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</si>
  <si>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</si>
  <si>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</si>
  <si>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</si>
  <si>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</si>
  <si>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</si>
  <si>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</si>
  <si>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</si>
  <si>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12,04</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</si>
  <si>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</si>
  <si>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</si>
  <si>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</si>
  <si>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</si>
  <si>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</si>
  <si>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</si>
  <si>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</si>
  <si>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</si>
  <si>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</si>
  <si>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</si>
  <si>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27,25</t>
  </si>
  <si>
    <t>103051</t>
  </si>
  <si>
    <t>SUBSTITUIÇÃO DE REGISTRO OU VÁLVULA, ROSCÁVEL, DN  25 MM. AF_08/2021</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</si>
  <si>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</si>
  <si>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</si>
  <si>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</si>
  <si>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</si>
  <si>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</si>
  <si>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</si>
  <si>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95636</t>
  </si>
  <si>
    <t>KIT CAVALETE PARA MEDIÇÃO DE ÁGUA - ENTRADA PRINCIPAL, EM AÇO GALVANIZADO DN 25 (1 )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</si>
  <si>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</si>
  <si>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</si>
  <si>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</si>
  <si>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</si>
  <si>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</si>
  <si>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</si>
  <si>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</si>
  <si>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</si>
  <si>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</si>
  <si>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</si>
  <si>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</si>
  <si>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</si>
  <si>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</si>
  <si>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</si>
  <si>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</si>
  <si>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</si>
  <si>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</si>
  <si>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</si>
  <si>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</si>
  <si>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</si>
  <si>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</si>
  <si>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</si>
  <si>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</si>
  <si>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</si>
  <si>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</si>
  <si>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</si>
  <si>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</si>
  <si>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</si>
  <si>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</si>
  <si>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</si>
  <si>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</si>
  <si>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</si>
  <si>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</si>
  <si>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</si>
  <si>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</si>
  <si>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</si>
  <si>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</si>
  <si>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</si>
  <si>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</si>
  <si>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</si>
  <si>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</si>
  <si>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</si>
  <si>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</si>
  <si>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</si>
  <si>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</si>
  <si>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</si>
  <si>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</si>
  <si>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</si>
  <si>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</si>
  <si>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</si>
  <si>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</si>
  <si>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</si>
  <si>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</si>
  <si>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</si>
  <si>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</si>
  <si>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</si>
  <si>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</si>
  <si>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</si>
  <si>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</si>
  <si>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</si>
  <si>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</si>
  <si>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</si>
  <si>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</si>
  <si>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</si>
  <si>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</si>
  <si>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</si>
  <si>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</si>
  <si>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</si>
  <si>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</si>
  <si>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</si>
  <si>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</si>
  <si>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</si>
  <si>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</si>
  <si>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</si>
  <si>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</si>
  <si>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</si>
  <si>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</si>
  <si>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</si>
  <si>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</si>
  <si>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</si>
  <si>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</si>
  <si>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</si>
  <si>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</si>
  <si>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</si>
  <si>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</si>
  <si>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</si>
  <si>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</si>
  <si>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</si>
  <si>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</si>
  <si>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</si>
  <si>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</si>
  <si>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</si>
  <si>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</si>
  <si>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</si>
  <si>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29,89</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</si>
  <si>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</si>
  <si>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</si>
  <si>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</si>
  <si>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</si>
  <si>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</si>
  <si>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</si>
  <si>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</si>
  <si>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</si>
  <si>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5,08</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</si>
  <si>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</si>
  <si>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</si>
  <si>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</si>
  <si>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</si>
  <si>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</si>
  <si>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</si>
  <si>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</si>
  <si>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</si>
  <si>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</si>
  <si>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</si>
  <si>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</si>
  <si>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</si>
  <si>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</si>
  <si>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</si>
  <si>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</si>
  <si>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</si>
  <si>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</si>
  <si>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</si>
  <si>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</si>
  <si>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</si>
  <si>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7,42</t>
  </si>
  <si>
    <t>90462</t>
  </si>
  <si>
    <t>SUPORTE PARA ATÉ 3 TUBOS VERTICAIS, ESPAÇADO A CADA 3 M, EM PERFILADO DE SEÇÃO 38X38 MM, POR METRO DE TUBULAÇÃO FIXADA. AF_05/2015</t>
  </si>
  <si>
    <t>1,61</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</si>
  <si>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</si>
  <si>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</si>
  <si>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</si>
  <si>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</si>
  <si>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</si>
  <si>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</si>
  <si>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</si>
  <si>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</si>
  <si>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</si>
  <si>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</si>
  <si>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</si>
  <si>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</si>
  <si>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</si>
  <si>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</si>
  <si>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4,03</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</si>
  <si>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</si>
  <si>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</si>
  <si>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</si>
  <si>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</si>
  <si>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</si>
  <si>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</si>
  <si>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</si>
  <si>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</si>
  <si>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</si>
  <si>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</si>
  <si>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</si>
  <si>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</si>
  <si>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6,48</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</si>
  <si>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</si>
  <si>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</si>
  <si>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</si>
  <si>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</si>
  <si>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</si>
  <si>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</si>
  <si>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</si>
  <si>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</si>
  <si>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31,23</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</si>
  <si>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</si>
  <si>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</si>
  <si>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</si>
  <si>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</si>
  <si>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</si>
  <si>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</si>
  <si>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</si>
  <si>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</si>
  <si>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</si>
  <si>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</si>
  <si>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</si>
  <si>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</si>
  <si>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32,35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</si>
  <si>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</si>
  <si>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</si>
  <si>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</si>
  <si>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</si>
  <si>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14,80</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</si>
  <si>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</si>
  <si>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</si>
  <si>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</si>
  <si>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</si>
  <si>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</si>
  <si>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</si>
  <si>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</si>
  <si>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</si>
  <si>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8,06</t>
  </si>
  <si>
    <t>91189</t>
  </si>
  <si>
    <t>CHUMBAMENTO PONTUAL DE ABERTURA EM LAJE COM PASSAGEM DE MAIS DE 1 TUBO DE  DIAMETRO EQUIVALENTE IGUAL À  50 MM. AF_05/2015</t>
  </si>
  <si>
    <t>91190</t>
  </si>
  <si>
    <t>CHUMBAMENTO PONTUAL EM PASSAGEM DE TUBO COM DIÂMETRO MENOR OU IGUAL A 40 MM. AF_05/2015</t>
  </si>
  <si>
    <t>5,83</t>
  </si>
  <si>
    <t>91191</t>
  </si>
  <si>
    <t>CHUMBAMENTO PONTUAL EM PASSAGEM DE TUBO COM DIÂMETROS ENTRE 40 MM E 75 MM. AF_05/2015</t>
  </si>
  <si>
    <t>91192</t>
  </si>
  <si>
    <t>CHUMBAMENTO PONTUAL EM PASSAGEM DE TUBO COM DIÂMETRO MAIOR QUE 75 MM. AF_05/2015</t>
  </si>
  <si>
    <t>6,86</t>
  </si>
  <si>
    <t>91222</t>
  </si>
  <si>
    <t>RASGO EM ALVENARIA PARA RAMAIS/ DISTRIBUIÇÃO COM DIÂMETROS MAIORES QUE 40 MM E MENORES OU IGUAIS A 75 MM. AF_05/2015</t>
  </si>
  <si>
    <t>16,53</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</si>
  <si>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</si>
  <si>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</si>
  <si>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</si>
  <si>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</si>
  <si>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</si>
  <si>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</si>
  <si>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</si>
  <si>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</si>
  <si>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</si>
  <si>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</si>
  <si>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</si>
  <si>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</si>
  <si>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</si>
  <si>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</si>
  <si>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</si>
  <si>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</si>
  <si>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15,10</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</si>
  <si>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</si>
  <si>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</si>
  <si>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</si>
  <si>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</si>
  <si>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</si>
  <si>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</si>
  <si>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</si>
  <si>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</si>
  <si>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</si>
  <si>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</si>
  <si>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</si>
  <si>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</si>
  <si>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</si>
  <si>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</si>
  <si>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</si>
  <si>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</si>
  <si>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</si>
  <si>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</si>
  <si>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</si>
  <si>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</si>
  <si>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</si>
  <si>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</si>
  <si>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</si>
  <si>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</si>
  <si>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</si>
  <si>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</si>
  <si>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</si>
  <si>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</si>
  <si>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</si>
  <si>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</si>
  <si>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</si>
  <si>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</si>
  <si>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</si>
  <si>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</si>
  <si>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</si>
  <si>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</si>
  <si>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</si>
  <si>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</si>
  <si>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</si>
  <si>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</si>
  <si>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</si>
  <si>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</si>
  <si>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</si>
  <si>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</si>
  <si>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</si>
  <si>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</si>
  <si>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</si>
  <si>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</si>
  <si>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</si>
  <si>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</si>
  <si>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</si>
  <si>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</si>
  <si>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</si>
  <si>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</si>
  <si>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</si>
  <si>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</si>
  <si>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</si>
  <si>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</si>
  <si>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20,32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</si>
  <si>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</si>
  <si>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</si>
  <si>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</si>
  <si>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</si>
  <si>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</si>
  <si>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</si>
  <si>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</si>
  <si>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</si>
  <si>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</si>
  <si>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</si>
  <si>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</si>
  <si>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</si>
  <si>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</si>
  <si>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</si>
  <si>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</si>
  <si>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</si>
  <si>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</si>
  <si>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</si>
  <si>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</si>
  <si>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</si>
  <si>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</si>
  <si>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</si>
  <si>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</si>
  <si>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</si>
  <si>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13,48</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</si>
  <si>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</si>
  <si>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</si>
  <si>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</si>
  <si>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</si>
  <si>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</si>
  <si>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</si>
  <si>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</si>
  <si>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</si>
  <si>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10,45</t>
  </si>
  <si>
    <t>104053</t>
  </si>
  <si>
    <t>UNIÃO, POLIPROPILENO, PARA TUBOS EM PEAD, 20 MM, PARA LIGAÇÃO PREDIAL DE ÁGUA. AF_06/2022</t>
  </si>
  <si>
    <t>104054</t>
  </si>
  <si>
    <t>UNIÃO, POLIPROPILENO, PARA TUBOS EM PEAD, 32 MM, PARA LIGAÇÃO PREDIAL DE ÁGUA. AF_06/2022</t>
  </si>
  <si>
    <t>16,96</t>
  </si>
  <si>
    <t>104055</t>
  </si>
  <si>
    <t>REGISTRO ESFERA, PVC, DE PASSEIO, PARA POLIETILENO, 20 MM, PARA LIGAÇÃO PREDIAL DE ÁGUA. AF_06/2022</t>
  </si>
  <si>
    <t>19,18</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</si>
  <si>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</si>
  <si>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</si>
  <si>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</si>
  <si>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</si>
  <si>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</si>
  <si>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</si>
  <si>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</si>
  <si>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</si>
  <si>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</si>
  <si>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</si>
  <si>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16,48</t>
  </si>
  <si>
    <t>104112</t>
  </si>
  <si>
    <t>(COMPOSIÇÃO REPRESENTATIVA) LIGAÇÃO PREDIAL DE ÁGUA, REDE DN 50 MM, RAMAL PREDIAL DE 20 MM, L = 2,0 M, LARGURA DA VALA = 0,65 M; COM COLAR DE TOMADA DE PVC; ESCAVAÇÃO MECANIZADA, PREPARO DE FUNDO DE VALA E REATERRO COMPACTADO. AF_06/2022</t>
  </si>
  <si>
    <t>104114</t>
  </si>
  <si>
    <t>(COMPOSIÇÃO REPRESENTATIVA) LIGAÇÃO PREDIAL DE ÁGUA, REDE DN 50 MM, RAMAL PREDIAL DE 20 MM, L = 4,0 M, LARGURA DA VALA = 0,65 M; COM COLAR DE TOMADA DE PVC; ESCAVAÇÃO MECANIZADA, PREPARO DE FUNDO DE VALA E REATERRO COMPACTADO. AF_06/2022</t>
  </si>
  <si>
    <t>104116</t>
  </si>
  <si>
    <t>(COMPOSIÇÃO REPRESENTATIVA) LIGAÇÃO PREDIAL DE ÁGUA, REDE DN 50 MM, RAMAL PREDIAL DE 20 MM, L = 6,0 M, LARGURA DA VALA = 0,65 M; COM COLAR DE TOMADA DE PVC; ESCAVAÇÃO MECANIZADA, PREPARO DE FUNDO DE VALA E REATERRO COMPACTADO. AF_06/2022</t>
  </si>
  <si>
    <t>104118</t>
  </si>
  <si>
    <t>(COMPOSIÇÃO REPRESENTATIVA) LIGAÇÃO PREDIAL DE ÁGUA, REDE DN 50 MM, RAMAL PREDIAL DE 20 MM, L = 2,0 M, LARGURA DA VALA = 0,65 M; COM COLAR DE TOMADA DE PVC; ESCAVAÇÃO MANUAL, PREPARO DE FUNDO DE VALA E REATERRO COMPACTADO. AF_06/2022</t>
  </si>
  <si>
    <t>104120</t>
  </si>
  <si>
    <t>(COMPOSIÇÃO REPRESENTATIVA) LIGAÇÃO PREDIAL DE ÁGUA, REDE DN 50 MM, RAMAL PREDIAL DE 20 MM, L = 4,0 M, LARGURA DA VALA = 0,65 M; COM COLAR DE TOMADA DE PVC; ESCAVAÇÃO MANUAL, PREPARO DE FUNDO DE VALA E REATERRO COMPACTADO. AF_06/2022</t>
  </si>
  <si>
    <t>104122</t>
  </si>
  <si>
    <t>(COMPOSIÇÃO REPRESENTATIVA) LIGAÇÃO PREDIAL DE ÁGUA, REDE DN 50 MM, RAMAL PREDIAL DE 20 MM, L = 6,0 M, LARGURA DA VALA = 0,65 M; COM COLAR DE TOMADA DE PVC; ESCAVAÇÃO MANUAL, PREPARO DE FUNDO DE VALA E REATERRO COMPACTADO.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</si>
  <si>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</si>
  <si>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</si>
  <si>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</si>
  <si>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</si>
  <si>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</si>
  <si>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</si>
  <si>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</si>
  <si>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</si>
  <si>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</si>
  <si>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</si>
  <si>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</si>
  <si>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</si>
  <si>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</si>
  <si>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</si>
  <si>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</si>
  <si>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</si>
  <si>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</si>
  <si>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</si>
  <si>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</si>
  <si>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</si>
  <si>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</si>
  <si>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</si>
  <si>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</si>
  <si>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REPRESENTATIVA) LIGAÇÃO PREDIAL DE ESGOTO, REDE DN 150 MM, COLETOR PREDIAL DN 100 MM, L = 2,0 M, LARGURA DA VALA = 0,65 M; COM SELIM E CURVA 90 GRAUS; ESCAVAÇÃO MECANIZADA, PREPARO DE FUNDO DE VALA E REATERRO COMPACTADO. AF_06/2022</t>
  </si>
  <si>
    <t>104130</t>
  </si>
  <si>
    <t>(COMPOSIÇÃO REPRESENTATIVA) LIGAÇÃO PREDIAL DE ESGOTO, REDE DN 150 MM, COLETOR PREDIAL DN 100 MM, L = 4,0 M, LARGURA DA VALA = 0,65 M; COM SELIM E CURVA 90 GRAUS; ESCAVAÇÃO MECANIZADA, PREPARO DE FUNDO DE VALA E REATERRO COMPACTADO. AF_06/2022</t>
  </si>
  <si>
    <t>104136</t>
  </si>
  <si>
    <t>(COMPOSIÇÃO REPRESENTATIVA) LIGAÇÃO PREDIAL DE ESGOTO, REDE DN 150 MM, COLETOR PREDIAL DN 100 MM, L = 6,0 M, LARGURA DA VALA = 0,65 M; COM SELIM E CURVA 90 GRAUS; ESCAVAÇÃO MECANIZADA, PREPARO DE FUNDO DE VALA E REATERRO COMPACTADO. AF_06/2022</t>
  </si>
  <si>
    <t>104142</t>
  </si>
  <si>
    <t>(COMPOSIÇÃO REPRESENTATIVA) LIGAÇÃO PREDIAL DE ESGOTO, REDE DN 150 MM, COLETOR PREDIAL DN 100 MM, L = 2,0 M, LARGURA DA VALA = 0,65 M; COM SELIM E CURVA 90 GRAUS; ESCAVAÇÃO MANUAL, PREPARO DE FUNDO DE VALA E REATERRO COMPACTADO. AF_06/2022</t>
  </si>
  <si>
    <t>104148</t>
  </si>
  <si>
    <t>(COMPOSIÇÃO REPRESENTATIVA) LIGAÇÃO PREDIAL DE ESGOTO, REDE DN 150 MM, COLETOR PREDIAL DN 100 MM, L = 4,0 M, LARGURA DA VALA = 0,65 M; COM SELIM E CURVA 90 GRAUS; ESCAVAÇÃO MANUAL, PREPARO DE FUNDO DE VALA E REATERRO COMPACTADO. AF_06/2022</t>
  </si>
  <si>
    <t>104154</t>
  </si>
  <si>
    <t>(COMPOSIÇÃO REPRESENTATIVA) LIGAÇÃO PREDIAL DE ESGOTO, REDE DN 150 MM, COLETOR PREDIAL DN 100 MM, L = 6,0 M, LARGURA DA VALA = 0,65 M; COM SELIM E CURVA 90 GRAUS; ESCAVAÇÃO MANUAL, PREPARO DE FUNDO DE VALA E REATERRO COMPACTADO. AF_06/2022</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</si>
  <si>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</si>
  <si>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</si>
  <si>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</si>
  <si>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</si>
  <si>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</si>
  <si>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</si>
  <si>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</si>
  <si>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</si>
  <si>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</si>
  <si>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</si>
  <si>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</si>
  <si>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</si>
  <si>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96526</t>
  </si>
  <si>
    <t>ESCAVAÇÃO MANUAL DE VALA PARA VIGA BALDRAME (SEM ESCAVAÇÃO PARA COLOCAÇÃO DE FÔRMAS). AF_06/2017</t>
  </si>
  <si>
    <t>96527</t>
  </si>
  <si>
    <t>ESCAVAÇÃO MANUAL DE VALA PARA VIGA BALDRAME (INCLUINDO ESCAVAÇÃO PARA COLOCAÇÃO DE FÔRMAS). AF_06/2017</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</si>
  <si>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</si>
  <si>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</si>
  <si>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</si>
  <si>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</si>
  <si>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</si>
  <si>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</si>
  <si>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</si>
  <si>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</si>
  <si>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</si>
  <si>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</si>
  <si>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3,11</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</si>
  <si>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</si>
  <si>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</si>
  <si>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</si>
  <si>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</si>
  <si>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</si>
  <si>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</si>
  <si>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</si>
  <si>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</si>
  <si>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</si>
  <si>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</si>
  <si>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</si>
  <si>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</si>
  <si>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</si>
  <si>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</si>
  <si>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</si>
  <si>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</si>
  <si>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</si>
  <si>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</si>
  <si>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</si>
  <si>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</si>
  <si>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</si>
  <si>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</si>
  <si>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13,92</t>
  </si>
  <si>
    <t>101129</t>
  </si>
  <si>
    <t>ESCAVAÇÃO HORIZONTAL, INCLUINDO ESCARIFICAÇÃO, CARGA E DESCARGA EM SOLO DE 2A CATEGORIA COM TRATOR DE ESTEIRAS (100HP/LÂMINA: 2,19M3). AF_07/2020</t>
  </si>
  <si>
    <t>18,81</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</si>
  <si>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</si>
  <si>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</si>
  <si>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</si>
  <si>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</si>
  <si>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</si>
  <si>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</si>
  <si>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</si>
  <si>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</si>
  <si>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17,68</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</si>
  <si>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</si>
  <si>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</si>
  <si>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</si>
  <si>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</si>
  <si>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14,45</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</si>
  <si>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</si>
  <si>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</si>
  <si>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</si>
  <si>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</si>
  <si>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</si>
  <si>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</si>
  <si>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</si>
  <si>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</si>
  <si>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</si>
  <si>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</si>
  <si>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</si>
  <si>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</si>
  <si>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15,59</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</si>
  <si>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</si>
  <si>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</si>
  <si>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</si>
  <si>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</si>
  <si>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</si>
  <si>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</si>
  <si>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</si>
  <si>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</si>
  <si>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</si>
  <si>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</si>
  <si>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</si>
  <si>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</si>
  <si>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</si>
  <si>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</si>
  <si>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</si>
  <si>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</si>
  <si>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</si>
  <si>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</si>
  <si>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</si>
  <si>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</si>
  <si>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</si>
  <si>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</si>
  <si>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</si>
  <si>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</si>
  <si>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</si>
  <si>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</si>
  <si>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12,08</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</si>
  <si>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</si>
  <si>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</si>
  <si>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</si>
  <si>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</si>
  <si>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</si>
  <si>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</si>
  <si>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</si>
  <si>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</si>
  <si>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</si>
  <si>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</si>
  <si>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</si>
  <si>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</si>
  <si>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</si>
  <si>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</si>
  <si>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</si>
  <si>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</si>
  <si>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28,67</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</si>
  <si>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</si>
  <si>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</si>
  <si>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</si>
  <si>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</si>
  <si>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</si>
  <si>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</si>
  <si>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</si>
  <si>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</si>
  <si>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</si>
  <si>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</si>
  <si>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25,68</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</si>
  <si>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</si>
  <si>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</si>
  <si>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</si>
  <si>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</si>
  <si>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</si>
  <si>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</si>
  <si>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</si>
  <si>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</si>
  <si>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</si>
  <si>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</si>
  <si>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</si>
  <si>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</si>
  <si>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14,72</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</si>
  <si>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</si>
  <si>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</si>
  <si>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</si>
  <si>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</si>
  <si>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</si>
  <si>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</si>
  <si>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</si>
  <si>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</si>
  <si>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</si>
  <si>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</si>
  <si>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</si>
  <si>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</si>
  <si>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</si>
  <si>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</si>
  <si>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</si>
  <si>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</si>
  <si>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</si>
  <si>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</si>
  <si>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</si>
  <si>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</si>
  <si>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17,52</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</si>
  <si>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</si>
  <si>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</si>
  <si>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20,37</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</si>
  <si>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</si>
  <si>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</si>
  <si>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</si>
  <si>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</si>
  <si>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</si>
  <si>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</si>
  <si>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</si>
  <si>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</si>
  <si>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</si>
  <si>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</si>
  <si>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</si>
  <si>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</si>
  <si>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20,19</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</si>
  <si>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</si>
  <si>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</si>
  <si>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</si>
  <si>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</si>
  <si>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15,33</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</si>
  <si>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</si>
  <si>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</si>
  <si>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</si>
  <si>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</si>
  <si>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18,93</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</si>
  <si>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</si>
  <si>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</si>
  <si>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20,98</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</si>
  <si>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</si>
  <si>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</si>
  <si>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</si>
  <si>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</si>
  <si>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</si>
  <si>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</si>
  <si>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</si>
  <si>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</si>
  <si>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</si>
  <si>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</si>
  <si>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</si>
  <si>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</si>
  <si>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</si>
  <si>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</si>
  <si>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12,28</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</si>
  <si>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</si>
  <si>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</si>
  <si>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</si>
  <si>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</si>
  <si>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</si>
  <si>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</si>
  <si>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</si>
  <si>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</si>
  <si>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</si>
  <si>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</si>
  <si>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</si>
  <si>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</si>
  <si>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</si>
  <si>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</si>
  <si>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</si>
  <si>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</si>
  <si>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</si>
  <si>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</si>
  <si>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21,86</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</si>
  <si>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</si>
  <si>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</si>
  <si>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</si>
  <si>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</si>
  <si>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</si>
  <si>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</si>
  <si>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</si>
  <si>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</si>
  <si>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10,48</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</si>
  <si>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</si>
  <si>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</si>
  <si>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</si>
  <si>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</si>
  <si>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</si>
  <si>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</si>
  <si>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</si>
  <si>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</si>
  <si>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</si>
  <si>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</si>
  <si>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</si>
  <si>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</si>
  <si>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</si>
  <si>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</si>
  <si>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</si>
  <si>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</si>
  <si>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</si>
  <si>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</si>
  <si>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</si>
  <si>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</si>
  <si>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</si>
  <si>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</si>
  <si>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</si>
  <si>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</si>
  <si>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</si>
  <si>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</si>
  <si>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</si>
  <si>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</si>
  <si>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</si>
  <si>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</si>
  <si>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</si>
  <si>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</si>
  <si>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</si>
  <si>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</si>
  <si>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</si>
  <si>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</si>
  <si>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</si>
  <si>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</si>
  <si>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</si>
  <si>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</si>
  <si>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</si>
  <si>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</si>
  <si>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</si>
  <si>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</si>
  <si>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5,80</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</si>
  <si>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</si>
  <si>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</si>
  <si>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</si>
  <si>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</si>
  <si>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</si>
  <si>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</si>
  <si>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</si>
  <si>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</si>
  <si>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</si>
  <si>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</si>
  <si>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</si>
  <si>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</si>
  <si>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</si>
  <si>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</si>
  <si>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</si>
  <si>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</si>
  <si>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</si>
  <si>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</si>
  <si>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</si>
  <si>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</si>
  <si>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</si>
  <si>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</si>
  <si>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</si>
  <si>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</si>
  <si>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</si>
  <si>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</si>
  <si>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</si>
  <si>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</si>
  <si>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10,00</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</si>
  <si>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</si>
  <si>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</si>
  <si>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</si>
  <si>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</si>
  <si>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5,62</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</si>
  <si>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</si>
  <si>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</si>
  <si>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</si>
  <si>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</si>
  <si>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14,32</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</si>
  <si>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</si>
  <si>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</si>
  <si>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</si>
  <si>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</si>
  <si>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</si>
  <si>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</si>
  <si>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</si>
  <si>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</si>
  <si>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11,33</t>
  </si>
  <si>
    <t>102287</t>
  </si>
  <si>
    <t>ESCAVAÇÃO MECANIZADA DE VALA COM PROF. MAIOR QUE 1,5 M ATÉ 3,0 M (MÉDIA MONTANTE E JUSANTE/UMA COMPOSIÇÃO POR TRECHO),COM ESCAVADEIRA (1,2 M3),LARG. DE 1,5 M A 2,5 M, EM SOLO MOLE, EM LOCAIS COM ALTO NÍVEL DE INTERFERÊNCIA. AF_02/2021</t>
  </si>
  <si>
    <t>11,12</t>
  </si>
  <si>
    <t>102288</t>
  </si>
  <si>
    <t>ESCAVAÇÃO MECANIZADA DE VALA COM PROF. DE 3,0 M ATÉ 4,5 M (MÉDIA MONTANTE E JUSANTE/UMA COMPOSIÇÃO POR TRECHO), ESCAVADEIRA (1,2 M3), LARG. DE 1,5 M A 2,5 M, EM SOLO MOLE, EM LOCAIS COM ALTO NÍVEL DE INTERFERÊNCIA. AF_02/2021</t>
  </si>
  <si>
    <t>10,68</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</si>
  <si>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</si>
  <si>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</si>
  <si>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</si>
  <si>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</si>
  <si>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7,89</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</si>
  <si>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</si>
  <si>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</si>
  <si>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</si>
  <si>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</si>
  <si>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</si>
  <si>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</si>
  <si>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6,43</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</si>
  <si>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</si>
  <si>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</si>
  <si>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</si>
  <si>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</si>
  <si>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</si>
  <si>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</si>
  <si>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5,87</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</si>
  <si>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</si>
  <si>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</si>
  <si>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</si>
  <si>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</si>
  <si>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</si>
  <si>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</si>
  <si>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</si>
  <si>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</si>
  <si>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</si>
  <si>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</si>
  <si>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</si>
  <si>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</si>
  <si>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9,98</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</si>
  <si>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</si>
  <si>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</si>
  <si>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</si>
  <si>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</si>
  <si>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</si>
  <si>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</si>
  <si>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7,63</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</si>
  <si>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</si>
  <si>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</si>
  <si>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</si>
  <si>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</si>
  <si>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</si>
  <si>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</si>
  <si>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</si>
  <si>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</si>
  <si>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</si>
  <si>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</si>
  <si>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</si>
  <si>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</si>
  <si>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</si>
  <si>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</si>
  <si>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</si>
  <si>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</si>
  <si>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</si>
  <si>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</si>
  <si>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8,91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</si>
  <si>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</si>
  <si>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</si>
  <si>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</si>
  <si>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</si>
  <si>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</si>
  <si>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</si>
  <si>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7,23</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</si>
  <si>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</si>
  <si>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</si>
  <si>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</si>
  <si>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</si>
  <si>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</si>
  <si>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</si>
  <si>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</si>
  <si>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</si>
  <si>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</si>
  <si>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</si>
  <si>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</si>
  <si>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</si>
  <si>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</si>
  <si>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</si>
  <si>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</si>
  <si>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</si>
  <si>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15,56</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</si>
  <si>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</si>
  <si>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</si>
  <si>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</si>
  <si>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</si>
  <si>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</si>
  <si>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</si>
  <si>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</si>
  <si>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</si>
  <si>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</si>
  <si>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</si>
  <si>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</si>
  <si>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</si>
  <si>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</si>
  <si>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</si>
  <si>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58,05</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</si>
  <si>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</si>
  <si>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</si>
  <si>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</si>
  <si>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</si>
  <si>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</si>
  <si>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</si>
  <si>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</si>
  <si>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</si>
  <si>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</si>
  <si>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</si>
  <si>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</si>
  <si>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</si>
  <si>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</si>
  <si>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</si>
  <si>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</si>
  <si>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</si>
  <si>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</si>
  <si>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</si>
  <si>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</si>
  <si>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</si>
  <si>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58,78</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</si>
  <si>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</si>
  <si>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</si>
  <si>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</si>
  <si>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</si>
  <si>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</si>
  <si>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</si>
  <si>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</si>
  <si>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</si>
  <si>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</si>
  <si>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</si>
  <si>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</si>
  <si>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</si>
  <si>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</si>
  <si>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</si>
  <si>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</si>
  <si>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</si>
  <si>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</si>
  <si>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</si>
  <si>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</si>
  <si>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</si>
  <si>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</si>
  <si>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</si>
  <si>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</si>
  <si>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</si>
  <si>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</si>
  <si>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</si>
  <si>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</si>
  <si>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</si>
  <si>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</si>
  <si>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</si>
  <si>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</si>
  <si>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</si>
  <si>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</si>
  <si>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</si>
  <si>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15,08</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</si>
  <si>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</si>
  <si>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</si>
  <si>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</si>
  <si>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</si>
  <si>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</si>
  <si>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</si>
  <si>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</si>
  <si>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</si>
  <si>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</si>
  <si>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</si>
  <si>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</si>
  <si>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</si>
  <si>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</si>
  <si>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</si>
  <si>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</si>
  <si>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</si>
  <si>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</si>
  <si>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</si>
  <si>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11,88</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</si>
  <si>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</si>
  <si>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</si>
  <si>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</si>
  <si>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</si>
  <si>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</si>
  <si>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</si>
  <si>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</si>
  <si>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</si>
  <si>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16,84</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</si>
  <si>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</si>
  <si>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</si>
  <si>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</si>
  <si>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</si>
  <si>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</si>
  <si>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</si>
  <si>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</si>
  <si>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</si>
  <si>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</si>
  <si>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</si>
  <si>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</si>
  <si>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</si>
  <si>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</si>
  <si>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</si>
  <si>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97916</t>
  </si>
  <si>
    <t>TRANSPORTE COM CAMINHÃO BASCULANTE DE 6 M³, EM VIA URBANA EM LEITO NATURAL (UNIDADE: TXKM). AF_07/2020</t>
  </si>
  <si>
    <t>TXKM</t>
  </si>
  <si>
    <t>2,28</t>
  </si>
  <si>
    <t>97917</t>
  </si>
  <si>
    <t>TRANSPORTE COM CAMINHÃO BASCULANTE DE 6 M³, EM VIA URBANA EM REVESTIMENTO PRIMÁRIO (UNIDADE: TXKM). AF_07/2020</t>
  </si>
  <si>
    <t>97918</t>
  </si>
  <si>
    <t>TRANSPORTE COM CAMINHÃO BASCULANTE DE 6 M³, EM VIA URBANA PAVIMENTADA, DMT ATÉ 30 KM (UNIDADE: TXKM). AF_07/2020</t>
  </si>
  <si>
    <t>1,82</t>
  </si>
  <si>
    <t>97919</t>
  </si>
  <si>
    <t>TRANSPORTE COM CAMINHÃO BASCULANTE DE 6 M³, EM VIA URBANA PAVIMENTADA, ADICIONAL PARA DMT EXCEDENTE A 30 KM (UNIDADE: TXKM). AF_07/2020</t>
  </si>
  <si>
    <t>101616</t>
  </si>
  <si>
    <t>PREPARO DE FUNDO DE VALA COM LARGURA MENOR QUE 1,5 M (ACERTO DO SOLO NATURAL). AF_08/2020</t>
  </si>
  <si>
    <t>6,59</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</si>
  <si>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</si>
  <si>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</si>
  <si>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</si>
  <si>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</si>
  <si>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</si>
  <si>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</si>
  <si>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</si>
  <si>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</si>
  <si>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</si>
  <si>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</si>
  <si>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</si>
  <si>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</si>
  <si>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</si>
  <si>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</si>
  <si>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</si>
  <si>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</si>
  <si>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</si>
  <si>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</si>
  <si>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95606</t>
  </si>
  <si>
    <t>UMIDIFICAÇÃO DE MATERIAL PARA VALAS COM CAMINHÃO PIPA 10000L. AF_11/2016</t>
  </si>
  <si>
    <t>2,25</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</si>
  <si>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</si>
  <si>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</si>
  <si>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</si>
  <si>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</si>
  <si>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</si>
  <si>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</si>
  <si>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57,06</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</si>
  <si>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</si>
  <si>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</si>
  <si>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</si>
  <si>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</si>
  <si>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</si>
  <si>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</si>
  <si>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</si>
  <si>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</si>
  <si>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</si>
  <si>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</si>
  <si>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</si>
  <si>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</si>
  <si>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</si>
  <si>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</si>
  <si>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</si>
  <si>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</si>
  <si>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</si>
  <si>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</si>
  <si>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</si>
  <si>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</si>
  <si>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</si>
  <si>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</si>
  <si>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</si>
  <si>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</si>
  <si>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</si>
  <si>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</si>
  <si>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</si>
  <si>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</si>
  <si>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</si>
  <si>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</si>
  <si>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</si>
  <si>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</si>
  <si>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</si>
  <si>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</si>
  <si>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</si>
  <si>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</si>
  <si>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</si>
  <si>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</si>
  <si>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</si>
  <si>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</si>
  <si>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</si>
  <si>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</si>
  <si>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</si>
  <si>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</si>
  <si>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</si>
  <si>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</si>
  <si>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</si>
  <si>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</si>
  <si>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</si>
  <si>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</si>
  <si>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</si>
  <si>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</si>
  <si>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</si>
  <si>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</si>
  <si>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95,07</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</si>
  <si>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</si>
  <si>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</si>
  <si>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</si>
  <si>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</si>
  <si>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</si>
  <si>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</si>
  <si>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</si>
  <si>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</si>
  <si>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</si>
  <si>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</si>
  <si>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</si>
  <si>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</si>
  <si>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</si>
  <si>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</si>
  <si>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129,42</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</si>
  <si>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</si>
  <si>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</si>
  <si>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</si>
  <si>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</si>
  <si>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</si>
  <si>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</si>
  <si>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</si>
  <si>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</si>
  <si>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</si>
  <si>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</si>
  <si>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</si>
  <si>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</si>
  <si>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</si>
  <si>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</si>
  <si>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</si>
  <si>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</si>
  <si>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</si>
  <si>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</si>
  <si>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</si>
  <si>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</si>
  <si>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</si>
  <si>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</si>
  <si>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</si>
  <si>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</si>
  <si>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</si>
  <si>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</si>
  <si>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</si>
  <si>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</si>
  <si>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</si>
  <si>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</si>
  <si>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</si>
  <si>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</si>
  <si>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PAREDE COM PLACAS DE GESSO ACARTONADO (DRYWALL), PARA USO INTERNO, COM DUAS FACES SIMPLES E ESTRUTURA METÁLICA COM GUIAS SIMPLES, SEM VÃOS. AF_06/2017_PS</t>
  </si>
  <si>
    <t>96359</t>
  </si>
  <si>
    <t>PAREDE COM PLACAS DE GESSO ACARTONADO (DRYWALL), PARA USO INTERNO, COM DUAS FACES SIMPLES E ESTRUTURA METÁLICA COM GUIAS SIMPLES, COM VÃOS AF_06/2017_PS</t>
  </si>
  <si>
    <t>96360</t>
  </si>
  <si>
    <t>PAREDE COM PLACAS DE GESSO ACARTONADO (DRYWALL), PARA USO INTERNO, COM DUAS FACES SIMPLES E ESTRUTURA METÁLICA COM GUIAS DUPLAS, SEM VÃOS. AF_06/2017_PS</t>
  </si>
  <si>
    <t>96361</t>
  </si>
  <si>
    <t>PAREDE COM PLACAS DE GESSO ACARTONADO (DRYWALL), PARA USO INTERNO, COM DUAS FACES SIMPLES E ESTRUTURA METÁLICA COM GUIAS DUPLAS, COM VÃOS. AF_06/2017_PS</t>
  </si>
  <si>
    <t>96362</t>
  </si>
  <si>
    <t>PAREDE COM PLACAS DE GESSO ACARTONADO (DRYWALL), PARA USO INTERNO, COM UMA FACE SIMPLES E OUTRA FACE DUPLA E ESTRUTURA METÁLICA COM GUIAS SIMPLES, SEM VÃOS. AF_06/2017_PS</t>
  </si>
  <si>
    <t>96363</t>
  </si>
  <si>
    <t>PAREDE COM PLACAS DE GESSO ACARTONADO (DRYWALL), PARA USO INTERNO, COM UMA FACE SIMPLES E OUTRA FACE DUPLA E ESTRUTURA METÁLICA COM GUIAS SIMPLES, COM VÃOS. AF_06/2017_PS</t>
  </si>
  <si>
    <t>96364</t>
  </si>
  <si>
    <t>PAREDE COM PLACAS DE GESSO ACARTONADO (DRYWALL), PARA USO INTERNO COM UMA FACE SIMPLES E OUTRA FACE DUPLA E ESTRUTURA METÁLICA COM GUIAS DUPLAS, SEM VÃOS. AF_06/2017_PS</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</si>
  <si>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</si>
  <si>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</si>
  <si>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</si>
  <si>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</si>
  <si>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96367</t>
  </si>
  <si>
    <t>PAREDE COM PLACAS DE GESSO ACARTONADO (DRYWALL), PARA USO INTERNO, COM DUAS FACES DUPLAS E ESTRUTURA METÁLICA COM GUIAS SIMPLES, COM VÃOS. AF_06/2017_PS</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</si>
  <si>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</si>
  <si>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</si>
  <si>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</si>
  <si>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AF_06/2017_PS</t>
  </si>
  <si>
    <t>96370</t>
  </si>
  <si>
    <t>PAREDE COM PLACAS DE GESSO ACARTONADO (DRYWALL), PARA USO INTERNO, COM UMA FACE SIMPLES E ESTRUTURA METÁLICA COM GUIAS SIMPLES, SEM VÃOS. AF_06/2017_PS</t>
  </si>
  <si>
    <t>96371</t>
  </si>
  <si>
    <t>PAREDE COM PLACAS DE GESSO ACARTONADO (DRYWALL), PARA USO INTERNO, COM UMA FACE SIMPLES E ESTRUTURA METÁLICA COM GUIAS SIMPLES, COM VÃOS. AF_06/2017_PS</t>
  </si>
  <si>
    <t>96373</t>
  </si>
  <si>
    <t>INSTALAÇÃO DE REFORÇO METÁLICO EM PAREDE DRYWALL. AF_06/2017</t>
  </si>
  <si>
    <t>96374</t>
  </si>
  <si>
    <t>INSTALAÇÃO DE REFORÇO DE MADEIRA EM PAREDE DRYWALL. AF_06/2017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</si>
  <si>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</si>
  <si>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</si>
  <si>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</si>
  <si>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</si>
  <si>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</si>
  <si>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</si>
  <si>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</si>
  <si>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</si>
  <si>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</si>
  <si>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</si>
  <si>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</si>
  <si>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</si>
  <si>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</si>
  <si>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</si>
  <si>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</si>
  <si>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</si>
  <si>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</si>
  <si>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</si>
  <si>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</si>
  <si>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</si>
  <si>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219,05</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</si>
  <si>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</si>
  <si>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</si>
  <si>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</si>
  <si>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</si>
  <si>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</si>
  <si>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</si>
  <si>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</si>
  <si>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</si>
  <si>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</si>
  <si>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</si>
  <si>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</si>
  <si>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</si>
  <si>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</si>
  <si>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</si>
  <si>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</si>
  <si>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</si>
  <si>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</si>
  <si>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</si>
  <si>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</si>
  <si>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</si>
  <si>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</si>
  <si>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</si>
  <si>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</si>
  <si>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</si>
  <si>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</si>
  <si>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</si>
  <si>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</si>
  <si>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</si>
  <si>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</si>
  <si>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</si>
  <si>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</si>
  <si>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</si>
  <si>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</si>
  <si>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</si>
  <si>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</si>
  <si>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</si>
  <si>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</si>
  <si>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</si>
  <si>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</si>
  <si>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</si>
  <si>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</si>
  <si>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</si>
  <si>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</si>
  <si>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</si>
  <si>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</si>
  <si>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</si>
  <si>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</si>
  <si>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</si>
  <si>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</si>
  <si>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</si>
  <si>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</si>
  <si>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</si>
  <si>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</si>
  <si>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</si>
  <si>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</si>
  <si>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</si>
  <si>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</si>
  <si>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</si>
  <si>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201,38</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</si>
  <si>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</si>
  <si>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</si>
  <si>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</si>
  <si>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</si>
  <si>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</si>
  <si>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</si>
  <si>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</si>
  <si>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</si>
  <si>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</si>
  <si>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</si>
  <si>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</si>
  <si>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</si>
  <si>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</si>
  <si>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</si>
  <si>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49,13</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</si>
  <si>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</si>
  <si>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</si>
  <si>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</si>
  <si>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</si>
  <si>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</si>
  <si>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</si>
  <si>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</si>
  <si>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</si>
  <si>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</si>
  <si>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</si>
  <si>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28,21</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</si>
  <si>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</si>
  <si>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</si>
  <si>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</si>
  <si>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</si>
  <si>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</si>
  <si>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</si>
  <si>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</si>
  <si>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</si>
  <si>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</si>
  <si>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</si>
  <si>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30,37</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</si>
  <si>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</si>
  <si>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</si>
  <si>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</si>
  <si>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</si>
  <si>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</si>
  <si>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</si>
  <si>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</si>
  <si>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</si>
  <si>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</si>
  <si>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</si>
  <si>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</si>
  <si>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</si>
  <si>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</si>
  <si>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</si>
  <si>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</si>
  <si>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</si>
  <si>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</si>
  <si>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</si>
  <si>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</si>
  <si>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</si>
  <si>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</si>
  <si>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</si>
  <si>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</si>
  <si>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</si>
  <si>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</si>
  <si>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</si>
  <si>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</si>
  <si>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</si>
  <si>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</si>
  <si>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</si>
  <si>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</si>
  <si>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</si>
  <si>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</si>
  <si>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</si>
  <si>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</si>
  <si>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</si>
  <si>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</si>
  <si>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</si>
  <si>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</si>
  <si>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</si>
  <si>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</si>
  <si>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</si>
  <si>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</si>
  <si>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</si>
  <si>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</si>
  <si>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</si>
  <si>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</si>
  <si>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</si>
  <si>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</si>
  <si>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</si>
  <si>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</si>
  <si>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</si>
  <si>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</si>
  <si>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</si>
  <si>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</si>
  <si>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</si>
  <si>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</si>
  <si>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</si>
  <si>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</si>
  <si>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</si>
  <si>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75,74</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</si>
  <si>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</si>
  <si>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</si>
  <si>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</si>
  <si>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</si>
  <si>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</si>
  <si>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</si>
  <si>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</si>
  <si>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</si>
  <si>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</si>
  <si>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</si>
  <si>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</si>
  <si>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</si>
  <si>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</si>
  <si>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</si>
  <si>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</si>
  <si>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</si>
  <si>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</si>
  <si>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</si>
  <si>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</si>
  <si>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</si>
  <si>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</si>
  <si>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</si>
  <si>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</si>
  <si>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</si>
  <si>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</si>
  <si>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</si>
  <si>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</si>
  <si>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</si>
  <si>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</si>
  <si>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</si>
  <si>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</si>
  <si>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</si>
  <si>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</si>
  <si>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</si>
  <si>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</si>
  <si>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</si>
  <si>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</si>
  <si>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</si>
  <si>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</si>
  <si>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</si>
  <si>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</si>
  <si>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</si>
  <si>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</si>
  <si>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</si>
  <si>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</si>
  <si>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</si>
  <si>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</si>
  <si>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</si>
  <si>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</si>
  <si>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</si>
  <si>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</si>
  <si>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</si>
  <si>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</si>
  <si>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</si>
  <si>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</si>
  <si>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</si>
  <si>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</si>
  <si>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</si>
  <si>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1,80</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</si>
  <si>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</si>
  <si>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</si>
  <si>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</si>
  <si>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</si>
  <si>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</si>
  <si>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</si>
  <si>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</si>
  <si>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</si>
  <si>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</si>
  <si>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</si>
  <si>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</si>
  <si>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</si>
  <si>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</si>
  <si>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</si>
  <si>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</si>
  <si>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</si>
  <si>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</si>
  <si>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</si>
  <si>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</si>
  <si>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</si>
  <si>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</si>
  <si>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</si>
  <si>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</si>
  <si>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</si>
  <si>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</si>
  <si>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</si>
  <si>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</si>
  <si>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</si>
  <si>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</si>
  <si>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</si>
  <si>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</si>
  <si>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</si>
  <si>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</si>
  <si>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</si>
  <si>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</si>
  <si>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</si>
  <si>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</si>
  <si>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</si>
  <si>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</si>
  <si>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</si>
  <si>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</si>
  <si>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</si>
  <si>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</si>
  <si>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</si>
  <si>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</si>
  <si>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</si>
  <si>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</si>
  <si>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</si>
  <si>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</si>
  <si>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</si>
  <si>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</si>
  <si>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</si>
  <si>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</si>
  <si>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</si>
  <si>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</si>
  <si>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</si>
  <si>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</si>
  <si>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</si>
  <si>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</si>
  <si>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</si>
  <si>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</si>
  <si>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</si>
  <si>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</si>
  <si>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</si>
  <si>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</si>
  <si>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</si>
  <si>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</si>
  <si>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</si>
  <si>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</si>
  <si>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</si>
  <si>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</si>
  <si>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</si>
  <si>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</si>
  <si>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</si>
  <si>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88411</t>
  </si>
  <si>
    <t>APLICAÇÃO MANUAL DE FUNDO SELADOR ACRÍLICO EM PANOS COM PRESENÇA DE VÃOS DE EDIFÍCIOS DE MÚLTIPLOS PAVIMENTOS. AF_06/2014</t>
  </si>
  <si>
    <t>3,64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</si>
  <si>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</si>
  <si>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</si>
  <si>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</si>
  <si>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</si>
  <si>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</si>
  <si>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</si>
  <si>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</si>
  <si>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</si>
  <si>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3,92</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</si>
  <si>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</si>
  <si>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</si>
  <si>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</si>
  <si>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</si>
  <si>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</si>
  <si>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</si>
  <si>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</si>
  <si>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</si>
  <si>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</si>
  <si>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</si>
  <si>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</si>
  <si>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</si>
  <si>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</si>
  <si>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</si>
  <si>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</si>
  <si>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</si>
  <si>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</si>
  <si>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</si>
  <si>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</si>
  <si>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</si>
  <si>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</si>
  <si>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</si>
  <si>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</si>
  <si>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</si>
  <si>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</si>
  <si>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</si>
  <si>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</si>
  <si>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</si>
  <si>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19,60</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</si>
  <si>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</si>
  <si>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</si>
  <si>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</si>
  <si>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</si>
  <si>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</si>
  <si>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</si>
  <si>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</si>
  <si>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</si>
  <si>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</si>
  <si>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</si>
  <si>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</si>
  <si>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</si>
  <si>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</si>
  <si>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</si>
  <si>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</si>
  <si>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</si>
  <si>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</si>
  <si>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</si>
  <si>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</si>
  <si>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</si>
  <si>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</si>
  <si>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</si>
  <si>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</si>
  <si>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</si>
  <si>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</si>
  <si>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</si>
  <si>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21,84</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</si>
  <si>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</si>
  <si>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</si>
  <si>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</si>
  <si>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</si>
  <si>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</si>
  <si>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</si>
  <si>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</si>
  <si>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</si>
  <si>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23,45</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</si>
  <si>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</si>
  <si>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</si>
  <si>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</si>
  <si>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</si>
  <si>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</si>
  <si>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</si>
  <si>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</si>
  <si>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</si>
  <si>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</si>
  <si>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</si>
  <si>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</si>
  <si>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</si>
  <si>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</si>
  <si>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</si>
  <si>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</si>
  <si>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</si>
  <si>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</si>
  <si>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</si>
  <si>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</si>
  <si>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</si>
  <si>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</si>
  <si>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</si>
  <si>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</si>
  <si>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</si>
  <si>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</si>
  <si>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</si>
  <si>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</si>
  <si>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</si>
  <si>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</si>
  <si>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</si>
  <si>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</si>
  <si>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</si>
  <si>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</si>
  <si>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</si>
  <si>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9,28</t>
  </si>
  <si>
    <t>102210</t>
  </si>
  <si>
    <t>PINTURA TINTA DE ACABAMENTO (PIGMENTADA) ESMALTE SINTÉTICO BRILHANTE EM MADEIRA, 1 DEMÃO. AF_01/2021</t>
  </si>
  <si>
    <t>8,85</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</si>
  <si>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</si>
  <si>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</si>
  <si>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</si>
  <si>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</si>
  <si>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</si>
  <si>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</si>
  <si>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</si>
  <si>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</si>
  <si>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</si>
  <si>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</si>
  <si>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18,01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</si>
  <si>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</si>
  <si>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</si>
  <si>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</si>
  <si>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</si>
  <si>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</si>
  <si>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</si>
  <si>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</si>
  <si>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</si>
  <si>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</si>
  <si>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</si>
  <si>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</si>
  <si>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</si>
  <si>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28,33</t>
  </si>
  <si>
    <t>102228</t>
  </si>
  <si>
    <t>PINTURA TINTA DE ACABAMENTO (PIGMENTADA) ESMALTE SINTÉTICO FOSCO EM MADEIRA, 3 DEMÃOS. AF_01/2021</t>
  </si>
  <si>
    <t>102229</t>
  </si>
  <si>
    <t>PINTURA TINTA DE ACABAMENTO (PIGMENTADA) ESMALTE SINTÉTICO ACETINADO EM MADEIRA, 3 DEMÃOS. AF_01/2021</t>
  </si>
  <si>
    <t>27,89</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</si>
  <si>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</si>
  <si>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</si>
  <si>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</si>
  <si>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</si>
  <si>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</si>
  <si>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</si>
  <si>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</si>
  <si>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</si>
  <si>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</si>
  <si>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</si>
  <si>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10,71</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</si>
  <si>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</si>
  <si>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</si>
  <si>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</si>
  <si>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</si>
  <si>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</si>
  <si>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</si>
  <si>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</si>
  <si>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</si>
  <si>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27,57</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</si>
  <si>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</si>
  <si>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</si>
  <si>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</si>
  <si>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</si>
  <si>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</si>
  <si>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</si>
  <si>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</si>
  <si>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</si>
  <si>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</si>
  <si>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</si>
  <si>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</si>
  <si>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</si>
  <si>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</si>
  <si>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</si>
  <si>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</si>
  <si>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</si>
  <si>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</si>
  <si>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</si>
  <si>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</si>
  <si>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</si>
  <si>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</si>
  <si>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</si>
  <si>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</si>
  <si>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</si>
  <si>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</si>
  <si>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</si>
  <si>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</si>
  <si>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</si>
  <si>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</si>
  <si>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</si>
  <si>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</si>
  <si>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</si>
  <si>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</si>
  <si>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</si>
  <si>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</si>
  <si>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</si>
  <si>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</si>
  <si>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</si>
  <si>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</si>
  <si>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</si>
  <si>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</si>
  <si>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</si>
  <si>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</si>
  <si>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</si>
  <si>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</si>
  <si>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</si>
  <si>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</si>
  <si>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</si>
  <si>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27,00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</si>
  <si>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</si>
  <si>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</si>
  <si>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</si>
  <si>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</si>
  <si>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</si>
  <si>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</si>
  <si>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</si>
  <si>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</si>
  <si>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</si>
  <si>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</si>
  <si>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</si>
  <si>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</si>
  <si>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</si>
  <si>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</si>
  <si>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</si>
  <si>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</si>
  <si>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53,78</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</si>
  <si>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</si>
  <si>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</si>
  <si>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</si>
  <si>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</si>
  <si>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</si>
  <si>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</si>
  <si>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</si>
  <si>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</si>
  <si>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3,62</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</si>
  <si>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</si>
  <si>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</si>
  <si>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</si>
  <si>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</si>
  <si>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</si>
  <si>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</si>
  <si>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27,75</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</si>
  <si>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</si>
  <si>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</si>
  <si>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</si>
  <si>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</si>
  <si>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</si>
  <si>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</si>
  <si>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5,33</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</si>
  <si>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</si>
  <si>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</si>
  <si>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</si>
  <si>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</si>
  <si>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</si>
  <si>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</si>
  <si>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</si>
  <si>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</si>
  <si>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</si>
  <si>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</si>
  <si>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</si>
  <si>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</si>
  <si>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</si>
  <si>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</si>
  <si>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</si>
  <si>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</si>
  <si>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</si>
  <si>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</si>
  <si>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</si>
  <si>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</si>
  <si>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</si>
  <si>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</si>
  <si>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5,61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</si>
  <si>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</si>
  <si>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</si>
  <si>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</si>
  <si>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</si>
  <si>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</si>
  <si>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</si>
  <si>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</si>
  <si>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</si>
  <si>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</si>
  <si>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</si>
  <si>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</si>
  <si>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</si>
  <si>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</si>
  <si>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</si>
  <si>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</si>
  <si>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87247</t>
  </si>
  <si>
    <t>87248</t>
  </si>
  <si>
    <t>87249</t>
  </si>
  <si>
    <t>87250</t>
  </si>
  <si>
    <t>59,95</t>
  </si>
  <si>
    <t>87251</t>
  </si>
  <si>
    <t>87255</t>
  </si>
  <si>
    <t>87256</t>
  </si>
  <si>
    <t>87257</t>
  </si>
  <si>
    <t>87258</t>
  </si>
  <si>
    <t>87259</t>
  </si>
  <si>
    <t>87260</t>
  </si>
  <si>
    <t>87261</t>
  </si>
  <si>
    <t>87262</t>
  </si>
  <si>
    <t>87263</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</si>
  <si>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</si>
  <si>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</si>
  <si>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</si>
  <si>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</si>
  <si>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</si>
  <si>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93390</t>
  </si>
  <si>
    <t>93391</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</si>
  <si>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</si>
  <si>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</si>
  <si>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</si>
  <si>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</si>
  <si>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</si>
  <si>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</si>
  <si>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</si>
  <si>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</si>
  <si>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34,16</t>
  </si>
  <si>
    <t>98680</t>
  </si>
  <si>
    <t>PISO CIMENTADO, TRAÇO 1:3 (CIMENTO E AREIA), ACABAMENTO LISO, ESPESSURA 3,0 CM, PREPARO MECÂNICO DA ARGAMASSA. AF_09/2020</t>
  </si>
  <si>
    <t>42,49</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</si>
  <si>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</si>
  <si>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</si>
  <si>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</si>
  <si>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</si>
  <si>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</si>
  <si>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</si>
  <si>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</si>
  <si>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</si>
  <si>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</si>
  <si>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</si>
  <si>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</si>
  <si>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</si>
  <si>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</si>
  <si>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</si>
  <si>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</si>
  <si>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</si>
  <si>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</si>
  <si>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</si>
  <si>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</si>
  <si>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</si>
  <si>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</si>
  <si>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</si>
  <si>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</si>
  <si>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</si>
  <si>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</si>
  <si>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</si>
  <si>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</si>
  <si>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</si>
  <si>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</si>
  <si>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</si>
  <si>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</si>
  <si>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</si>
  <si>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</si>
  <si>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</si>
  <si>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</si>
  <si>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</si>
  <si>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</si>
  <si>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</si>
  <si>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</si>
  <si>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</si>
  <si>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3,63</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</si>
  <si>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</si>
  <si>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</si>
  <si>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</si>
  <si>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</si>
  <si>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</si>
  <si>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</si>
  <si>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</si>
  <si>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</si>
  <si>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</si>
  <si>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</si>
  <si>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</si>
  <si>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</si>
  <si>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31,77</t>
  </si>
  <si>
    <t>101739</t>
  </si>
  <si>
    <t>RODAPÉ EM MADEIRA, ALTURA 7CM, FIXADO COM COLA E PARAFUSOS. AF_09/2020</t>
  </si>
  <si>
    <t>88648</t>
  </si>
  <si>
    <t>88649</t>
  </si>
  <si>
    <t>8,62</t>
  </si>
  <si>
    <t>88650</t>
  </si>
  <si>
    <t>16,91</t>
  </si>
  <si>
    <t>96467</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</si>
  <si>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</si>
  <si>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</si>
  <si>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</si>
  <si>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</si>
  <si>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</si>
  <si>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</si>
  <si>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</si>
  <si>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</si>
  <si>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</si>
  <si>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</si>
  <si>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</si>
  <si>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</si>
  <si>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</si>
  <si>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</si>
  <si>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</si>
  <si>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</si>
  <si>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</si>
  <si>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</si>
  <si>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</si>
  <si>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</si>
  <si>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</si>
  <si>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32,28</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</si>
  <si>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</si>
  <si>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</si>
  <si>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</si>
  <si>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</si>
  <si>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</si>
  <si>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</si>
  <si>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</si>
  <si>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41,36</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</si>
  <si>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</si>
  <si>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</si>
  <si>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</si>
  <si>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</si>
  <si>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</si>
  <si>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</si>
  <si>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</si>
  <si>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</si>
  <si>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48,80</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</si>
  <si>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</si>
  <si>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</si>
  <si>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</si>
  <si>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</si>
  <si>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</si>
  <si>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</si>
  <si>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</si>
  <si>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</si>
  <si>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</si>
  <si>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</si>
  <si>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</si>
  <si>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</si>
  <si>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</si>
  <si>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</si>
  <si>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</si>
  <si>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</si>
  <si>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</si>
  <si>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</si>
  <si>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</si>
  <si>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</si>
  <si>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</si>
  <si>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</si>
  <si>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</si>
  <si>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</si>
  <si>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</si>
  <si>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</si>
  <si>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</si>
  <si>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</si>
  <si>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</si>
  <si>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</si>
  <si>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</si>
  <si>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</si>
  <si>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</si>
  <si>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</si>
  <si>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</si>
  <si>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</si>
  <si>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</si>
  <si>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</si>
  <si>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47,79</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</si>
  <si>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</si>
  <si>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</si>
  <si>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</si>
  <si>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</si>
  <si>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</si>
  <si>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</si>
  <si>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</si>
  <si>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</si>
  <si>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</si>
  <si>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</si>
  <si>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</si>
  <si>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</si>
  <si>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</si>
  <si>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</si>
  <si>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</si>
  <si>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</si>
  <si>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</si>
  <si>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</si>
  <si>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58,80</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</si>
  <si>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</si>
  <si>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</si>
  <si>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</si>
  <si>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</si>
  <si>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</si>
  <si>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</si>
  <si>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</si>
  <si>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</si>
  <si>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</si>
  <si>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</si>
  <si>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</si>
  <si>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</si>
  <si>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</si>
  <si>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</si>
  <si>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</si>
  <si>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</si>
  <si>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</si>
  <si>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</si>
  <si>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</si>
  <si>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</si>
  <si>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</si>
  <si>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</si>
  <si>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</si>
  <si>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</si>
  <si>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</si>
  <si>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</si>
  <si>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</si>
  <si>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</si>
  <si>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</si>
  <si>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</si>
  <si>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</si>
  <si>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</si>
  <si>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</si>
  <si>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</si>
  <si>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</si>
  <si>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</si>
  <si>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</si>
  <si>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</si>
  <si>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</si>
  <si>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</si>
  <si>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</si>
  <si>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</si>
  <si>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39,53</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</si>
  <si>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</si>
  <si>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</si>
  <si>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</si>
  <si>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</si>
  <si>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</si>
  <si>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</si>
  <si>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43,39</t>
  </si>
  <si>
    <t>102803</t>
  </si>
  <si>
    <t>REFORÇO SUPERFICIAL PARA CONTRAPISOS DE ARGAMASSA SEMI-SECA. AF_07/2021</t>
  </si>
  <si>
    <t>101742</t>
  </si>
  <si>
    <t>RODAPÉ BORRACHA LISO, ALTURA = 7CM, ESPESSURA = 2 MM, PARA ARGAMASSA. AF_09/2020</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</si>
  <si>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</si>
  <si>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</si>
  <si>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</si>
  <si>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</si>
  <si>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</si>
  <si>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</si>
  <si>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</si>
  <si>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</si>
  <si>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</si>
  <si>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</si>
  <si>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</si>
  <si>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</si>
  <si>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8,41</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</si>
  <si>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</si>
  <si>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</si>
  <si>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</si>
  <si>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</si>
  <si>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</si>
  <si>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</si>
  <si>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</si>
  <si>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</si>
  <si>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</si>
  <si>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</si>
  <si>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</si>
  <si>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</si>
  <si>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10,05</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</si>
  <si>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</si>
  <si>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</si>
  <si>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</si>
  <si>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</si>
  <si>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</si>
  <si>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</si>
  <si>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</si>
  <si>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</si>
  <si>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</si>
  <si>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</si>
  <si>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</si>
  <si>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</si>
  <si>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8,96</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</si>
  <si>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</si>
  <si>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</si>
  <si>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</si>
  <si>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</si>
  <si>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</si>
  <si>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</si>
  <si>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</si>
  <si>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</si>
  <si>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</si>
  <si>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</si>
  <si>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</si>
  <si>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</si>
  <si>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5,77</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</si>
  <si>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</si>
  <si>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</si>
  <si>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</si>
  <si>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</si>
  <si>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</si>
  <si>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</si>
  <si>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</si>
  <si>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</si>
  <si>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</si>
  <si>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87412</t>
  </si>
  <si>
    <t>87413</t>
  </si>
  <si>
    <t>87414</t>
  </si>
  <si>
    <t>87415</t>
  </si>
  <si>
    <t>87416</t>
  </si>
  <si>
    <t>87418</t>
  </si>
  <si>
    <t>87421</t>
  </si>
  <si>
    <t>87424</t>
  </si>
  <si>
    <t>87427</t>
  </si>
  <si>
    <t>87430</t>
  </si>
  <si>
    <t>87433</t>
  </si>
  <si>
    <t>87436</t>
  </si>
  <si>
    <t>35,97</t>
  </si>
  <si>
    <t>87439</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</si>
  <si>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</si>
  <si>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</si>
  <si>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</si>
  <si>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</si>
  <si>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</si>
  <si>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</si>
  <si>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</si>
  <si>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</si>
  <si>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</si>
  <si>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</si>
  <si>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</si>
  <si>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</si>
  <si>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</si>
  <si>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</si>
  <si>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</si>
  <si>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</si>
  <si>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</si>
  <si>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</si>
  <si>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</si>
  <si>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</si>
  <si>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</si>
  <si>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</si>
  <si>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</si>
  <si>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</si>
  <si>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</si>
  <si>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</si>
  <si>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</si>
  <si>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</si>
  <si>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</si>
  <si>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</si>
  <si>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</si>
  <si>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</si>
  <si>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</si>
  <si>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</si>
  <si>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</si>
  <si>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</si>
  <si>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</si>
  <si>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</si>
  <si>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</si>
  <si>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</si>
  <si>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</si>
  <si>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</si>
  <si>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20,06</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</si>
  <si>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</si>
  <si>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</si>
  <si>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45,56</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</si>
  <si>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</si>
  <si>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</si>
  <si>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</si>
  <si>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</si>
  <si>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</si>
  <si>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</si>
  <si>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</si>
  <si>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</si>
  <si>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</si>
  <si>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</si>
  <si>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</si>
  <si>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</si>
  <si>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</si>
  <si>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</si>
  <si>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</si>
  <si>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</si>
  <si>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</si>
  <si>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</si>
  <si>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</si>
  <si>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</si>
  <si>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</si>
  <si>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</si>
  <si>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71,28</t>
  </si>
  <si>
    <t>87786</t>
  </si>
  <si>
    <t>EMBOÇO OU MASSA ÚNICA EM ARGAMASSA TRAÇO 1:2:8, PREPARO MANUAL, APLICADA MANUALMENTE EM PANOS DE FACHADA COM PRESENÇA DE VÃOS, ESPESSURA DE 45 MM. AF_08/2022</t>
  </si>
  <si>
    <t>78,94</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</si>
  <si>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</si>
  <si>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</si>
  <si>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</si>
  <si>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</si>
  <si>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</si>
  <si>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EMBOÇO OU MASSA ÚNICA EM ARGAMASSA TRAÇO 1:2:8, PREPARO MANUAL, APLICADA MANUALMENTE EM PANOS DE FACHADA COM PRESENÇA DE VÃOS, ESPESSURA MAIOR OU IGUAL A 50 MM. AF_06/2014</t>
  </si>
  <si>
    <t>93,11</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</si>
  <si>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</si>
  <si>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</si>
  <si>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</si>
  <si>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</si>
  <si>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</si>
  <si>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</si>
  <si>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</si>
  <si>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</si>
  <si>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</si>
  <si>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</si>
  <si>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</si>
  <si>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</si>
  <si>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</si>
  <si>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</si>
  <si>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</si>
  <si>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</si>
  <si>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</si>
  <si>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</si>
  <si>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</si>
  <si>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</si>
  <si>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</si>
  <si>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</si>
  <si>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</si>
  <si>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</si>
  <si>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</si>
  <si>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</si>
  <si>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</si>
  <si>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</si>
  <si>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</si>
  <si>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</si>
  <si>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</si>
  <si>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</si>
  <si>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</si>
  <si>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</si>
  <si>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</si>
  <si>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</si>
  <si>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</si>
  <si>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</si>
  <si>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</si>
  <si>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</si>
  <si>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</si>
  <si>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</si>
  <si>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</si>
  <si>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</si>
  <si>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</si>
  <si>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</si>
  <si>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</si>
  <si>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AF_068/2022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</si>
  <si>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</si>
  <si>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</si>
  <si>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</si>
  <si>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</si>
  <si>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</si>
  <si>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</si>
  <si>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</si>
  <si>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</si>
  <si>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</si>
  <si>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</si>
  <si>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</si>
  <si>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</si>
  <si>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</si>
  <si>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</si>
  <si>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</si>
  <si>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</si>
  <si>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</si>
  <si>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</si>
  <si>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</si>
  <si>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</si>
  <si>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</si>
  <si>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</si>
  <si>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</si>
  <si>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</si>
  <si>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</si>
  <si>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</si>
  <si>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</si>
  <si>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</si>
  <si>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</si>
  <si>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</si>
  <si>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</si>
  <si>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</si>
  <si>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</si>
  <si>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</si>
  <si>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</si>
  <si>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</si>
  <si>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</si>
  <si>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</si>
  <si>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</si>
  <si>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</si>
  <si>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</si>
  <si>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</si>
  <si>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</si>
  <si>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</si>
  <si>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</si>
  <si>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</si>
  <si>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126,50</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</si>
  <si>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</si>
  <si>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</si>
  <si>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</si>
  <si>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</si>
  <si>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</si>
  <si>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</si>
  <si>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</si>
  <si>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</si>
  <si>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</si>
  <si>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</si>
  <si>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</si>
  <si>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</si>
  <si>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</si>
  <si>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</si>
  <si>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</si>
  <si>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</si>
  <si>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</si>
  <si>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</si>
  <si>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</si>
  <si>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</si>
  <si>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</si>
  <si>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</si>
  <si>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</si>
  <si>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</si>
  <si>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23,63</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</si>
  <si>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</si>
  <si>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</si>
  <si>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</si>
  <si>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</si>
  <si>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45,60</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</si>
  <si>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</si>
  <si>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</si>
  <si>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</si>
  <si>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</si>
  <si>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33,48</t>
  </si>
  <si>
    <t>90409</t>
  </si>
  <si>
    <t>MASSA ÚNICA, PARA RECEBIMENTO DE PINTURA, EM ARGAMASSA TRAÇO 1:2:8, PREPARO MANUAL, APLICADA MANUALMENTE EM TETO, ESPESSURA DE 10MM, COM EXECUÇÃO DE TALISCAS. AF_03/2015</t>
  </si>
  <si>
    <t>104203</t>
  </si>
  <si>
    <t>EMBOÇO OU MASSA ÚNICA EM ARGAMASSA TRAÇO 1:2:8, PREPARO MECÂNICA COM BETONEIRA 400 L, APLICADA COM PROJETOR TIPO CANEQUINHA EM PANOS DE FACHADA COM PRESENÇA DE VÃOS, ESPESSURA DE 25 MM, ACESSO POR BALANCIM MANUAL. AF_08/2022</t>
  </si>
  <si>
    <t>55,03</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</si>
  <si>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</si>
  <si>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</si>
  <si>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</si>
  <si>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</si>
  <si>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</si>
  <si>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</si>
  <si>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</si>
  <si>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</si>
  <si>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</si>
  <si>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</si>
  <si>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</si>
  <si>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</si>
  <si>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</si>
  <si>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</si>
  <si>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</si>
  <si>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</si>
  <si>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</si>
  <si>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</si>
  <si>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</si>
  <si>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</si>
  <si>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</si>
  <si>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</si>
  <si>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</si>
  <si>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</si>
  <si>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</si>
  <si>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</si>
  <si>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</si>
  <si>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</si>
  <si>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</si>
  <si>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</si>
  <si>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</si>
  <si>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</si>
  <si>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</si>
  <si>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</si>
  <si>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</si>
  <si>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</si>
  <si>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</si>
  <si>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</si>
  <si>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</si>
  <si>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</si>
  <si>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</si>
  <si>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</si>
  <si>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</si>
  <si>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</si>
  <si>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</si>
  <si>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</si>
  <si>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</si>
  <si>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</si>
  <si>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</si>
  <si>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</si>
  <si>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</si>
  <si>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</si>
  <si>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</si>
  <si>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</si>
  <si>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</si>
  <si>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</si>
  <si>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</si>
  <si>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</si>
  <si>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</si>
  <si>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</si>
  <si>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</si>
  <si>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</si>
  <si>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</si>
  <si>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</si>
  <si>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</si>
  <si>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</si>
  <si>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</si>
  <si>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</si>
  <si>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</si>
  <si>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</si>
  <si>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</si>
  <si>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</si>
  <si>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</si>
  <si>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</si>
  <si>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</si>
  <si>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</si>
  <si>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</si>
  <si>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</si>
  <si>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</si>
  <si>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</si>
  <si>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</si>
  <si>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</si>
  <si>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</si>
  <si>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</si>
  <si>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</si>
  <si>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</si>
  <si>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</si>
  <si>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</si>
  <si>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</si>
  <si>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</si>
  <si>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</si>
  <si>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</si>
  <si>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</si>
  <si>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</si>
  <si>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</si>
  <si>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</si>
  <si>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</si>
  <si>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</si>
  <si>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</si>
  <si>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</si>
  <si>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</si>
  <si>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</si>
  <si>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</si>
  <si>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</si>
  <si>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</si>
  <si>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</si>
  <si>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</si>
  <si>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</si>
  <si>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</si>
  <si>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</si>
  <si>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</si>
  <si>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</si>
  <si>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</si>
  <si>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</si>
  <si>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</si>
  <si>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</si>
  <si>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</si>
  <si>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</si>
  <si>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</si>
  <si>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</si>
  <si>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</si>
  <si>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</si>
  <si>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87244</t>
  </si>
  <si>
    <t>87245</t>
  </si>
  <si>
    <t>87265</t>
  </si>
  <si>
    <t>87267</t>
  </si>
  <si>
    <t>87269</t>
  </si>
  <si>
    <t>87271</t>
  </si>
  <si>
    <t>87273</t>
  </si>
  <si>
    <t>87275</t>
  </si>
  <si>
    <t>88788</t>
  </si>
  <si>
    <t>88789</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</si>
  <si>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</si>
  <si>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</si>
  <si>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</si>
  <si>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</si>
  <si>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</si>
  <si>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93395</t>
  </si>
  <si>
    <t>99195</t>
  </si>
  <si>
    <t>99198</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</si>
  <si>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</si>
  <si>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</si>
  <si>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</si>
  <si>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</si>
  <si>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</si>
  <si>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</si>
  <si>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</si>
  <si>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</si>
  <si>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</si>
  <si>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</si>
  <si>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</si>
  <si>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</si>
  <si>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</si>
  <si>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AF_05/2017_PS</t>
  </si>
  <si>
    <t>96110</t>
  </si>
  <si>
    <t>FORRO EM DRYWALL, PARA AMBIENTES RESIDENCIAIS, INCLUSIVE ESTRUTURA DE FIXAÇÃO. AF_05/2017_PS</t>
  </si>
  <si>
    <t>96113</t>
  </si>
  <si>
    <t>FORRO EM PLACAS DE GESSO, PARA AMBIENTES COMERCIAIS. AF_05/2017_PS</t>
  </si>
  <si>
    <t>96114</t>
  </si>
  <si>
    <t>FORRO EM DRYWALL, PARA AMBIENTES COMERCIAIS, INCLUSIVE ESTRUTURA DE FIXAÇÃO. AF_05/2017_PS</t>
  </si>
  <si>
    <t>96120</t>
  </si>
  <si>
    <t>ACABAMENTOS PARA FORRO (MOLDURA DE GESSO). AF_05/2017</t>
  </si>
  <si>
    <t>96123</t>
  </si>
  <si>
    <t>ACABAMENTOS PARA FORRO (MOLDURA EM DRYWALL, COM LARGURA DE 15 CM). AF_05/2017_PS</t>
  </si>
  <si>
    <t>34,00</t>
  </si>
  <si>
    <t>99054</t>
  </si>
  <si>
    <t>ACABAMENTOS PARA FORRO (SANCA DE GESSO MONTADA NA OBRA). AF_05/2017_PS</t>
  </si>
  <si>
    <t>96111</t>
  </si>
  <si>
    <t>FORRO EM RÉGUAS DE PVC, FRISADO, PARA AMBIENTES RESIDENCIAIS, INCLUSIVE ESTRUTURA DE FIXAÇÃO. AF_05/2017_PS</t>
  </si>
  <si>
    <t>96116</t>
  </si>
  <si>
    <t>FORRO EM RÉGUAS DE PVC, FRISADO, PARA AMBIENTES COMERCIAIS, INCLUSIVE ESTRUTURA DE FIXAÇÃO. AF_05/2017_PS</t>
  </si>
  <si>
    <t>96121</t>
  </si>
  <si>
    <t>ACABAMENTOS PARA FORRO (RODA-FORRO EM PERFIL METÁLICO E PLÁSTICO). AF_05/2017</t>
  </si>
  <si>
    <t>12,52</t>
  </si>
  <si>
    <t>96485</t>
  </si>
  <si>
    <t>FORRO EM RÉGUAS DE PVC, LISO, PARA AMBIENTES RESIDENCIAIS, INCLUSIVE ESTRUTURA DE FIXAÇÃO. AF_05/2017_PS</t>
  </si>
  <si>
    <t>96486</t>
  </si>
  <si>
    <t>FORRO DE PVC, LISO, PARA AMBIENTES COMERCIAIS, INCLUSIVE ESTRUTURA DE FIXAÇÃO. AF_05/2017_PS</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</si>
  <si>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</si>
  <si>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</si>
  <si>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</si>
  <si>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</si>
  <si>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</si>
  <si>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</si>
  <si>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</si>
  <si>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</si>
  <si>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</si>
  <si>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</si>
  <si>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</si>
  <si>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</si>
  <si>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</si>
  <si>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</si>
  <si>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</si>
  <si>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</si>
  <si>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</si>
  <si>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</si>
  <si>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</si>
  <si>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</si>
  <si>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2,01</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</si>
  <si>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</si>
  <si>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</si>
  <si>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</si>
  <si>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</si>
  <si>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</si>
  <si>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</si>
  <si>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</si>
  <si>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</si>
  <si>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</si>
  <si>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</si>
  <si>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</si>
  <si>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</si>
  <si>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</si>
  <si>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</si>
  <si>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</si>
  <si>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</si>
  <si>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</si>
  <si>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</si>
  <si>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17,70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</si>
  <si>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</si>
  <si>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</si>
  <si>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</si>
  <si>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</si>
  <si>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</si>
  <si>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</si>
  <si>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</si>
  <si>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</si>
  <si>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</si>
  <si>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</si>
  <si>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</si>
  <si>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</si>
  <si>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</si>
  <si>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</si>
  <si>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</si>
  <si>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</si>
  <si>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</si>
  <si>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</si>
  <si>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</si>
  <si>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</si>
  <si>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</si>
  <si>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</si>
  <si>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</si>
  <si>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</si>
  <si>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</si>
  <si>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</si>
  <si>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</si>
  <si>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</si>
  <si>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</si>
  <si>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</si>
  <si>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</si>
  <si>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</si>
  <si>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</si>
  <si>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</si>
  <si>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</si>
  <si>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</si>
  <si>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</si>
  <si>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</si>
  <si>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</si>
  <si>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</si>
  <si>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</si>
  <si>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</si>
  <si>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</si>
  <si>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</si>
  <si>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</si>
  <si>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</si>
  <si>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</si>
  <si>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</si>
  <si>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</si>
  <si>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</si>
  <si>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</si>
  <si>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</si>
  <si>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</si>
  <si>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</si>
  <si>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</si>
  <si>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</si>
  <si>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</si>
  <si>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</si>
  <si>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</si>
  <si>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</si>
  <si>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</si>
  <si>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</si>
  <si>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</si>
  <si>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</si>
  <si>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</si>
  <si>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</si>
  <si>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</si>
  <si>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</si>
  <si>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</si>
  <si>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</si>
  <si>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</si>
  <si>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</si>
  <si>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</si>
  <si>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</si>
  <si>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</si>
  <si>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</si>
  <si>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</si>
  <si>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</si>
  <si>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</si>
  <si>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</si>
  <si>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</si>
  <si>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</si>
  <si>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</si>
  <si>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</si>
  <si>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</si>
  <si>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</si>
  <si>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</si>
  <si>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</si>
  <si>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</si>
  <si>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</si>
  <si>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</si>
  <si>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</si>
  <si>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</si>
  <si>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</si>
  <si>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</si>
  <si>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</si>
  <si>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</si>
  <si>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</si>
  <si>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</si>
  <si>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</si>
  <si>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</si>
  <si>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</si>
  <si>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</si>
  <si>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</si>
  <si>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</si>
  <si>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</si>
  <si>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</si>
  <si>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</si>
  <si>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</si>
  <si>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</si>
  <si>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</si>
  <si>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</si>
  <si>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</si>
  <si>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</si>
  <si>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</si>
  <si>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</si>
  <si>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</si>
  <si>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</si>
  <si>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</si>
  <si>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</si>
  <si>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</si>
  <si>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</si>
  <si>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</si>
  <si>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</si>
  <si>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</si>
  <si>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</si>
  <si>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</si>
  <si>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</si>
  <si>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</si>
  <si>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</si>
  <si>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</si>
  <si>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</si>
  <si>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</si>
  <si>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</si>
  <si>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</si>
  <si>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</si>
  <si>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</si>
  <si>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</si>
  <si>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</si>
  <si>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</si>
  <si>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</si>
  <si>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</si>
  <si>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</si>
  <si>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</si>
  <si>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</si>
  <si>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</si>
  <si>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</si>
  <si>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</si>
  <si>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</si>
  <si>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</si>
  <si>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</si>
  <si>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</si>
  <si>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</si>
  <si>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</si>
  <si>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</si>
  <si>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</si>
  <si>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</si>
  <si>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</si>
  <si>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</si>
  <si>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</si>
  <si>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</si>
  <si>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</si>
  <si>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</si>
  <si>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</si>
  <si>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</si>
  <si>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</si>
  <si>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</si>
  <si>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</si>
  <si>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</si>
  <si>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</si>
  <si>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</si>
  <si>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</si>
  <si>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</si>
  <si>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</si>
  <si>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</si>
  <si>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</si>
  <si>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</si>
  <si>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</si>
  <si>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</si>
  <si>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</si>
  <si>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</si>
  <si>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</si>
  <si>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</si>
  <si>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</si>
  <si>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</si>
  <si>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</si>
  <si>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</si>
  <si>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</si>
  <si>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</si>
  <si>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</si>
  <si>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</si>
  <si>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</si>
  <si>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</si>
  <si>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</si>
  <si>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</si>
  <si>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</si>
  <si>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</si>
  <si>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</si>
  <si>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</si>
  <si>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</si>
  <si>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</si>
  <si>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</si>
  <si>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</si>
  <si>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</si>
  <si>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</si>
  <si>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</si>
  <si>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</si>
  <si>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</si>
  <si>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</si>
  <si>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</si>
  <si>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</si>
  <si>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</si>
  <si>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</si>
  <si>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</si>
  <si>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</si>
  <si>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</si>
  <si>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</si>
  <si>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</si>
  <si>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</si>
  <si>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</si>
  <si>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</si>
  <si>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</si>
  <si>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</si>
  <si>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</si>
  <si>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</si>
  <si>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</si>
  <si>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</si>
  <si>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</si>
  <si>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</si>
  <si>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</si>
  <si>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</si>
  <si>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</si>
  <si>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</si>
  <si>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</si>
  <si>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</si>
  <si>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</si>
  <si>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</si>
  <si>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</si>
  <si>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</si>
  <si>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</si>
  <si>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</si>
  <si>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</si>
  <si>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</si>
  <si>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</si>
  <si>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</si>
  <si>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</si>
  <si>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</si>
  <si>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</si>
  <si>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</si>
  <si>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</si>
  <si>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</si>
  <si>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</si>
  <si>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</si>
  <si>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</si>
  <si>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</si>
  <si>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</si>
  <si>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</si>
  <si>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</si>
  <si>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</si>
  <si>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</si>
  <si>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</si>
  <si>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</si>
  <si>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</si>
  <si>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</si>
  <si>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</si>
  <si>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</si>
  <si>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</si>
  <si>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</si>
  <si>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</si>
  <si>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</si>
  <si>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</si>
  <si>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</si>
  <si>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</si>
  <si>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</si>
  <si>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</si>
  <si>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</si>
  <si>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</si>
  <si>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</si>
  <si>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</si>
  <si>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</si>
  <si>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</si>
  <si>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</si>
  <si>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</si>
  <si>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</si>
  <si>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</si>
  <si>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</si>
  <si>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</si>
  <si>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</si>
  <si>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</si>
  <si>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</si>
  <si>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</si>
  <si>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</si>
  <si>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</si>
  <si>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</si>
  <si>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</si>
  <si>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</si>
  <si>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</si>
  <si>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</si>
  <si>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</si>
  <si>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</si>
  <si>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</si>
  <si>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</si>
  <si>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</si>
  <si>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</si>
  <si>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</si>
  <si>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</si>
  <si>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</si>
  <si>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</si>
  <si>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</si>
  <si>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</si>
  <si>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</si>
  <si>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</si>
  <si>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</si>
  <si>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</si>
  <si>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</si>
  <si>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</si>
  <si>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</si>
  <si>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</si>
  <si>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</si>
  <si>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</si>
  <si>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</si>
  <si>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</si>
  <si>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</si>
  <si>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</si>
  <si>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</si>
  <si>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</si>
  <si>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</si>
  <si>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10,65</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</si>
  <si>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</si>
  <si>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</si>
  <si>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</si>
  <si>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</si>
  <si>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</si>
  <si>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</si>
  <si>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8,36</t>
  </si>
  <si>
    <t>100213</t>
  </si>
  <si>
    <t>TRANSPORTE HORIZONTAL COM CARRINHO PLATAFORMA, DE BLOCOS CERÂMICOS FURADOS NA HORIZONTAL DE 9X19X19CM (UNIDADE: BLOCOXKM). AF_07/2019</t>
  </si>
  <si>
    <t>3,00</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</si>
  <si>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</si>
  <si>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</si>
  <si>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</si>
  <si>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</si>
  <si>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</si>
  <si>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</si>
  <si>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</si>
  <si>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</si>
  <si>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</si>
  <si>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</si>
  <si>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</si>
  <si>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</si>
  <si>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0,42</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</si>
  <si>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</si>
  <si>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</si>
  <si>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</si>
  <si>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</si>
  <si>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</si>
  <si>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</si>
  <si>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</si>
  <si>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13,14</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</si>
  <si>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</si>
  <si>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</si>
  <si>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</si>
  <si>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</si>
  <si>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</si>
  <si>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</si>
  <si>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</si>
  <si>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</si>
  <si>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</si>
  <si>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0,75</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</si>
  <si>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</si>
  <si>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</si>
  <si>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</si>
  <si>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</si>
  <si>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</si>
  <si>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</si>
  <si>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</si>
  <si>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</si>
  <si>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</si>
  <si>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</si>
  <si>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</si>
  <si>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</si>
  <si>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0,40</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</si>
  <si>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</si>
  <si>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</si>
  <si>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</si>
  <si>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</si>
  <si>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</si>
  <si>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</si>
  <si>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</si>
  <si>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</si>
  <si>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</si>
  <si>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</si>
  <si>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3,05</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</si>
  <si>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</si>
  <si>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</si>
  <si>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</si>
  <si>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</si>
  <si>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</si>
  <si>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</si>
  <si>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</si>
  <si>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</si>
  <si>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4,39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</si>
  <si>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</si>
  <si>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</si>
  <si>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</si>
  <si>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</si>
  <si>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</si>
  <si>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</si>
  <si>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</si>
  <si>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</si>
  <si>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</si>
  <si>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</si>
  <si>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</si>
  <si>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</si>
  <si>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</si>
  <si>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</si>
  <si>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</si>
  <si>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</si>
  <si>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</si>
  <si>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</si>
  <si>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</si>
  <si>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</si>
  <si>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4,88</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</si>
  <si>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</si>
  <si>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</si>
  <si>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</si>
  <si>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</si>
  <si>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</si>
  <si>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</si>
  <si>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</si>
  <si>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</si>
  <si>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</si>
  <si>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</si>
  <si>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14,64</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</si>
  <si>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</si>
  <si>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</si>
  <si>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</si>
  <si>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</si>
  <si>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</si>
  <si>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</si>
  <si>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</si>
  <si>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</si>
  <si>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</si>
  <si>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</si>
  <si>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</si>
  <si>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</si>
  <si>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</si>
  <si>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</si>
  <si>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</si>
  <si>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</si>
  <si>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</si>
  <si>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</si>
  <si>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</si>
  <si>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</si>
  <si>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0,90</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</si>
  <si>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</si>
  <si>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</si>
  <si>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</si>
  <si>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</si>
  <si>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</si>
  <si>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</si>
  <si>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</si>
  <si>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</si>
  <si>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</si>
  <si>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</si>
  <si>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</si>
  <si>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</si>
  <si>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</si>
  <si>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</si>
  <si>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</si>
  <si>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</si>
  <si>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</si>
  <si>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</si>
  <si>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30,62</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</si>
  <si>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</si>
  <si>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</si>
  <si>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</si>
  <si>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</si>
  <si>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</si>
  <si>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</si>
  <si>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</si>
  <si>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</si>
  <si>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</si>
  <si>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</si>
  <si>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</si>
  <si>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</si>
  <si>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</si>
  <si>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</si>
  <si>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</si>
  <si>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</si>
  <si>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</si>
  <si>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</si>
  <si>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</si>
  <si>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</si>
  <si>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</si>
  <si>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</si>
  <si>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</si>
  <si>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</si>
  <si>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</si>
  <si>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</si>
  <si>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</si>
  <si>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</si>
  <si>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</si>
  <si>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</si>
  <si>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</si>
  <si>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</si>
  <si>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</si>
  <si>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</si>
  <si>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</si>
  <si>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</si>
  <si>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</si>
  <si>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</si>
  <si>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</si>
  <si>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</si>
  <si>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</si>
  <si>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</si>
  <si>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</si>
  <si>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</si>
  <si>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8,08</t>
  </si>
  <si>
    <t>99811</t>
  </si>
  <si>
    <t>LIMPEZA DE CONTRAPISO COM VASSOURA A SECO. AF_04/2019</t>
  </si>
  <si>
    <t>99812</t>
  </si>
  <si>
    <t>LIMPEZA DE LADRILHO HIDRÁULICO EM PAREDE COM PANO ÚMIDO. AF_04/2019</t>
  </si>
  <si>
    <t>1,24</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</si>
  <si>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</si>
  <si>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</si>
  <si>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</si>
  <si>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</si>
  <si>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</si>
  <si>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</si>
  <si>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</si>
  <si>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</si>
  <si>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9,97</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</si>
  <si>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</si>
  <si>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</si>
  <si>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</si>
  <si>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</si>
  <si>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</si>
  <si>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</si>
  <si>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</si>
  <si>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</si>
  <si>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</si>
  <si>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</si>
  <si>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</si>
  <si>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</si>
  <si>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</si>
  <si>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</si>
  <si>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</si>
  <si>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</si>
  <si>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2,74</t>
  </si>
  <si>
    <t>99825</t>
  </si>
  <si>
    <t>LIMPEZA DE PORTA DE VIDRO COM CAIXILHO EM AÇO/ ALUMÍNIO/ PVC. AF_04/2019</t>
  </si>
  <si>
    <t>99826</t>
  </si>
  <si>
    <t>LIMPEZA DE FORRO REMOVÍVEL COM PANO ÚMIDO. AF_04/2019</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</si>
  <si>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</si>
  <si>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</si>
  <si>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</si>
  <si>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</si>
  <si>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</si>
  <si>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</si>
  <si>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</si>
  <si>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</si>
  <si>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</si>
  <si>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</si>
  <si>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</si>
  <si>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</si>
  <si>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</si>
  <si>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</si>
  <si>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</si>
  <si>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</si>
  <si>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49,98</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</si>
  <si>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</si>
  <si>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</si>
  <si>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</si>
  <si>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</si>
  <si>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</si>
  <si>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</si>
  <si>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</si>
  <si>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</si>
  <si>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</si>
  <si>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</si>
  <si>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</si>
  <si>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</si>
  <si>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</si>
  <si>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</si>
  <si>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</si>
  <si>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</si>
  <si>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</si>
  <si>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</si>
  <si>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</si>
  <si>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</si>
  <si>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</si>
  <si>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</si>
  <si>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</si>
  <si>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</si>
  <si>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27,17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</si>
  <si>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</si>
  <si>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</si>
  <si>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</si>
  <si>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</si>
  <si>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</si>
  <si>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</si>
  <si>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</si>
  <si>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</si>
  <si>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6,91</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</si>
  <si>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</si>
  <si>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</si>
  <si>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</si>
  <si>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</si>
  <si>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</si>
  <si>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</si>
  <si>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</si>
  <si>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</si>
  <si>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</si>
  <si>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</si>
  <si>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</si>
  <si>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</si>
  <si>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</si>
  <si>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</si>
  <si>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</si>
  <si>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</si>
  <si>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</si>
  <si>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</si>
  <si>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</si>
  <si>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</si>
  <si>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</si>
  <si>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</si>
  <si>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</si>
  <si>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</si>
  <si>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3,49</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</si>
  <si>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</si>
  <si>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</si>
  <si>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</si>
  <si>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</si>
  <si>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</si>
  <si>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</si>
  <si>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</si>
  <si>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</si>
  <si>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</si>
  <si>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</si>
  <si>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</si>
  <si>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</si>
  <si>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</si>
  <si>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</si>
  <si>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</si>
  <si>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</si>
  <si>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</si>
  <si>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</si>
  <si>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</si>
  <si>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</si>
  <si>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5,23</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</si>
  <si>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</si>
  <si>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</si>
  <si>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</si>
  <si>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</si>
  <si>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</si>
  <si>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</si>
  <si>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9,66</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</si>
  <si>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</si>
  <si>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</si>
  <si>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</si>
  <si>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</si>
  <si>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</si>
  <si>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</si>
  <si>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</si>
  <si>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</si>
  <si>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</si>
  <si>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</si>
  <si>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</si>
  <si>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</si>
  <si>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</si>
  <si>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</si>
  <si>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</si>
  <si>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</si>
  <si>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</si>
  <si>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</si>
  <si>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155,42</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</si>
  <si>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</si>
  <si>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</si>
  <si>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</si>
  <si>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</si>
  <si>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</si>
  <si>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</si>
  <si>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</si>
  <si>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</si>
  <si>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</si>
  <si>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</si>
  <si>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</si>
  <si>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</si>
  <si>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</si>
  <si>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</si>
  <si>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</si>
  <si>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</si>
  <si>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</si>
  <si>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</si>
  <si>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</si>
  <si>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</si>
  <si>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1,67</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</si>
  <si>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</si>
  <si>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</si>
  <si>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</si>
  <si>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</si>
  <si>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</si>
  <si>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</si>
  <si>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</si>
  <si>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</si>
  <si>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</si>
  <si>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</si>
  <si>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</si>
  <si>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</si>
  <si>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</si>
  <si>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</si>
  <si>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</si>
  <si>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</si>
  <si>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</si>
  <si>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</si>
  <si>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</si>
  <si>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</si>
  <si>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</si>
  <si>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</si>
  <si>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</si>
  <si>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</si>
  <si>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</si>
  <si>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</si>
  <si>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</si>
  <si>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</si>
  <si>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2,60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</si>
  <si>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</si>
  <si>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</si>
  <si>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</si>
  <si>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</si>
  <si>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</si>
  <si>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</si>
  <si>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</si>
  <si>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</si>
  <si>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</si>
  <si>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</si>
  <si>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</si>
  <si>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</si>
  <si>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</si>
  <si>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</si>
  <si>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1,49</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</si>
  <si>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</si>
  <si>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</si>
  <si>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</si>
  <si>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</si>
  <si>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</si>
  <si>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</si>
  <si>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</si>
  <si>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</si>
  <si>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</si>
  <si>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</si>
  <si>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1,50</t>
  </si>
  <si>
    <t>95429</t>
  </si>
  <si>
    <t>TRANSPORTE COM CAMINHÃO BASCULANTE DE 18 M³, EM VIA URBANA EM REVESTIMENTO PRIMÁRIO (UNIDADE: TXKM). AF_07/2020</t>
  </si>
  <si>
    <t>1,30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</si>
  <si>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</si>
  <si>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</si>
  <si>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</si>
  <si>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</si>
  <si>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</si>
  <si>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</si>
  <si>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2,04</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</si>
  <si>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</si>
  <si>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</si>
  <si>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</si>
  <si>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</si>
  <si>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</si>
  <si>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</si>
  <si>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</si>
  <si>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</si>
  <si>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</si>
  <si>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</si>
  <si>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</si>
  <si>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</si>
  <si>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</si>
  <si>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</si>
  <si>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</si>
  <si>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</si>
  <si>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</si>
  <si>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</si>
  <si>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</si>
  <si>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</si>
  <si>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</si>
  <si>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</si>
  <si>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</si>
  <si>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</si>
  <si>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</si>
  <si>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</si>
  <si>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</si>
  <si>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</si>
  <si>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</si>
  <si>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</si>
  <si>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</si>
  <si>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</si>
  <si>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</si>
  <si>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</si>
  <si>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</si>
  <si>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</si>
  <si>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</si>
  <si>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</si>
  <si>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</si>
  <si>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</si>
  <si>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</si>
  <si>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</si>
  <si>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6,39</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</si>
  <si>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</si>
  <si>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</si>
  <si>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</si>
  <si>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</si>
  <si>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</si>
  <si>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</si>
  <si>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</si>
  <si>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</si>
  <si>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</si>
  <si>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</si>
  <si>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</si>
  <si>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</si>
  <si>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</si>
  <si>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</si>
  <si>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4,17</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</si>
  <si>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</si>
  <si>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</si>
  <si>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</si>
  <si>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</si>
  <si>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</si>
  <si>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</si>
  <si>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</si>
  <si>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</si>
  <si>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</si>
  <si>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</si>
  <si>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</si>
  <si>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</si>
  <si>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</si>
  <si>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</si>
  <si>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</si>
  <si>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</si>
  <si>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</si>
  <si>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</si>
  <si>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</si>
  <si>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</si>
  <si>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</si>
  <si>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</si>
  <si>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</si>
  <si>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</si>
  <si>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1,74</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</si>
  <si>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</si>
  <si>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</si>
  <si>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</si>
  <si>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</si>
  <si>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</si>
  <si>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</si>
  <si>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1,97</t>
  </si>
  <si>
    <t>102330</t>
  </si>
  <si>
    <t>TRANSPORTE COM CAMINHÃO TANQUE DE TRANSPORTE DE MATERIAL ASFÁLTICO DE 30000 L, EM VIA URBANA PAVIMENTADA, DMT ATÉ 30KM (UNIDADE: TXKM). AF_07/2020</t>
  </si>
  <si>
    <t>1,39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</si>
  <si>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</si>
  <si>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</si>
  <si>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</si>
  <si>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</si>
  <si>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1,83</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</si>
  <si>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</si>
  <si>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</si>
  <si>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</si>
  <si>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</si>
  <si>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T</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</si>
  <si>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</si>
  <si>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</si>
  <si>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</si>
  <si>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</si>
  <si>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</si>
  <si>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</si>
  <si>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</si>
  <si>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</si>
  <si>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</si>
  <si>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</si>
  <si>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</si>
  <si>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</si>
  <si>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6,35</t>
  </si>
  <si>
    <t>100980</t>
  </si>
  <si>
    <t>CARGA, MANOBRA E DESCARGA DE SOLOS E MATERIAIS GRANULARES EM CAMINHÃO BASCULANTE 18 M³ - CARGA COM ESCAVADEIRA HIDRÁULICA (CAÇAMBA DE 1,20 M³ / 155 HP) E DESCARGA LIVRE (UNIDADE: M3). AF_07/2020</t>
  </si>
  <si>
    <t>6,06</t>
  </si>
  <si>
    <t>100981</t>
  </si>
  <si>
    <t>CARGA, MANOBRA E DESCARGA DE ENTULHO EM CAMINHÃO BASCULANTE 6 M³ - CARGA COM ESCAVADEIRA HIDRÁULICA  (CAÇAMBA DE 0,80 M³ / 111 HP) E DESCARGA LIVRE (UNIDADE: M3). AF_07/2020</t>
  </si>
  <si>
    <t>8,74</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</si>
  <si>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</si>
  <si>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</si>
  <si>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</si>
  <si>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</si>
  <si>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</si>
  <si>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</si>
  <si>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</si>
  <si>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</si>
  <si>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6,82</t>
  </si>
  <si>
    <t>100986</t>
  </si>
  <si>
    <t>CARGA DE MISTURA ASFÁLTICA EM CAMINHÃO BASCULANTE 10 M³ (UNIDADE: M3). AF_07/2020</t>
  </si>
  <si>
    <t>8,45</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</si>
  <si>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</si>
  <si>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</si>
  <si>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</si>
  <si>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</si>
  <si>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</si>
  <si>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</si>
  <si>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</si>
  <si>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</si>
  <si>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</si>
  <si>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</si>
  <si>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5,56</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</si>
  <si>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</si>
  <si>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</si>
  <si>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</si>
  <si>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</si>
  <si>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</si>
  <si>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</si>
  <si>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</si>
  <si>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</si>
  <si>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</si>
  <si>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</si>
  <si>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</si>
  <si>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</si>
  <si>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</si>
  <si>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</si>
  <si>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</si>
  <si>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</si>
  <si>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</si>
  <si>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</si>
  <si>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</si>
  <si>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</si>
  <si>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4,55</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</si>
  <si>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</si>
  <si>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</si>
  <si>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</si>
  <si>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</si>
  <si>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</si>
  <si>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</si>
  <si>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</si>
  <si>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</si>
  <si>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</si>
  <si>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</si>
  <si>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</si>
  <si>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</si>
  <si>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5,30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</si>
  <si>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</si>
  <si>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</si>
  <si>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</si>
  <si>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</si>
  <si>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</si>
  <si>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</si>
  <si>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</si>
  <si>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</si>
  <si>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</si>
  <si>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</si>
  <si>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</si>
  <si>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</si>
  <si>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</si>
  <si>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</si>
  <si>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</si>
  <si>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</si>
  <si>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29,25</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</si>
  <si>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</si>
  <si>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</si>
  <si>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</si>
  <si>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</si>
  <si>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</si>
  <si>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</si>
  <si>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</si>
  <si>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</si>
  <si>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</si>
  <si>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</si>
  <si>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</si>
  <si>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</si>
  <si>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</si>
  <si>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</si>
  <si>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</si>
  <si>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</si>
  <si>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</si>
  <si>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</si>
  <si>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</si>
  <si>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</si>
  <si>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</si>
  <si>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</si>
  <si>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</si>
  <si>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</si>
  <si>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</si>
  <si>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</si>
  <si>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</si>
  <si>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</si>
  <si>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</si>
  <si>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</si>
  <si>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</si>
  <si>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</si>
  <si>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12,85</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</si>
  <si>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</si>
  <si>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</si>
  <si>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</si>
  <si>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</si>
  <si>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</si>
  <si>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</si>
  <si>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</si>
  <si>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</si>
  <si>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35,08</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</si>
  <si>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</si>
  <si>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</si>
  <si>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</si>
  <si>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</si>
  <si>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</si>
  <si>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</si>
  <si>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</si>
  <si>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</si>
  <si>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</si>
  <si>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</si>
  <si>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</si>
  <si>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</si>
  <si>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</si>
  <si>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</si>
  <si>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</si>
  <si>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</si>
  <si>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63,39</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</si>
  <si>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</si>
  <si>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</si>
  <si>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</si>
  <si>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</si>
  <si>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</si>
  <si>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</si>
  <si>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</si>
  <si>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</si>
  <si>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</si>
  <si>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</si>
  <si>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</si>
  <si>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</si>
  <si>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</si>
  <si>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</si>
  <si>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</si>
  <si>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</si>
  <si>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</si>
  <si>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</si>
  <si>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</si>
  <si>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</si>
  <si>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</si>
  <si>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</si>
  <si>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</si>
  <si>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</si>
  <si>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</si>
  <si>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</si>
  <si>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</si>
  <si>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</si>
  <si>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</si>
  <si>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</si>
  <si>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</si>
  <si>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</si>
  <si>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</si>
  <si>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</si>
  <si>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</si>
  <si>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</si>
  <si>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</si>
  <si>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</si>
  <si>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</si>
  <si>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</si>
  <si>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</si>
  <si>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</si>
  <si>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</si>
  <si>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</si>
  <si>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2,22</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</si>
  <si>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</si>
  <si>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</si>
  <si>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</si>
  <si>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</si>
  <si>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</si>
  <si>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</si>
  <si>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</si>
  <si>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</si>
  <si>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</si>
  <si>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</si>
  <si>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</si>
  <si>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</si>
  <si>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</si>
  <si>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</si>
  <si>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</si>
  <si>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</si>
  <si>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</si>
  <si>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</si>
  <si>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</si>
  <si>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</si>
  <si>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</si>
  <si>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</si>
  <si>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</si>
  <si>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</si>
  <si>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</si>
  <si>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</si>
  <si>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</si>
  <si>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</si>
  <si>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</si>
  <si>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</si>
  <si>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</si>
  <si>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</si>
  <si>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</si>
  <si>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</si>
  <si>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</si>
  <si>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</si>
  <si>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</si>
  <si>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</si>
  <si>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</si>
  <si>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</si>
  <si>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</si>
  <si>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</si>
  <si>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</si>
  <si>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</si>
  <si>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</si>
  <si>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</si>
  <si>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</si>
  <si>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</si>
  <si>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</si>
  <si>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</si>
  <si>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</si>
  <si>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</si>
  <si>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</si>
  <si>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</si>
  <si>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</si>
  <si>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</si>
  <si>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</si>
  <si>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</si>
  <si>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</si>
  <si>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</si>
  <si>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</si>
  <si>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</si>
  <si>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</si>
  <si>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LIMPEZA MECANIZADA DE CAMADA VEGETAL, VEGETAÇÃO E PEQUENAS ÁRVORES (DIÂMETRO DE TRONCO MENOR QUE 0,20 M), COM TRATOR DE ESTEIRAS.AF_05/2018</t>
  </si>
  <si>
    <t>0,41</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</si>
  <si>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</si>
  <si>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</si>
  <si>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</si>
  <si>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</si>
  <si>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</si>
  <si>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</si>
  <si>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</si>
  <si>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</si>
  <si>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</si>
  <si>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</si>
  <si>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</si>
  <si>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</si>
  <si>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</si>
  <si>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</si>
  <si>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</si>
  <si>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</si>
  <si>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</si>
  <si>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</si>
  <si>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</si>
  <si>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</si>
  <si>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</si>
  <si>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</si>
  <si>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</si>
  <si>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</si>
  <si>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</si>
  <si>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</si>
  <si>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</si>
  <si>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</si>
  <si>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</si>
  <si>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</si>
  <si>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</si>
  <si>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</si>
  <si>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</si>
  <si>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</si>
  <si>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27,07</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</si>
  <si>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</si>
  <si>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</si>
  <si>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</si>
  <si>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</si>
  <si>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</si>
  <si>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</si>
  <si>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</si>
  <si>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</si>
  <si>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</si>
  <si>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</si>
  <si>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</si>
  <si>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</si>
  <si>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</si>
  <si>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</si>
  <si>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</si>
  <si>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</si>
  <si>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</si>
  <si>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</si>
  <si>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</si>
  <si>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</si>
  <si>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</si>
  <si>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</si>
  <si>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</si>
  <si>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</si>
  <si>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</si>
  <si>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</si>
  <si>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</si>
  <si>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</si>
  <si>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</si>
  <si>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</si>
  <si>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</si>
  <si>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</si>
  <si>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</si>
  <si>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</si>
  <si>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</si>
  <si>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</si>
  <si>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31,43</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</si>
  <si>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</si>
  <si>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</si>
  <si>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</si>
  <si>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</si>
  <si>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</si>
  <si>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</si>
  <si>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</si>
  <si>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</si>
  <si>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</si>
  <si>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</si>
  <si>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</si>
  <si>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</si>
  <si>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</si>
  <si>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</si>
  <si>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</si>
  <si>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</si>
  <si>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34,14</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</si>
  <si>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</si>
  <si>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</si>
  <si>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</si>
  <si>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</si>
  <si>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</si>
  <si>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</si>
  <si>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</si>
  <si>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</si>
  <si>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</si>
  <si>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</si>
  <si>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26,47</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</si>
  <si>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</si>
  <si>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</si>
  <si>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</si>
  <si>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</si>
  <si>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</si>
  <si>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</si>
  <si>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</si>
  <si>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</si>
  <si>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</si>
  <si>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</si>
  <si>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30,21</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</si>
  <si>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</si>
  <si>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</si>
  <si>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</si>
  <si>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</si>
  <si>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</si>
  <si>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</si>
  <si>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</si>
  <si>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</si>
  <si>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</si>
  <si>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</si>
  <si>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</si>
  <si>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</si>
  <si>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</si>
  <si>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</si>
  <si>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</si>
  <si>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</si>
  <si>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23,23</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</si>
  <si>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</si>
  <si>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</si>
  <si>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</si>
  <si>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</si>
  <si>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</si>
  <si>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</si>
  <si>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</si>
  <si>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</si>
  <si>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29,86</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</si>
  <si>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</si>
  <si>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</si>
  <si>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</si>
  <si>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</si>
  <si>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</si>
  <si>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</si>
  <si>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</si>
  <si>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</si>
  <si>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</si>
  <si>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</si>
  <si>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</si>
  <si>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</si>
  <si>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</si>
  <si>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</si>
  <si>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32,05</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</si>
  <si>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</si>
  <si>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</si>
  <si>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</si>
  <si>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</si>
  <si>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</si>
  <si>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</si>
  <si>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</si>
  <si>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</si>
  <si>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</si>
  <si>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</si>
  <si>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</si>
  <si>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</si>
  <si>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</si>
  <si>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</si>
  <si>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</si>
  <si>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</si>
  <si>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</si>
  <si>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</si>
  <si>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</si>
  <si>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</si>
  <si>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</si>
  <si>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</si>
  <si>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27,37</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</si>
  <si>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</si>
  <si>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</si>
  <si>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</si>
  <si>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</si>
  <si>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</si>
  <si>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</si>
  <si>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</si>
  <si>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</si>
  <si>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</si>
  <si>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</si>
  <si>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</si>
  <si>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</si>
  <si>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</si>
  <si>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</si>
  <si>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</si>
  <si>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</si>
  <si>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</si>
  <si>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</si>
  <si>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</si>
  <si>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</si>
  <si>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</si>
  <si>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</si>
  <si>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</si>
  <si>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</si>
  <si>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</si>
  <si>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</si>
  <si>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</si>
  <si>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</si>
  <si>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</si>
  <si>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</si>
  <si>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</si>
  <si>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</si>
  <si>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</si>
  <si>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</si>
  <si>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</si>
  <si>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</si>
  <si>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</si>
  <si>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</si>
  <si>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</si>
  <si>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</si>
  <si>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</si>
  <si>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</si>
  <si>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</si>
  <si>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</si>
  <si>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51,25</t>
  </si>
  <si>
    <t>91677</t>
  </si>
  <si>
    <t>ENGENHEIRO ELETRICISTA COM ENCARGOS COMPLEMENTARES</t>
  </si>
  <si>
    <t>91678</t>
  </si>
  <si>
    <t>ENGENHEIRO SANITARISTA COM ENCARGOS COMPLEMENTARES</t>
  </si>
  <si>
    <t>93558</t>
  </si>
  <si>
    <t>MOTORISTA DE CAMINHAO COM ENCARGOS COMPLEMENTARES</t>
  </si>
  <si>
    <t>MES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</si>
  <si>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</si>
  <si>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</si>
  <si>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</si>
  <si>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</si>
  <si>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</si>
  <si>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</si>
  <si>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</si>
  <si>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</si>
  <si>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</si>
  <si>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</si>
  <si>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</si>
  <si>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</si>
  <si>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</si>
  <si>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</si>
  <si>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</si>
  <si>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</si>
  <si>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</si>
  <si>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</si>
  <si>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</si>
  <si>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</si>
  <si>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</si>
  <si>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</si>
  <si>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</si>
  <si>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</si>
  <si>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0,22</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</si>
  <si>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</si>
  <si>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</si>
  <si>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</si>
  <si>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</si>
  <si>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</si>
  <si>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</si>
  <si>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</si>
  <si>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</si>
  <si>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0,19</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</si>
  <si>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</si>
  <si>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</si>
  <si>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</si>
  <si>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</si>
  <si>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</si>
  <si>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</si>
  <si>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</si>
  <si>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</si>
  <si>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</si>
  <si>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</si>
  <si>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0,24</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</si>
  <si>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</si>
  <si>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</si>
  <si>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</si>
  <si>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</si>
  <si>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</si>
  <si>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</si>
  <si>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</si>
  <si>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</si>
  <si>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</si>
  <si>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</si>
  <si>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</si>
  <si>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</si>
  <si>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</si>
  <si>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</si>
  <si>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</si>
  <si>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</si>
  <si>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</si>
  <si>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</si>
  <si>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</si>
  <si>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</si>
  <si>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</si>
  <si>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</si>
  <si>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</si>
  <si>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</si>
  <si>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</si>
  <si>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</si>
  <si>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</si>
  <si>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</si>
  <si>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</si>
  <si>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</si>
  <si>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</si>
  <si>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</si>
  <si>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</si>
  <si>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</si>
  <si>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</si>
  <si>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</si>
  <si>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</si>
  <si>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</si>
  <si>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</si>
  <si>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</si>
  <si>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</si>
  <si>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</si>
  <si>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</si>
  <si>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</si>
  <si>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</si>
  <si>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</si>
  <si>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</si>
  <si>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</si>
  <si>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</si>
  <si>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</si>
  <si>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</si>
  <si>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</si>
  <si>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</si>
  <si>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</si>
  <si>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</si>
  <si>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</si>
  <si>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</si>
  <si>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</si>
  <si>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</si>
  <si>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</si>
  <si>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</si>
  <si>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</si>
  <si>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</si>
  <si>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</si>
  <si>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</si>
  <si>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</si>
  <si>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</si>
  <si>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</si>
  <si>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</si>
  <si>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</si>
  <si>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</si>
  <si>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</si>
  <si>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</si>
  <si>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</si>
  <si>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</si>
  <si>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</si>
  <si>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</si>
  <si>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</si>
  <si>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</si>
  <si>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</si>
  <si>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</si>
  <si>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</si>
  <si>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</si>
  <si>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</si>
  <si>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</si>
  <si>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</si>
  <si>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</si>
  <si>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</si>
  <si>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</si>
  <si>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</si>
  <si>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</si>
  <si>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</si>
  <si>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</si>
  <si>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</si>
  <si>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</si>
  <si>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</si>
  <si>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</si>
  <si>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</si>
  <si>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</si>
  <si>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</si>
  <si>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</si>
  <si>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</si>
  <si>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</si>
  <si>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</si>
  <si>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</si>
  <si>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</si>
  <si>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</si>
  <si>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</si>
  <si>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</si>
  <si>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</si>
  <si>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</si>
  <si>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</si>
  <si>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</si>
  <si>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</si>
  <si>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</si>
  <si>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</si>
  <si>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</si>
  <si>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</si>
  <si>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</si>
  <si>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</si>
  <si>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</si>
  <si>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</si>
  <si>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</si>
  <si>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</si>
  <si>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</si>
  <si>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</si>
  <si>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</si>
  <si>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</si>
  <si>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</si>
  <si>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</si>
  <si>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</si>
  <si>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</si>
  <si>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</si>
  <si>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</si>
  <si>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</si>
  <si>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</si>
  <si>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</si>
  <si>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</si>
  <si>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</si>
  <si>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</si>
  <si>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</si>
  <si>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</si>
  <si>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</si>
  <si>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</si>
  <si>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</si>
  <si>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</si>
  <si>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</si>
  <si>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</si>
  <si>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</si>
  <si>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</si>
  <si>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</si>
  <si>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</si>
  <si>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</si>
  <si>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</si>
  <si>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</si>
  <si>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</si>
  <si>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</si>
  <si>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</si>
  <si>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0,63</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</si>
  <si>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</si>
  <si>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</si>
  <si>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</si>
  <si>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</si>
  <si>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</si>
  <si>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</si>
  <si>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</si>
  <si>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</si>
  <si>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1,03</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</si>
  <si>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</si>
  <si>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</si>
  <si>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</si>
  <si>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</si>
  <si>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</si>
  <si>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</si>
  <si>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</si>
  <si>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</si>
  <si>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</si>
  <si>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</si>
  <si>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18,83</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</si>
  <si>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</si>
  <si>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</si>
  <si>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</si>
  <si>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</si>
  <si>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</si>
  <si>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</si>
  <si>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</si>
  <si>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</si>
  <si>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</si>
  <si>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</si>
  <si>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</si>
  <si>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</si>
  <si>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</si>
  <si>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</si>
  <si>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</si>
  <si>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</si>
  <si>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</si>
  <si>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</si>
  <si>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</si>
  <si>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</si>
  <si>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</si>
  <si>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</si>
  <si>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</si>
  <si>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</si>
  <si>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</si>
  <si>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</si>
  <si>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</si>
  <si>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</si>
  <si>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</si>
  <si>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</si>
  <si>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</si>
  <si>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</si>
  <si>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</si>
  <si>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</si>
  <si>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</si>
  <si>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</si>
  <si>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</si>
  <si>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</si>
  <si>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</si>
  <si>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</si>
  <si>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</si>
  <si>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</si>
  <si>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</si>
  <si>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</si>
  <si>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</si>
  <si>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</si>
  <si>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</si>
  <si>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</si>
  <si>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</si>
  <si>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</si>
  <si>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</si>
  <si>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</si>
  <si>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</si>
  <si>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</si>
  <si>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</si>
  <si>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</si>
  <si>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</si>
  <si>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</si>
  <si>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</si>
  <si>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</si>
  <si>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</si>
  <si>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</si>
  <si>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62,92</t>
  </si>
  <si>
    <t>100305</t>
  </si>
  <si>
    <t>ENGENHEIRO CIVIL JUNIOR COM ENCARGOS COMPLEMENTARES</t>
  </si>
  <si>
    <t>100306</t>
  </si>
  <si>
    <t>ENGENHEIRO CIVIL PLENO COM ENCARGOS COMPLEMENTARES</t>
  </si>
  <si>
    <t>100307</t>
  </si>
  <si>
    <t>MONTADOR DE ELETROELETRÔNICOS COM ENCARGOS COMPLEMENTARES</t>
  </si>
  <si>
    <t>32,69</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</si>
  <si>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</si>
  <si>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</si>
  <si>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</si>
  <si>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</si>
  <si>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</si>
  <si>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</si>
  <si>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</si>
  <si>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</si>
  <si>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</si>
  <si>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</si>
  <si>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</si>
  <si>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</si>
  <si>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</si>
  <si>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</si>
  <si>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</si>
  <si>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</si>
  <si>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</si>
  <si>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</si>
  <si>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</si>
  <si>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</si>
  <si>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</si>
  <si>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</si>
  <si>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</si>
  <si>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</si>
  <si>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</si>
  <si>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</si>
  <si>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</si>
  <si>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</si>
  <si>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</si>
  <si>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</si>
  <si>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</si>
  <si>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</si>
  <si>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</si>
  <si>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</si>
  <si>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</si>
  <si>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</si>
  <si>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</si>
  <si>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</si>
  <si>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</si>
  <si>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</si>
  <si>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</si>
  <si>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</si>
  <si>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</si>
  <si>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</si>
  <si>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</si>
  <si>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</si>
  <si>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</si>
  <si>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</si>
  <si>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</si>
  <si>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</si>
  <si>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</si>
  <si>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</si>
  <si>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</si>
  <si>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</si>
  <si>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29,71</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</si>
  <si>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</si>
  <si>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</si>
  <si>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</si>
  <si>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</si>
  <si>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</si>
  <si>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</si>
  <si>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</si>
  <si>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</si>
  <si>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</si>
  <si>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</si>
  <si>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</si>
  <si>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</si>
  <si>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</si>
  <si>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</si>
  <si>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</si>
  <si>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</si>
  <si>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</si>
  <si>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</si>
  <si>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</si>
  <si>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</si>
  <si>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36,95</t>
  </si>
  <si>
    <t>101307</t>
  </si>
  <si>
    <t>CURSO DE CAPACITAÇÃO PARA CALCETEIRO (ENCARGOS COMPLEMENTARES) - MENSALISTA</t>
  </si>
  <si>
    <t>101308</t>
  </si>
  <si>
    <t>CURSO DE CAPACITAÇÃO PARA MONTADOR DE ESTRUTURAS METALICAS (ENCARGOS COMPLEMENTARES) - MENSALISTA</t>
  </si>
  <si>
    <t>23,73</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</si>
  <si>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</si>
  <si>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</si>
  <si>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</si>
  <si>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</si>
  <si>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</si>
  <si>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</si>
  <si>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</si>
  <si>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</si>
  <si>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</si>
  <si>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</si>
  <si>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</si>
  <si>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</si>
  <si>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</si>
  <si>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</si>
  <si>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114,11</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</si>
  <si>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</si>
  <si>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</si>
  <si>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</si>
  <si>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</si>
  <si>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</si>
  <si>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</si>
  <si>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</si>
  <si>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</si>
  <si>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</si>
  <si>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</si>
  <si>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</si>
  <si>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</si>
  <si>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</si>
  <si>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</si>
  <si>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</si>
  <si>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</si>
  <si>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</si>
  <si>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</si>
  <si>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</si>
  <si>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</si>
  <si>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</si>
  <si>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</si>
  <si>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</si>
  <si>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</si>
  <si>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</si>
  <si>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</si>
  <si>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51,59</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</si>
  <si>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</si>
  <si>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</si>
  <si>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</si>
  <si>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</si>
  <si>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</si>
  <si>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</si>
  <si>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</si>
  <si>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</si>
  <si>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</si>
  <si>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</si>
  <si>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</si>
  <si>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</si>
  <si>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</si>
  <si>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</si>
  <si>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</si>
  <si>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</si>
  <si>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</si>
  <si>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</si>
  <si>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</si>
  <si>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</si>
  <si>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19,04</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</si>
  <si>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</si>
  <si>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</si>
  <si>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</si>
  <si>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</si>
  <si>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</si>
  <si>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</si>
  <si>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</si>
  <si>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</si>
  <si>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</si>
  <si>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</si>
  <si>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</si>
  <si>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</si>
  <si>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</si>
  <si>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</si>
  <si>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</si>
  <si>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</si>
  <si>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</si>
  <si>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</si>
  <si>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17,64</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</si>
  <si>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</si>
  <si>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</si>
  <si>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</si>
  <si>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</si>
  <si>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</si>
  <si>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</si>
  <si>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</si>
  <si>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</si>
  <si>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</si>
  <si>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</si>
  <si>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19,54</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</si>
  <si>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</si>
  <si>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</si>
  <si>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</si>
  <si>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</si>
  <si>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</si>
  <si>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</si>
  <si>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</si>
  <si>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</si>
  <si>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</si>
  <si>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</si>
  <si>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</si>
  <si>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</si>
  <si>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</si>
  <si>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</si>
  <si>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</si>
  <si>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</si>
  <si>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</si>
  <si>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</si>
  <si>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</si>
  <si>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</si>
  <si>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29,01</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</si>
  <si>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</si>
  <si>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</si>
  <si>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</si>
  <si>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</si>
  <si>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</si>
  <si>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</si>
  <si>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36,23</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</si>
  <si>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</si>
  <si>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</si>
  <si>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</si>
  <si>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</si>
  <si>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</si>
  <si>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</si>
  <si>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</si>
  <si>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</si>
  <si>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</si>
  <si>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</si>
  <si>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</si>
  <si>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</si>
  <si>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</si>
  <si>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</si>
  <si>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</si>
  <si>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</si>
  <si>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</si>
  <si>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</si>
  <si>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</si>
  <si>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</si>
  <si>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</si>
  <si>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</si>
  <si>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</si>
  <si>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</si>
  <si>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</si>
  <si>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</si>
  <si>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</si>
  <si>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</si>
  <si>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</si>
  <si>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</si>
  <si>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</si>
  <si>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</si>
  <si>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</si>
  <si>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</si>
  <si>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</si>
  <si>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</si>
  <si>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</si>
  <si>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</si>
  <si>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</si>
  <si>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</si>
  <si>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</si>
  <si>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</si>
  <si>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</si>
  <si>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</si>
  <si>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</si>
  <si>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</si>
  <si>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</si>
  <si>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</si>
  <si>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</si>
  <si>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</si>
  <si>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</si>
  <si>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</si>
  <si>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</si>
  <si>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</si>
  <si>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</si>
  <si>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</si>
  <si>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</si>
  <si>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</si>
  <si>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</si>
  <si>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</si>
  <si>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</si>
  <si>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</si>
  <si>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</si>
  <si>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</si>
  <si>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</si>
  <si>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</si>
  <si>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</si>
  <si>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</si>
  <si>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</si>
  <si>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</si>
  <si>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</si>
  <si>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</si>
  <si>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</si>
  <si>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</si>
  <si>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</si>
  <si>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</si>
  <si>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</si>
  <si>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</si>
  <si>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</si>
  <si>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</si>
  <si>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</si>
  <si>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</si>
  <si>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</si>
  <si>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</si>
  <si>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</si>
  <si>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</si>
  <si>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</si>
  <si>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</si>
  <si>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</si>
  <si>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</si>
  <si>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</si>
  <si>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</si>
  <si>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</si>
  <si>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</si>
  <si>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</si>
  <si>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</si>
  <si>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</si>
  <si>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</si>
  <si>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</si>
  <si>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</si>
  <si>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</si>
  <si>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</si>
  <si>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</si>
  <si>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</si>
  <si>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</si>
  <si>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</si>
  <si>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</si>
  <si>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</si>
  <si>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</si>
  <si>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</si>
  <si>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</si>
  <si>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</si>
  <si>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</si>
  <si>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</si>
  <si>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</si>
  <si>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</si>
  <si>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</si>
  <si>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</si>
  <si>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</si>
  <si>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</si>
  <si>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</si>
  <si>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</si>
  <si>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</si>
  <si>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</si>
  <si>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</si>
  <si>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</si>
  <si>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</si>
  <si>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</si>
  <si>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</si>
  <si>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</si>
  <si>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</si>
  <si>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</si>
  <si>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</si>
  <si>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</si>
  <si>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</si>
  <si>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</si>
  <si>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</si>
  <si>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</si>
  <si>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</si>
  <si>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</si>
  <si>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</si>
  <si>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</si>
  <si>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ELETRODUTO PVC FLEXIVEL CORRUGADO, COR AMARELA, DE 32 MM</t>
  </si>
  <si>
    <t xml:space="preserve">M     </t>
  </si>
  <si>
    <t>60,48</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</si>
  <si>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</si>
  <si>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</si>
  <si>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</si>
  <si>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</si>
  <si>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</si>
  <si>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</si>
  <si>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M/SEC</t>
  </si>
  <si>
    <t>LEVANTAMENTO PLANIMÉTRICO DE VIA PÚBLICA E SEMI-CADASTRO DE IMÓVEIS</t>
  </si>
  <si>
    <t>NIVELAMENTO DO EIXO DE VIA PÚBLICA INCLUSIVE SOLEIRAS, GUIAS E TAMPÕES</t>
  </si>
  <si>
    <t>CADASTRO DE GALERIA EXISTENTE</t>
  </si>
  <si>
    <t>PV</t>
  </si>
  <si>
    <t>ELEMENTOS PARA LOCAÇÃO DE OBRA DE ARTE</t>
  </si>
  <si>
    <t>M/ EIXO</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</si>
  <si>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</si>
  <si>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</si>
  <si>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</si>
  <si>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</si>
  <si>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</si>
  <si>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</si>
  <si>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</si>
  <si>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</si>
  <si>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</si>
  <si>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</si>
  <si>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</si>
  <si>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</si>
  <si>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</si>
  <si>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</si>
  <si>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</si>
  <si>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</si>
  <si>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</si>
  <si>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</si>
  <si>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</si>
  <si>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</si>
  <si>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</si>
  <si>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</si>
  <si>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</si>
  <si>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</si>
  <si>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</si>
  <si>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</si>
  <si>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</si>
  <si>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</si>
  <si>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</si>
  <si>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</si>
  <si>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</si>
  <si>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</si>
  <si>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</si>
  <si>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</si>
  <si>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</si>
  <si>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</si>
  <si>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</si>
  <si>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</si>
  <si>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</si>
  <si>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</si>
  <si>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</si>
  <si>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</si>
  <si>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</si>
  <si>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</si>
  <si>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</si>
  <si>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</si>
  <si>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</si>
  <si>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</si>
  <si>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</si>
  <si>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</si>
  <si>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</si>
  <si>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</si>
  <si>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</si>
  <si>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</si>
  <si>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</si>
  <si>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</si>
  <si>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</si>
  <si>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</si>
  <si>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</si>
  <si>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</si>
  <si>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</si>
  <si>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</si>
  <si>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</si>
  <si>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</si>
  <si>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</si>
  <si>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</si>
  <si>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</si>
  <si>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</si>
  <si>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</si>
  <si>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</si>
  <si>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</si>
  <si>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</si>
  <si>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</si>
  <si>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</si>
  <si>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</si>
  <si>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</si>
  <si>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</si>
  <si>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</si>
  <si>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</si>
  <si>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</si>
  <si>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</si>
  <si>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</si>
  <si>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</si>
  <si>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KM2</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</si>
  <si>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</si>
  <si>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</si>
  <si>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</si>
  <si>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</si>
  <si>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</si>
  <si>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</si>
  <si>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</si>
  <si>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</si>
  <si>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</si>
  <si>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</si>
  <si>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</si>
  <si>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</si>
  <si>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</si>
  <si>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</si>
  <si>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</si>
  <si>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</si>
  <si>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</si>
  <si>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</si>
  <si>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</si>
  <si>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</si>
  <si>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</si>
  <si>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</si>
  <si>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</si>
  <si>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</si>
  <si>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</si>
  <si>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</si>
  <si>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</si>
  <si>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M/VIA</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</si>
  <si>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</si>
  <si>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</si>
  <si>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</si>
  <si>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</si>
  <si>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</si>
  <si>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</si>
  <si>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</si>
  <si>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</si>
  <si>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</si>
  <si>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</si>
  <si>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</si>
  <si>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</si>
  <si>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</si>
  <si>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</si>
  <si>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</si>
  <si>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</si>
  <si>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EM CONSTRUÇÃO CIVIL NÍVEL SUPERIOR, COM 5 À 10 ANOS DE EXPERIÊNCIA</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</si>
  <si>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</si>
  <si>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</si>
  <si>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</si>
  <si>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</si>
  <si>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</si>
  <si>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</si>
  <si>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</si>
  <si>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</si>
  <si>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</si>
  <si>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</si>
  <si>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</si>
  <si>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</si>
  <si>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</si>
  <si>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</si>
  <si>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</si>
  <si>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</si>
  <si>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</si>
  <si>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</si>
  <si>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</si>
  <si>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</si>
  <si>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</si>
  <si>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</si>
  <si>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</si>
  <si>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</si>
  <si>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</si>
  <si>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</si>
  <si>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</si>
  <si>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</si>
  <si>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</si>
  <si>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</si>
  <si>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MOVIMENTO DE TERRA</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</si>
  <si>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</si>
  <si>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</si>
  <si>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</si>
  <si>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</si>
  <si>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</si>
  <si>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</si>
  <si>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</si>
  <si>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</si>
  <si>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</si>
  <si>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</si>
  <si>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</si>
  <si>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</si>
  <si>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</si>
  <si>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</si>
  <si>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</si>
  <si>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</si>
  <si>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</si>
  <si>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</si>
  <si>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</si>
  <si>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</si>
  <si>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</si>
  <si>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</si>
  <si>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</si>
  <si>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</si>
  <si>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</si>
  <si>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</si>
  <si>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</si>
  <si>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</si>
  <si>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</si>
  <si>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</si>
  <si>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</si>
  <si>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</si>
  <si>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</si>
  <si>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</si>
  <si>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</si>
  <si>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</si>
  <si>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</si>
  <si>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</si>
  <si>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</si>
  <si>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</si>
  <si>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</si>
  <si>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</si>
  <si>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</si>
  <si>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</si>
  <si>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</si>
  <si>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</si>
  <si>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</si>
  <si>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</si>
  <si>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</si>
  <si>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</si>
  <si>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</si>
  <si>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</si>
  <si>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</si>
  <si>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</si>
  <si>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</si>
  <si>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</si>
  <si>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</si>
  <si>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</si>
  <si>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</si>
  <si>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</si>
  <si>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</si>
  <si>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</si>
  <si>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</si>
  <si>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</si>
  <si>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</si>
  <si>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</si>
  <si>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</si>
  <si>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</si>
  <si>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</si>
  <si>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</si>
  <si>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</si>
  <si>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</si>
  <si>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</si>
  <si>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</si>
  <si>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</si>
  <si>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</si>
  <si>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</si>
  <si>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</si>
  <si>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</si>
  <si>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</si>
  <si>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</si>
  <si>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</si>
  <si>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</si>
  <si>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</si>
  <si>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</si>
  <si>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</si>
  <si>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</si>
  <si>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</si>
  <si>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</si>
  <si>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</si>
  <si>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</si>
  <si>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</si>
  <si>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</si>
  <si>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</si>
  <si>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</si>
  <si>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</si>
  <si>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</si>
  <si>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</si>
  <si>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</si>
  <si>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</si>
  <si>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</si>
  <si>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</si>
  <si>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</si>
  <si>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</si>
  <si>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</si>
  <si>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</si>
  <si>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</si>
  <si>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</si>
  <si>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</si>
  <si>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</si>
  <si>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</si>
  <si>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</si>
  <si>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</si>
  <si>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</si>
  <si>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</si>
  <si>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</si>
  <si>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</si>
  <si>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</si>
  <si>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</si>
  <si>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</si>
  <si>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</si>
  <si>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</si>
  <si>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</si>
  <si>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</si>
  <si>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</si>
  <si>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</si>
  <si>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</si>
  <si>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</si>
  <si>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</si>
  <si>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</si>
  <si>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</si>
  <si>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</si>
  <si>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</si>
  <si>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</si>
  <si>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</si>
  <si>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</si>
  <si>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</si>
  <si>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</si>
  <si>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</si>
  <si>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</si>
  <si>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</si>
  <si>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</si>
  <si>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</si>
  <si>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</si>
  <si>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</si>
  <si>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</si>
  <si>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</si>
  <si>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</si>
  <si>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</si>
  <si>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</si>
  <si>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</si>
  <si>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</si>
  <si>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</si>
  <si>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</si>
  <si>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</si>
  <si>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</si>
  <si>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</si>
  <si>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</si>
  <si>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</si>
  <si>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</si>
  <si>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</si>
  <si>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</si>
  <si>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</si>
  <si>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</si>
  <si>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</si>
  <si>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</si>
  <si>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</si>
  <si>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</si>
  <si>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</si>
  <si>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</si>
  <si>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</si>
  <si>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</si>
  <si>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</si>
  <si>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</si>
  <si>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</si>
  <si>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</si>
  <si>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</si>
  <si>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</si>
  <si>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</si>
  <si>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</si>
  <si>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</si>
  <si>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</si>
  <si>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</si>
  <si>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</si>
  <si>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</si>
  <si>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</si>
  <si>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</si>
  <si>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</si>
  <si>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</si>
  <si>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</si>
  <si>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</si>
  <si>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</si>
  <si>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</si>
  <si>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</si>
  <si>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</si>
  <si>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</si>
  <si>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</si>
  <si>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</si>
  <si>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</si>
  <si>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</si>
  <si>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</si>
  <si>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</si>
  <si>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</si>
  <si>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</si>
  <si>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</si>
  <si>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</si>
  <si>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</si>
  <si>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</si>
  <si>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</si>
  <si>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</si>
  <si>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</si>
  <si>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</si>
  <si>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</si>
  <si>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</si>
  <si>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</si>
  <si>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</si>
  <si>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</si>
  <si>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</si>
  <si>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</si>
  <si>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</si>
  <si>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</si>
  <si>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</si>
  <si>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</si>
  <si>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</si>
  <si>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</si>
  <si>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</si>
  <si>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</si>
  <si>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</si>
  <si>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HPXH</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</si>
  <si>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</si>
  <si>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</si>
  <si>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</si>
  <si>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</si>
  <si>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</si>
  <si>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</si>
  <si>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</si>
  <si>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</si>
  <si>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</si>
  <si>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</si>
  <si>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</si>
  <si>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</si>
  <si>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</si>
  <si>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</si>
  <si>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</si>
  <si>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</si>
  <si>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</si>
  <si>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</si>
  <si>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</si>
  <si>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</si>
  <si>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</si>
  <si>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</si>
  <si>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</si>
  <si>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</si>
  <si>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</si>
  <si>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</si>
  <si>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</si>
  <si>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</si>
  <si>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</si>
  <si>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</si>
  <si>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</si>
  <si>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</si>
  <si>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</si>
  <si>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</si>
  <si>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</si>
  <si>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</si>
  <si>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</si>
  <si>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</si>
  <si>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</si>
  <si>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</si>
  <si>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</si>
  <si>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</si>
  <si>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</si>
  <si>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</si>
  <si>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</si>
  <si>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</si>
  <si>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</si>
  <si>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</si>
  <si>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</si>
  <si>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</si>
  <si>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</si>
  <si>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</si>
  <si>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</si>
  <si>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</si>
  <si>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</si>
  <si>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</si>
  <si>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</si>
  <si>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</si>
  <si>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</si>
  <si>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</si>
  <si>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</si>
  <si>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</si>
  <si>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</si>
  <si>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</si>
  <si>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</si>
  <si>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</si>
  <si>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</si>
  <si>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</si>
  <si>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</si>
  <si>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</si>
  <si>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</si>
  <si>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</si>
  <si>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</si>
  <si>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</si>
  <si>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</si>
  <si>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</si>
  <si>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</si>
  <si>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</si>
  <si>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</si>
  <si>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</si>
  <si>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</si>
  <si>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</si>
  <si>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</si>
  <si>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</si>
  <si>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</si>
  <si>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</si>
  <si>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</si>
  <si>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</si>
  <si>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</si>
  <si>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</si>
  <si>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</si>
  <si>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</si>
  <si>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</si>
  <si>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</si>
  <si>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</si>
  <si>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</si>
  <si>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</si>
  <si>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</si>
  <si>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</si>
  <si>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</si>
  <si>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</si>
  <si>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M3XMÊS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</si>
  <si>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</si>
  <si>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</si>
  <si>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</si>
  <si>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</si>
  <si>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</si>
  <si>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</si>
  <si>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</si>
  <si>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</si>
  <si>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</si>
  <si>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</si>
  <si>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</si>
  <si>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</si>
  <si>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</si>
  <si>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</si>
  <si>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</si>
  <si>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</si>
  <si>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</si>
  <si>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</si>
  <si>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</si>
  <si>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</si>
  <si>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</si>
  <si>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</si>
  <si>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</si>
  <si>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</si>
  <si>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</si>
  <si>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DM3</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</si>
  <si>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</si>
  <si>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</si>
  <si>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</si>
  <si>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</si>
  <si>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</si>
  <si>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</si>
  <si>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</si>
  <si>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</si>
  <si>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</si>
  <si>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</si>
  <si>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</si>
  <si>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</si>
  <si>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</si>
  <si>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</si>
  <si>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</si>
  <si>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</si>
  <si>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</si>
  <si>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</si>
  <si>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</si>
  <si>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</si>
  <si>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</si>
  <si>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</si>
  <si>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</si>
  <si>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</si>
  <si>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</si>
  <si>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</si>
  <si>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</si>
  <si>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</si>
  <si>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</si>
  <si>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</si>
  <si>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</si>
  <si>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</si>
  <si>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</si>
  <si>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</si>
  <si>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</si>
  <si>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</si>
  <si>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</si>
  <si>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</si>
  <si>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</si>
  <si>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M3XMES</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</si>
  <si>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</si>
  <si>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</si>
  <si>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</si>
  <si>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</si>
  <si>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</si>
  <si>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</si>
  <si>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</si>
  <si>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</si>
  <si>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</si>
  <si>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</si>
  <si>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</si>
  <si>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</si>
  <si>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</si>
  <si>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</si>
  <si>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</si>
  <si>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</si>
  <si>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</si>
  <si>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</si>
  <si>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</si>
  <si>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</si>
  <si>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</si>
  <si>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</si>
  <si>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</si>
  <si>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</si>
  <si>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</si>
  <si>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</si>
  <si>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</si>
  <si>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</si>
  <si>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</si>
  <si>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</si>
  <si>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</si>
  <si>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CM</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</si>
  <si>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</si>
  <si>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</si>
  <si>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</si>
  <si>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</si>
  <si>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</si>
  <si>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</si>
  <si>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</si>
  <si>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</si>
  <si>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</si>
  <si>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</si>
  <si>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</si>
  <si>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</si>
  <si>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</si>
  <si>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</si>
  <si>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</si>
  <si>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</si>
  <si>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 50% EM OPERAÇÃO</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</si>
  <si>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</si>
  <si>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</si>
  <si>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</si>
  <si>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</si>
  <si>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</si>
  <si>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</si>
  <si>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</si>
  <si>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</si>
  <si>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</si>
  <si>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</si>
  <si>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</si>
  <si>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</si>
  <si>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</si>
  <si>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</si>
  <si>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</si>
  <si>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</si>
  <si>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</si>
  <si>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</si>
  <si>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</si>
  <si>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</si>
  <si>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</si>
  <si>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</si>
  <si>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</si>
  <si>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</si>
  <si>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</si>
  <si>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</si>
  <si>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</si>
  <si>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</si>
  <si>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</si>
  <si>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</si>
  <si>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</si>
  <si>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</si>
  <si>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</si>
  <si>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</si>
  <si>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</si>
  <si>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</si>
  <si>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</si>
  <si>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</si>
  <si>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</si>
  <si>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</si>
  <si>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</si>
  <si>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</si>
  <si>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</si>
  <si>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</si>
  <si>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</si>
  <si>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</si>
  <si>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</si>
  <si>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</si>
  <si>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</si>
  <si>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</si>
  <si>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</si>
  <si>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</si>
  <si>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</si>
  <si>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</si>
  <si>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</si>
  <si>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</si>
  <si>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</si>
  <si>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</si>
  <si>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</si>
  <si>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</si>
  <si>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</si>
  <si>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</si>
  <si>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</si>
  <si>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</si>
  <si>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</si>
  <si>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</si>
  <si>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</si>
  <si>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</si>
  <si>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</si>
  <si>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</si>
  <si>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</si>
  <si>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</si>
  <si>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</si>
  <si>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</si>
  <si>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</si>
  <si>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</si>
  <si>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</si>
  <si>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</si>
  <si>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</si>
  <si>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</si>
  <si>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</si>
  <si>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</si>
  <si>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</si>
  <si>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</si>
  <si>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</si>
  <si>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</si>
  <si>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</si>
  <si>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</si>
  <si>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</si>
  <si>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</si>
  <si>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</si>
  <si>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</si>
  <si>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</si>
  <si>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</si>
  <si>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</si>
  <si>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</si>
  <si>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</si>
  <si>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</si>
  <si>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</si>
  <si>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</si>
  <si>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</si>
  <si>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</si>
  <si>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</si>
  <si>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</si>
  <si>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</si>
  <si>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</si>
  <si>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</si>
  <si>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</si>
  <si>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</si>
  <si>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</si>
  <si>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</si>
  <si>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</si>
  <si>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</si>
  <si>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</si>
  <si>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</si>
  <si>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</si>
  <si>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</si>
  <si>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</si>
  <si>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</si>
  <si>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</si>
  <si>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</si>
  <si>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</si>
  <si>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</si>
  <si>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</si>
  <si>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</si>
  <si>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</si>
  <si>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</si>
  <si>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</si>
  <si>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</si>
  <si>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</si>
  <si>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RELATÓRIO DE CONSULTA PRÉVIA</t>
  </si>
  <si>
    <t>ESTUDO DE VIABILIDADE AMBIENTAL - EVA 1 - ATÉ 30.000 M2</t>
  </si>
  <si>
    <t>ESTUDO DE VIABILIDADE AMBIENTAL - EVA 2 - ACIMA DE 30.000 M2</t>
  </si>
  <si>
    <t>RELATÓRIO DE COMPLEMENTAÇÃO AO EVA 1</t>
  </si>
  <si>
    <t>RELATÓRIO DE COMPLEMENTAÇÃO AO EVA 2</t>
  </si>
  <si>
    <t>EIA 1: PROJETOS DE DRENAGEM COM EXTENSÃO DE 1000 À 3000M</t>
  </si>
  <si>
    <t>EIA 2: PROJETOS DE DRENAGEM COM CANALIZAÇÃO DE 3001 À 5000M</t>
  </si>
  <si>
    <t>EIA 3: PROJETOS DE DRENAGEM COM CANALIZAÇÃO E RESERVATÓRIO, BARRAGENS, BARRAMENTOS, POLDERS, ETC...</t>
  </si>
  <si>
    <t>EIA 4: PROJETOS E CANALIZAÇÕES ACIMA DE 1000M E VIÁRIO ACIMA DE 3000M</t>
  </si>
  <si>
    <t>EIA 5: PROJETOS VIÁRIOS DE 3000 À 5000M</t>
  </si>
  <si>
    <t>EIA 6: PROJETOS VIÁRIOS ACIMA DE 5000M</t>
  </si>
  <si>
    <t>EIA 7: PROJETOS VIÁRIOS IGUAL OU SUPERIOR À 3000M ACOMPANHADOS DE OBRAS DE ARTE (PONTES, VIADUTOS OU PASSARELAS)</t>
  </si>
  <si>
    <t>EIA 8: PROJETOS VIÁRIOS IGUAL OU SUPERIOR À 3000M ACOMPANHADOS DE OBRAS DE ARTE (PONTES, VIADUTOS OU PASSARELAS)</t>
  </si>
  <si>
    <t>AUDIÊNCIA PÚBLICA</t>
  </si>
  <si>
    <t>RELATÓRIO DE COMPLEMENTAÇÃO AO EIA/RIMA 4-8</t>
  </si>
  <si>
    <t>RELATÓRIO DE COMPLEMENTAÇÃO AO EIA/RIMA 1-3</t>
  </si>
  <si>
    <t>PLANO BÁSICO AMBIENTAL - PBA CONTENDO ATÉ 20 PLANOS E PROGRAMAS DO MEIO FÍSICO, BIÓTICO E SOCIOECONÔMICO</t>
  </si>
  <si>
    <t>PLANO BÁSICO AMBIENTAL - PBA CONTENDO ACIMA DE 20 PLANOS E PROGRAMAS DO MEIO FÍSICO, BIÓTICO E SOCIOECONÔMICO</t>
  </si>
  <si>
    <t>RELATÓRIO DE ATENDIMENTO ÀS EXIGÊNCIAS DA LICENÇA AMBIENTAL PRÉVIA - LAP</t>
  </si>
  <si>
    <t>RELATÓRIO DE COMPLEMENTAÇÕES AO ATENDIMENTO DA LAP - LICENÇA AMBIENTAL PRÉVIA</t>
  </si>
  <si>
    <t>RELATÓRIO DE SOLICITAÇÃO DE LICENÇA AMBIENTAL DE INSTALAÇÃO - LAI</t>
  </si>
  <si>
    <t>FICHA DE CARACTERIZAÇÃO DO EMPREENDIMENTO - FCA, CONFORME INSTRUÇÃO NORMATIVA IPHAN N°01/2015</t>
  </si>
  <si>
    <t>RELATÓRIO DE AVALIAÇÃO DE IMPACTO AOS BENS CULTURAIS TOMBADOS, VALORADOS E REGISTRADOS</t>
  </si>
  <si>
    <t>ACOMPANHAMENTO ARQUEOLÓGICO</t>
  </si>
  <si>
    <t>PROJETO DE AVALIAÇÃO DE IMPACTO AO PATRIMÔNIO ARQUEOLÓGICO</t>
  </si>
  <si>
    <t>RELATÓRIO DE AVALIAÇÃO DE IMPACTO AO PATRIMÔNIO ARQUEOLÓGICO</t>
  </si>
  <si>
    <t>PROGRAMA DE GESTÃO DOS BENS CULTURAIS TOMBADOS, VALORADOS E REGISTRADOS</t>
  </si>
  <si>
    <t>RELATÓRIO DE GESTÃO DOS BENS CULTURAIS TOMBADOS, VALORADOS E REGISTRADOS</t>
  </si>
  <si>
    <t>PROJETO DE SALVAMENTO ARQUEOLÓGICO</t>
  </si>
  <si>
    <t>RELATÓRIO DE SALVAMENTO ARQUEOLÓGICO</t>
  </si>
  <si>
    <t>PROJETO E RELATÓRIO INTEGRADO DE EDUCAÇÃO PATRIMONIAL</t>
  </si>
  <si>
    <t>CARACTERIZAÇÃO DA APP E FRAGMENTO DE MATA PARA ÁREA DE ATÉ 25.000M2</t>
  </si>
  <si>
    <t>CARATERIZAÇÃO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</si>
  <si>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</si>
  <si>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</si>
  <si>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</si>
  <si>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 TCA E PLANTAS DE SITUAÇÃO ATUAL, SITUAÇÃO PRETENDIDA E PROJETO DE COMPENSAÇÃO AMBIENTAL PARA ATÉ 100 EXEMPLARES ARBÓREOS</t>
  </si>
  <si>
    <t>ELABORAÇÃO DE DOCUMENTOS TÉCNICOS PARA O TERMO DE COMPROMISSO AMBIENTAL - TCA E PLANTAS DE SITUAÇÃO ATUAL, SITUAÇÃO PRETENDIDA E PROJETO DE COMPENSAÇÃO AMBIENTAL DE 101 ATÉ 1000 EXEMPLARES ARBÓREOS</t>
  </si>
  <si>
    <t>ELABORAÇÃO DE DOCUMENTOS TÉCNICOS PARA O TERMO DE COMPROMISSO AMBIENTAL - TCA E PLANTAS DE SITUAÇÃO ATUAL, SITUAÇÃO PRETENDIDA E PROJETO DE COMPENSAÇÃO AMBIENTAL PARA MAIS DE 1000 EXEMPLARES ARBÓREOS</t>
  </si>
  <si>
    <t>ELABORAÇÃO DE ADITIVO AO TERMO DE COMPROMISSO AMBIENTAL - TCA</t>
  </si>
  <si>
    <t>REQUERIMENTO, ESTUDOS, DOCUMENTOS, MAPAS E PLANTAS PARA OBTENÇÃO DA OUTORGA DO DAEE</t>
  </si>
  <si>
    <t>RELATÓRIO DE AVALIAÇÃO PRELIMINAR CONFORME CETESB DD N°38/2017/C</t>
  </si>
  <si>
    <t>RELATÓRIO DE INVESTIGAÇÃO CONFIRMATÓRIA CONFORME CETESB DD N°38/2017/C</t>
  </si>
  <si>
    <t>IMPLEMENTAÇÃO DO PROGRAMA DE MONITORAMENTO DE RUÍDO E VIBRAÇÕES PARA ÁREAS ATÉ 60.000 M2</t>
  </si>
  <si>
    <t>IMPLEMENTAÇÃO DO PROGRAMA DE MONITORAMENTO DE RUÍDO E VIBRAÇÕES PARA ÁREAS ACIMA DE  60.000 M2</t>
  </si>
  <si>
    <t>IMPLEMENTAÇÃO DO PROGRAMA DE MONITORAMENTO E CONTROLE DE EMISSÕES ATMOSFÉRICAS PARA ÁREAS ATÉ 60.000 M2</t>
  </si>
  <si>
    <t>IMPLEMENTAÇÃO DO PROGRAMA DE MONITORAMENTO E CONTROLE DE EMISSÕES ATMOSFÉRICAS PARA ÁREAS ACIMA DE 60.000 M2</t>
  </si>
  <si>
    <t>IMPLEMENTAÇÃO DO PROGRAMA DE MONITORAMENTO GEOTÉCNICO PARA ÁREAS ATÉ 60.000 M2</t>
  </si>
  <si>
    <t>IMPLEMENTAÇÃO DO PROGRAMA DE MONITORAMENTO GEOTÉCNICO PARA ÁREAS ACIMA DE  60.000 M2</t>
  </si>
  <si>
    <t>IMPLEMENTAÇÃO DO PROGRAMA DE GERENCIAMENTO DE EFLUENTES LÍQUIDOS PARA ÁREAS ATÉ 60.000 M2</t>
  </si>
  <si>
    <t>IMPLEMENTAÇÃO DO PROGRAMA DE GERENCIAMENTO DE EFLUENTES LÍQUIDOS PARA ÁREAS ACIMA DE  60.000 M2</t>
  </si>
  <si>
    <t>IMPLEMENTAÇÃO DO PROGRAMA DE GERENCIAMENTO DE RESÍDUOS SÓLIDOS</t>
  </si>
  <si>
    <t>IMPLEMENTAÇÃO DO PROGRAMA DE CONTROLE DE EROSÃO E ASSOREAMENTO PARA ÁREAS ATÉ 60.000 M2</t>
  </si>
  <si>
    <t>IMPLEMENTAÇÃO DO PROGRAMA DE CONTROLE DE EROSÃO E ASSOREAMENTO PARA ÁREAS ACIMA DE 60.000 M2</t>
  </si>
  <si>
    <t>IMPLEMENTAÇÃO DO PROGRAMA DE INTERRUPÇÃO TEMPORÁRIA DAS OBRAS</t>
  </si>
  <si>
    <t>IMPLEMENTAÇÃO DO PROGRAMA DE CONTROLE DA DISPERSÃO E PROLIFERAÇÃO DA FAUNA SINANTRÓPICA </t>
  </si>
  <si>
    <t>IMPLEMENTAÇÃO DO PROGRAMA DE MONITORAMENTO E MANEJO DA FAUNA SILVESTRE (AVIFAUNA, MASTOFAUNA, HERPETOFAUNA E ICTIOFAUNA) ATÉ 50 EXEMPLARES</t>
  </si>
  <si>
    <t>IMPLEMENTAÇÃO DO PROGRAMA DE MONITORAMENTO E MANEJO DA FAUNA SILVESTRE (AVIFAUNA, MASTOFAUNA, HERPETOFAUNA E ICTIOFAUNA) DE 51 A 100 EXEMPLARES</t>
  </si>
  <si>
    <t>IMPLEMENTAÇÃO DO PROGRAMA DE MONITORAMENTO E MANEJO DA FAUNA SILVESTRE (AVIFAUNA, MASTOFAUNA, HERPETOFAUNA E ICTIOFAUNA) MAIS QUE 100 EXEMPLARES</t>
  </si>
  <si>
    <t>IMPLEMENTAÇÃO DO PROGRAMA DE COMUNICAÇÃO SOCIAL</t>
  </si>
  <si>
    <t>IMPLEMENTAÇÃO DO PROGRAMA DE REALOCAÇÃO DE EQUIPAMENTOS SOCIAIS</t>
  </si>
  <si>
    <t>RELATÓRIO SEMESTRAL DO PROGRAMA DE MONITORAMENTO DE RUÍDO E VIBRAÇÕES PARA ÁREAS ATÉ 60.000 M2</t>
  </si>
  <si>
    <t>RELATÓRIO SEMESTRAL DO PROGRAMA DE MONITORAMENTO DE RUÍDO E VIBRAÇÕES PARA ÁREAS ACIMA DE 60.000 M2</t>
  </si>
  <si>
    <t>RELATÓRIO SEMESTRAL DO PROGRAMA DE MONITORAMENTO E CONTROLE DE EMISSÕES ATMOSFÉRICAS PARA ÁREAS ATÉ 60.000 M2</t>
  </si>
  <si>
    <t>RELATÓRIO SEMESTRAL DO PROGRAMA DE MONITORAMENTO E CONTROLE DE EMISSÕES ATMOSFÉRICAS PARA ÁREAS ACIMA DE  60.000 M2</t>
  </si>
  <si>
    <t>RELATÓRIO SEMESTRAL DO PROGRAMA DE MONITORAMENTO GEOTÉCNICO PARA ÁREAS ATÉ 60.000 M2</t>
  </si>
  <si>
    <t>RELATÓRIO SEMESTRAL DO PROGRAMA DE MONITORAMENTO GEOTÉCNICO PARA ÁREAS ACIMA DE  60.000 M2</t>
  </si>
  <si>
    <t>RELATÓRIO SEMESTRAL DO PROGRAMA DE GERENCIAMENTO DE EFLUENTES LÍQUIDOS PARA ÁREAS ATÉ 60.000 M2</t>
  </si>
  <si>
    <t>RELATÓRIO SEMESTRAL DO PROGRAMA DE GERENCIAMENTO DE EFLUENTES LÍQUIDOS PARA ÁREAS ACIMA DE  60.000 M2</t>
  </si>
  <si>
    <t>RELATÓRIO SEMESTRAL DO PROGRAMA DE GERENCIAMENTO DE RESÍDUOS SÓLIDOS</t>
  </si>
  <si>
    <t>RELATÓRIO SEMESTRAL DO  PROGRAMA DE CONTROLE DE EROSÃO E ASSOREAMENTO PARA ÁREAS ATÉ 60.000 M2</t>
  </si>
  <si>
    <t>RELATÓRIO SEMESTRAL DO PROGRAMA DE CONTROLE DE EROSÃO E ASSOREAMENTO PARA ÁREAS ACIMA 60.000 M2</t>
  </si>
  <si>
    <t>RELATÓRIO SEMESTRAL DO PROGRAMA DE INTERRUPÇÃO TEMPORÁRIA DAS OBRAS</t>
  </si>
  <si>
    <t>MANUAL DE LIMPEZA DOS RESERVATÓRIOS</t>
  </si>
  <si>
    <t>RELATÓRIO DO PROGRAMA DE MANEJO DE VEGETAÇÃO E INTERVENÇÃO EM APP ATÉ 100 EXEMPLARES</t>
  </si>
  <si>
    <t>RELATÓRIO DO PROGRAMA DE MANEJO DE VEGETAÇÃO E INTERVENÇÃO EM APP DE 101 A 1000 EXEMPLARES</t>
  </si>
  <si>
    <t>RELATÓRIO DO PROGRAMA DE MANEJO DE VEGETAÇÃO E INTERVENÇÃO EM APP MAIS DE 1000 EXEMPLARES</t>
  </si>
  <si>
    <t>RELATÓRIO SEMESTRAL DO PROGRAMA DE CONTROLE DA DISPERSÃO E PROLIFERAÇÃO DA FAUNA SINANTRÓPICA </t>
  </si>
  <si>
    <t>RELATÓRIO SEMESTRAL DO PROGRAMA DE MONITORAMENTO E MANEJO DA FAUNA SILVESTRE (AVIFAUNA, MASTOFAUNA, HERPETOFAUNA E ICTIOFAUNA) ATÉ 50  EXEMPLARES</t>
  </si>
  <si>
    <t>RELATÓRIO SEMESTRAL DO PROGRAMA DE MONITORAMENTO E MANEJO DA FAUNA SILVESTRE (AVIFAUNA, MASTOFAUNA, HERPETOFAUNA E ICTIOFAUNA) DE 51 A 100 EXEMPLARES</t>
  </si>
  <si>
    <t>RELATÓRIO SEMESTRAL DO PROGRAMA DE MONITORAMENTO E MANEJO DA FAUNA SILVESTRE (AVIFAUNA, MASTOFAUNA, HERPETOFAUNA E ICTIOFAUNA) MAIS QUE 100 EXEMPLARES</t>
  </si>
  <si>
    <t>RELATÓRIO DO PROGRAMA DE IMPLANTAÇÃO DO PAISAGISMO, RECOMPOSIÇÃO DAS ÁREAS VERDES E BALANÇO DE ÁREAS PERMEÁVEIS</t>
  </si>
  <si>
    <t>RELATÓRIO DO   PROGRAMA DE COMPENSAÇÃO AMBIENTAL  DOS IMPACTOS NÃO MITIGÁVEIS - ART.36 DA LEI DO SNUC LEI 9.985/2000.</t>
  </si>
  <si>
    <t>RELATÓRIO SEMESTRAL DO PROGRAMA DE COMUNICAÇÃO SOCIAL</t>
  </si>
  <si>
    <t>RELATÓRIO  SEMESTRAL DO PROGRAMA DE REALOCAÇÃO DE EQUIPAMENTOS SOCIAIS</t>
  </si>
  <si>
    <t>RELATÓRIO SEMESTRAL DO PROGRAMA DE DESAPROPRIAÇÃO</t>
  </si>
  <si>
    <t>RELATÓRIO DO PROGRAMA DE REMOÇÃO E REASSENTAMENTO  </t>
  </si>
  <si>
    <t>RELATÓRIO SEMESTRAL PROGRAMA DE ARTICULAÇÃO INSTITUCIONAL  </t>
  </si>
  <si>
    <t>UM</t>
  </si>
  <si>
    <t>RELATÓRIO SEMESTRAL DO  PROGRAMA DE GESTÃO DO PATRIMONIO ARQUEOLOGICO E DOS BENS CULTURAIS  TOMBADOS, VALORADOS E REGISTRADOS  </t>
  </si>
  <si>
    <t>RELATÓRIO SEMESTRAL DO PROGRAMA DE EDUCACAO AMBIENTAL E TREINAMENTO AMBIENTAL DOS TRABALHADORES</t>
  </si>
  <si>
    <t>RELATÓRIO SEMESTRAL DE ATENDIMENTO À LAI</t>
  </si>
  <si>
    <t>EDIFICAÇÃO</t>
  </si>
  <si>
    <t>xx</t>
  </si>
  <si>
    <t>SERVICOS PRELIMINARES</t>
  </si>
  <si>
    <t>LIMPEZA DO TERRENO</t>
  </si>
  <si>
    <t>LIMPEZA MECANIZADA GERAL, INCLUSIVE REMOÇÃO DA COBERTURA VEGETAL - TRONCOS COM DIÂMETRO ATÉ 10CM - SEM TRANSPORTE</t>
  </si>
  <si>
    <t>DESTOCAMENTO, INCLUSIVE REMOÇÃO DAS RAÍZES - DIÂMETROS DE 10,01 À 30CM</t>
  </si>
  <si>
    <t>DESTOCAMENTO, INCLUSIVE REMOÇÃO DAS RAÍZES - DIÂMETRO 30,01 À 50 CM</t>
  </si>
  <si>
    <t>DESTOCAMENTO, INCLUSIVE REMOÇÃO DAS RAÍZES - DIÂMETROS MAIORES QUE 50 CM</t>
  </si>
  <si>
    <t>CARGA MECANIZADA E REMOÇÃO DE ENTULHO, INCLUSIVE TRANSPORTE ATÉ 1KM</t>
  </si>
  <si>
    <t>CARGA MANUAL E REMOÇÃO DE ENTULHO, INCLUSIVE TRANSPORTE ATÉ 1 KM</t>
  </si>
  <si>
    <t>REMOÇÃO DE ENTULHO COM CAÇAMBA METÁLICA, INCLUSIVE CARGA MANUAL E DESCARGA EM BOTA-FORA</t>
  </si>
  <si>
    <t>LIMPEZA MANUAL GERAL INCLUSIVE REMOÇÃO DE COBERTURA VEGETAL - TRONCO ATÉ 10CM - SEM TRANSPORTE</t>
  </si>
  <si>
    <t>DESTOCAMENTO MANUAL, INCLUSIVE REMOÇÃO DE RAÍZES - DIÂMETRO 10,01 À 30 CM</t>
  </si>
  <si>
    <t>TRANSPORTE DE ENTULHO POR CAMINHÃO BASCULANTE, A PARTIR DE 1KM</t>
  </si>
  <si>
    <t>CORTE, RECORTE E REMOÇÃO DE ÁRVORES INCLUSIVE RAIZES DIÂM. &gt; 60 E &lt; 90CM</t>
  </si>
  <si>
    <t>MOVIMENTO DE TERRA MANUAL</t>
  </si>
  <si>
    <t>CORTE</t>
  </si>
  <si>
    <t>CORTE E ESPALHAMENTO DENTRO DA OBRA</t>
  </si>
  <si>
    <t>ATERRO, INCLUSIVE COMPACTAÇÃO</t>
  </si>
  <si>
    <t>CARGA MECANIZADA E REMOÇÃO DE TERRA, INCLUSIVE TRANSPORTE ATÉ 1KM</t>
  </si>
  <si>
    <t>CARGA MANUAL E REMOÇÃO DE TERRA, INCLUSIVE TRANSPORTE ATÉ 1 KM</t>
  </si>
  <si>
    <t>MOVIMENTO DE TERRA MECANIZADO</t>
  </si>
  <si>
    <t>CORTE E ATERRO COMPACTADO</t>
  </si>
  <si>
    <t>CORTE E CARREGAMENTO PARA BOTA-FORA, INCLUSIVE TRANSPORTE ATÉ 1KM</t>
  </si>
  <si>
    <t>FORNECIMENTO DE TERRA, INCLUSIVE CORTE, CARGA, DESCARGA E TRANSPORTE ATÉ 1KM</t>
  </si>
  <si>
    <t>TRANSPORTE DE TERRA POR CAMINHÃO BASCULANTE, A PARTIR DE 1KM</t>
  </si>
  <si>
    <t>DRENAGEM DO TERRENO</t>
  </si>
  <si>
    <t>ESCAVAÇÃO MANUAL,  PROFUNDIDADE IGUAL OU INFERIOR A 1,50M</t>
  </si>
  <si>
    <t>ESCAVAÇÃO MANUAL,  PROFUNDIDADE SUPERIOR A 1,50M</t>
  </si>
  <si>
    <t>ESCORAMENTO DE VALAS, CONTINUO</t>
  </si>
  <si>
    <t>ESCORAMENTO DE VALAS, DESCONTINUO</t>
  </si>
  <si>
    <t>APILOAMENTO DO FUNDO DE VALAS, PARA SIMPLES REGULARIZAÇÃO</t>
  </si>
  <si>
    <t>LASTRO DE AGREGADO RECICLADO</t>
  </si>
  <si>
    <t>LASTRO DE BRITA</t>
  </si>
  <si>
    <t>LASTRO DE CONCRETO, 150KG CIM/M3</t>
  </si>
  <si>
    <t>LASTRO DE CONCRETO COM AGREGADO RECICLADO, 150 KG CIM/M3</t>
  </si>
  <si>
    <t>TUBO DE PEAD CORRUGADO E PERFURADOPARA DRENAGEM - DIÂMETRO 2,5" (EM ACORDO COM AS NORMAS DNIT 093/06, NBR 15073 E NBR 14692)</t>
  </si>
  <si>
    <t>TUBO DE PEAD CORRUGADO E PERFURADOPARA DRENAGEM - DIÂMETRO 3,0" (EM ACORDO COM AS NORMAS DNIT 093/06, NBR 15073 E NBR 14692)</t>
  </si>
  <si>
    <t>TUBO DE PEAD CORRUGADO E PERFURADOPARA DRENAGEM - DIÂMETRO 4,0" (EM ACORDO COM AS NORMAS DNIT 093/06, NBR 15073 E NBR 14692)</t>
  </si>
  <si>
    <t>TUBO DE PEAD CORRUGADO E PERFURADOPARA DRENAGEM - DIÂMETRO 6,0" (EM ACORDO COM AS NORMAS DNIT 093/06, NBR 15073 E NBR 14692)</t>
  </si>
  <si>
    <t>TUBO PVC PERFURADO PARA DRENAGEM - DIÂMETRO 4" (100MM)</t>
  </si>
  <si>
    <t>TUBO PVC PERFURADO PARA DRENAGEM - DIÂMETRO 6" (150MM)</t>
  </si>
  <si>
    <t>TUBO DE CONCRETO - DIÂMETRO DE 30CM</t>
  </si>
  <si>
    <t>TUBO DE CONCRETO - DIÂMETRO DE 40CM</t>
  </si>
  <si>
    <t>TUBO DE CONCRETO - DIÂMETRO DE 50CM</t>
  </si>
  <si>
    <t>TUBO DE CONCRETO - DIÂMETRO DE 60CM</t>
  </si>
  <si>
    <t>TUBO DE CONCRETO - DIÂMETRO DE 80CM</t>
  </si>
  <si>
    <t>TUBO DE CONCRETO - DIÂMETRO DE 100CM</t>
  </si>
  <si>
    <t>TUBO DE CONCRETO - DIÂMETRO DE 120CM</t>
  </si>
  <si>
    <t>CAIXA DE LIGAÇÃO OU INSPEÇÃO - ESCAVAÇÃO E APILOAMENTO</t>
  </si>
  <si>
    <t>CAIXA DE LIGAÇÃO OU INSPEÇÃO - LASTRO DE CONCRETO (FUNDO)</t>
  </si>
  <si>
    <t>CAIXA DE LIGAÇÃO OU INSPEÇÃO - ALVENARIA DE 1/2 TIJOLO, REVESTIDA</t>
  </si>
  <si>
    <t>CAIXA DE LIGAÇÃO OU INSPEÇÃO - ALVENARIA DE 1 TIJOLO, REVESTIDA</t>
  </si>
  <si>
    <t>CAIXA DE LIGAÇÃO OU INSPEÇÃO - TAMPA DE CONCRETO</t>
  </si>
  <si>
    <t>ENVOLVIMENTO DE TUBOS COM BRITA</t>
  </si>
  <si>
    <t>ENVOLVIMENTO DE TUBOS COM AREIA</t>
  </si>
  <si>
    <t>MANTA GEOTÊXTIL</t>
  </si>
  <si>
    <t>FORNECIMENTO E APLICAÇÃO DE MANTA FORMADA PELA ASSOCIAÇÃO DE UM TECIDO TÉCNICO DE POLIESTER COM UM FILME DE POLIETILENO DE BAIXA DENSIDADE EM ACORDO COM A NBR 12824</t>
  </si>
  <si>
    <t>REATERRO DE VALAS, INCLUSIVE COMPACTAÇÃO</t>
  </si>
  <si>
    <t>TAPUMES</t>
  </si>
  <si>
    <t>TAPUME CHAPA COMPENSADA 6MM</t>
  </si>
  <si>
    <t>TAPUME CHAPA COMPENSADA RESINADA 10MM</t>
  </si>
  <si>
    <t>TAPUME METÁLICO COM TELHA METÁLICA, SEM PINTURA, TRAPEZOIDAL 40 ESP=0,43MM, COLUNAS, BASES E PARAFUSOS</t>
  </si>
  <si>
    <t>PORTÃO METÁLICO DE OBRA - 5M, PIVOTANTE, 2 FOLHAS, PARA TAPUME</t>
  </si>
  <si>
    <t>PORTÃO DE PEDESTRES - 1,15M, PARA TAPUME</t>
  </si>
  <si>
    <t>TELA PARA PROTEÇÃO DE OBRAS, MALHA 2 MM</t>
  </si>
  <si>
    <t>FUNDACOES</t>
  </si>
  <si>
    <t>FUNDAÇÃO PROFUNDA</t>
  </si>
  <si>
    <t>BROCA DE CONCRETO - DIÂMETRO DE 20CM</t>
  </si>
  <si>
    <t>BROCA DE CONCRETO - DIÂMETRO DE 25CM</t>
  </si>
  <si>
    <t>BROCA DE CONCRETO - DIÂMETRO DE 30CM</t>
  </si>
  <si>
    <t>ESTACA DE CONCRETO MOLDADA NO LOCAL, TIPO "STRAUSS" - ATÉ 20T</t>
  </si>
  <si>
    <t>ESTACA DE CONCRETO MOLDADA NO LOCAL, TIPO "STRAUSS" - ATÉ 30T</t>
  </si>
  <si>
    <t>ESTACA DE CONCRETO MOLDADA NO LOCAL, TIPO "STRAUSS" - ATÉ 40T</t>
  </si>
  <si>
    <t>ESTACA DE CONCRETO MOLDADA NO LOCAL, TIPO "STRAUSS" - ATÉ 60T</t>
  </si>
  <si>
    <t>TUBULÃO - ESCAVAÇÃO A CÉU ABERTO, COM PÁ E PICARETA</t>
  </si>
  <si>
    <t>TUBULÃO A CÉU ABERTO FCK=20 MPA</t>
  </si>
  <si>
    <t>EMENDA DE ESTACA DE CONCRETO PRÉ-MOLDADA - DIÂMETRO 17 CM - 20 T</t>
  </si>
  <si>
    <t>EMENDA DE ESTACA DE CONCRETO PRÉ-MOLDADA - DIÂMETRO 20 CM - 30 T</t>
  </si>
  <si>
    <t>EMENDA DE ESTACA DE CONCRETO PRÉ-MOLDADA - DIÂMETRO 23 CM - 40 T</t>
  </si>
  <si>
    <t>EMENDA DE ESTACA DE CONCRETO PRÉ-MOLDADA - DIÂMETRO 28 CM - 60 T</t>
  </si>
  <si>
    <t>EMENDA DE ESTACA DE CONCRETO PRÉ-MOLDADA - DIÂMETRO 33 CM - 70 T</t>
  </si>
  <si>
    <t>CORTE E REPARO DE CABEÇA DE ESTACA</t>
  </si>
  <si>
    <t>ESTACAS ESCAVADAS MECANICAMENTE - DIÂMETRO DE 25CM</t>
  </si>
  <si>
    <t>ESTACAS ESCAVADAS MECANICAMENTE - DIÂMETRO DE 30CM</t>
  </si>
  <si>
    <t>ESTACAS ESCAVADAS MECANICAMENTE - DIÂMETRO DE 35CM</t>
  </si>
  <si>
    <t>ESTACAS ESCAVADAS MECANICAMENTE - DIÂMETRO DE 40CM</t>
  </si>
  <si>
    <t>ESTACAS ESCAVADAS MECANICAMENTE - DIÂMETRO DE 80CM</t>
  </si>
  <si>
    <t>ESTACA RAIZ DIÂMETRO DE 160MM PARA ATÉ 35 TF</t>
  </si>
  <si>
    <t>ESTACA RAIZ DIÂMETRO DE 200MM PARA ATÉ 50 TF</t>
  </si>
  <si>
    <t>ESTACA RAIZ DIÂMETRO DE 250MM PARA ATÉ 80 TF</t>
  </si>
  <si>
    <t>ESTACA RAIZ DIÂMETRO DE 310MM PARA ATÉ 100 TF</t>
  </si>
  <si>
    <t>FORNECIMENTO E CRAVAÇÃO DE ESTACA PERFIL DE AÇO I 15"</t>
  </si>
  <si>
    <t>CORTE DE ESTACA METÁLICA PERFIL 10"</t>
  </si>
  <si>
    <t>CORTE DE ESTACA METÁLICA PERFIL 12"</t>
  </si>
  <si>
    <t>CORTE DE ESTACA METÁLICA PERFIL I 15"</t>
  </si>
  <si>
    <t>EMENDA DE TOPO PARA ESTACA METÁLICA PERFIL 10"</t>
  </si>
  <si>
    <t>EMENDA DE TOPO PARA ESTACA METÁLICA PERFIL 12"</t>
  </si>
  <si>
    <t>EMENDA DE TOPO PARA ESTACA METÁLICA PERFIL I 15"</t>
  </si>
  <si>
    <t>ESTACA ESCAVADA HÉLICE CONTÍNUA - DIÂMETRO 25CM</t>
  </si>
  <si>
    <t>ESTACA ESCAVADA HÉLICE CONTÍNUA - DIÂMETRO 30CM</t>
  </si>
  <si>
    <t>ESTACA ESCAVADA HÉLICE CONTÍNUA - DIÂMETRO 35CM</t>
  </si>
  <si>
    <t>ESTACA ESCAVADA HÉLICE CONTÍNUA - DIÂMETRO 40CM</t>
  </si>
  <si>
    <t>ESTACA ESCAVADA HÉLICE CONTÍNUA - DIÂMETRO 50CM</t>
  </si>
  <si>
    <t>ESTACA ESCAVADA HÉLICE CONTÍNUA - DIÂMETRO 60CM</t>
  </si>
  <si>
    <t>ESTACA ESCAVADA HÉLICE CONTÍNUA - DIÂMETRO 25CM - EXCLUSIVE MATERIAIS</t>
  </si>
  <si>
    <t>ESTACA ESCAVADA HÉLICE CONTÍNUA - DIÂMETRO 30CM - EXCLUSIVE MATERIAIS</t>
  </si>
  <si>
    <t>ESTACA ESCAVADA HÉLICE CONTÍNUA - DIÂMETRO 35CM - EXCLUSIVE MATERIAIS</t>
  </si>
  <si>
    <t>ESTACA ESCAVADA HÉLICE CONTÍNUA - DIÂMETRO 40CM - EXCLUSIVE MATERIAIS</t>
  </si>
  <si>
    <t>ESTACA ESCAVADA HÉLICE CONTÍNUA - DIÂMETRO 50CM - EXCLUSIVE MATERIAIS</t>
  </si>
  <si>
    <t>ESTACA ESCAVADA HÉLICE CONTÍNUA - DIÂMETRO 60CM - EXCLUSIVE MATERIAIS</t>
  </si>
  <si>
    <t>VALAS</t>
  </si>
  <si>
    <t>ESCAVAÇÃO MANUAL COM PROFUNDIDADE IGUAL OU INFERIOR A 1,50M</t>
  </si>
  <si>
    <t>ESCAVAÇÃO MANUAL COM PROFUNDIDADE SUPERIOR A 1,50M</t>
  </si>
  <si>
    <t>ESCORAMENTO DE VALAS - CONTINUO</t>
  </si>
  <si>
    <t>ESCORAMENTO DE VALAS - DESCONTINUO</t>
  </si>
  <si>
    <t>APILOAMENTO DO FUNDO DE VALAS, COM SOQUETE VIBRATÓRIO</t>
  </si>
  <si>
    <t>LASTRO DE CONCRETO - 150KG CIM/M3</t>
  </si>
  <si>
    <t>LASTRO DE CONCRETO COM AGREGADO RECICLADO - 150 KG CIM/M3</t>
  </si>
  <si>
    <t>FUNDAÇÃO - FORMA</t>
  </si>
  <si>
    <t>FORMA COMUM DE TÁBUAS DE PINUS</t>
  </si>
  <si>
    <t>FORMA COMUM DE TÁBUAS DE PINUS - NÃO RECUPERÁVEL</t>
  </si>
  <si>
    <t>FUNDAÇÃO - ARMADURA</t>
  </si>
  <si>
    <t>ARMADURA EM AÇO CA-50</t>
  </si>
  <si>
    <t>ARMADURA EM AÇO CA-60</t>
  </si>
  <si>
    <t>ARMADURA EM AÇO CA-60 - TELA</t>
  </si>
  <si>
    <t>FUNDAÇÃO - CONCRETO</t>
  </si>
  <si>
    <t>CONCRETO FCK=15,0MPA - VIRADO NA OBRA</t>
  </si>
  <si>
    <t>CONCRETO FCK=20,0MPA - VIRADO NA OBRA</t>
  </si>
  <si>
    <t>CONCRETO FCK=15,0MPA - USINADO</t>
  </si>
  <si>
    <t>CONCRETO FCK=20,0MPA - USINADO</t>
  </si>
  <si>
    <t>CONCRETO FCK=25MPA - USINADO</t>
  </si>
  <si>
    <t>CONCRETO FCK=30MPA - USINADO</t>
  </si>
  <si>
    <t>EMBASAMENTO</t>
  </si>
  <si>
    <t>ALVENARIA DE EMBASAMENTO - TIJOLOS MACIÇOS COMUNS</t>
  </si>
  <si>
    <t>IMPERMEABILIZAÇÃO DO RESPALDO DA FUNDAÇÃO - ARGAMASSA IMPERMEÁVEL</t>
  </si>
  <si>
    <t>REATERRO DE VALAS, INCLUSIVE APILOAMENTO</t>
  </si>
  <si>
    <t>DEMOLIÇÕES</t>
  </si>
  <si>
    <t>DEMOLIÇÃO DE ALVENARIA DE EMBASAMENTO - TIJOLOS MACIÇOS COMUNS</t>
  </si>
  <si>
    <t>DEMOLIÇÃO MANUAL DE CONCRETO SIMPLES</t>
  </si>
  <si>
    <t>DEMOLIÇÃO MANUAL DE CONCRETO ARMADO</t>
  </si>
  <si>
    <t>DEMOLIÇÃO MECANIZADA DE CONCRETO SIMPLES</t>
  </si>
  <si>
    <t>DEMOLIÇÃO MECANIZADA DE CONCRETO ARMADO</t>
  </si>
  <si>
    <t>OUTROS SERVIÇOS</t>
  </si>
  <si>
    <t>BUZINOTE PVC - 2", C=0,30 M</t>
  </si>
  <si>
    <t>ESTRUTURA</t>
  </si>
  <si>
    <t>ESTRUTURA DE CONCRETO ARMADO - FORMAS</t>
  </si>
  <si>
    <t>FORMA COMUM DE TÁBUAS DE PINUS - PLANA</t>
  </si>
  <si>
    <t>FORMA ESPECIAL DE CHAPAS RESINADAS (10MM) - CURVA</t>
  </si>
  <si>
    <t>FORMA ESPECIAL DE CHAPAS PLASTIFICADAS (10MM) - CURVA</t>
  </si>
  <si>
    <t>FORMA ESPECIAL DE CHAPAS RESINADAS (10MM) - PLANA</t>
  </si>
  <si>
    <t>FORMA ESPECIAL DE CHAPAS RESINADAS (12MM) - PLANA</t>
  </si>
  <si>
    <t>FORMA ESPECIAL DE CHAPAS PLASTIFICADAS (10MM) - PLANA</t>
  </si>
  <si>
    <t>FORMA ESPECIAL DE CHAPAS PLASTIFICADAS (12MM) - PLANA</t>
  </si>
  <si>
    <t>FORMA DE TUBO DE PAPELÃO, DIÂMETRO 350MM</t>
  </si>
  <si>
    <t>CIMBRAMENTO PARA ALTURAS ENTRE 3,01M E 7,00M</t>
  </si>
  <si>
    <t>ESTRUTURA DE CONCRETO ARMADO - ARMADURA</t>
  </si>
  <si>
    <t>ESTRUTURA DE CONCRETO ARMADO - CONCRETO</t>
  </si>
  <si>
    <t>CONCRETO FCK = 15,0MPA - VIRADO NA OBRA</t>
  </si>
  <si>
    <t>CONCRETO FCK = 20,0MPA - VIRADO NA OBRA</t>
  </si>
  <si>
    <t>CONCRETO FCK = 25,0MPA - VIRADO NA OBRA</t>
  </si>
  <si>
    <t>CONCRETO FCK = 15,0MPA - USINADO</t>
  </si>
  <si>
    <t>CONCRETO FCK = 20,0MPA - USINADO</t>
  </si>
  <si>
    <t>CONCRETO FCK = 20,0MPA - USINADO E BOMBEÁVEL</t>
  </si>
  <si>
    <t>CONCRETO FCK = 25,0MPA - USINADO</t>
  </si>
  <si>
    <t>CONCRETO FCK = 25,0MPA - USINADO E BOMBEÁVEL</t>
  </si>
  <si>
    <t>CONCRETO USINADO, BOMBEÁVEL FCK = 20MPA COM PEDRA 1</t>
  </si>
  <si>
    <t>CONCRETO FCK = 30,0MPA - USINADO</t>
  </si>
  <si>
    <t>CONCRETO FCK = 30,0MPA - USINADO E BOMBEÁVEL</t>
  </si>
  <si>
    <t>CONCRETO FCK = 35,0MPA - USINADO</t>
  </si>
  <si>
    <t>CONCRETO FCK = 35,0MPA - USINADO E BOMBEÁVEL</t>
  </si>
  <si>
    <t>CONCRETO FCK = 40,0MPA - USINADO</t>
  </si>
  <si>
    <t>CONCRETO FCK = 40,0MPA - USINADO E BOMBEÁVEL</t>
  </si>
  <si>
    <t>BOMBEAMENTO DE CONCRETO</t>
  </si>
  <si>
    <t>ESTRUTURA DE CONCRETO - LAJE MISTA</t>
  </si>
  <si>
    <t>LAJE MISTA TRELIÇADA H-8CM COM CAPEAMENTO 4CM (12CM)</t>
  </si>
  <si>
    <t>LAJE MISTA TRELIÇADA H-10CM COM CAPEAMENTO 4CM (14CM)</t>
  </si>
  <si>
    <t>LAJE MISTA TRELIÇADA H-12CM COM CAPEAMENTO 4CM (16CM)</t>
  </si>
  <si>
    <t>LAJE MISTA TRELIÇADA H-15CM COM CAPEAMENTO 4CM (19CM)</t>
  </si>
  <si>
    <t>LAJE MISTA TRELIÇADA H-20CM COM CAPEAMENTO 4CM (24CM)</t>
  </si>
  <si>
    <t>LAJE MISTA TRELIÇADA H-25CM COM CAPEAMENTO 5CM (30CM)</t>
  </si>
  <si>
    <t>ESTRUTURA DE CONCRETO - RECUPERAÇÃO E TRATAMENTO</t>
  </si>
  <si>
    <t>APICOAMENTO DE SUPERFÍCIE DE CONCRETO</t>
  </si>
  <si>
    <t>LIMPEZA DE SUPERFÍCIES COM HIDROJATEAMENTO</t>
  </si>
  <si>
    <t>LIMPEZA E REMOÇÃO DE SUPERFÍCIE DETERIORADA COM JATEAMENTO</t>
  </si>
  <si>
    <t>LIMPEZA DE JUNTA DE DILATAÇÃO COM REMOÇÃO DO EXCESSO DE CONCRETO - ATÉ 3CM</t>
  </si>
  <si>
    <t>LIMPEZA DE CONCRETO E ARMADURA COM ESCOVA DE AÇO</t>
  </si>
  <si>
    <t>TRATAMENTO DE ARMADURA COM APLICAÇÃO DE PRODUTO INIBIDOR OXIDANTE</t>
  </si>
  <si>
    <t>LIXAMENTO MECÂNICO EM SUPERFÍCIES DE CONCRETO</t>
  </si>
  <si>
    <t>PREPARO E APLICAÇÃO DE ESTUQUE</t>
  </si>
  <si>
    <t>LIXAMENTO MANUAL DE SUPERFÍCIES DE CONCRETO</t>
  </si>
  <si>
    <t>POLIMENTO DE CONCRETO</t>
  </si>
  <si>
    <t>POLIMENTO DE CONCRETO NOVO</t>
  </si>
  <si>
    <t>PREPARAÇÃO DE PONTE DE ADERÊNCIA COM ADESIVO A BASE DE EPÓXI</t>
  </si>
  <si>
    <t>ANCORAGEM DE BARRAS DE AÇO COM ADESIVO A BASE DE EPÓXI</t>
  </si>
  <si>
    <t>DEMOLIÇÃO DE LAJES MISTAS COM ESPESSURA FINAL IGUAL OU INFERIOR A 16CM</t>
  </si>
  <si>
    <t>DEMOLIÇÃO DE LAJES MISTAS COM ESPESSURA FINAL SUPERIOR A 16 CM, ATÉ 30CM</t>
  </si>
  <si>
    <t>ESTRUTURA METÁLICA VERTICAL</t>
  </si>
  <si>
    <t>FORNECIMENTO E MONTAGEM DE ESTRUTURA METÁLICA VERTICAL - NÃO PATINÁVEL</t>
  </si>
  <si>
    <t>FORNECIMENTO E MONTAGEM DE ESTRUTURA METÁLICA VERTICAL - PATINÁVEL</t>
  </si>
  <si>
    <t>VEDOS</t>
  </si>
  <si>
    <t>ALVENARIA DE TIJOLOS E BLOCOS</t>
  </si>
  <si>
    <t>TIJOLOS MACIÇOS COMUNS - ESPELHO</t>
  </si>
  <si>
    <t>TIJOLOS MACIÇOS COMUNS - 1/2 TIJOLO</t>
  </si>
  <si>
    <t>TIJOLOS MACIÇOS COMUNS - 1 1/2 TIJOLO</t>
  </si>
  <si>
    <t>TIJOLOS MACIÇOS COMUNS - APARENTE, 1/2 TIJOLO</t>
  </si>
  <si>
    <t>TIJOLOS MACIÇOS COMUNS - APARENTE, 1 TIJOLO</t>
  </si>
  <si>
    <t>TIJOLOS CERÂMICOS FURADOS - 1/2 TIJOLO</t>
  </si>
  <si>
    <t>TIJOLOS CERÂMICOS FURADOS - 1 TIJOLO</t>
  </si>
  <si>
    <t>TIJOLOS LAMINADOS - ESPELHO</t>
  </si>
  <si>
    <t>TIJOLOS LAMINADOS - 1/2 TIJOLO</t>
  </si>
  <si>
    <t>TIJOLOS LAMINADOS - 1 TIJOLO</t>
  </si>
  <si>
    <t>TIJOLOS DE VIDRO - CANELADO, 19X19CM</t>
  </si>
  <si>
    <t>TIJOLOS DE VIDRO - TIJOLINHO, 19X19CM</t>
  </si>
  <si>
    <t>TIJOLOS DE VIDRO - VENTILAÇÃO TIPO VENEZIANA</t>
  </si>
  <si>
    <t>BLOCOS VAZADOS DE CONCRETO ESTRUTURAL - 14CM - 8MPA</t>
  </si>
  <si>
    <t>BLOCOS VAZADOS DE CONCRETO ESTRUTURAL - 14CM - 10MPA</t>
  </si>
  <si>
    <t>BLOCOS VAZADOS DE CONCRETO ESTRUTURAL - 14CM - 12MPA</t>
  </si>
  <si>
    <t>BLOCOS VAZADOS DE CONCRETO ESTRUTURAL - 14CM - 14MPA</t>
  </si>
  <si>
    <t>BLOCOS VAZADOS DE CONCRETO ESTRUTURAL - 19CM - 8MPA</t>
  </si>
  <si>
    <t>BLOCOS VAZADOS DE CONCRETO ESTRURURAL - 19CM - 10MPA</t>
  </si>
  <si>
    <t>BLOCOS VAZADOS DE CONCRETO ESTRUTURAL - 19CM - 12MPA</t>
  </si>
  <si>
    <t>BLOCOS VAZADOS DE CONCRETO ESTRUTURAL - 19CM - 14MPA</t>
  </si>
  <si>
    <t>BLOCOS VAZADOS DE CONCRETO - 09CM</t>
  </si>
  <si>
    <t>BLOCOS VAZADOS DE CONCRETO - 14CM</t>
  </si>
  <si>
    <t>BLOCOS VAZADOS DE CONCRETO - 19CM</t>
  </si>
  <si>
    <t>BLOCO DE CONCRETO CELULAR AUTOCLAVADO - 15CM</t>
  </si>
  <si>
    <t>BLOCO DE CONCRETO CELULAR AUTOCLAVADO - 20CM</t>
  </si>
  <si>
    <t>BLOCOS VAZADOS DE CONCRETO APARENTE - 09CM</t>
  </si>
  <si>
    <t>BLOCOS VAZADOS DE CONCRETO APARENTE - 14CM</t>
  </si>
  <si>
    <t>BLOCOS VAZADOS DE CONCRETO APARENTE - 19CM</t>
  </si>
  <si>
    <t>BLOCOS VAZADOS DE CONCRETO ESTRUTURAL - 14CM - ATÉ 6MPA</t>
  </si>
  <si>
    <t>BLOCOS VAZADOS DE CONCRETO ESTRUTURAL - 19CM - ATÉ 6MPA</t>
  </si>
  <si>
    <t>BLOCOS VAZADOS DE CONCRETO ESTRUTURAL APARENTE - 14CM - ATÉ 6MPA</t>
  </si>
  <si>
    <t>BLOCOS VAZADOS DE CONCRETO ESTRUTURAL APARENTE - 19CM - ATÉ 6MPA</t>
  </si>
  <si>
    <t>BLOCO CERÂMICO COMUM - 14CM</t>
  </si>
  <si>
    <t>BLOCO CERÂMICO COMUM - 19CM</t>
  </si>
  <si>
    <t>TELA TIPO DEPLOYEE PARA REFORÇO DE ALVENARIA</t>
  </si>
  <si>
    <t>ARMADURA EM AÇO CA-50 PARA BLOCOS VAZADOS DE CONCRETO ESTRUTURAL</t>
  </si>
  <si>
    <t>ARMADURA EM AÇO CA-60 PARA BLOCOS VAZADOS DE CONCRETO ESTRUTURAL</t>
  </si>
  <si>
    <t>CONCRETO "GROUT"</t>
  </si>
  <si>
    <t>VERGAS, CINTAS E PILARETES DE CONCRETO</t>
  </si>
  <si>
    <t>ALVENARIA DE ELEMENTOS VAZADOS</t>
  </si>
  <si>
    <t>ELEMENTOS VAZADOS DE TIJOLOS CERÂMICOS</t>
  </si>
  <si>
    <t>OUTROS ELEMENTOS DIVISÓRIOS</t>
  </si>
  <si>
    <t>PLACAS DE GRANILITE - 30MM DE ESPESSURA</t>
  </si>
  <si>
    <t>PLACAS DE GRANILITE - 40MM DE ESPESSURA</t>
  </si>
  <si>
    <t>PLACAS DE GRANILITE - 50MM DE ESPESSURA</t>
  </si>
  <si>
    <t>DIVISÓRIA EM ARDÓSIA CINZA - POLIDA 2 LADOS - ESPESSURA 30MM</t>
  </si>
  <si>
    <t>VL.01 - DIVISÓRIA DE ACABAMENTO LAMINADO MELAMÍNICO, MIOLO COLMÉIA - PAINEL/PAINEL</t>
  </si>
  <si>
    <t>VL.02 - DIVISÓRIA DE ACABAMENTO LAMINADO MELAMÍNICO, MIOLO COLMÉIA - PAINEL CEGO</t>
  </si>
  <si>
    <t>VL.03 - DIVISÓRIA DE ACABAMENTO LAMINADO MELAMÍNICO, MIOLO COLMÉIA - PORTA/BANDEIRA</t>
  </si>
  <si>
    <t>VL.04 - DIVISÓRIA DE ACABAMENTO LAMINADO MELAMÍNICO, MIOLO COLMÉIA - PAINEL/VIDRO</t>
  </si>
  <si>
    <t>VL.05 - DIVISÓRIA DE ACABAMENTO LAMINADO MELAMÍNICO, MIOLO COLMÉIA - PORTA/VIDRO</t>
  </si>
  <si>
    <t>VL.06 - DIVISÓRIA DE ACABAMENTO LAMINADO MELAMÍNICO, MIOLO COLMÉIA - PAINEL/VIDRO/PAINEL</t>
  </si>
  <si>
    <t>VL.07 - DIVISÓRIA DE ACABAMENTO LAMINADO MELAMÍNICO, MIOLO COLMÉIA - PAINEL/VIDRO/VIDRO</t>
  </si>
  <si>
    <t>VL.08 - DIVISÓRIA DE ACABAMENTO  LAMINADO MELAMÍNICO, MIOLO COLMÉIA - PORTA/BONECA/PAINEL</t>
  </si>
  <si>
    <t>VL.09 - DIVISÓRIA DE ACABAMENTO  LAMINADO MELAMÍNICO, MIOLO COLMÉIA - PORTA/BONECA/VIDRO</t>
  </si>
  <si>
    <t>DEMOLIÇÃO DE ALVENARIA ESTRUTURAL DE BLOCOS VAZADOS DE CONCRETO</t>
  </si>
  <si>
    <t>DEMOLIÇÃO DE ALVENARIA EM GERAL (TIJOLOS OU BLOCOS)</t>
  </si>
  <si>
    <t>DEMOLIÇÃO DE ALVENARIA DE ELEMENTOS VAZADOS</t>
  </si>
  <si>
    <t>DEMOLIÇÃO DE VERGAS, CINTAS E PILARETES DE CONCRETO</t>
  </si>
  <si>
    <t>DEMOLIÇÃO DE PLACAS DIVISÓRIAS DE GRANILITE OU SIMILAR</t>
  </si>
  <si>
    <t>DEMOLIÇÃO DE DIVISÓRIAS - CHAPAS OU TÁBUAS, INCLUSIVE ENTARUGAMENTO</t>
  </si>
  <si>
    <t>RETIRADAS</t>
  </si>
  <si>
    <t>RETIRADA DE ALVENARIA DE BLOCOS DE PEDRA NATURAL</t>
  </si>
  <si>
    <t>RETIRADA DE ALVENARIA DE TIJOLOS DE VIDRO OU ELEMENTOS VAZADOS</t>
  </si>
  <si>
    <t>RETIRADA DE PLACAS DIVISÓRIAS DE GRANILITE OU SIMILAR</t>
  </si>
  <si>
    <t>RETIRADA DE DIVISÓRIAS - CHAPAS OU TÁBUAS, EXCLUSIVE ENTARUGAMENTO</t>
  </si>
  <si>
    <t>RETIRADA DE DIVISÓRIAS - CHAPAS OU TÁBUAS, INCLUSIVE ENTARUGAMENTO</t>
  </si>
  <si>
    <t>RETIRADA DE DIVISÓRIAS - CHAPAS FIB.MADEIRA, COM MONTANTES METÁLICOS</t>
  </si>
  <si>
    <t>RECOLOCAÇÕES</t>
  </si>
  <si>
    <t>RECOLOCAÇÃO DE PLACAS DIVISÓRIAS DE GRANILITE OU SIMILAR</t>
  </si>
  <si>
    <t>RECOLOCAÇÃO DE DIVISÓRIAS - CHAPAS OU TÁBUAS, EXCLUSIVE ENTARUGAMENTO</t>
  </si>
  <si>
    <t>RECOLOCAÇÃO DE DIVISÓRIAS - CHAPAS OU TÁBUAS, INCLUSIVE ENTARUGAMENTO</t>
  </si>
  <si>
    <t>RECOLOCAÇÃO DE DIVISÓRIAS - CHAPAS FIB.MADEIRA, COM MONTANTES METÁLICOS</t>
  </si>
  <si>
    <t>IMPERMEABILIZACOES</t>
  </si>
  <si>
    <t>IMPERMEABILIZANTE CONTRA UMIDADE DO SOLO</t>
  </si>
  <si>
    <t>ARGAMASSA IMPERMEABILIZANTE DE CIMENTO E AREIA (REBOCO IMPERMEÁVEL) - TRAÇO 1:3, ESPESSURA DE 20MM</t>
  </si>
  <si>
    <t>ARGAMASSA IMPERMEABILIZANTE DE CIMENTO E AREIA (SUBSOLOS) - TRAÇO 1:2,5, ESPESSURA DE 20MM</t>
  </si>
  <si>
    <t>CIMENTO IMPERMEABILIZANTE DE CRISTALIZAÇÃO - ESTRUTUTURA ENTERRADA</t>
  </si>
  <si>
    <t>REGULARIZAÇÃO COM ARGAMASSA DE CIMENTO E AREIA - TRAÇO 1:3, ESPESSURA MÉDIA 30MM</t>
  </si>
  <si>
    <t>PINTURA PROTETORA COM TINTA BETUMINOSA (PARA  ARGAMASSA IMPERMEÁVEL) - 2 DEMÃOS</t>
  </si>
  <si>
    <t>PROTEÇÃO MECÂNICA COM ARGAMASSA DE CIMENTO E AREIA - TRAÇO 1:7, ESPESSURA MÉDIA 30MM</t>
  </si>
  <si>
    <t>IMPERMEABILIZANTE CONTRA ÁGUA SOB PRESSÃO</t>
  </si>
  <si>
    <t>ARGAMASSA IMPERMEABILIZANTE DE CIMENTO E AREIA (RESERVATÓRIOS E PISCINAS) - TRAÇO 1:3, ESPESSURA 30MM</t>
  </si>
  <si>
    <t>CIMENTO IMPERMEABILIZANTE DE CRISTALIZAÇÃO - ESTRUTURA ELEVADA</t>
  </si>
  <si>
    <t>PINTURA PROTETORA COM TINTA BETUMINOSA (PARA ARGAMASSA IMPERMEÁVEL) - 2 DEMÃOS</t>
  </si>
  <si>
    <t>PINTURA PROTETORA COM TINTA A BASE DE EPÓXI (PARA ARGAMASSA IMPERMEÁVEL)</t>
  </si>
  <si>
    <t>IMPERMEABILIZANTE CONTRA ÁGUA DE PERCOLAÇÃO</t>
  </si>
  <si>
    <t>ARGAMASSA IMPERMEABILIZANTE DE CIMENTO E AREIA (CALHAS E MARQUISES) - TRAÇO 1:3, ESPESSURA 30MM</t>
  </si>
  <si>
    <t>IMPERMEABILIZAÇÃO COM MEMBRANAS ASFÁLTICAS - COM 3 CAMADAS DE FELTRO ASFÁLTICO 15LBS</t>
  </si>
  <si>
    <t>IMPERMEABILIZAÇÃO COM MEMBRANAS ASFÁLTICAS - COM 4 CAMADAS DE FELTRO ASFÁLTICO 15LBS</t>
  </si>
  <si>
    <t>IMPERMEABILIZAÇÃO COM MEMBRANAS ASFÁLTICAS - COM 5 CAMADAS DE FELTRO ASFÁLTICO 15LBS</t>
  </si>
  <si>
    <t>MANTA ASFÁLTICA ESPESSURA DE 3MM COM VÉU DE POLIÉSTER COLADA A MAÇARICO</t>
  </si>
  <si>
    <t>MANTA ASFÁLTICA ESPESSURA DE 4MM COM VÉU DE POLIÉSTER COLADA A MAÇARICO</t>
  </si>
  <si>
    <t>MANTA ASFÁLTICA ESPESSURA DE 4MM ANTI RAIZ COM VÉU DE POLIÉSTER</t>
  </si>
  <si>
    <t>IMPERMEABILIZAÇÃO A BASE DE EMULSÃO ASFÁLTICA - ESTRUTURADA COM TECIDO POLIÉSTER - 2 CAMADAS DE ESTRUTURANTE</t>
  </si>
  <si>
    <t>IMPERMEABILIZAÇÃO A BASE DE EMULSÃO ASFÁLTICA ESTRUTURADA COM TECIDO DE POLIÉSTER - 3 CAMADAS DE ESTRUTURANTE</t>
  </si>
  <si>
    <t>IMPERMEABILIZAÇÃO A BASE DE EMULSÃO ASFÁLTICA MODIFICADA COM ELASTÔMEROS - ESTRUTURADA COM TECIDO DE POLIÉSTER - 2 CAMADAS DE ESTRUTURANTE</t>
  </si>
  <si>
    <t>ARGILA EXPANDIDA SOLTA</t>
  </si>
  <si>
    <t>ISOLAMENTO TÉRMICO COM ARGILA EXPANDIDA SOLTA - ESPESSURA 70MM</t>
  </si>
  <si>
    <t>ISOLAMENTO TÉRMICO COM POLIESTIRENO EXPANDIDO - ESPESSURA 50MM</t>
  </si>
  <si>
    <t>JUNTAS DE DILATAÇÃO</t>
  </si>
  <si>
    <t>MASTIQUE ELÁSTICO A BASE DE SILICONE</t>
  </si>
  <si>
    <t>MASTIQUE ELÁSTICO A BASE DE POLIURETANO - MONOCOMPONENTE</t>
  </si>
  <si>
    <t>FORNECIMENTO E COLOCAÇÃO DE JUNTA DE DILATAÇÃO DE ELASTÔMERO DE NEOPRENE, TIPO JEENE JJ2540VV OU SIMILAR</t>
  </si>
  <si>
    <t>DEMOLIÇÃO DE ARGAMASSA IMPERMEÁVEL - ESPESSURA MÉDIA DE 30MM</t>
  </si>
  <si>
    <t>DEMOLIÇÃO DE SISTEMAS IMPERMEABILIZANTES DE BASE ASFÁLTICA</t>
  </si>
  <si>
    <t>DEMOLIÇÃO DE SISTEMAS DE ISOLAMENTO TÉRMICO EM GERAL</t>
  </si>
  <si>
    <t>DEMOLIÇÃO DE CAPEAMENTO PROTETOR, EXECUTADO COM ARGAMASSA DE CIMENTO E AREIA</t>
  </si>
  <si>
    <t>DEMOLIÇÃO DE PROTEÇÃO TERMOMECÂNICA - LADRILHOS CERÂMICOS OU HIDRÁULICOS</t>
  </si>
  <si>
    <t>DEMOLIÇÃO DE ARGAMASSA DE REGULARIZAÇÃO - ESPESSURA MÉDIA DE 30MM</t>
  </si>
  <si>
    <t>RETIRADA DE ISOLAMENTO TÉRMICO - TIJOLOS CERÂMICOS FURADOS</t>
  </si>
  <si>
    <t>RETIRADA DE ISOLAMENTO TÉRMICO - AGREGADOS SOLTOS EM GERAL</t>
  </si>
  <si>
    <t>RECOLOCAÇÃO DE ISOLAMENTO TÉRMICO - AGREGADOS SOLTOS EM GERAL</t>
  </si>
  <si>
    <t>SERVIÇOS PARCIAIS</t>
  </si>
  <si>
    <t>RESINAS</t>
  </si>
  <si>
    <t>COBERTURAS</t>
  </si>
  <si>
    <t>ESTRUTURAS DE COBERTURA</t>
  </si>
  <si>
    <t>ESTRUTURA DE MADEIRA, EM TERÇAS, PARA TELHAS ONDULADAS CA/AL/PL/AG</t>
  </si>
  <si>
    <t>ESTRUTURA DE MADEIRA, PONTALETADA, PARA TELHAS ONDULADAS CA/AL/PL/AG</t>
  </si>
  <si>
    <t>ESTRUTURA COM TESOURAS DE MADEIRA PARA TELHAS ONDULADAS CA/AL/PL - VÃOS ATÉ 7,00M</t>
  </si>
  <si>
    <t>ESTRUTURA COM TESOURAS DE MADEIRA PARA TELHAS ONDULADAS CA/AL/PL - VÃOS 7,01 À 10,00M</t>
  </si>
  <si>
    <t>ESTRUTURA COM TESOURAS DE MADEIRA PARA TELHAS ONDULADAS CA/AL/PL - VÃOS 10,01 À 13,00M</t>
  </si>
  <si>
    <t>ESTRUTURA COM TESOURAS DE MADEIRA PARA TELHAS ONDULADAS CA/AL/PL - VÃOS 13,01 À 18,00M</t>
  </si>
  <si>
    <t>FORNECIMENTO DE ESTRUTURA METÁLICA PARA COBERTURA</t>
  </si>
  <si>
    <t>MONTAGEM DE ESTRUTURA METÁLICA PARA COBERTURA</t>
  </si>
  <si>
    <t>TELHADOS</t>
  </si>
  <si>
    <t>TELHAS DE BARRO COZIDO - PAULISTA</t>
  </si>
  <si>
    <t>TELHAS DE BARRO COZIDO - SUPER-PAULISTA (PLAN)</t>
  </si>
  <si>
    <t>TELHAS DE BARRO COZIDO - FRANCESA</t>
  </si>
  <si>
    <t>TELHA ONDULADA CRFS 6MM</t>
  </si>
  <si>
    <t>TELHA ONDULADA CRFS 8MM</t>
  </si>
  <si>
    <t>TELHA ESTRUTURAL TRAPEZOIDAL EM CRFS, LARGURA ÚTIL=44CM - ESPESSURA 8MM</t>
  </si>
  <si>
    <t>TELHA ESTRUTURAL TRAPEZOIDAL EM CRFS, LARGURA ÚTIL=90CM - ESPESSURA 8MM</t>
  </si>
  <si>
    <t>TELHA TRAPEZOIDAL DUPLA EM AÇO GALVANIZADO - E= 0,8MM, REVESTIMENTO B, H=40MM - PINTADA 1 FACE - MIOLO EM POLIURETANO E=30MM</t>
  </si>
  <si>
    <t>TELHA TRAPEZOIDAL EM AÇO GALVANIZADO ESPESSURA DE 0,50MM, REVESTIMENTO B, H=40MM</t>
  </si>
  <si>
    <t>TELHA ONDULADA EM AÇO GALVANIZADO ESPESSURA DE 0,50MM, REVESTIMENTO B, H=17,5MM</t>
  </si>
  <si>
    <t>TELHA TRAPEZOIDAL DUP. AÇO GALVANIZADO ESPESSURA DE 0,5MM, REVESTIMENTO B, H=40MM, COM MIOLO POLIURETANO E=30MM</t>
  </si>
  <si>
    <t>TELHA TRAPEZOIDAL EM AÇO GALVANIZADO ESP=0,5MM, H=40MM, COM PINTURA ELETROLÍTICA COR BRANCA 2 FACES</t>
  </si>
  <si>
    <t>TELHA ONDULADA EM AÇO GALVANIZADO E=0,5MM, REVESTIMENTO B, H=17,5MM COM PINTURA ELETROLÍTICA COR BRANCA 2 FACES</t>
  </si>
  <si>
    <t>TELHA TRAPEZOIDAL DUP. AÇO GALVANIZADO E=0,5MM, REVESTIMENTO B, H=40MM PINTURA MIOLO POLIURETANO E=30MM</t>
  </si>
  <si>
    <t>TELHAS EM POLICARBONATO ALVEOLAR 6MM COM ESTRUTURA METÁLICA GALVANIZADA INSTALADA</t>
  </si>
  <si>
    <t>CUMEEIRA OU ESPIGÃO PARA TELHAS PAULISTA, PLAN E FRANCESA - BARRO OU VIDRO</t>
  </si>
  <si>
    <t>CUMEEIRA PARA TELHA ONDULADA (CRFS, PVC RÍGIDO E POLIÉSTER), TRAPEZOIDAL E GRECA (PVC RÍGIDO E POLIÉSTER)</t>
  </si>
  <si>
    <t>CUMEEIRA NORMAL PARA TELHA TECNOLOGIA CRFS, ESTRUTURAL TRAPEZOIDAL 44CM</t>
  </si>
  <si>
    <t>CUMEEIRA NORMAL PARA TELHA TECNOLOGIA CRFS, ESTRUTURAL TRAPEZOIDAL - 90CM</t>
  </si>
  <si>
    <t>CUMEEIRA DE ALUMÍNIO, PERFIL ONDULADO - NORMAL E= 0,8MM</t>
  </si>
  <si>
    <t>CUMEEIRA DE ALUMÍNIO, PERFIL TRAPEZOIDAL - NORMAL - E=0,8MM</t>
  </si>
  <si>
    <t>CUMEEIRA DE ALUMÍNIO PERFIL ONDULADO - SHED - E=0,8MM</t>
  </si>
  <si>
    <t>CUMEEIRA DE ALUMÍNIO - PERFIL TRAPEZOIDAL - SHED - E=0,8MM</t>
  </si>
  <si>
    <t>CUMEEIRA TRAPEZOIDAL EM AÇO GALVANIZADO ESP=0,5MM, REVESTIMENTO B, H=40MM, L=0,60 M</t>
  </si>
  <si>
    <t>CUMEEIRA ONDULADA EM AÇO GALVANIZADO ESP=0,50MM, REVESTIMENTO B, H=17,5MM, LARG=0,60M</t>
  </si>
  <si>
    <t>CUMEEIRA TRAPEZOIDAL EM AÇO GALVANIZADO E=0,5MM, REVESTIMENTO B, H=40MM, L=0,60M, COM PINTURA BRANCA 2 FACES</t>
  </si>
  <si>
    <t>CUMEEIRA ONDULADA EM AÇO GALVANIZADO E=0,5MM, REVESTIMENTO B, H=17,5MM, L=0,60M, COM PINTURA BRANCA 2 FACES</t>
  </si>
  <si>
    <t>SUBCOBERTURA COM FOLHA DE ALUMÍNIO</t>
  </si>
  <si>
    <t>DOMOS DE VENTILAÇÃO E ILUMINAÇÃO</t>
  </si>
  <si>
    <t>DOMO ACRÍLICO PARA ILUMINAÇÃO E VENTILAÇÃO</t>
  </si>
  <si>
    <t>DEMOLIÇÃO DE TELHAS DE BARRO COZIDO OU VIDRO EM GERAL</t>
  </si>
  <si>
    <t>DEMOLIÇÃO DE TELHAS EM GERAL, EXCLUSIVE TELHAS DE BARRO COZIDO E VIDRO</t>
  </si>
  <si>
    <t>RETIRADA DE ESTRUTURA MADEIRA PONTALETADA - PARA TELHAS DE BARRO COZIDO</t>
  </si>
  <si>
    <t>RETIRADA DE ESTRUTURA MADEIRA PONTALETADA - PARA TELHA ONDULADA DE CIMENTO AMIANTO, ALUMÍNIO OU PLÁSTICO</t>
  </si>
  <si>
    <t>RETIRADA DE ESTRUTURA DE MADEIRA COM TESOURAS - PARA TELHAS DE BARRO COZIDO</t>
  </si>
  <si>
    <t>RETIRADA DE ESTRUTURA DE MADEIRA COM TESOURAS - PARA TELHA ONDULADA DE CIMENTO AMIANTO, ALUMÍNIO OU PLÁSTICO</t>
  </si>
  <si>
    <t>RETIRADA DE ESTRUTURA METÁLICA INCLUSIVE PERFIS DE FIXAÇÃO</t>
  </si>
  <si>
    <t>RETIRADA PARCIAL DE MADEIRAMENTO DE TELHADO - RIPAS</t>
  </si>
  <si>
    <t>RETIRADA PARCIAL DE MADEIRAMENTO DE TELHADO - CAIBROS</t>
  </si>
  <si>
    <t>RETIRADA PARCIAL DE MADEIRAMENTO DE TELHADO - VIGAS</t>
  </si>
  <si>
    <t>RETIRADA DE FERRAGEM PARA MADEIRAMENTO DE TELHADO</t>
  </si>
  <si>
    <t>RETIRADA DE TELHAS DE BARRO COZIDO OU VIDRO - TIPO FRANCESA</t>
  </si>
  <si>
    <t>RETIRADA DE TELHAS DE BARRO COZIDO OU VIDRO - TIPO PAULISTA</t>
  </si>
  <si>
    <t>RETIRADA DE TELHAS DE BARRO COZIDO - TIPO SUPER-PAULISTA (PLAN)</t>
  </si>
  <si>
    <t>RETIRADA DE TELHAS EM GERAL, EXCLUSIVE TELHAS DE BARRO COZIDO, VIDRO E ESTRUTURAIS DE CRFS</t>
  </si>
  <si>
    <t>RETIRADA DE TELHAS ESTRUTURAIS DE CRFS OU CIMENTO AMIANTO - LARGURA ÚTIL=44CM</t>
  </si>
  <si>
    <t>RETIRADA DE TELHAS ESTRUTURAIS DE CRFS OU CIMENTO AMIANTO - LARGURA ÚTIL=90CM</t>
  </si>
  <si>
    <t>RETIRADA DE CUMEEIRAS OU ESPIGÕES DE BARRO COZIDO OU VIDRO EM GERAL</t>
  </si>
  <si>
    <t>RETIRADA DE CUMEEIRAS OU ESPIGÕES DE MATERIAIS EM GERAL - EXCLUSIVE BARRO COZIDO OU VIDRO</t>
  </si>
  <si>
    <t>RECOLOCAÇÃO PARCIAL DE MADEIRAMENTO DE TELHADO - RIPAS</t>
  </si>
  <si>
    <t>RECOLOCAÇÃO PARCIAL DE MADEIRAMENTO DE TELHADO - CAIBROS</t>
  </si>
  <si>
    <t>RECOLOCAÇÃO PARCIAL DE MADEIRAMENTO DE TELHADO - VIGAS</t>
  </si>
  <si>
    <t>RECOLOCAÇÃO DE FERRAGEM PARA MADEIRAMENTO DE TELHADO</t>
  </si>
  <si>
    <t>RECOLOCAÇÃO DE TELHAS DE BARRO COZIDO OU VIDRO - TIPO FRANCESA</t>
  </si>
  <si>
    <t>RECOLOCAÇÃO DE TELHAS DE BARRO COZIDO OU VIDRO - TIPO PAULISTA</t>
  </si>
  <si>
    <t>RECOLOCAÇÃO DE TELHAS DE BARRO COZIDO - TIPO SUPER-PAULISTA (PLAN)</t>
  </si>
  <si>
    <t>RECOLOCAÇÃO DE TELHAS DE CRF, CIMENTO AMIANTO, ALUMÍNIO OU PLÁSTICO - ONDULADA COMUM</t>
  </si>
  <si>
    <t>RECOLOCAÇÃO DE TELHAS ESTRUTURAIS DE CRFS OU CIMENTO AMIANTO - LARGURA ÚTIL=44CM</t>
  </si>
  <si>
    <t>RECOLOCAÇÃO DE TELHAS ESTRUTURAIS DE CRFS OU CIMENTO AMIANTO - LARGURA ÚTIL=90CM</t>
  </si>
  <si>
    <t>RECOLOCAÇÃO DE CUMEEIRAS OU ESPIGÕES DE BARRO COZIDO</t>
  </si>
  <si>
    <t>RECOLOCAÇÃO DE CUMEEIRAS OU ESPIGÕES DE MATERIAIS EM GERAL - EXCLUSIVE BARRO COZIDO OU VIDRO</t>
  </si>
  <si>
    <t>REVISÃO GERAL DE TELHADOS DE BARRO, INCLUSIVE TOMADA DE GOTEIRA</t>
  </si>
  <si>
    <t>REMANEJAMENTO DE TELHAS DE BARRO COZIDO, INCLUSIVE ESCOVAMENTO</t>
  </si>
  <si>
    <t>REVISÃO, ESCOVAÇÃO, INCLUSIVE  TOMADA DE GOTEIRAS DE TELHADOS EM GERAL, EXCLUSIVE PARA TELHAS DE BARRO COZIDO OU VIDRO</t>
  </si>
  <si>
    <t>MADEIRAMENTO DE TELHADO, PADRÃO PEROBA - RIPAS 1,5X5CM</t>
  </si>
  <si>
    <t>MADEIRAMENTO DE TELHADO, PADRÃO PEROBA - CAIBROS 5X6CM</t>
  </si>
  <si>
    <t>MADEIRAMENTO DE TELHADO, PADRÃO PEROBA - VIGAS 6X12CM</t>
  </si>
  <si>
    <t>PARAFUSO ROSCA SOBERBA PARA FIXAÇÃO DE TELHAS EM CRFS OU CIMENTO AMIANTO</t>
  </si>
  <si>
    <t>GANCHO COM ROSCA UMA EXTREMIDADE PARA FIXAÇÃO DE TELHA ESTRUTURAL TRAPEZOIDAL - 90CM</t>
  </si>
  <si>
    <t>PLACA DE VENTILAÇÃO PARA TELHA ESTRUTURAL TRAPEZOIDAL - 90CM</t>
  </si>
  <si>
    <t>ESQUADRIAS DE MADEIRA</t>
  </si>
  <si>
    <t>PORTAS DE PASSAGEM</t>
  </si>
  <si>
    <t>PM.03 - PORTA LISA ESPECIAL/ SÓLIDA PARA BOX, PARA PORTADORES DE DEFICIÊNCIA FÍSICA - 82X170CM</t>
  </si>
  <si>
    <t>PM.04 - PORTA LISA ESPECIAL/ SÓLIDA PARA PORTADORES DE DEFICIÊNCIA FÍSICA - 82X210CM</t>
  </si>
  <si>
    <t>PM.05 - PORTA LISA ESPECIAL/ SÓLIDA - 62X210CM</t>
  </si>
  <si>
    <t>PM.07 - PORTA LISA ESPECIAL/ SÓLIDA - 82X210CM</t>
  </si>
  <si>
    <t>PM.08 - PORTA LISA ESPECIAL/ SÓLIDA - 92X210CM</t>
  </si>
  <si>
    <t>PM.09 - PORTA LISA ESPECIAL/ SÓLIDA - 102X210CM</t>
  </si>
  <si>
    <t>PM.12 - PORTA LISA COMUM/ ENCABEÇADA - 82X210CM</t>
  </si>
  <si>
    <t>PM.13 - PORTA LISA COMUM/ ENCABEÇADA - 92X210CM</t>
  </si>
  <si>
    <t>PM.14 - PORTA LISA COMUM/ ENCABEÇADA - 102X210CM</t>
  </si>
  <si>
    <t>PM.17 - PORTA LISA COMUM/ ENCABEÇADA REVESTIDA COM LAMINADO MELAMÍNICO - 82X210CM</t>
  </si>
  <si>
    <t>PM.18 - PORTA LISA COMUM/ ENCABEÇADA REVESTIDA COM LAMINADO MELAMÍNICO - 92X210CM</t>
  </si>
  <si>
    <t>PM.19 - PORTA LISA COMUM/ ENCABEÇADA REVESTIDA COM LAMINADO MELAMÍNICO - 102X210CM</t>
  </si>
  <si>
    <t>PM.37 - PORTA VENEZIANA - 82X210CM</t>
  </si>
  <si>
    <t>PM.38 - PORTA VENEZIANA - 92X210CM</t>
  </si>
  <si>
    <t>PM.39 - PORTA DE MADEIRA LISA COMUM/ ENCABEÇADA DE CORRER, 2 FOLHAS, TRILHO DE ALUMÍNIO</t>
  </si>
  <si>
    <t>PM.45 - PORTA DE MADEIRA LISA COMUM/ ENCABEÇADA, 2 FOLHAS - 124X210CM</t>
  </si>
  <si>
    <t>PM.46 - PORTA DE MADEIRA LISA COMUM/ ENCABEÇADA - 2 FOLHAS - 144X210CM</t>
  </si>
  <si>
    <t>PM.47 - PORTA DE MADEIRA LISA COMUM/ ENCABEÇADA - 2 FOLHAS - 164X210CM</t>
  </si>
  <si>
    <t>PM.48 - PORTA DE MADEIRA LISA COMUM/ ENCABEÇADA, 2 FOLHAS - 184X210CM</t>
  </si>
  <si>
    <t>PM.49 - PORTA DE MADEIRA LISA COMUM/ ENCABEÇADA, 2 FOLHAS - 204X210CM</t>
  </si>
  <si>
    <t>EM.01 - BATENTE DE MADEIRA (14CM) - PARA PORTA DE 1 FOLHA, SEM BANDEIRA</t>
  </si>
  <si>
    <t>JG</t>
  </si>
  <si>
    <t>EM.01 - BATENTE DE MADEIRA (14CM) - PARA PORTA DE 2 FOLHAS, SEM BANDEIRA</t>
  </si>
  <si>
    <t>EM.01 - BATENTE DE MADEIRA (14CM) - PARA PORTA COM BANDEIRA</t>
  </si>
  <si>
    <t>EM.01 - BATENTE DE MADEIRA (14CM) - PARA INSTALAÇÕES SANITÁRIAS</t>
  </si>
  <si>
    <t>EM.02 - BATENTE DE MADEIRA (25CM) - PARA PORTA DE 1 FOLHA, SEM BANDEIRA</t>
  </si>
  <si>
    <t>EM.02 - BATENTE DE MADEIRA (25CM) - PARA PORTA DE 2 FOLHAS, SEM BANDEIRA</t>
  </si>
  <si>
    <t>EM.02 - BATENTE DE MADEIRA (25CM) - PARA PORTA COM BANDEIRA</t>
  </si>
  <si>
    <t>EM.03 - BATENTE DE MADEIRA (9,5CM) - PARA PORTA EM DIVISÓRIA DV.01</t>
  </si>
  <si>
    <t>EM.21 - VISOR FIXO COM VIDRO E REQUADRO DE MADEIRA PARA PORTA</t>
  </si>
  <si>
    <t>EM.26 - FAIXA BATE MACA EM LAMINADO  MELAMÍNICO PARA PORTA DE MADEIRA</t>
  </si>
  <si>
    <t>FERRAGENS E COMPLEMENTOS METÁLICOS</t>
  </si>
  <si>
    <t>CONJUNTO DE FECHADURA DE CILINDRO, 55MM, TRÁFEGO INTENSO, MAÇANETA EM ZAMAC, GUARNIÇÕES EM AÇO, ACABAMENTO CROMADO - PARA PORTA INTERNA OU EXTERNA</t>
  </si>
  <si>
    <t>CONJUNTO DE FECHADURA DE CILINDRO, CAIXA RASA (22MM) - PORTA COM MONTANTE ESTREITO</t>
  </si>
  <si>
    <t>CONJUNTO DE FECHADURA DE CILINDRO, SÓ LINGUETA (55MM) - TRÁFEGO INTENSO - PORTA DE ABRIR</t>
  </si>
  <si>
    <t>CONJUNTO DE FECHADURA DE CILINDRO, BICO DE PAPAGAIO (22MM) - PORTA DE CORRER</t>
  </si>
  <si>
    <t>FECHADURA TIPO GORGE (55MM) - TRÁFEGO INTENSO,  MAÇANETA EM ZEMAC, GUARNIÇÕES EM AÇO, ACABAMENTO CROMADO BRILHANTE</t>
  </si>
  <si>
    <t>FECHADURA TIPO GORGE, SÓ LINGUETA, 55MM, TRÁFEGO INTENSO</t>
  </si>
  <si>
    <t>FECHADURA TIPO TRANQUETA E TRINCO (55MM) - TRÁFEGO INTENSO, MAÇANETA EM ZAMAC, GUARNIÇÕES EM AÇO, ACABAMENTO CROMADO BRILHANTE - PORTA DE SANITÁRIO</t>
  </si>
  <si>
    <t>CONJUNTO DE FECHADURA TIPO TETRA - SOMENTE TRANCA</t>
  </si>
  <si>
    <t>CJ</t>
  </si>
  <si>
    <t>TARGETA DE SOBREPOR,TIPO "LIVRE-OCUPADO"- 60X65MM</t>
  </si>
  <si>
    <t>FECHO DE EMBUTIR, TRAVA ACIONADA POR ALAVANCA, 3/4"X400MM - PORTA 2 FOLHAS</t>
  </si>
  <si>
    <t>FECHO DE EMBUTIR,TRAVA ACIONADA POR ALAVANCA, 3/4"X200MM - PORTA 2 FOLHAS</t>
  </si>
  <si>
    <t>MOLA FECHA-PORTA,TIPO LEVE (AMORTECEDOR HIDRÁULICO)</t>
  </si>
  <si>
    <t>MOLA FECHA-PORTA,TIPO PESADO</t>
  </si>
  <si>
    <t>MOLA VAI-E-VEM, DE TOPO</t>
  </si>
  <si>
    <t>CADEADO DE LATÃO (COM CILINDRO E TRAVA DUPLA) - 35MM PESO MÍNIMO 140G</t>
  </si>
  <si>
    <t>PORTA-CADEADO DE FERRO PINTADO - 63MM PESO MÍNIMO 25G</t>
  </si>
  <si>
    <t>PORTA-CADEADO DE FERRO PINTADO - 89MM PESO MÍNIMO 115G</t>
  </si>
  <si>
    <t>BARRA ANTI-PÂNICO PARA  PORTA 1 FOLHA - COLOCADA</t>
  </si>
  <si>
    <t>RESPIRO PARA ARMÁRIO EM LATÃO CROMADO - DIÂMETRO 10CM</t>
  </si>
  <si>
    <t>PORTAS COM REVESTIMENTO</t>
  </si>
  <si>
    <t>PM.50 - PORTA DE MADEIRA LISA COMUM/ ENCABEÇADA, REVESTIDA COM LAMINADO MELAMÍNICO - 2 FOLHAS 124X210CM</t>
  </si>
  <si>
    <t>PM.51 - PORTA DE MADEIRA LISA COMUM/ ENCABEÇADA, REVESTIDA COM LAMINADO MELAMÍNICO - 2 FOLHAS 144X210CM</t>
  </si>
  <si>
    <t>PM.52 - PORTA DE MADEIRA LISA COMUM/ ENCABEÇADA, REVESTIDA COM LAMINADO MELAMÍNICO - 2 FOLHAS 164X210CM</t>
  </si>
  <si>
    <t>PM.53 - PORTA DE MADEIRA LISA COMUM/ ENCABEÇADA, REVESTIDA COM LAMINADO MELAMÍNICO - 2 FOLHAS 184X210CM</t>
  </si>
  <si>
    <t>PM.54 - PORTA DE MADEIRA LISA COMUM/ ENCABEÇADA, REVESTIDA COM LAMINADO MELAMÍNICO - 2 FOLHAS 204X210CM</t>
  </si>
  <si>
    <t>PM.57 - PORTA GUICHÊ EM MADEIRA LISA ESPECIAL/ SÓLIDA - 82X210CM - REVESTIDA COM LAMINADO  MELAMÍNICO</t>
  </si>
  <si>
    <t>ARMÁRIOS</t>
  </si>
  <si>
    <t>ARMÁRIO SEM PORTAS, REVESTIMENTO EXTERNO E INTERNO EM LAMINADO MELAMÍNICO</t>
  </si>
  <si>
    <t>ARMÁRIO COM PORTAS, SEM REVESTIMENTO</t>
  </si>
  <si>
    <t>ARMÁRIO COM PORTAS, REVESTIMENTO EXTERNO E INTERNO EM LAMINADO MELAMÍNICO</t>
  </si>
  <si>
    <t>PORTAS PARA ARMÁRIO SEM REVESTIMENTO</t>
  </si>
  <si>
    <t>PORTAS PARA ARMÁRIO COM REVESTIMENTO EXTERNO EM LAMINADO MELAMÍNICO</t>
  </si>
  <si>
    <t>PORTAS PARA ARMÁRIO COM REVESTIMENTO EXTERNO E INTERNO EM LAMINADO MELAMÍNICO</t>
  </si>
  <si>
    <t>PRATELEIRA PARA ARMÁRIO SEM REVESTIMENTO</t>
  </si>
  <si>
    <t>PRATELEIRA PARA ARMÁRIO, REVESTIDA EM 1 FACE EM LAMINADO MELAMÍNICO</t>
  </si>
  <si>
    <t>PRATELEIRA PARA ARMÁRIO, REVESTIDA EM 2 FACES, EM LAMINADO MELAMÍNICO</t>
  </si>
  <si>
    <t>GAVETA PARA ARMÁRIO SEM REVESTIMENTO</t>
  </si>
  <si>
    <t>GAVETA PARA ARMÁRIO,REVESTIMENTO EXTERNO EM LAMINADO MELAMÍNICO</t>
  </si>
  <si>
    <t>GAVETA PARA ARMÁRIO, REVESTIMENTO EXTERNO E INTERNO EM LAMINADO MELAMÍNICO</t>
  </si>
  <si>
    <t>MM.13 -  ARMÁRIO PARA CUMBUCAS</t>
  </si>
  <si>
    <t>MM.14 -  ARMÁRIO PARA CANECAS</t>
  </si>
  <si>
    <t>MM.15 -  ARMÁRIO PARA PRATOS</t>
  </si>
  <si>
    <t>MM.20 - CABIDE DE MADEIRA PARA SACOLAS</t>
  </si>
  <si>
    <t>PEITORIL DE MADEIRA</t>
  </si>
  <si>
    <t>RETIRADA DE FOLHAS DE PORTA DE PASSAGEM OU JANELA</t>
  </si>
  <si>
    <t>RETIRADA DE BATENTES DE MADEIRA</t>
  </si>
  <si>
    <t>RETIRADA DE GUARNIÇÕES OU MOLDURAS DE MADEIRA</t>
  </si>
  <si>
    <t>RETIRADA DE GUICHÊS, INCLUSIVE BATENTE E FERRAGENS</t>
  </si>
  <si>
    <t>RETIRADA DE FECHADURAS DE EMBUTIR, COMPLETAS</t>
  </si>
  <si>
    <t>RETIRADA DE FECHADURAS, FECHOS OU TARGETAS DE SOBREPOR</t>
  </si>
  <si>
    <t>RETIRADA DE MAÇANETAS</t>
  </si>
  <si>
    <t>PAR</t>
  </si>
  <si>
    <t>RETIRADA DE ESPELHOS</t>
  </si>
  <si>
    <t>RETIRADA DE ROSETAS OU ENTRADAS DE CHAVE GORGE</t>
  </si>
  <si>
    <t>RETIRADA DE BORBOLETAS OU LEVANTADORES TIPO "UNHA"</t>
  </si>
  <si>
    <t>RETIRADA DE DOBRADIÇAS</t>
  </si>
  <si>
    <t>RECOLOCAÇÃO DE FOLHAS DE PORTA DE PASSAGEM OU JANELA</t>
  </si>
  <si>
    <t>RECOLOCAÇÃO DE BATENTES MADEIRA</t>
  </si>
  <si>
    <t>RECOLOCAÇÃO DE GUARNIÇÕES OU MOLDURAS DE MADEIRA</t>
  </si>
  <si>
    <t>RECOLOCAÇÃO DE GUICHÊS, INCLUSIVE BATENTE E FERRAGENS</t>
  </si>
  <si>
    <t>RECOLOCAÇÃO DE FECHADURAS DE EMBUTIR, COMPLETAS</t>
  </si>
  <si>
    <t>RECOLOCAÇÃO DE FECHADURAS, FECHOS OU TARGETAS DE SOBREPOR</t>
  </si>
  <si>
    <t>RECOLOCAÇÃO DE MAÇANETAS</t>
  </si>
  <si>
    <t>RECOLOCAÇÃO DE ESPELHOS</t>
  </si>
  <si>
    <t>RECOLOCAÇÃO DE ROSETAS OU ENTRADAS DE CHAVE GORGE</t>
  </si>
  <si>
    <t>RECOLOCAÇÃO DE BORBOLETAS OU LEVANTADORES TIPO "UNHA"</t>
  </si>
  <si>
    <t>RECOLOCAÇÃO DE DOBRADIÇAS</t>
  </si>
  <si>
    <t>GUARNIÇÃO OU MOLDURA DE MADEIRA - 4,5CM</t>
  </si>
  <si>
    <t>GUARNIÇÃO OU MOLDURA DE MADEIRA - 7,5CM</t>
  </si>
  <si>
    <t>GUARNIÇÃO OU MOLDURA DE MADEIRA - 10,0CM</t>
  </si>
  <si>
    <t>GUARNIÇÃO OU MOLDURA DE MADEIRA - 15,0CM</t>
  </si>
  <si>
    <t>CONJUNTO DE FECHADURA DE CILINDRO (55MM) - TRÁFEGO INTENSO, MAÇANETA EM ZAMAC, GUARNIÇÕES EM AÇO, ACABAMENTO CROMADO BRILHANTE - INCLUSIVE ADAPTAÇÃO DA FURAÇÃO</t>
  </si>
  <si>
    <t>CONJUNTO DE FECHADURA DE CILINDRO, CAIXA RASA (22MM) - PORTA COM MONTANTE ESTREITO - INCLUSIVE ADAPTAÇÃO DA FURAÇÃO</t>
  </si>
  <si>
    <t>CONJUNTO DE FECHADURA DE CILINDRO, SÓ LINGUETA (55MM) - TRÁFEGO INTENSO - PORTA DE ABRIR -  INCLUSIVE ADAPTAÇÃO DA FURAÇÃO</t>
  </si>
  <si>
    <t>CONJUNTO DE FECHADURA DE CILINDRO, BICO DE PAPAGAIO (22MM) - PORTA DE CORRER - INCUSIVE ADAPTAÇÃO DA FURAÇÃO</t>
  </si>
  <si>
    <t>FECHADURA TIPO GORGE, 55MM, TRÁFEGO INTENSO, MAÇANETA EM ZAMAC, GUARNIÇÕES EM AÇO, ACABAMENTO CROMADO BRILHANTE - INCLUSIVE ADAPTAÇÃO DA FURAÇÃO</t>
  </si>
  <si>
    <t>FECHADURA TIPO GORGE, SÓ LINGUETA, 55MM, TRÁFEGO INTENSO - INCLUSIVE ADAPTAÇÃO DA FURAÇÃO</t>
  </si>
  <si>
    <t>TARGETA DE SOBREPOR, TIPO "LIVRE-OCUPADO" - 60X65MM - INCLUSIVE ADAPTAÇÃO E FURAÇÃO</t>
  </si>
  <si>
    <t>MAÇANETA EM ZAMAC</t>
  </si>
  <si>
    <t>ESPELHO RETANGULAR EM AÇO CROMADO BRILHANTE</t>
  </si>
  <si>
    <t>ROSETA OU ENTRADA DE CILINDRO COM CHAVE GORGE EM AÇO CROMADO BRILHANTE</t>
  </si>
  <si>
    <t>DOBRADIÇA EM AÇO LAMINADO, CROMADA - 3 1/2"X3"</t>
  </si>
  <si>
    <t>ESQUADRIAS METALICAS</t>
  </si>
  <si>
    <t>PORTAS</t>
  </si>
  <si>
    <t>PP.01 - PORTA EM FERRO PERFILADO, DUPLA ALMOFADADA - ABRIR, 1 FOLHA</t>
  </si>
  <si>
    <t>PP.02 - PORTA EM FERRO PERFILADO, DUPLA ALMOFADADA - ABRIR, 2 FOLHA</t>
  </si>
  <si>
    <t>PP.04 - PORTA EM FERRO PERFILADO, MEIO VIDRO COM SUBDIVISÕES - ABRIR, 1 FOLHA</t>
  </si>
  <si>
    <t>PP.05 - PORTA EM FERRO PERFILADO, MEIO VIDRO COM SUBDIVISÕES - ABRIR, 2 FOLHAS</t>
  </si>
  <si>
    <t>PP.06 - PORTA EM FERRO PERFILADO, MEIO VIDRO COM SUBDIVISÕES - CORRER</t>
  </si>
  <si>
    <t>PP.01 - PORTA EM FERRO PERFILADO - INSTALAÇÃO SANITÁRIA PARA PORTADORES DE DEFICIÊNCIA - 90 X 210CM</t>
  </si>
  <si>
    <t>PF.10 - PORTA EM PERFIL DE CHAPA DOBRADA, MEIO VIDRO - ABRIR, 1 FOLHA</t>
  </si>
  <si>
    <t>PF-23 - PORTA EM PERFIL DE CHAPA DOBRADA, VENEZIANA, ABRIR 1 FOLHA</t>
  </si>
  <si>
    <t>PF-28 - PORTA EM PERFIL DE CHAPA DOBRADA, VENEZIANA, ABRIR 2 FOLHAS</t>
  </si>
  <si>
    <t>PA.10 - PORTA EM ALUMÍNIO ANODIZADO, MEIO VIDRO - ABRIR, 1 FOLHA</t>
  </si>
  <si>
    <t>PA.11 - PORTA EM ALUMÍNIO ANODIZADO, MEIO VIDRO, DE ABRIR, 2 FOLHAS</t>
  </si>
  <si>
    <t>PA.12 - PORTA EM ALUMÍNIO ANODIZADO,MEIO VIDRO - CORRER</t>
  </si>
  <si>
    <t>PA.16 - PORTA EM ALUMÍNIO ANODIZADO, VENEZIANA - ABRIR, 1 FOLHA</t>
  </si>
  <si>
    <t>PORTA DE ENROLAR, EM CHAPA ONDULADA N.22</t>
  </si>
  <si>
    <t>PORTA DE ENROLAR, EM TIRAS ARTICULADAS E RAIADAS DE CHAPA N.22</t>
  </si>
  <si>
    <t>COLUNA FIXA OU MÓVEL PARA PORTAS OU GRADES DE ENROLAR</t>
  </si>
  <si>
    <t>CAVALETE CENTRAL - PARA COLUNA MÓVEL DE PORTA DE ENROLAR</t>
  </si>
  <si>
    <t>EF.01 - BATENTE ESPECIAL EM PERFIL DE CHAPA DOBRADA N. 14</t>
  </si>
  <si>
    <t>EF.02 - BATENTE ESPECIAL EM PERFIL DE CHAPA DOBRADA N. 14</t>
  </si>
  <si>
    <t>EF.03 - BATENTE EM PERFIL DE CHAPA DOBRADA Nº20,1 FOLHA, SEM BANDEIRA</t>
  </si>
  <si>
    <t>EF.04 - BATENTE EM PERFIL DE CHAPA DOBRADA NÚMERO 20, 2 FOLHAS, SEM BANDEIRA</t>
  </si>
  <si>
    <t>BATENTE DE ALUMÍNIO PARA DIVISÓRIA DE GRANILITE</t>
  </si>
  <si>
    <t>EP.14/16 - BANDEIRA FIXA EM FERRO PERFILADO COM SUBDIVISÕES PARA VIDRO</t>
  </si>
  <si>
    <t>CAIXILHOS</t>
  </si>
  <si>
    <t>CP.01 - CAIXILHO EM FERRO PERFILADO - FIXO, SEM VENTILAÇÃO PERMANENTE</t>
  </si>
  <si>
    <t>CP.03/20/21 - CAIXILHO EM FERRO PERFILADO - FIXO, COM VENTILAÇÃO PERMANENTE</t>
  </si>
  <si>
    <t>CP.05 - CAIXILHO EM FERRO PERFILADO - PIVOTANTE</t>
  </si>
  <si>
    <t>CP.09 - CAIXILHO EM FERRO PERFILADO - MAXIMAR</t>
  </si>
  <si>
    <t>CP.13/22/23 - CAIXILHO EM FERRO PERFILADO - BASCULANTE</t>
  </si>
  <si>
    <t>CP.17 - CAIXILHO EM FERRO PERFILADO - DE CORRER</t>
  </si>
  <si>
    <t>CF.13 - CAIXILHO EM PERFIL DE CHAPA DOBRADA - BASCULANTE</t>
  </si>
  <si>
    <t>CF.19 - CAIXILHO EM PERFIL DE CHAPA DOBRADA, VENEZIANA, FIXO COM VENTILAÇÃO PERMANENTE</t>
  </si>
  <si>
    <t>CA.02 - CAIXILHO EM ALUMÍNIO ANODIZADO, FIXO, SEM VENTILAÇÃO PERMANENTE</t>
  </si>
  <si>
    <t>CA.04 - CAIXILHO EM ALUMÍNIO ANODIZADO, FIXO, COM VENTILAÇÃO PERMANENTE</t>
  </si>
  <si>
    <t>CA.05 - CAIXILHO EM ALUMÍNIO ANODIZADO - PIVOTANTE</t>
  </si>
  <si>
    <t>CA.09 - CAIXILHO EM ALUMÍNIO ANODIZADO - MAXIMAR</t>
  </si>
  <si>
    <t>CA.13 - CAIXILHO EM ALUMÍNIO ANODIZADO - BASCULANTE</t>
  </si>
  <si>
    <t>CA.17 - CAIXILHO EM ALUMÍNIO ANODIZADO - DE CORRER</t>
  </si>
  <si>
    <t>EP.06 - GRADE DE PROTEÇÃO EM FERRO REDONDO</t>
  </si>
  <si>
    <t>EP.07 - GRADE DE PROTEÇÃO EM FERRO CHATO</t>
  </si>
  <si>
    <t>GRADE DE PROTEÇÃO EM FERRO GALVANIZADO ELETROFUNDIDO - BARRA 25X2MM, MALHA 65X132MM</t>
  </si>
  <si>
    <t>TELA DE PROTEÇÃO EM ARAME N.12, MALHA DE 1/2" - INCLUSIVE REQUADRO</t>
  </si>
  <si>
    <t>EP.11 - TELA MOSQUITEIRO EM ARAME GALVANIZADO MALHA 14, FIO 28 INCLUSIVE  REQUADRO</t>
  </si>
  <si>
    <t>PORTAS ESPECIAIS</t>
  </si>
  <si>
    <t>PP.47 - PORTA EM FERRO PERFILADO COM CHAPA PARA ENTRADA DE ÁGUA OU GÁS ENCANADO</t>
  </si>
  <si>
    <t>PP.35 - PORTA EM FERRO PERFILADO COM CHAPA PARA ABRIGO DE LIXO</t>
  </si>
  <si>
    <t>PP.36 - PORTA EM FERRO PERFILADO COM TELA PARA ABRIGO DE GÁS</t>
  </si>
  <si>
    <t>PP.48 - PORTA EM FERRO PERFILADO COM CHAPA PARA PASSA-PRATOS</t>
  </si>
  <si>
    <t>PP.50 - ALÇAPÃO EM FERRO PERFILADO COM CHAPA</t>
  </si>
  <si>
    <t>RETIRADA DE ESQUADRIAS METÁLICAS EM GERAL, PORTAS OU CAIXILHOS</t>
  </si>
  <si>
    <t>RETIRADA DE BATENTES METÁLICOS</t>
  </si>
  <si>
    <t>RETIRADA DE BRAÇO DE ALAVANCA</t>
  </si>
  <si>
    <t>RETIRADA DE ALAVANCA</t>
  </si>
  <si>
    <t>RETIRADA DE PUXADOR DE ENGATE, PARA CAIXILHOS DE CORRER</t>
  </si>
  <si>
    <t>RECOLOCAÇÃO DE ESQUADRIAS METÁLICAS EM GERAL, PORTAS OU CAIXILHOS</t>
  </si>
  <si>
    <t>RECOLOCAÇÃO DE BATENTES METÁLICOS</t>
  </si>
  <si>
    <t>RECOLOCAÇÃO DE BRAÇO DE ALAVANCA</t>
  </si>
  <si>
    <t>RECOLOCAÇÃO DE ALAVANCA</t>
  </si>
  <si>
    <t>RECOLOCAÇÃO DE PUXADOR DE ENGATE, PARA CAIXILHOS DE CORRER</t>
  </si>
  <si>
    <t>BRAÇO DE ALAVANCA EM FERRO CHATO</t>
  </si>
  <si>
    <t>ALAVANCA EM METAL CROMADO, PARA CAIXILHOS BASCULANTES</t>
  </si>
  <si>
    <t>CAIXILHOS E TROCA DE REBITES</t>
  </si>
  <si>
    <t>FERRO TRABALHADO - CAIXILHOS E PEQUENAS PEÇAS DE SERRALHERIA</t>
  </si>
  <si>
    <t>ALUMÍNIO EXTRUDADO TRABALHADO - CAIXILHOS E PEQUENAS PEÇAS DE SERRALHERIA</t>
  </si>
  <si>
    <t>INSTALACOES ELETRICAS</t>
  </si>
  <si>
    <t>ENTRADA DE ENERGIA E TELEFONE</t>
  </si>
  <si>
    <t>ENTRADA AÉREA DE ENERGIA E TELEFONE - 13 À 16KVA</t>
  </si>
  <si>
    <t>ENTRADA AÉREA DE ENERGIA E TELEFONE - 17 À 20KVA</t>
  </si>
  <si>
    <t>ENTRADA AÉREA DE ENERGIA E TELEFONE - 21 À 23KVA</t>
  </si>
  <si>
    <t>ENTRADA AÉREA DE ENERGIA E TELEFONE - 24 À 30KVA</t>
  </si>
  <si>
    <t>ENTRADA AÉREA DE ENERGIA E TELEFONE - 31 À 39KVA</t>
  </si>
  <si>
    <t>ENTRADA AÉREA DE ENERGIA E TELEFONE - 40 À 47KVA</t>
  </si>
  <si>
    <t>ENTRADA AÉREA DE ENERGIA E TELEFONE - 48 À 54KVA</t>
  </si>
  <si>
    <t>ENTRADA AÉREA DE ENERGIA E TELEFONE - 55 À 62KVA</t>
  </si>
  <si>
    <t>ENTRADA AÉREA DE ENERGIA E TELEFONE - 63 À 70KVA</t>
  </si>
  <si>
    <t>ENTRADA AÉREA DE ENERGIA E TELEFONE - 71 À 75KVA</t>
  </si>
  <si>
    <t>ENTRADA AÉREA DE TELEFONE</t>
  </si>
  <si>
    <t>ELETRODUTOS - BT</t>
  </si>
  <si>
    <t>XX</t>
  </si>
  <si>
    <t>ELETRODUTO DE PVC RÍGIDO, ROSCÁVEL - 20MM (1/2")</t>
  </si>
  <si>
    <t>ELETRODUTO DE PVC RÍGIDO, ROSCÁVEL - 25MM (3/4")</t>
  </si>
  <si>
    <t>ELETRODUTO DE PVC RÍGIDO, ROSCÁVEL - 32MM (1")</t>
  </si>
  <si>
    <t>ELETRODUTO DE PVC RÍGIDO, ROSCÁVEL - 40MM (1 1/4")</t>
  </si>
  <si>
    <t>ELETRODUTO DE PVC RÍGIDO, ROSCÁVEL - 50MM (1 1/2")</t>
  </si>
  <si>
    <t>ELETRODUTO DE PVC RÍGIDO, ROSCÁVEL - 75MM (2 1/2")</t>
  </si>
  <si>
    <t>ELETRODUTO DE PVC RÍGIDO, ROSCÁVEL - 85MM (3")</t>
  </si>
  <si>
    <t>ELETRODUTO DE PVC RÍGIDO, ROSCÁVEL - 110MM (4")</t>
  </si>
  <si>
    <t>ELETRODUTO DE AÇO GALVANIZADO ELETROLÍTICO, TIPO LEVE I - 3/4"</t>
  </si>
  <si>
    <t>ELETRODUTO DE AÇO GALVANIZADO ELETROLÍTICO, TIPO LEVE I - 1"</t>
  </si>
  <si>
    <t>ELETRODUTO DE AÇO GALVANIZADO ELETROLÍTICO, TIPO LEVE I - 1 1/4"</t>
  </si>
  <si>
    <t>ELETRODUTO DE AÇO GALVANIZADO ELETROLÍTICO, TIPO LEVE I - 1 1/2"</t>
  </si>
  <si>
    <t>ELETRODUTO DE AÇO GALVANIZADO ELETROLÍTICO, TIPO LEVE I - 2"</t>
  </si>
  <si>
    <t>ELETRODUTO DE AÇO GALVANIZADO ELETROLÍTICO, TIPO LEVE I - 2 1/2"</t>
  </si>
  <si>
    <t>ELETRODUTO DE AÇO GALVANIZADO ELETROLÍTICO, TIPO LEVE I - 3"</t>
  </si>
  <si>
    <t>ELETRODUTO DE AÇO GALVANIZADO ELETROLÍTICO, TIPO LEVE I - 4"</t>
  </si>
  <si>
    <t>ELETRODUTO DE AÇO GALVANIZADO A FOGO, TIPO SEMI-PESADO/ MÉDIO - 1/2"</t>
  </si>
  <si>
    <t>ELETRODUTO DE AÇO GALVANIZADO A FOGO, TIPO SEMI-PESADO/ MÉDIO - 3/4"</t>
  </si>
  <si>
    <t>ELETRODUTO DE AÇO GALVANIZADO A FOGO, TIPO SEMI-PESADO/ MÉDIO - 1 1/4"</t>
  </si>
  <si>
    <t>ELETRODUTO DE AÇO GALVANIZADO A FOGO, TIPO SEMI-PESADO/ MÉDIO - 1 1/2"</t>
  </si>
  <si>
    <t>ELETRODUTO DE AÇO GALVANIZADO A FOGO, TIPO SEMI-PESADO/ MÉDIO - 2"</t>
  </si>
  <si>
    <t>ELETRODUTO DE AÇO GALVANIZADO A FOGO, TIPO SEMI-PESADO/ MÉDIO - 2 1/2"</t>
  </si>
  <si>
    <t>ELETRODUTO DE AÇO GALVANIZADO A FOGO, TIPO SEMI-PESADO/ MÉDIO - 3"</t>
  </si>
  <si>
    <t>ELETRODUTO DE AÇO GALVANIZADO A FOGO, TIPO SEMI-PESADO/ MÉDIO - 4"</t>
  </si>
  <si>
    <t>ELETRODUTO DE POLIETILENO FLEXÍVEL, ALTA RESISTÊNCIA - 3"</t>
  </si>
  <si>
    <t>ELETRODUTO DE POLIETILENO FLEXÍVEL, ALTA RESISTÊNCIA - 4"</t>
  </si>
  <si>
    <t>ELETRODUTO DE POLIETILENO FLEXÍVEL, ALTA RESISTÊNCIA - 2"</t>
  </si>
  <si>
    <t>ELETRODUTO DE PVC CORRUGADO REFORÇADO, ANTICHAMA - 20MM (1/2")</t>
  </si>
  <si>
    <t>ELETRODUTO DE PVC CORRUGADO REFORÇADO, ANTICHAMA - 25MM (3/4")</t>
  </si>
  <si>
    <t>TUBO METÁLICO FLEXÍVEL REVESTIDO COM PVC-3/4"</t>
  </si>
  <si>
    <t>TUBO METÁLICO FLEXÍVEL REVESTIDO COM PVC-1"</t>
  </si>
  <si>
    <t>TUBO METÁLICO FLEXÍVEL REVESTIDO COM PVC-1 1/2"</t>
  </si>
  <si>
    <t>ENVELOPAMENTO DE ELETRODUTO ENTERRADO, COM CONCRETO</t>
  </si>
  <si>
    <t>ENVELOPAMENTO DE ELETRODUTO ENTERRADO COM CONCRETO E AGREGADO RECICLADO</t>
  </si>
  <si>
    <t>CONDUTORES - BT</t>
  </si>
  <si>
    <t>CABO 1,00MM2 - ISOLAMENTO PARA 0,7KV - CLASSE 4 - FLEXÍVEL</t>
  </si>
  <si>
    <t>CABO 1,50MM2 - ISOLAMENTO PARA 0,7KV - CLASSE 4 - FLEXÍVEL</t>
  </si>
  <si>
    <t>CABO 2,50MM2 - ISOLAMENTO PARA 0,7KV - CLASSE 4 - FLEXÍVEL</t>
  </si>
  <si>
    <t>CABO 4,00MM2 - ISOLAMENTO PARA 0,7KV - CLASSE 4 - FLEXÍVEL</t>
  </si>
  <si>
    <t>CABO 6,00MM2 - ISOLAMENTO PARA 0,7KV - CLASSE 4 - FLEXÍVEL</t>
  </si>
  <si>
    <t>CABO 10,00MM2 - ISOLAMENTO PARA 0,7KV - CLASSE 4 - FLEXÍVEL</t>
  </si>
  <si>
    <t>CABO 16,00MM2 - ISOLAMENTO PARA 0,7KV - CLASSE 4 - FLEXÍVEL</t>
  </si>
  <si>
    <t>CABO 25,00MM2 - ISOLAMENTO PARA 0,7KV - CLASSE 4 - FLEXÍVEL</t>
  </si>
  <si>
    <t>CABO 35,00MM2 - ISOLAMENTO PARA 0,7KV - CLASSE 4 - FLEXÍVEL</t>
  </si>
  <si>
    <t>CABO 50,00MM2 - ISOLAMENTO PARA 0,7KV - CLASSE 4 - FLEXÍVEL</t>
  </si>
  <si>
    <t>CABO 70,00MM2 - ISOLAMENTO PARA 0,7KV - CLASSE 4 - FLEXÍVEL</t>
  </si>
  <si>
    <t>CABO 95,00MM2 - ISOLAMENTO PARA 0,7KV - CLASSE 4 - FLEXÍVEL</t>
  </si>
  <si>
    <t>CABO 120,00MM2 - ISOLAMENTO PARA 0,7KV - CLASSE 4 - FLEXÍVEL</t>
  </si>
  <si>
    <t>CABO 150,00MM2 - ISOLAMENTO PARA 0,7KV - CLASSE 4 - FLEXÍVEL</t>
  </si>
  <si>
    <t>CABO 185,00MM2 - ISOLAMENTO PARA 0,7KV - CLASSE 4 - FLEXÍVEL</t>
  </si>
  <si>
    <t>CABO 240,00MM2 - ISOLAMENTO PARA 0,7KV - CLASSE 4 - FLEXÍVEL</t>
  </si>
  <si>
    <t>CABO 300.00 MM2 - ISOLAMENTO PARA 0.7KV - CLASSE 4 - FLEXÍVEL</t>
  </si>
  <si>
    <t>CABO COBRE FLEXÍVEL, ISOL. 750V NÃO HALOGENADO - ANTICHAMA - 1,5MM2</t>
  </si>
  <si>
    <t>CABO COBRE FLEXÍVEL, ISOL. 750V NÃO HALOGENADO, ATICHAMA - 2,5MM2</t>
  </si>
  <si>
    <t>CABO COBRE FLEXÍVEL, ISOL. 750V NÃO HALOGENADO, ANTICHAMA - 4,0MM2</t>
  </si>
  <si>
    <t>CABO COBRE FLEXÍVEL, ISOL. 750V NÃO HALOGENADO, ANTICHAMA 6,0MM2</t>
  </si>
  <si>
    <t>CABO 1,50MM2 - ISOLAMENTO PARA 1,0KV - CLASSE 4 - FLEXÍVEL</t>
  </si>
  <si>
    <t>CABO 2,50MM2 - ISOLAMENTO PARA 1,0KV - CLASSE 4 - FLEXÍVEL</t>
  </si>
  <si>
    <t>CABO 4,00MM2 - ISOLAMENTO PARA 1,0KV - CLASSE 4 - FLEXÍVEL</t>
  </si>
  <si>
    <t>CABO 6,00MM2 - ISOLAMENTO PARA 1,0KV - CLASSE 4 - FLEXÍVEL</t>
  </si>
  <si>
    <t>CABO 10,00MM2 - ISOLAMENTO PARA 1,0KV - CLASSE 4 - FLEXÍVEL</t>
  </si>
  <si>
    <t>CABO 16,00MM2 - ISOLAMENTO PARA 1,0KV - CLASSE 4 - FLEXÍVEL</t>
  </si>
  <si>
    <t>CABO 25,00MM2 - ISOLAMENTO PARA 1,0KV - CLASSE 4 - FLEXÍVEL</t>
  </si>
  <si>
    <t>CABO 35,00MM2 - ISOLAMENTO PARA 1,0KV - CLASSE 4 - FLEXÍVEL</t>
  </si>
  <si>
    <t>CABO 50,00MM2 - ISOLAMENTO PARA 1,0KV - CLASSE 4 - FLEXÍVEL</t>
  </si>
  <si>
    <t>CABO 70,00MM2 - ISOLAMENTO PARA 1,0KV - CLASSE 4 - FLEXÍVEL</t>
  </si>
  <si>
    <t>CABO 95,00MM2 - ISOLAMENTO PARA 1,0KV - CLASSE 4 - FLEXÍVEL</t>
  </si>
  <si>
    <t>CABO 120,00MM2 - ISOLAMENTO PARA 1,0KV - CLASSE 4 - FLEXÍVEL</t>
  </si>
  <si>
    <t>CABO 150,00MM2 - ISOLAMENTO PARA 1,0KV - CLASSE 4 - FLEXÍVEL</t>
  </si>
  <si>
    <t>CABO 185,00MM2 - ISOLAMENTO PARA 1,0KV - CLASSE 4 - FLEXÍVEL</t>
  </si>
  <si>
    <t>CABO 240,00MM2 - ISOLAMENTO PARA 1,0KV - CLASSE 4 - FLEXÍVEL</t>
  </si>
  <si>
    <t>CABO 300.00 MM2 - ISOLAMENTO PARA 1.0KV - CLASSE 4 - FLEXÍVEL</t>
  </si>
  <si>
    <t>FIO TELEFÔNICO INTERNO TIPO FI-60 PAR TRANCADO</t>
  </si>
  <si>
    <t>FIO TELEFÔNICO EXTERNO TIPO FE-100 PAR PARALELO</t>
  </si>
  <si>
    <t>CABO FLEXÍVEL PVC-750V - 2 CONDUTORES - 1,5MM2</t>
  </si>
  <si>
    <t>CABO FLEXÍVEL PVC - 750V - 2 CONDUTORES - 4,00MM2</t>
  </si>
  <si>
    <t>CABO FLEXÍVEL PVC-750V - 3 CONDUTORES - 1,5MM2</t>
  </si>
  <si>
    <t>CABO FLEXÍVEL PVC - 750V - 3 CONDUTORES - 2,50MM2</t>
  </si>
  <si>
    <t>CABO FLEXÍVEL PVC-750V - 4 CONDUTORES - 1,5MM2</t>
  </si>
  <si>
    <t>COMPONENTES DE QUADROS ELÉTRICOS</t>
  </si>
  <si>
    <t>SINALIZADOR LUMINOSO DIÂMETRO 22MM, COM LÂMPADA</t>
  </si>
  <si>
    <t>SINALIZADOR LUMINOSO DIÂMETRO 30 MM, COM LÂMPADA</t>
  </si>
  <si>
    <t>VOLTÍMETRO 96X96MM 250V</t>
  </si>
  <si>
    <t>CONTATOR TRIPOLAR I NOMINAL 12A</t>
  </si>
  <si>
    <t>CONTATOR TRIPOLAR I NOMINAL 22A</t>
  </si>
  <si>
    <t>CONTATOR TRIPOLAR I NOMINAL 40A</t>
  </si>
  <si>
    <t>CONTATOR TRIPOLAR I NOMINAL 55A</t>
  </si>
  <si>
    <t>RELÊ BIMETÁLICO DE SOBRECARGA AJUSTE DE 6 ATÉ 12.5A</t>
  </si>
  <si>
    <t>RELÊ BIMETÁLICO DE SOBRECARGA AJUSTE DE 16 ATÉ 25A</t>
  </si>
  <si>
    <t>RELÊ BIMETÁLICO DE SOBRECARGA AJUSTE DE 25 ATÉ 40A</t>
  </si>
  <si>
    <t>RELÊ DE TEMPO ELETRÔNICO AJUSTE DE 6 ATÉ 60S</t>
  </si>
  <si>
    <t>DISPOSITIVO DE PROTEÇÃO CONTRA SURTOS 275V - 15KA</t>
  </si>
  <si>
    <t>INTERRUPTOR DIFERENCIAL RESIDUAL BIPOLAR 25A - SENSIBILIDADE 30MA - 220V</t>
  </si>
  <si>
    <t>INTERRUPTOR DIFERENCIAL RESIDUAL BIPOLAR 40A - SENSIBILIDADE 30MA - 220V</t>
  </si>
  <si>
    <t>INTERRUPTOR DIFERENCIAL RESIDUAL BIPOLAR 63A, SENSIBILIDADE 30MA - 220V</t>
  </si>
  <si>
    <t>INTERRUPTOR DIFERENCIAL TETRAPOLAR - 40A - SENSIBILIDADE 30MA - 380V</t>
  </si>
  <si>
    <t>INTERRUPTOR DIFERENCIAL TETRAPOLAR - 63A SENSIBILIDADE 30MA - 380V</t>
  </si>
  <si>
    <t>INTERRUPTOR DIFERENCIAL TETRAPOLAR - 80A SENSIBILIDADE 30MA - 380V</t>
  </si>
  <si>
    <t>INTERRUPTOR DIFERENCIAL TETRAPOLAR - 100A SENSIBILIDADE 30MA - 380V</t>
  </si>
  <si>
    <t>INTERRUPTOR DIFERENCIAL TETRAPOLAR - 125A SENSIBILIDADE 30MA - 380V</t>
  </si>
  <si>
    <t>INTERRUPTOR DIFERENCIAL TETRAPOLAR - 63A SENSIBILIDADE 300MA - 380V</t>
  </si>
  <si>
    <t>INTERRUPTOR DIFERENCIAL TETRAPOLAR - 80A SENSIBILIDADE 300MA - 380V</t>
  </si>
  <si>
    <t>INTERRUPTOR DIFERENCIAL TETRAPOLAR - 100A SENSIBIL. 300MA - 380V</t>
  </si>
  <si>
    <t>INTERRUPTOR DIFERENCIAL TETRAPOLAR - 125A SENSIBILIDADE 300MA - 380V</t>
  </si>
  <si>
    <t>QUADROS E CAIXAS</t>
  </si>
  <si>
    <t>QUADRO DE DISTRIBUIÇÃO EM CHAPA METÁLICA - PARA ATÉ 16 DISJUNTORES</t>
  </si>
  <si>
    <t>QUADRO DE DISTRIBUIÇÃO EM CHAPA METÁLICA - PARA ATÉ 24 DISJUNTORES</t>
  </si>
  <si>
    <t>QUADRO DE DISTRIBUIÇÃO EM CHAPA METÁLICA - PARA ATÉ 28 DISJUNTORES</t>
  </si>
  <si>
    <t>QUADRO DE DISTRIBUIÇÃO EM CHAPA METÁLICA - PARA ATÉ 34 DISJUNTORES</t>
  </si>
  <si>
    <t>QUADRO DE DISTRIBUIÇÃO EM CHAPA METÁLICA - PARA ATÉ 44 DISJUNTORES</t>
  </si>
  <si>
    <t>QUADRO DE DISTRIBUIÇÃO EM CHAPA METÁLICA - PARA ATÉ 70 DISJUNTORES</t>
  </si>
  <si>
    <t>CAIXA DE PASSAGEM E LIGAÇÃO EM PVC OCTOGONAL FUNDO MOVEL 10X10CM, INCLUSIVE ESPELHO</t>
  </si>
  <si>
    <t>CAIXA DE PASSAGEM E LIGAÇÃO EM PVC 7,5X7,5X5,0CM (3"X3"), INCLUSIVE ESPELHO</t>
  </si>
  <si>
    <t>CAIXA DE PVC 10X5X5CM, INCLUSIVE ESPELHO</t>
  </si>
  <si>
    <t>CAIXA E PVC 10X10X5CM, INCLUSIVE ESPELHO</t>
  </si>
  <si>
    <t>CAIXA DE PASSAGEM EM FERRO ESTAMPADO - 3"X3", INCLUSIVE ESPELHO</t>
  </si>
  <si>
    <t>CAIXA DE PASSAGEM EM FERRO ESTAMPADO - 4"X2", INCLUSIVE ESPELHO</t>
  </si>
  <si>
    <t>CAIXA DE PASSAGEM EM FERRO ESTAMPADO - 4"X4", INCLUSIVE ESPELHO</t>
  </si>
  <si>
    <t>CAIXA DE PASSAGEM EM FERRO ESTAMPADO COM FUNDO MÓVEL</t>
  </si>
  <si>
    <t>CAIXA DE PASSAGEM TIPO CONDULETE - 1/2"</t>
  </si>
  <si>
    <t>CAIXA DE PASSAGEM TIPO CONDULETE - 3/4"</t>
  </si>
  <si>
    <t>CAIXA DE PASSAGEM TIPO CONDULETE - 1"</t>
  </si>
  <si>
    <t>CAIXA DE PASSAGEM TIPO CONDULETE - 1 1/4"</t>
  </si>
  <si>
    <t>CAIXA DE PASSAGEM TIPO CONDULETE - 1 1/2"</t>
  </si>
  <si>
    <t>CAIXA DE PASSAGEM TIPO CONDULETE - 2"</t>
  </si>
  <si>
    <t>CAIXA DE PASSAGEM TIPO CONDULETE - 2 1/2"</t>
  </si>
  <si>
    <t>CAIXA DE PASSAGEM TIPO CONDULETE - 3"</t>
  </si>
  <si>
    <t>CAIXA DE PASSAGEM TIPO CONDULETE - 4"</t>
  </si>
  <si>
    <t>CAIXA DE PASSAGEM EM CHAPA METÁLICA COM TAMPA PARAFUSADA - 10X10X8CM</t>
  </si>
  <si>
    <t>CAIXA DE PASSAGEM EM CHAPA METÁLICA COM TAMPA PARAFUSADA - 20X20X10CM</t>
  </si>
  <si>
    <t>CAIXA DE PASSAGEM EM CHAPA METÁLICA COM TAMPA PARAFUSADA - 30X30X12CM</t>
  </si>
  <si>
    <t>CAIXA DE PASSAGEM EM CHAPA METÁLICA COM TAMPA PARAFUSADA - 40X40X15CM</t>
  </si>
  <si>
    <t>CAIXA DE PASSAGEM EM ALUMÍNIO COM TAMPA E VEDAÇÃO 20X20CM</t>
  </si>
  <si>
    <t>CAIXA DE PASSAGEM EM ALUMÍNIO COM TAMPA E VEDAÇÃO 30X30CM</t>
  </si>
  <si>
    <t>CAIXA DE PASSAGEM EM ALUMÍNIO COM TAMPA E VEDAÇÃO 40X40CM</t>
  </si>
  <si>
    <t>CAIXA DE PASSAGEM EM CHAPA METÁLICA COM PORTA E FECHADURA - 40X40X15CM - USO PARA TELEFONIA</t>
  </si>
  <si>
    <t>CAIXA DE PASSAGEM EM CHAPA METÁLICA COM PORTA E FECHADURA - 50X50X15CM - USO PARA TELEFONIA</t>
  </si>
  <si>
    <t>CAIXA DE PASSAGEM EM ALVENARIA - LASTRO DE BRITA (FUNDO)</t>
  </si>
  <si>
    <t>CAIXA DE PASSAGEM EM ALVENARIA - LASTRO DE CONCRETO (FUNDO)</t>
  </si>
  <si>
    <t>CAIXA DE PASSAGEM EM ALVENARIA - PAREDE DE 1/2 TIJOLO, REVESTIDA</t>
  </si>
  <si>
    <t>CAIXA DE PASSAGEM EM ALVENARIA - PAREDE DE 1 TIJOLO, REVESTIDA</t>
  </si>
  <si>
    <t>CAIXA DE PASSAGEM EM ALVENARIA - TAMPA DE CONCRETO</t>
  </si>
  <si>
    <t>CAIXA TELEFÔNICA INTERNA PADRÃO TELESP N.2 20X20X12CM</t>
  </si>
  <si>
    <t>CAIXA TELEFÔNICA INTERNA PADRÃO TELESP N.3 40X40X13,5CM</t>
  </si>
  <si>
    <t>CAIXA TELEFÔNICA INTERNA PADRÃO TELESP N. 4 60X60X13,5CM</t>
  </si>
  <si>
    <t>CAIXA TELEFÔNICA INTERNA PADRÃO TELESP N. 5 80X80X13,5CM</t>
  </si>
  <si>
    <t>CAIXA TELEFÔNICA INTERNA PADRÃO TELESP N.6 120X120X13,5CM</t>
  </si>
  <si>
    <t>CAIXA TELEFÔNICA INTERNA PADRÃO TELESP N.7 150X150X17CM</t>
  </si>
  <si>
    <t>CAIXA DE PASSAGEM E TAMPA PRÉ-MOLDADAS EM CONCRETO, SEM FUNDO, 20X20CM</t>
  </si>
  <si>
    <t>CAIXA DE PASSAGEM E TAMPA PRÉ-MOLDADAS EM CONCRETO, SEM FUNDO, 30X30CM</t>
  </si>
  <si>
    <t>CAIXA DE PASSAGEM E TAMPA PRÉ-MOLDADAS EM CONCRETO, SEM FUNDO, 40X40CM</t>
  </si>
  <si>
    <t>CAIXA DE PASSAGEM E TAMPA PRÉ-MOLDADAS EM CONCRETO, SEM FUNDO, 60X60CM</t>
  </si>
  <si>
    <t>CAIXA DE PASSAGEM E TAMPA PRÉ-MOLDADAS EM CONCRETO, SEM FUNDO, 100X100</t>
  </si>
  <si>
    <t>CAIXA DE ALUMÍNIO 10X10CM, ALTA COM TAMPA DE LATÃO PARA TOMADAS</t>
  </si>
  <si>
    <t>QUADRO GERAL OU DE DISTRIBUIÇÃO, EM CHAPA METÁLICA N.14 ESMALTADA</t>
  </si>
  <si>
    <t>CHAVES, FUSÍVEIS E ATERRAMENTO</t>
  </si>
  <si>
    <t>CHAVE SECCIONADORA TRIPOLAR, ABERTURA SOB CARGA - SECA 250A/600V</t>
  </si>
  <si>
    <t>CHAVE SECCIONADORA TRIPOLAR, ABERTURA SOB CARGA - SECA 400A/600V</t>
  </si>
  <si>
    <t>CHAVE SECCIONADORA TRIPOLAR, ABERTURA SOB CARGA - SECA 630A/600V</t>
  </si>
  <si>
    <t>CHAVE SECCIONADORA TIPO NH, COM BASE E FUSÍVEIS - 125A (ABERTURA SEM CARGA)</t>
  </si>
  <si>
    <t>CHAVE SECCIONADORA TIPO NH, COM BASE E FUSÍVEIS - 250A (ABERTURA SEM CARGA)</t>
  </si>
  <si>
    <t>CHAVE SECCIONADORA TIPO NH, COM BASE E FUSÍVEIS - 400A (ABERTURA SEM CARGA)</t>
  </si>
  <si>
    <t>CHAVE SECCIONADORA TIPO NH, COM BASE E FUSÍVEIS - 630A (ABERTURA SEM CARGA)</t>
  </si>
  <si>
    <t>CHAVE SECCIONADORA TRIPOLAR, ABERTURA SOB CARGA, COM FUSÍVEIS NH00 - 125A/500V</t>
  </si>
  <si>
    <t>CHAVE SECCIONADORA TRIPOLAR, ABERTURA SOB CARGA, COM FUSÍVEIS NH1 - 250A/500V</t>
  </si>
  <si>
    <t>CHAVE SECCIONADORA TRIPOLAR, ABERTURA SOB CARGA, COM FUSÍVEIS NH2 - 400A/500V</t>
  </si>
  <si>
    <t>CHAVE SECCIONADORA TRIPOLAR, ABERTURA SOB CARGA, COM FUSÍVEIS NH3 -630A/600V</t>
  </si>
  <si>
    <t>CHAVE SECCIONADORA ROTATIVA ABERT. SOB CARGA TP (PACCO) - 3X16A</t>
  </si>
  <si>
    <t>CHAVE SECCIONADORA ROTATIVA ABERTURA SOB CARGA TIPO (PACCO) - 3X63A</t>
  </si>
  <si>
    <t>FUSÍVEL TIPO "DIAZED", TIPO RÁPIDO OU RETARDADO - 2/25A</t>
  </si>
  <si>
    <t>FUSÍVEL TIPO NH - 100/200A</t>
  </si>
  <si>
    <t>FUSÍVEL TIPO NH - 224/355A</t>
  </si>
  <si>
    <t>FUSÍVEL TIPO NH - 425/630A</t>
  </si>
  <si>
    <t>FUSÍVEL TIPO NH TAMANHO 04 DE 800-1250A</t>
  </si>
  <si>
    <t>BASE PARA FUSÍVEIS TIPO "DIAZED" - 2/25A</t>
  </si>
  <si>
    <t>BASE PARA FUSÍVEIS TIPO "DIAZED" - 35/63A</t>
  </si>
  <si>
    <t>BASE COM FUSÍVEIS TIPO NH - ATÉ 125A</t>
  </si>
  <si>
    <t>BASE COM FUSÍVEIS TIPO NH - ATÉ 250A</t>
  </si>
  <si>
    <t>BASE COM FUSÍVEIS TIPO NH - ATÉ 400A</t>
  </si>
  <si>
    <t>BASE COM FUSÍVEIS TIPO NH - TAMANHO 03 DE 425 - 630A</t>
  </si>
  <si>
    <t>BASE COM FUSÍVEIS TIPO NH - TAMANHO 04 DE 800 - 1250A</t>
  </si>
  <si>
    <t>ISOLADOR DE POLIÉSTER TIPO TONEL B.T. USO INTERNO - 15X20MM</t>
  </si>
  <si>
    <t>ISOLADOR DE POLIÉSTER TIPO TONEL B.T. USO INTERNO - 40X50MM</t>
  </si>
  <si>
    <t>ISOLADOR DE POLIÉSTER TIPO TONEL B.T. USO INTERNO - 60X60MM</t>
  </si>
  <si>
    <t>ISOLADOR DE POLIÉSTER TIPO TONEL B.T. USO INTERNO - 60X75MM</t>
  </si>
  <si>
    <t>BARRAMENTO DE COBRE PARA 30A - 6,35X1,58MM</t>
  </si>
  <si>
    <t>BARRAMENTO DE COBRE PARA 60A - 9,52X2,38MM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</si>
  <si>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</si>
  <si>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</si>
  <si>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</si>
  <si>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</si>
  <si>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</si>
  <si>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</si>
  <si>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</si>
  <si>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</si>
  <si>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BARRAMENTO DE COBRE PARA 1400A - 9,52X152MM</t>
  </si>
  <si>
    <t>PROTEÇÃO PARA BARRAMENTO DE QUADROS EM POLICARBONATO COMPACTO 4MM</t>
  </si>
  <si>
    <t>CABO DE COBRE NÚ, PARA ATERRAMENTO - 6,00MM2</t>
  </si>
  <si>
    <t>CABO DE COBRE NÚ, PARA ATERRAMENTO - 10,00MM2</t>
  </si>
  <si>
    <t>CABO DE COBRE NÚ, PARA ATERRAMENTO - 16,00MM2</t>
  </si>
  <si>
    <t>CABO DE COBRE NÚ, PARA ATERRAMENTO - 25,00MM2</t>
  </si>
  <si>
    <t>CABO DE COBRE NÚ, PARA ATERRAMENTO - 35,00MM2</t>
  </si>
  <si>
    <t>CABO DE COBRE NÚ, PARA ATERRAMENTO - 50,00MM2</t>
  </si>
  <si>
    <t>CABO DE COBRE NÚ, PARA ATERRAMENTO - 70.00MM2</t>
  </si>
  <si>
    <t>CABO DE COBRE NÚ, PARA ATERRAMENTO - 95,00MM2</t>
  </si>
  <si>
    <t>CABO DE COBRE NÚ, PARA ATERRAMENTO - 120,00MM2</t>
  </si>
  <si>
    <t>ATERRAMENTO DE QUADROS, EXCLUSIVE CABO</t>
  </si>
  <si>
    <t>PONTOS DE ENERGIA</t>
  </si>
  <si>
    <t>PONTO COM INTERRUPTOR SIMPLES - 1 TECLA, EM CAIXA 4"X2"</t>
  </si>
  <si>
    <t>PONTO COM INTERRUPTOR SIMPLES - 2 TECLAS, EM CAIXA 4"X2"</t>
  </si>
  <si>
    <t>PONTO COM INTERRUPTOR SIMPLES - 3 TECLAS, EM CAIXA 4"X2"</t>
  </si>
  <si>
    <t>PONTO COM INTERRUPTOR SIMPLES - 2 TECLAS, EM CAIXA 4"X4"</t>
  </si>
  <si>
    <t>PONTO COM INTERRUPTOR SIMPLES - 3 TECLAS, EM CAIXA 4"X4"</t>
  </si>
  <si>
    <t>PONTO COM INTERRUPTOR SIMPLES - 4 TECLAS, EM CAIXA 4"X4"</t>
  </si>
  <si>
    <t>PONTO COM INTERRUPTOR SIMPLES E TOMADA 110V - EM CAIXA 4"X4"</t>
  </si>
  <si>
    <t>PONTO COM INTERRUPTOR PARALELO - 1 TECLA, EM CAIXA 4"X2"</t>
  </si>
  <si>
    <t>PONTO COM INTERRUPTOR SIMPLES BIPOLAR - EM CAIXA 4"X2"</t>
  </si>
  <si>
    <t>PONTO COM INTERRUPTOR PARALELO BIPOLAR - EM CAIXA 4"X2"</t>
  </si>
  <si>
    <t>PONTO COM DOIS INTERRUPTORES SIMPLES BIPOLAR - EM CAIXA 4"X4"</t>
  </si>
  <si>
    <t>PONTO COM INTERRUPTOR SIMPLES - 1 TECLA, EM CONDULETE 3/4"</t>
  </si>
  <si>
    <t>PONTO COM INTERRUPTOR SIMPLES - 2 TECLAS, EM CONDULETE 3/4"</t>
  </si>
  <si>
    <t>PONTO COM INTERRUPTOR SIMPLES - 3 TECLAS, EM CONDULETE 3/4"</t>
  </si>
  <si>
    <t>PONTO COM INTERRUPTOR SIMPLES - 4 TECLAS, EM CONDULETE 3/4" CORPO DUPLO</t>
  </si>
  <si>
    <t>PONTO COM INTERRUPTOR PARALELO - 1 TECLA, EM CONDULETE 3/4"</t>
  </si>
  <si>
    <t>PONTO COM INTERRUPTOR SIMPLES E TOMADA 110V - EM CONDULETE 3/4" CORPO DUPLO</t>
  </si>
  <si>
    <t>PONTO COM INTERRUPTOR SIMPLES BIPOLAR - EM CONDULETE 3/4"</t>
  </si>
  <si>
    <t>PONTO COM INTERRUPTOR PARALELO BIPOLAR - EM CONDULETE 3/4"</t>
  </si>
  <si>
    <t>PONTO COM DOIS INTERRUPTORES SIMPLES BIPOLAR - EM CONDULETE 3/4"</t>
  </si>
  <si>
    <t>PONTO COM TRÊS INTERRUPTORES SIMPLES BIPOLAR - EM CONDULETE 3/4" CORPO DUPLO</t>
  </si>
  <si>
    <t>PONTO COM TOMADA SIMPLES DE EMBUTIR - 110/220V CAIXA 4"X2"</t>
  </si>
  <si>
    <t>PONTO COM TOMADA SIMPLES 110/220V - EM CONDULETE 3/4"</t>
  </si>
  <si>
    <t>PONTO COM TOMADA SIMPLES DE EMBUTIR - PARA PISO</t>
  </si>
  <si>
    <t>PONTO SECO PARA TELEFONE - CAIXA 4"X4"</t>
  </si>
  <si>
    <t>PONTO SECO PARA TELEFONE EM CONDULETE</t>
  </si>
  <si>
    <t>PONTO COM BOTÃO PARA CAMPAINHA - USO AO TEMPO - CAIXA 4"X2"</t>
  </si>
  <si>
    <t>PONTO COM CIGARRA DE SOBREPOR, TIPO COLEGIAL - CAIXA 3"X3"</t>
  </si>
  <si>
    <t>PONTO DE LUZ - CAIXA FUNDO MÓVEL</t>
  </si>
  <si>
    <t>PONTO DE LUZ - CONDULETE 3/4"</t>
  </si>
  <si>
    <t>DISJUNTORES</t>
  </si>
  <si>
    <t>MINI DISJUNTOR - TIPO EUROPEU (IEC) - UNIPOLAR 6/25A</t>
  </si>
  <si>
    <t>MINI DISJUNTOR - TIPO EUROPEU (IEC) - UNIPOLAR 32/50A</t>
  </si>
  <si>
    <t>MINI DISJUNTOR - TIPO EUROPEU (IEC) - BIPOLAR 6/25A</t>
  </si>
  <si>
    <t>MINI DISJUNTOR - TIPO EUROPEU (IEC) -  BIPOLAR 32/50A</t>
  </si>
  <si>
    <t>MINI DISJUNTOR - TIPO EUROPEU (IEC) - TRIPOLAR 6/25A</t>
  </si>
  <si>
    <t>MINI DISJUNTOR - TIPO EUROPEU (IEC) - TRIPOLAR 32/50A</t>
  </si>
  <si>
    <t>MINI DISJUNTOR - TIPO EUROPEU (IEC) - TRIPOLAR 63A</t>
  </si>
  <si>
    <t>MINI DISJUNTOR - TIPO EUROPEU (IEC) - TRIPOLAR 80A</t>
  </si>
  <si>
    <t>MINI DISJUNTOR - TIPO EUROPEU (IEC) - TRIPOLAR 100A</t>
  </si>
  <si>
    <t>MINI DISJUNTOR - TIPO EUROPEU (IEC) - BIPOLAR 63A</t>
  </si>
  <si>
    <t>MINI DISJUNTOR - TIPO EUROPEU (IEC) - BIPOLAR 80A</t>
  </si>
  <si>
    <t>DISJUNTOR AUTOMÁTICO TRIPOLAR A SECO  800A/600V</t>
  </si>
  <si>
    <t>DISJUNTOR AUTOMÁTICO TRIPOLAR A SECO 1000A/600V</t>
  </si>
  <si>
    <t>DISJUNTOR AUTOMÁTICO TRIPOLAR A SECO 1250A/600V</t>
  </si>
  <si>
    <t>DISJUNTOR AUTOMÁTICO TRIPOLAR A SECO 1600A/600V</t>
  </si>
  <si>
    <t>DISJUNTOR AUTOMÁTICO TRIPOLAR A SECO 2000A/600V</t>
  </si>
  <si>
    <t>DISJUNTOR AUTOMÁTICO TRIPOLAR A SECO 2500A/600V</t>
  </si>
  <si>
    <t>DISJUNTOR AUTOMÁTICO TRIPOLAR A SECO 3200A/600V</t>
  </si>
  <si>
    <t>MINI DISJUNTOR - TIPO EUROPEU (IEC) - BIPOLAR 100A</t>
  </si>
  <si>
    <t>MINI DISJUNTOR - TIPO EUROPEU (IEC) - BIPOLAR 125A</t>
  </si>
  <si>
    <t>DISJUNTOR CAIXA MOLDADA BIPOLAR 100A COM DISPARADOR TERMOMAGNÉTICO AJUSTÁVEL</t>
  </si>
  <si>
    <t>DISJUNTOR CAIXA MOLDADA BIPOLAR 150A COM DISPARADOR TERMOMAGNÉTICO AJUSTÁVEL</t>
  </si>
  <si>
    <t>DISJUNTOR CAIXA MOLDADA BIPOLAR 200A COM DISPARADOR TERMOMAGNÉTICO AJUSTÁVEL</t>
  </si>
  <si>
    <t>DISJUNTOR CX MOLDADA BIPOLAR 250A C/ DISPARADOR TERM/MAGNET. AJUSTÁVEL</t>
  </si>
  <si>
    <t>DISJUNTOR CAIXA MOLDADA TRIPOLAR 100A COM DISPARADOR TERMOMAGNÉTICO AJUSTÁVEL</t>
  </si>
  <si>
    <t>DISJUNTOR CAIXA MOLDADA TRIPOLAR 125A COM DISPARADOR TERMOMAGNÉTICO AJUSTÁVEL</t>
  </si>
  <si>
    <t>DISJUNTOR CAIXA MOLDADA TRIPOLAR 150A COM DISPARADOR TERMOMAGNÉTICO AJUSTÁVEL</t>
  </si>
  <si>
    <t>DISJUNTOR CAIXA MOLDADA TRIPOLAR 200A COM DISPARADOR TERMOMAGNÉTICO AJUSTÁVEL</t>
  </si>
  <si>
    <t>DISJUNTOR CAIXA MOLDADA TRIPOLAR 250A COM DISPARADOR TERMOMAGNÉTICO AJUSTÁVEL</t>
  </si>
  <si>
    <t>DISJUNTOR CAIXA MOLDADA TRIPOLAR 300A COM DISPARADOR TERMOMAGNÉTICO AJUSTÁVEL</t>
  </si>
  <si>
    <t>DISJUNTOR CAIXA MOLDADA TRIPOLAR 400A COM DISPARADOR TERMOMAGNÉTICO AJUSTÁVEL</t>
  </si>
  <si>
    <t>DISJUNTOR CAIXA MOLDADA TRIPOLAR 450A COM DISPARADOR TERMOMAGNÉTICO AJUSTÁVEL</t>
  </si>
  <si>
    <t>DISJUNTOR CAIXA MOLDADA TRIPOLAR 630A COM DISPARADOR TERMOMAGNÉTICO AJUSTÁVEL</t>
  </si>
  <si>
    <t>DISJUNTOR TERMOMAGNÉTICO DIFERENCIAL BIPOLAR - 16A - SENSIBILIDADE 30MA - 230V</t>
  </si>
  <si>
    <t>DISJUNTOR TERMOMAGNÉTICO DIFERENCIAL BIPOLAR - 20A - SENSIBILIDADE 30MA - 230V</t>
  </si>
  <si>
    <t>DISJUNTOR TERMOMAGNÉTICO DIFERENCIAL BIPOLAR - 25A - SENSIBILIDADE 30MA - 240V</t>
  </si>
  <si>
    <t>DISJUNTOR TERMOMAGNÉTICO DIFERENCIAL BIPOLAR - 32A - SENSIBILIDADE 30MA - 230V</t>
  </si>
  <si>
    <t>DISJUNTOR TERMOMAGNÉTICO DIFERENCIAL BIPOLAR - 40A - SENSIBILIDADE 30MA - 240V</t>
  </si>
  <si>
    <t>DISJUNTOR TERMOMAGNÉTICO DIFERENCIAL BIPOLAR - 63A - SENSIBILIDADE 30MA - 240V</t>
  </si>
  <si>
    <t>DISJUNTOR TERMOMAGNÉTICO DIFERENCIAL TRIPOLAR - 63A - SENSIBILIDADE 30MA - 240V</t>
  </si>
  <si>
    <t>APARELHOS DE ILUMINAÇÃO</t>
  </si>
  <si>
    <t>LUMINÁRIA INDUSTRIAL, CORPO REFLETOR REPUXADO EM CHAPA DE ALUMÍNIO ANODIZADO E SELADO - FLANGE DE FIXAÇÃO EM LIGA DE ALUMÍNIO FUNDIDO  PARA LÂMPADA DE VAPOR DE MERCÚRIO ATÉ 400W</t>
  </si>
  <si>
    <t>PROJETOR DE ALUMÍNIO FUNDIDO COM VIDRO PARA LÂMPADA ATÉ 500W</t>
  </si>
  <si>
    <t>PROJETOR DE ALUMÍNIO FUNDIDO COM VIDRO PARA LÂMPADA ATÉ 1000W</t>
  </si>
  <si>
    <t>PROJETOR DE ALUMÍNIO REPUXADO COM VIDRO PARA LÂMPADA ATÉ 400W</t>
  </si>
  <si>
    <t>PROJETOR PARA USO EXTERNO COM LÂMPADA LED DE 100W - COMPLETA</t>
  </si>
  <si>
    <t>PROJETOR PARA USO EXTERNO COM LÂMPADA LED DE 150W - COMPLETA</t>
  </si>
  <si>
    <t>LUMINÁRIA BLINDADA EM ALUMÍNIO FUNDIDO DE EMBUTIR ATÉ 200W</t>
  </si>
  <si>
    <t>LUMINÁRIA BLINDADA EM ALUMÍNIO FUNDIDO, DE SOBREPOR, TIPO "TARTARUGA" PARA 1 LÂMPADA DE ATÉ 200W</t>
  </si>
  <si>
    <t>LUMINÁRIA COMERCIAL DE SOBREPOR COM DIFUSOR TRANSPARENTE OU FOSCO PARA 2 LÂMPADAS TUBULARES DE LED 9/10W - COMPLETA</t>
  </si>
  <si>
    <t>LUMINÁRIA COMERCIAL DE SOBREPOR COM DIFUSOR TRANSPARENTE OU FOSCO PARA 2 LÂMPADAS TUBULARES DE LED 18/20W - COMPLETA</t>
  </si>
  <si>
    <t>LUMINÁRIA COMERCIAL DE EMBUTIR COM DIFUSOR TRANSPARENTE OU FOSCO PARA 2 LÂMPADAS TUBULARES T8 DE 10W - BASE G13-IRC&gt;=80 - COMPLETA</t>
  </si>
  <si>
    <t>LUMINÁRIA COMERCIAL DE EMBUTIR COM DIFUSOR TRANSPARENTE OU FOSCO PARA 2 LÂMPADAS TUBULARES DE LED 18/20W - COMPLETA</t>
  </si>
  <si>
    <t>LUMINÁRIA COMERCIAL DE EMBUTIR COM CORPO, ALETAS PLANAS, TAMPA PORTA LÂMPADAS EM CHAPA DE AÇO TRATADA E PINTADA NA COR BRANCA, REFLETOR COM ACABAMENTO ESPECULAR DE ALTO BRILHO PARA 2 LÂMPADAS FLUORESCENTES DE 16/20W - COMPLETA</t>
  </si>
  <si>
    <t>LUMINÁRIA COMERCIAL DE EMBUTIR COM CORPO, ALETAS PLANAS, TAMPA PORTA LÂMPADAS EM CHAPA DE AÇO TRATADA E PINTADA NA COR BRANCA, REFLETOR COM ACABAMENTO ESPECULAR DE ALTO BRILHO PARA 2 LÂMPADAS FLUORESCENTES DE 32/40W - COMPLETA</t>
  </si>
  <si>
    <t>LUMINÁRIA HERMÉTICA EM ALUMÍNIO FUNDIDO PARA LÂMPADA ATÉ 250W - COM APROVAÇÃO DE ILUME/ PMSP</t>
  </si>
  <si>
    <t>LUMINÁRIA INDUSTRIAL, CORPO EM CHAPA DE AÇO TRATADA, PINTADA E REFLETOR EM ALUMÍNIO ANODIZADO DE ALTO BRILHO - 1XT 14W</t>
  </si>
  <si>
    <t>LUMINÁRIA INDUSTRIAL CORPO EM CHAPA DE AÇO TRATADA, PINTADA E REFLETOR EM ALUMÍNIO ANODIZADO E ALTO BRILHO - 2XT 14W</t>
  </si>
  <si>
    <t>LUMINÁRIA INDUSTRIAL - 1 LÂMPADA FLUORESCENTE 16W</t>
  </si>
  <si>
    <t>LUMINÁRIA INDUSTRIAL - 2 LÂMPADAS FLUORESCENTES 16/20W</t>
  </si>
  <si>
    <t>LUMINÁRIA INDUSTRIAL - 1 LÂMPADA FLUORESCENTE 32W</t>
  </si>
  <si>
    <t>LUMINÁRIA INDUSTRIAL - 2 LÂMPADAS FLUORESCENTE 32/40W</t>
  </si>
  <si>
    <t>LUMINÁRIA TIPO PLAFONIER BRANCA PARA LÂMPADA FLUORESCENTE 2X32W, COM DIFUSOR EM POLIESTIRENO TRANSPARENTE E SOQUETES (REF. COVISA)</t>
  </si>
  <si>
    <t>LUMINÁRIA INDUSTRIAL CORPO EM CHAPA DE AÇO TRATADA, PINTADA E REFLETOR EM ALUMÍNIO ANODIZADO DE ALTO BRILHO - 1XT 28W</t>
  </si>
  <si>
    <t>LUMINÁRIA INDUSTRIAL CORPO EM CHAPA DE AÇO TRATADA, PINTADA E REFLETOR EM ALUMÍNIO ANODIZADO DE ALTO BRILHO - 2XT 28W</t>
  </si>
  <si>
    <t>LUMINÁRIA COMERCIAL DE SOBREPOR, COM CORPO, ALETAS PLANAS E TAMPA PORTA LÂMPADAS EM CHAPA DE AÇO TRATADO E PINTURA NA COR BRANCA, REFLETOR COM ACABAMENTO ESPECULAR DE ALTO BRILHO - 2 LÂMPADAS FLUORESCENTES 16/20W</t>
  </si>
  <si>
    <t>LUMINÁRIA COMERCIAL DE SOBREPOR, COM CORPO, ALETAS PLANAS E TAMPA PORTA LÂMPADAS EM CHAPA DE AÇO TRATADA E PINTURA NA COR BRANCA, REFLETOR COM ACABAMENTO ESPECULAR DE ALTO BRILHO - 2 LÂMPADAS FLUORESCENTES 32/40W</t>
  </si>
  <si>
    <t>LUMINÁRIA COMERCIAL - 1 LÂMPADA FLUORESCENTE 54W</t>
  </si>
  <si>
    <t>LUMINÁRIA COMERCIAL - 2 LÂMPADAS FLUORESCENTES 54W</t>
  </si>
  <si>
    <t>LUMINÁRIA COMERCIAL - 1 LÂMPADA FLUORESCENTE DE 14W</t>
  </si>
  <si>
    <t>LUMINÁRIA COMERCIAL - 1 LÂMPADA FLUORESCENTE DE 28W</t>
  </si>
  <si>
    <t>LUMINÁRIA COMERCIAL - 2 LÂMPADAS FLUORESCENTES 14W</t>
  </si>
  <si>
    <t>LUMINÁRIA COMERCIAL - 2 LÂMPADAS FLUORESCENTES 28W</t>
  </si>
  <si>
    <t>EQUIPAMENTOS DE EMERGÊNCIA E SEGURANÇA</t>
  </si>
  <si>
    <t>LUMINÁRIA DE EMERGÊNCIA AUTÔNOMA COM LÂMPADA FLUORESCENTE 15W</t>
  </si>
  <si>
    <t>LUMINÁRIA DE EMERGÊNCIA AUTÔNOMA COM 2 PROJETORES 55W/12VCC</t>
  </si>
  <si>
    <t>LUMINÁRIA DE EMERGÊNCIA AUTÔNOMA COM LÂMPADA FLUORESCENTE 9W</t>
  </si>
  <si>
    <t>LUMINÁRIA DE EMERGÊNCIA AUTÔNOMA COM 30 LEDS - 2W - AUTONOMIA MIN. 3H - COMPLETA</t>
  </si>
  <si>
    <t>BATERIA AUTOMOTIVA SELADA SEM COMPLEMENTAÇÃO DE NÍVEL 40AH-12V</t>
  </si>
  <si>
    <t>CENTRAL DE ALARME DE INCÊNDIO ATÉ 12 LAÇOS</t>
  </si>
  <si>
    <t>CENTRAL DE ALARME DE INCÊNDIO ATÉ 24 LAÇOS</t>
  </si>
  <si>
    <t>ACIONADOR LIGA-DESLIGA PARA BOMBA COM MARTELO QUEBRA VIDRO</t>
  </si>
  <si>
    <t>ACIONADOR MANUAL TIPO "QUEBRE O VIDRO"</t>
  </si>
  <si>
    <t>CAMPAINHA DE TIMBRE (SINO) 24V-95DB</t>
  </si>
  <si>
    <t>SIRENE ELETRÔNICA SOM AGUDO ONDULANTE 24V-100 À 120DB, COM FLASH</t>
  </si>
  <si>
    <t>SIRENE ELETRÔNICA BITONAL 24V-100 À 120DB, COM FLASH</t>
  </si>
  <si>
    <t>DETECTOR ÓPTICO DE FUMAÇA PARA SISTEMAS ENDEREÇÁVEIS</t>
  </si>
  <si>
    <t>DETECTOR DE PRESENÇA TIPO INFRAVERMELHO PASSIVO - 110VCA</t>
  </si>
  <si>
    <t>NO-BREAK TRIFÁSICO - 15 KVA - AUTONOMIA DE 15MIN.</t>
  </si>
  <si>
    <t>NO BREAK BIFÁSICO 10 KVA - AUTONOMIA DE 15 MINUTOS</t>
  </si>
  <si>
    <t>ESTABILIZADOR ELETRÔNICO TRIFÁSICO - 15KVA</t>
  </si>
  <si>
    <t>GRUPO GERADOR 110KVA EXCITAÇÃO BRUSHLESS C/ QUADRO TRANSF. AUTOMÁTICA</t>
  </si>
  <si>
    <t>GRUPO GERADOR 150KVA EXCITAÇÃO BRUSHLESS C/ QUADRO TRANSF. AUTOMÁTICA</t>
  </si>
  <si>
    <t>GRUPO GERADOR 275KVA EXCITAÇÃO BRUSHLESS C/ QUADRO TRANSF. AUTOMÁTICA</t>
  </si>
  <si>
    <t>PÁRA-RAIOS</t>
  </si>
  <si>
    <t>PÁRA-RAIOS TIPO "FRANKLIN", EXCLUSIVE DESCIDA E ATERRAMENTO</t>
  </si>
  <si>
    <t>CAIXA DE INSPEÇÃO DE ATERRAMENTO TIPO EMBUTIR COM TAMPA E ALÇA</t>
  </si>
  <si>
    <t>CAIXA DE INSPEÇÃO DE ATERRAMENTO TIPO SUSPENSA EM PVC OU POLIPROPILENO</t>
  </si>
  <si>
    <t>LUZ DE OBSTÁCULO SIMPLES COM FOTOCELULA SOLAR</t>
  </si>
  <si>
    <t>LUZ DE OBSTÁCULO DUPLA COM FOTOCELULA SOLAR</t>
  </si>
  <si>
    <t>CONDUTOR EM AÇO CA - 25 - 1/2" P/ PARA-RAIO</t>
  </si>
  <si>
    <t>HASTE DE AÇO GALVANIZADO, INCLUSIVE BASE E ESTAIS - 2"/3M</t>
  </si>
  <si>
    <t>CORDOALHA DE COBRE NÚ, INCLUSIVE ISOLADORES - 16,00MM2</t>
  </si>
  <si>
    <t>CORDOALHA DE COBRE NÚ, INCLUSIVE ISOLADORES - 35,00MM2</t>
  </si>
  <si>
    <t>CORDOALHA DE COBRE NÚ, INCLUSIVE ISOLADORES - 50,00MM2</t>
  </si>
  <si>
    <t>TUBO DE PVC PARA PROTEÇÃO DE CORDOALHA - 2"X3M</t>
  </si>
  <si>
    <t>TOMADA DE TERRA COMPLETA</t>
  </si>
  <si>
    <t>TOMADA DE TERRA COMPLETA PARA 1 HASTE</t>
  </si>
  <si>
    <t>BARRA CHATA DE ALUMÍNIO TIPO FITA 1/4" X 3/4"</t>
  </si>
  <si>
    <t>BARRA CHATA DE ALUMÍNIO TIPO FITA 1/8" X 7/8"</t>
  </si>
  <si>
    <t>DIVERSOS</t>
  </si>
  <si>
    <t>QUADRO COMANDO PARA CONJUNTO MOTOR-BOMBA, MONOFÁSICO - ATÉ 5HP</t>
  </si>
  <si>
    <t>QUADRO COMANDO PARA CONJUNTO MOTOR-BOMBA, TRIFÁSICO - ATÉ 5HP</t>
  </si>
  <si>
    <t>QUADRO DE ÁGUA DE REUSO</t>
  </si>
  <si>
    <t>QUADRO DE BOMBA DE INCÊNDIO</t>
  </si>
  <si>
    <t>QUADRO DE BOMBA DE RECALQUE</t>
  </si>
  <si>
    <t>ELETROFERRAGENS</t>
  </si>
  <si>
    <t>PERFILADO LISO CHAPA 14-GE-MED. 19X38MM COM TAMPA E INSTALAÇÃO</t>
  </si>
  <si>
    <t>PERFILADO LISO CHAPA 14-GE-MED. 38X38MM COM TAMPA E INSTALAÇÃO</t>
  </si>
  <si>
    <t>PERFILADO LISO CHAPA 14-GE-MED. 38X76MM COM TAMPA E INSTALAÇÃO.</t>
  </si>
  <si>
    <t>PERFILADO PERFURADO CHAPA 14-GE-MED. 19X38MM COM TAMPA E INSTALAÇÃO</t>
  </si>
  <si>
    <t>PERFILADO PERFURADO CHAPA 14-GE-MED. 38X38MM COM TAMPA E INSTALAÇÃO</t>
  </si>
  <si>
    <t>PERFILADO PERFURADO CHAPA 14-GE-MED. 38X76MM COM TAMPA E INSTALAÇÃO</t>
  </si>
  <si>
    <t>ELETROCALHA LISA GALVANIZADA ELETROLÍTICA CHAPA 14 - 100X50MM  COM TAMPA E INSTALAÇÃO</t>
  </si>
  <si>
    <t>ELETROCALHA LISA GALVANIZADA ELETROLÍTICA CHAPA 14 - 125X50MM  COM TAMPA E INSTALAÇÃO</t>
  </si>
  <si>
    <t>ELETROCALHA LISA GALVANIZADA ELETROLÍTICA CHAPA 14 - 150X50MM  COM TAMPA E INSTALAÇÃO</t>
  </si>
  <si>
    <t>ELETROCALHA LISA GALV. ELETROLÍTICA CHAPA 14 - 175X50MM C/ TAMPA E INST.</t>
  </si>
  <si>
    <t>ELETROCALHA LISA GALVANIZADA ELETROLÍTICA CHAPA 14 - 200X50MM  COM TAMPA E INSTALAÇÃO</t>
  </si>
  <si>
    <t>ELETROCALHA LISA GALV. ELETROL. CHAPA 14 - 250X50MM C/ TAMPA E INST.</t>
  </si>
  <si>
    <t>ELETROCALHA LISA GALVANIZADA ELETROLÍTICA CHAPA 14 - 300X50MM  COM TAMPA E INSTALAÇÃO</t>
  </si>
  <si>
    <t>ELETROCALHA LISA GALV. ELETROL. CHAPA 14 - 150X100MM C/ TAMPA E INST.</t>
  </si>
  <si>
    <t>ELETROCALHA LISA GALVANIZADA ELETROLÍTICA CHAPA 14 - 200X100MM COM TAMPA E INSTALAÇÃO</t>
  </si>
  <si>
    <t>ELETROCALHA LISA GALV. ELETROL. CHAPA 14 - 250X100MM C/ TAMPA E INST.</t>
  </si>
  <si>
    <t>ELETROCALHA LISA GALVANIZADA ELETROLÍTICA CHAPA 14 - 300X100MM COM TAMPA E INSTALAÇÃO</t>
  </si>
  <si>
    <t>ELETROCALHA LISA GALV. ELETROL. CHAPA 14 - 400X100MM C/ TAMPA E INST.</t>
  </si>
  <si>
    <t>ELETROCALHA PERF. GALV. ELETROL. CHAPA 14 - 100X50MM C/ TAMPA E INST.</t>
  </si>
  <si>
    <t>ELETROCALHA PERF. GALV. ELETROL. CHAPA 14 - 125X50MM C/ TAMPA E INST.</t>
  </si>
  <si>
    <t>ELETROCALHA PERF. GALV. ELETROL. CHAPA 14 - 150X50MM C/ TAMPA E INST.</t>
  </si>
  <si>
    <t>ELETROCALHA PERF. GALV. ELETROL. CHAPA 14 - 175X50MM C/ TAMPA E INST.</t>
  </si>
  <si>
    <t>ELETROCALHA PERF. GALV. ELETROL. CHAPA 14 - 200X50MM C/ TAMPA E INST.</t>
  </si>
  <si>
    <t>ELETROCALHA PERF. GALV. ELETROL. CHAPA 14 - 250X50MM C/ TAMPA E INST.</t>
  </si>
  <si>
    <t>ELETROCALHA PERF. GALV. ELETROL. CHAPA 14 - 300X50MM C/ TAMPA E INST.</t>
  </si>
  <si>
    <t>ELETROCALHA PERF. GALV. ELETROL. CHAPA 14 - 150X100MM C/ TAMPA E INST.</t>
  </si>
  <si>
    <t>ELETROCALHA PERF. GALV. ELETROL. CHAPA 14 - 200X100MM C/ TAMPA E INST.</t>
  </si>
  <si>
    <t>ELETROCALHA PERF. GALV. CHAPA 14 - 250X100MM C/ TAMPA E INST.</t>
  </si>
  <si>
    <t>ELETROCALHA PERF. GALV. ELETROL. CHAPA 14 - 400X100MM C/ TAMPA E INST.</t>
  </si>
  <si>
    <t>ALTA TENSÃO</t>
  </si>
  <si>
    <t>ÓLEO ISOLANTE PARA TRANSFORMADOR/ DISJUNTOR 30KV/CM</t>
  </si>
  <si>
    <t>ISOLADOR SUPORTE TIPO PEDESTAL EM PORCELANA - 15KV</t>
  </si>
  <si>
    <t>ISOLADOR SUPORTE TIPO PEDESTAL EM PORCELANA - 1KV</t>
  </si>
  <si>
    <t>ISOLADOR SUPORTE TIPO PEDESTAL EM EPOXI - 15KV</t>
  </si>
  <si>
    <t>ISOLADOR SUPORTE TIPO PEDESTAL EPOXI - 1KV</t>
  </si>
  <si>
    <t>VERGALHÃO DE COBRE 3/8" (10MM)</t>
  </si>
  <si>
    <t>TERMINAL OU CONECTOR PARA VERGALHÃO DE COBRE 3/8" (10MM)</t>
  </si>
  <si>
    <t>CABO DE MÉDIA TENSÃO PARA 12/20KV - 1 X 35MM2 UNIPOLAR</t>
  </si>
  <si>
    <t>MUFLA UNIPOLAR INTERNA PARA CABO ATÉ 35MM2 - 15KV</t>
  </si>
  <si>
    <t>MUFLA UNIPOLAR EXTERNA PARA CABO ATÉ 35MM2 - 15KV</t>
  </si>
  <si>
    <t>MUFLA TRIPOLAR INTERNA PARA CABO ATÉ 35MM2 - 15KV</t>
  </si>
  <si>
    <t>MUFLA TRIPOLAR EXTERNA PARA CABO ATÉ 35MM2 - 15KV</t>
  </si>
  <si>
    <t>BUCHA D PASSAGEM INTERNA/ EXTERNA - 15KV</t>
  </si>
  <si>
    <t>BUCHA DE PASSAGEM PARA NEUTRO - 1KV</t>
  </si>
  <si>
    <t>CHAPA DE FERRO 150X0,50X1/4" PARA BUCHAS DE PASSAGEM</t>
  </si>
  <si>
    <t>BUCHA DE PASSAGEM COM ROSCA PARA CUBICULO BLINDADO</t>
  </si>
  <si>
    <t>FUSIVEL HH PARA 40A/ 15KV</t>
  </si>
  <si>
    <t>BASE TRIPOLAR PARA FUSIVEL LIMITADOR HH - 15KV/ 200A</t>
  </si>
  <si>
    <t>TRANSFORMADOR POTENCIAL A ÓLEO 500VA - 13.2KV/220V</t>
  </si>
  <si>
    <t>FUSIVEL PARA TRANSFORMADOR DE POTENCIAL</t>
  </si>
  <si>
    <t>DISJUNTOR PVO 15KV/ 350MVA - COMPLETO</t>
  </si>
  <si>
    <t>BOBINA D MÍNIMA TENSÃO DO DISJUNTOR VOL. NORMAL DE ÓLEO</t>
  </si>
  <si>
    <t>RELE DE FALTA DE FASE E MÍNIMA TENSÃO TRIFÁSICO</t>
  </si>
  <si>
    <t>ESTRADO DE MADEIRA 100X100CM</t>
  </si>
  <si>
    <t>VARA DE MANOBRA DE FIBRA DE VIDRO, 3,00M/ 15KV</t>
  </si>
  <si>
    <t>CAIXA DE MEDIÇÃO A3 PADRÃO ELETROPAULO</t>
  </si>
  <si>
    <t>JANELA PARA VENTILAÇÃO PERMANENTE TIPO CHICANA - INCLUSIVE TELA</t>
  </si>
  <si>
    <t>PLACA DE AVISO EM ALUMÍNIO PARA CABINE PRIMÁRIA COM MED 16X23CM (VARIAÇÃO DE +OU- 2CM)</t>
  </si>
  <si>
    <t>PLAQUETA INDICATIVADE PVC 8 X 12CM</t>
  </si>
  <si>
    <t>MUDANÇA DOS TAP'S DO TRANSFORMADOR DE FORÇA</t>
  </si>
  <si>
    <t>LIMPEZA DO POSTO PRIMÁRIO E PINTURA DOS BARRAMENTOS</t>
  </si>
  <si>
    <t>BRAÇADEIRA PARA ELETRODUTO EM POSTE</t>
  </si>
  <si>
    <t>LUVA DE BORRACHA ISOLAÇÃO 20KV</t>
  </si>
  <si>
    <t>CHAVE SECCIONADORA TRIP SECA INTERNA 200A/ 15KV</t>
  </si>
  <si>
    <t>CHAVE SECCIONADORA TRIP SECA INTERNA 400A/15KV</t>
  </si>
  <si>
    <t>CHAVE SECIONADORA TRIP INTERNA C/ BASE FUS HH 400A/15KV</t>
  </si>
  <si>
    <t>INSTALAÇÃO DE CONJUNTO DE ACIONAMENTO PARA CHAVE SECCIONADORA</t>
  </si>
  <si>
    <t>TRANSFORMADOR ISOLADOR BIFÁSICO 10KVA</t>
  </si>
  <si>
    <t>TRANSFORMADOR TRIFÁSICO 15KV - 13,2KV/ 220V/ 127V - 112,5KVA</t>
  </si>
  <si>
    <t>TRANSFORMADOR TRIFÁSICO 15KV - 13,2KV/ 220V/ 127V - 150KVA</t>
  </si>
  <si>
    <t>TRANSFORMADOR TRIFÁSICO 15KV - 13,2KV/ 220V/ 127V - 225KVA</t>
  </si>
  <si>
    <t>TRANSFORMADOR TRIFÁSICO 15KV - 13,2KV/ 220V/ 127V - 300KVA</t>
  </si>
  <si>
    <t>TRANSFORMADOR DE POTENCIAL A SELO 13,2/ 0,11 - 0,22KV - 1000VA</t>
  </si>
  <si>
    <t>TRANSFORMADOR DE POTENCIAL A SECO 15KV - 220V - 1000VA</t>
  </si>
  <si>
    <t>TRANSFORMADOR TRIFÁSICO À SECO 500KVA - 13,8/13,2/12,6 KV - 220/127V</t>
  </si>
  <si>
    <t>TRANSFORMADOR TRIFÁSICO, À SECO, 300 KVA, 13,8/ 13,2/ 12,6 KV - 220V, CLASSE 15 KV</t>
  </si>
  <si>
    <t>CAPACITOR PARA CORREÇÃO DO FATOR DE POTÊNCIA - 220V - 5,0KVA</t>
  </si>
  <si>
    <t>CAPACITOR PARA CORREÇÃO DO FATOR DE POTÊNCIA - 220V - 10,0KVA</t>
  </si>
  <si>
    <t>CAPACITOR PARA CORREÇÃO DO FATOR DE POTÊNCIA - 220V - 15KVA</t>
  </si>
  <si>
    <t>CAPACITOR PARA CORREÇÃO DO FATOR DE POTÊNCIA - 220V - 20,0KVA</t>
  </si>
  <si>
    <t>CAPACITOR PARA CORREÇÃO DO FATOR DE POTÊNCIA - 220V - 30,0KVA</t>
  </si>
  <si>
    <t>CAPACITOR PARA CORREÇÃO DO FATOR DE POTÊNCIA - 220V - 40,0KVA</t>
  </si>
  <si>
    <t>CAPACITOR PARA CORREÇÃO DP FATOR DE POTÊNCIA - 220V - 50,0KVA</t>
  </si>
  <si>
    <t>BANCO AUTOMÁTICO DE CAPACITORES, 15 KVAR, 220V, TRIFÁSICO, MONTADO EM PAINEL PARA CORREÇÃO DE FATOR DE POTÊNCIA</t>
  </si>
  <si>
    <t>BANCO AUTOMÁTICO DE CAPACITORES, 30 KVAR, 220V, TRIFÁSICO, MONTADO EM PAINEL PARA CORREÇÃO DE FATOR DE POTÊNCIA</t>
  </si>
  <si>
    <t>BANCO AUTOMÁTICO DE CAPACITORES, 50 KVAR, 220V, TRIFÁSICO, MONTADO EM PAINEL PARA CORREÇÃO DE FATOR DE POTÊNCIA</t>
  </si>
  <si>
    <t>DPS - DISPOSITIVO PROTEÇÃO CONTRA SURTOS 275V - 40KA</t>
  </si>
  <si>
    <t>DISPOSITIVO DE PROTEÇÃO CONTRA SURTOS - DPS - 500 VCC - 45 KA - CLASSE II</t>
  </si>
  <si>
    <t>DISPOSITIVO DE PROTEÇÃO CONTRA SURTOS - DPS - 1000 VCC - 45 KA - CLASSE I</t>
  </si>
  <si>
    <t>BARRAMENTO DE COBRE TIPO DIN BIPOLAR PARA 63A</t>
  </si>
  <si>
    <t>BARRAMENTO DE COBRE TIPO DIN TRIPOLAR PARA 80A</t>
  </si>
  <si>
    <t>EMENDA PARA CABO DE MÉDIA TENSÃO 12/20KV - 1X25/ 1X35MM2 - UNIPOLAR</t>
  </si>
  <si>
    <t>BASE PARA FUSIVEL DE TRANSFORMADOR DE POTENCIAL</t>
  </si>
  <si>
    <t>FUSIVEL HH PARA 7,5A/ 15KV</t>
  </si>
  <si>
    <t>FUSIVEL HH PARA 10A/ 15KV</t>
  </si>
  <si>
    <t>FUSIVEL HH PARA 20A/ 15KV</t>
  </si>
  <si>
    <t>DISJUNTOR A VÁCUO 15KV/ 350MVA - COMPLETO - CARREGAM. MANUAL</t>
  </si>
  <si>
    <t>DISJUNTOR A VÁCUO 15KV/ 350MVA - MOTORIZADO - COMPLETO</t>
  </si>
  <si>
    <t>PARA-RAIO TIPO POLIMERICO CLASSE 15KV</t>
  </si>
  <si>
    <t>ESTRADO DE BORRACHA ISOLANTE 100X100X2,5CM</t>
  </si>
  <si>
    <t>LUVA DE SOBREPOSIÇÃO PARA LUVA ISOLANTE EM COURO DE VAQUETA</t>
  </si>
  <si>
    <t>TRANSFORMADOR TRIFÁSICO A SECO 150KVA - 13,8/ 13,2/ 12,6KV - 220/ 127V</t>
  </si>
  <si>
    <t>TRANSFORMADOR TRIFÁSICO A SECO 225KVA - 13,8/ 13,2/ 12,6KV - 220/ 127V</t>
  </si>
  <si>
    <t>TRANSFORMADOR DE CORRENTE PARA PROTEÇÃO RELAÇÃO 20:5A</t>
  </si>
  <si>
    <t>RELE DE SOBRECORRENTE DE AÇÃO INDIRETA PARA MÉDIA TENSÃO</t>
  </si>
  <si>
    <t>REMOÇÃO DE CABOS DE ALTA TENSÃO EM LINHA SUBTERRÂNEA ATÉ 35MM2</t>
  </si>
  <si>
    <t>CARTUCHO PARA CONEXÃO EXOTERMICA CABO/ HASTE</t>
  </si>
  <si>
    <t>PLACA DE AVISO DE POLIESTIRENO 30X40 E 2MM</t>
  </si>
  <si>
    <t>BOLSA EM LONA PARA LUVA ISOLANTE</t>
  </si>
  <si>
    <t>CAIXA DE MADEIRA PARA ARMAZENAMENTO DE LUVA ISOLANTE</t>
  </si>
  <si>
    <t>TRANSFORMADOR DE CORRENTE PARA PROTEÇÃO RELAÇÃO 50:5A</t>
  </si>
  <si>
    <t>TRANSFORMADOR DE CORRENTE PARA PROTEÇÃO RELAÇÃO 75:5A</t>
  </si>
  <si>
    <t>TRANSFORMADOR DE CORRENTE PARA PROTEÇÃO RELAÇÃO 100:5A</t>
  </si>
  <si>
    <t>CONJUNTOS DE ILUMINAÇÃO</t>
  </si>
  <si>
    <t>LC.02 - ILUMINAÇÃO DE QUADRA COM POSTE CONCRETO TUBULAR H LIV.=10M COM 3 PROJETORES VAPOR MERCÚRIO 400W</t>
  </si>
  <si>
    <t>ILUMINAÇÃO DE QUADRA COM POSTE DE CONCRETO TUBULAR, ALT. UTIL 10M COM 3 PROJETORES COM LÂMPADA DE LED 100W, INCLUSIVE CAIXA DE INSPEÇÃO DE ALVENARIA 40X40X40CM DE 1 TIJOLO COM TAMPA DE CONCRETO</t>
  </si>
  <si>
    <t>POSTE DE AÇO GALVANIZADO TIPO RETO, FLANGEADO H=5M COM LUMINÁRIA HERMÉTICA EM ALUMÍNIO FUNDIDO PARA LÂMPADA DE VAPOR DE MERCÚRIO DE 250W - COM APROVAÇÃO DE ILUME/ PMSP</t>
  </si>
  <si>
    <t>POSTE DE AÇO GALVANIZADO TIPO RETO, FLANGEADO H=7M COM LUMINÁRIA HERMÉTICA EM ALUMÍNIO FUNDIDO PARA LÂMPADA DE VAPOR DE MERCÚRIO DE 250W - COM APROVAÇÃO DE ILUME/ PMSP</t>
  </si>
  <si>
    <t>POSTE GALVANIZADO, RETO, FLANGEADO, H=5M COM LUMINÁRIA HERMÉTICA TIPO LED DE 150W COM APROVAÇÃO DE ILUME/PMSP, INCLUSIVE CAIXA DE INSPEÇÃO DE ALVENARIA 40X40X40CM DE 1 TIJOLO COM TAMPA DE CONCRETO</t>
  </si>
  <si>
    <t>POSTE DE AÇO GALVANIZADO, RETO, FLANGEADO, H=5M COM LUMINÁRIA HERMÉTICA TIPO LED DE 120W COM APROVAÇÃO DE ILUME/PMSP, INCLUSIVE CAIXA DE INSPEÇÃO DE ALVENARIA 40X40X40CM DE 1 TIJOLO COM TAMPA DE CONCRETO</t>
  </si>
  <si>
    <t>DEMOLIÇÕES - ENTRADA E DISTRIBUIÇÃO</t>
  </si>
  <si>
    <t>REMOÇÃO DE POSTE DE ENTRADA DE ENERGIA EM BAIXA TENSÃO - GALVANIZADO</t>
  </si>
  <si>
    <t>REMOÇÃO DE POSTE DE ENTRADA DE ENERGIA EM BAIXA TENSÃO - CONCRETO</t>
  </si>
  <si>
    <t>REMOÇÃO DE CAIXA DE ENTRADA DE ENERGIA EM BAIXA TENSÃO</t>
  </si>
  <si>
    <t>REMOÇÃO DE ARMAÇÃO TIPO BRAQUETE</t>
  </si>
  <si>
    <t>REMOÇÃO DE CABEÇOTE TIPO "TELESP"</t>
  </si>
  <si>
    <t>REMOÇÃO DE CAIXA DE ENTRADA DE TELEFONE TIPO "TELESP"</t>
  </si>
  <si>
    <t>REMOÇÃO DE PERFILADOS</t>
  </si>
  <si>
    <t>REMOÇÃO DE ELETRODUTOS EMBUTIDOS - ATÉ 2"</t>
  </si>
  <si>
    <t>REMOÇÃO DE ELETRODUTOS EMBUTIDOS - ACIMA DE 2"</t>
  </si>
  <si>
    <t>REMOÇÃO DE ELETRODUTOS APARENTES - ATÉ 2"</t>
  </si>
  <si>
    <t>REMOÇÃO DE ELETRODUTOS APARENTES - ACIMA DE 2"</t>
  </si>
  <si>
    <t>REMOÇÃO DE CABO EMBUTIDO - ATÉ 16MM2</t>
  </si>
  <si>
    <t>REMOÇÃO DE CABO EMBUTIDO - ACIMA DE 16MM2</t>
  </si>
  <si>
    <t>REMOÇÃO DE CABO APARENTE - ATÉ 16MM2</t>
  </si>
  <si>
    <t>REMOÇÃO DE CABO APARENTE - ACIMA DE 16MM2</t>
  </si>
  <si>
    <t>REMOÇÃO DE TERMINAIS OU CONECTORES DE PRESSÃO PARA CABOS</t>
  </si>
  <si>
    <t>REMOÇÃO DE SUPORTE-ISOLADOR TIPO ROLDANA</t>
  </si>
  <si>
    <t>DEMOLIÇÕES - CAIXAS E QUADROS</t>
  </si>
  <si>
    <t>REMOÇÃO DE ISOLADORES EM QUADROS ELÉTRICOS</t>
  </si>
  <si>
    <t>REMOÇÃO DE DISJUNTOR AUTOMÁTICO UNIPOLAR ATÉ 50A</t>
  </si>
  <si>
    <t>REMOÇÃO DE DISJUNTOR AUTOMÁTICO BIPOLAR ATÉ 50A</t>
  </si>
  <si>
    <t>REMOÇÃO DE DISJUNTOR AUTOMÁTICO TRIPOLAR ATÉ 50A</t>
  </si>
  <si>
    <t>REMOÇÃO DE CAIXA PARA FUSÍVEL OU TOMADA, INSTALADA EM PERFILADOS</t>
  </si>
  <si>
    <t>REMOÇÃO DE QUADRO DE DISTRIBUIÇÃO OU CAIXA DE PASSAGEM</t>
  </si>
  <si>
    <t>REMOÇÃO DE FUNDO DE QUADRO DE DISTRIBUIÇÃO OU CAIXA DE PASSAGEM</t>
  </si>
  <si>
    <t>REMOÇÃO DE TAMPA DE QUADRO DE DISTRIBUIÇÃO OU CAIXA DE PASSAGEM</t>
  </si>
  <si>
    <t>REMOÇÃO DE FECHADURA DE QUADRO DE DISTRIBUIÇÃO OU CAIXA DE PASSAGEM</t>
  </si>
  <si>
    <t>REMOÇÃO DE DISJUNTOR AUTOMÁTICO TIPO "QUICK-LAG"</t>
  </si>
  <si>
    <t>REMOÇÃO DE BASE EM CHAPA DE FERRO PARA DISJUNTOR TIPO "QUICK-LAG"</t>
  </si>
  <si>
    <t>REMOÇÃO DE CAPACITOR PARA CORREÇÃO DE FATOR DE POTÊNCIA</t>
  </si>
  <si>
    <t>REMOÇÃO DE CHAVE SECCIONADORA TIPO FACA - BASE DE MÁRMORE OU ARDÓSIA</t>
  </si>
  <si>
    <t>REMOÇÃO DE CHAVE SECCIONADORA OU BASE PARA FUSÍVEIS TIPO NH - UNIPOLAR</t>
  </si>
  <si>
    <t>REMOÇÃO DE CHAVE SECCIONADORA OU BASE PARA FUSÍVEIS TIPO NH - TRIPOLAR</t>
  </si>
  <si>
    <t>REMOÇÃO DE BASE PARA FUSÍVEIS TIPO "DIAZED"</t>
  </si>
  <si>
    <t>DEMOLIÇÕES - PONTOS E APARELHOS</t>
  </si>
  <si>
    <t>REMOÇÃO DE SOQUETE</t>
  </si>
  <si>
    <t>REMOÇÃO DE REATOR PARA LÂMPADA FLUORESCENTE</t>
  </si>
  <si>
    <t>REMOÇÃO DE LÂMPADA INCANDESCENTE OU FLUORESCENTE</t>
  </si>
  <si>
    <t>REMOÇÃO DE LÂMPADA DE VAPOR DE MERCÚRIO, SÓDIO OU MISTA</t>
  </si>
  <si>
    <t>REMOÇÃO DE PLACA DIFUSORA PARA LÂMPADA FLUORESCENTE</t>
  </si>
  <si>
    <t>REMOÇÃO DE INTERRUPTOR, TOMADA, BOTÃO DE CAMPAINHA OU CIGARRA</t>
  </si>
  <si>
    <t>REMOÇÃO DE REATOR PARA LÂMPADA HG/NA - EM CAIXA DE PASSAGEM</t>
  </si>
  <si>
    <t>REMOÇÃO DE REATOR PARA LÂMPADA HG/NA - EM POSTE</t>
  </si>
  <si>
    <t>REMOÇÃO DE LUMINÁRIA INTERNA PARA LÂMPADA INCANDESCENTE</t>
  </si>
  <si>
    <t>REMOÇÃO DE LUMINÁRIA INTERNA PARA LÂMPADA FLUORESCENTE</t>
  </si>
  <si>
    <t>REMOÇÃO DE LUMINÁRIA EXTERNA INSTALADA EM POSTE</t>
  </si>
  <si>
    <t>REMOÇÃO DE LUMINÁRIA EXTERNA INSTALADA EM BRAÇO DE FERRO</t>
  </si>
  <si>
    <t>REMOÇÃO DE LUMINÁRIA A PROVA DE TEMPO, GASES E VAPOR</t>
  </si>
  <si>
    <t>REMOÇÃO DE PROJETOR DE FACHADA</t>
  </si>
  <si>
    <t>REMOÇÃO DE PROJETOR DE JARDIM</t>
  </si>
  <si>
    <t>REMOÇÃO DE CRUZETA DE FERRO PARA FIXAÇÃO DE PROJETOR</t>
  </si>
  <si>
    <t>REMOÇÃO DE BRAÇO DE LUMINÁRIA</t>
  </si>
  <si>
    <t>DEMOLIÇÕES - PÁRA-RAIOS E OUTROS</t>
  </si>
  <si>
    <t>REMOÇÃO DE CAPTOR DE PÁRA-RAIOS - TIPO FRANKLIN</t>
  </si>
  <si>
    <t>REMOÇÃO DE CAPTOR DE PÁRA-RAIOS - RADIOATIVO</t>
  </si>
  <si>
    <t>REMOÇÃO DE CORDOALHA DE COBRE NÚ</t>
  </si>
  <si>
    <t>REMOÇÃO DE CABO DE COBRE NÚ, PARA ATERRAMENTO</t>
  </si>
  <si>
    <t>REMOÇÃO DE CONECTOR TIPO "SPLIT-BOLT"</t>
  </si>
  <si>
    <t>REMOÇÃO DE BASE E HASTE DE PÁRA-RAIOS</t>
  </si>
  <si>
    <t>REMOÇÃO DE CABO DE AÇO E ESTICADORES</t>
  </si>
  <si>
    <t>REMOÇÃO DE BRAÇADEIRA PARA 3 ESTAIS</t>
  </si>
  <si>
    <t>REMOÇÃO DE TUBO DE PROTEÇÃO PARA CORDOALHA, INCLUSIVE FIXAÇÕES</t>
  </si>
  <si>
    <t>REMOÇÃO DE AUTOMÁTICO DE BÓIA</t>
  </si>
  <si>
    <t>REMOÇÃO DE CONTACTOR MAGNÉTICO E RELÊS PARA QUADRO DE COMANDO</t>
  </si>
  <si>
    <t>REMOÇÃO DE POSTE DE FERRO, INCLUSIVE BASE DE FIXAÇÃO</t>
  </si>
  <si>
    <t>REMOÇÃO DE POSTE DE FERRO ENGASTADO NO SOLO</t>
  </si>
  <si>
    <t>REMOÇÃO DE POSTE DE CONCRETO EM REDE DE ENERGIA</t>
  </si>
  <si>
    <t>DEMOLIÇÕES - CABINE PRIMÁRIA</t>
  </si>
  <si>
    <t>REMOÇÃO DE ISOLADOR TIPO DISCO, INCLUSIVE GANCHO DE SUSTENTAÇÃO</t>
  </si>
  <si>
    <t>REMOÇÃO DE ISOLADOR TIPO CASTANHA, INCLUSIVE GANCHO DE SUSTENTAÇÃO</t>
  </si>
  <si>
    <t>REMOÇÃO DE ISOLADOR TIPO PINO PARA A.T. INCLUSIVE PINO</t>
  </si>
  <si>
    <t>REMOÇÃO DE ISOLADOR TIPO PEDESTAL PARA A.T.</t>
  </si>
  <si>
    <t>REMOÇÃO DE CRUZETA DE MADEIRA</t>
  </si>
  <si>
    <t>REMOÇÃO DE BUCHA DE PASSAGEM INTERNA/EXTERNA PARA A.T.</t>
  </si>
  <si>
    <t>REMOÇÃO DE CHAPA DE FERRO PARA BUCHA DE PASSAGEM</t>
  </si>
  <si>
    <t>REMOÇÃO DE VERGALHÃO DE COBRE 3/8"</t>
  </si>
  <si>
    <t>REMOÇÃO DE TERMINAL OU CONECTOR PARA VERGALHÃO DE COBRE</t>
  </si>
  <si>
    <t>REMOÇÃO DE CHAVE SECCIONADORA TRIPOLAR</t>
  </si>
  <si>
    <t>REMOÇÃO DE TRANSFORMADOR DE POTENCIAL</t>
  </si>
  <si>
    <t>REMOÇÃO DE DISJUNTOR A ÓLEO - VOL NORMAL OU REDUZIDO</t>
  </si>
  <si>
    <t>REMOÇÃO DE TRANSFORMADOR DE POTÊNCIA CLASSE 15KV</t>
  </si>
  <si>
    <t>REMOÇÃO DE CHAVE FUSÍVEL TIPO MATHEUS</t>
  </si>
  <si>
    <t>REMOÇÃO DE SUPORTE DE TRANSFORMADOR EM POSTE</t>
  </si>
  <si>
    <t>REMOÇÃO DE CABOS DE A.T. EM LINHA AÉREA ATÉ 35MM2</t>
  </si>
  <si>
    <t>REMOÇÃO DE PÁRA-RAIOS TIPO CRISTAL VALVE CLASSE 15KV</t>
  </si>
  <si>
    <t>REMOÇÃO DE CONTATORES E RELÊS EM GERAL</t>
  </si>
  <si>
    <t>REMOÇÃO DE MUFLA INTERNA UNIPOLAR/TRIPOLAR</t>
  </si>
  <si>
    <t>REMOÇÃO DE BUCHA DE PASSAGEM PARA NEUTRO - 1KV</t>
  </si>
  <si>
    <t>REMOÇÃO DE ÓLEO ISOLANTE DE TRANSFORMADOR OU DISJUNTOR</t>
  </si>
  <si>
    <t>REMOÇÃO DE SELA PARA CRUZETA DE MADEIRA</t>
  </si>
  <si>
    <t>REMOÇÃO DE FUSÍVEL EM ALTA TENSÃO TIPO "HH"</t>
  </si>
  <si>
    <t>REMOÇÃO DE ELO FUSÍVEL EM CHAVE TIPO MATHEUS</t>
  </si>
  <si>
    <t>REMOÇÃO DE RELÊ OU BOBINA - DISJUNTOR DE A.T.</t>
  </si>
  <si>
    <t>REMOÇÃO DE MUFLA EXTERNA UNIPOLAR / TRIPOLAR</t>
  </si>
  <si>
    <t>REMOÇÃO DE MUFLA INTERNA UNIPOLAR / TRIPOLAR</t>
  </si>
  <si>
    <t>RETIRADAS - ENTRADA E DISTRIBUIÇÃO</t>
  </si>
  <si>
    <t>RETIRADA DE POSTE DE ENTRADA DE ENERGIA EM BAIXA TENSÃO - GALVANIZADO</t>
  </si>
  <si>
    <t>RETIRADA DE POSTE DE ENTRADA DE ENERGIA EM BAIXA TENSÃO - CONCRETO</t>
  </si>
  <si>
    <t>RETIRADA DE CAIXA DE ENTRADA DE ENERGIA EM BAIXA TENSÃO</t>
  </si>
  <si>
    <t>RETIRADA DE ARMAÇÃO TIPO BRAQUETE</t>
  </si>
  <si>
    <t>RETIRADA DE CABEÇOTE TIPO "TELESP"</t>
  </si>
  <si>
    <t>RETIRADA DE CONDULETE</t>
  </si>
  <si>
    <t>RETIRADA DE PERFILADOS</t>
  </si>
  <si>
    <t>RETIRADA DE ELETRODUTOS APARENTES - ATÉ 2"</t>
  </si>
  <si>
    <t>RETIRADA DE ELETRODUTOS APARENTES - ACIMA DE 2"</t>
  </si>
  <si>
    <t>RETIRADA DE FIO EMBUTIDO - ATÉ 16MM2</t>
  </si>
  <si>
    <t>RETIRADA DE CABO EMBUTIDO - ACIMA DE 16MM2</t>
  </si>
  <si>
    <t>RETIRADA DE FIO APARENTE - ATÉ 16MM2</t>
  </si>
  <si>
    <t>RETIRADA DE CABO APARENTE - ACIMA DE 16MM2</t>
  </si>
  <si>
    <t>RETIRADA DE TERMINAIS OU CONECTORES DE PRESSÃO PARA CABOS</t>
  </si>
  <si>
    <t>RETIRADA DE SUPORTE-ISOLADOR TIPO ROLDANA</t>
  </si>
  <si>
    <t>RETIRADAS - CAIXAS E QUADROS</t>
  </si>
  <si>
    <t>RETIRADA DE BARRAMENTOS EM QUADROS ELÉTRICOS</t>
  </si>
  <si>
    <t>RETIRADA DE ISOLADORES EM QUADROS ELÉTRICOS</t>
  </si>
  <si>
    <t>RETIRADA DE DISJUNTOR AUTOMÁTICO UNIPOLAR ATÉ 50A</t>
  </si>
  <si>
    <t>RETIRADA DE DISJUNTOR AUTOMÁTICO BIPOLAR ATÉ 50A</t>
  </si>
  <si>
    <t>RETIRADA DE DISJUNTOR AUTOMÁTICO TRIPOLAR ATÉ 50A</t>
  </si>
  <si>
    <t>RETIRADA DE CAIXA PARA FUSÍVEL OU TOMADA, INSTALADA EM PERFILADOS</t>
  </si>
  <si>
    <t>RETIRADA DE QUADRO DE DISTRIBUIÇÃO OU CAIXA DE PASSAGEM</t>
  </si>
  <si>
    <t>RETIRADA DE FECHADURA DE QUADRO DE DISTRIBUIÇÃO OU CAIXA DE PASSAGEM</t>
  </si>
  <si>
    <t>RETIRADA DE DISJUNTOR AUTOMÁTICO TIPO "QUICK-LAG"</t>
  </si>
  <si>
    <t>RETIRADA DE BASE EM CHAPA DE FERRO, PARA DISJUNTOR TIPO "QUICK-LAG"</t>
  </si>
  <si>
    <t>RETIRADA DE CAPACITOR PARA CORREÇÃO DE FATOR DE POTÊNCIA</t>
  </si>
  <si>
    <t>RETIRADA DE CHAVE SECCIONADORA OU BASE PARA FUSÍVEIS TIPO NH UNIPOLAR</t>
  </si>
  <si>
    <t>RETIRADA DE CHAVE SECCIONADORA OU BASE PARA FUSÍVEIS TIPO NH TRIPOLAR</t>
  </si>
  <si>
    <t>RETIRADA DE BASE PARA FUSÍVEIS TIPO DIAZED</t>
  </si>
  <si>
    <t>RETIRADA DE BARRAMENTO DE COBRE</t>
  </si>
  <si>
    <t>RETIRADAS - PONTOS E APARELHOS</t>
  </si>
  <si>
    <t>RETIRADA DE SOQUETES EM LUMINÁRIAS</t>
  </si>
  <si>
    <t>RETIRADA DE REATOR EM LUMINÁRIA FLUORESCENTE</t>
  </si>
  <si>
    <t>RETIRADA DE LÂMPADA INCANDESCENTE OU FLUORESCENTE</t>
  </si>
  <si>
    <t>RETIRADA DE LÂMPADA VAPOR DE MERCÚRIO, SÓDIO OU MISTA</t>
  </si>
  <si>
    <t>RETIRADA DE PLACA DIFUSORA PARA LÂMPADA FLUORESCENTE</t>
  </si>
  <si>
    <t>RETIRADA DE LUMINÁRIA INTERNA PARA LÂMPADA INCANDESCENTE</t>
  </si>
  <si>
    <t>RETIRADA DE LUMINÁRIA INTERNA PARA LÂMPADA FLUORESCENTE</t>
  </si>
  <si>
    <t>RETIRADA DE LUMINÁRIA EXTERNA INSTALADA EM POSTE</t>
  </si>
  <si>
    <t>RETIRADA DE LUMINÁRIA EXTERNA INSTALADA EM BRAÇO DE FERRO</t>
  </si>
  <si>
    <t>RETIRADA DE LUMINÁRIA A PROVA DE TEMPO, GASES E VAPOR</t>
  </si>
  <si>
    <t>RETIRADA DE PROJETOR DE FACHADA</t>
  </si>
  <si>
    <t>RETIRADA DE PROJETOR DE JARDIM</t>
  </si>
  <si>
    <t>RETIRADA DE BRAÇO DE LUMINÁRIA</t>
  </si>
  <si>
    <t>RETIRADAS - PÁRA-RAIOS E OUTROS</t>
  </si>
  <si>
    <t>RETIRADA DE CORDOALHA DE COBRE NÚ</t>
  </si>
  <si>
    <t>RETIRADA DE CORDOALHA DE COBRE NÚ PARA ATERRAMENTO</t>
  </si>
  <si>
    <t>RETIRADA DE CONECTOR TIPO "SPLIT-BOLT"</t>
  </si>
  <si>
    <t>RETIRADA DE POSTE DE FERRO, INCLUSIVE BASE DE FIXAÇÃO</t>
  </si>
  <si>
    <t>RETIRADA DE POSTE DE FERRO ENGASTADO NO SOLO</t>
  </si>
  <si>
    <t>RETIRADA DE POSTE DE CONCRETO EM REDE DE ENERGIA</t>
  </si>
  <si>
    <t>RETIRADAS - CABINE PRIMÁRIA</t>
  </si>
  <si>
    <t>RETIRADA DE ISOLADOR TIPO DISCO INCLUSIVE GANCHO DE SUSTENTAÇÃO</t>
  </si>
  <si>
    <t>RETIRADA DE ISOLADOR TIPO CASTANHA INCLUSIVE GANCHO DE SUSTENTAÇÃO</t>
  </si>
  <si>
    <t>RETIRADA DE ISOLADOR TIPO PINO A.T. INCLUSIVE PINO</t>
  </si>
  <si>
    <t>RETIRADA DE ISOLADOR TIPO PEDESTAL PARA A.T.</t>
  </si>
  <si>
    <t>RETIRADA DE CRUZETA DE MADEIRA</t>
  </si>
  <si>
    <t>RETIRADA DE BUCHA DE PASSAGEM INTERNA/EXTERNA PARA A.T.</t>
  </si>
  <si>
    <t>RETIRADA DE CHAPA DE FERRO PARA BUCHA DE PASSAGEM</t>
  </si>
  <si>
    <t>RETIRADA DE VERGALHÃO DE COBRE 3/8"</t>
  </si>
  <si>
    <t>RETIRADA DE TERMINAL OU CONECTOR PARA VERGALHÃO DE COBRE</t>
  </si>
  <si>
    <t>RETIRADA DE CHAVE SECCIONADORA TRIPOLAR CLASSE 15 K.V.</t>
  </si>
  <si>
    <t>RETIRADA DE TRANSFORMADOR DE POTENCIAL</t>
  </si>
  <si>
    <t>RETIRADA DE DISJUNTOR A.T. DE VOL. NORMAL OU REDUZIDO DE ÓLEO</t>
  </si>
  <si>
    <t>RETIRADA DE TRANSFORMADOR DE POTÊNCIA CLASSE 15 KV</t>
  </si>
  <si>
    <t>RETIRADA DE CHAVE FUSÍVEL TIPO MATHEUS</t>
  </si>
  <si>
    <t>RETIRADA DE SUPORTE DE TRANSFORMADOR EM POSTE</t>
  </si>
  <si>
    <t>RETIRADA DE CABO DE A.T. EM LINHA AÉREA ATÉ 35MM2</t>
  </si>
  <si>
    <t>RETIRADA DE PÁRA-RAIO TIPO CRISTAL VALVE 15KV</t>
  </si>
  <si>
    <t>RETIRADA DE CONTATORES E RELÊS EM GERAL</t>
  </si>
  <si>
    <t>RETIRADA DE FUSÍVEL EM ALTA TENSÃO TIPO "HH"</t>
  </si>
  <si>
    <t>RETIRADA DE ELO FUSÍVEL EM CHAVE TIPO MATHEUS</t>
  </si>
  <si>
    <t>RECOLOCAÇÕES - ENTRADA E DISTRIBUIÇÃO</t>
  </si>
  <si>
    <t>RECOLOCAÇÃO DE POSTE DE ENTRADA DE ENERGIA EM BAIXA TENSÃO - GALVANIZADO</t>
  </si>
  <si>
    <t>RECOLOCAÇÃO DE POSTE DE ENTRADA DE ENERGIA EM BAIXA TENSÃO - CONCRETO</t>
  </si>
  <si>
    <t>RECOLOCAÇÃO DE CAIXA DE ENTRADA DE ENERGIA EM BAIXA TENSÃO</t>
  </si>
  <si>
    <t>RECOLOCAÇÃO DE ARMAÇÃO TIPO BRAQUETE</t>
  </si>
  <si>
    <t>RECOLOCAÇÃO DE CABEÇOTE TIPO "TELESP"</t>
  </si>
  <si>
    <t>RECOLOCAÇÃO DE CONDULETE</t>
  </si>
  <si>
    <t>RECOLOCAÇÃO DE PERFILADOS</t>
  </si>
  <si>
    <t>RECOLOCAÇÃO DE ELETRODUTOS APARENTES - ATÉ 2"</t>
  </si>
  <si>
    <t>RECOLOCAÇÃO DE ELETRODUTOS APARENTES - ACIMA DE 2"</t>
  </si>
  <si>
    <t>RECOLOCAÇÃO DE FIO EMBUTIDO - ATÉ 16MM2</t>
  </si>
  <si>
    <t>RECOLOCAÇÃO DE CABO EMBUTIDO - ACIMA DE 16MM2</t>
  </si>
  <si>
    <t>RECOLOCAÇÃO DE FIO APARENTE - ATÉ 16MM2</t>
  </si>
  <si>
    <t>RECOLOCAÇÃO DE CABO APARENTE - ACIMA DE 16MM2</t>
  </si>
  <si>
    <t>RECOLOCAÇÃO DE TERMINAIS OU CONECTORES DE PRESSÃO PARA CABOS</t>
  </si>
  <si>
    <t>RECOLOCAÇÃO DE SUPORTE-ISOLADOR TIPO ROLDANA</t>
  </si>
  <si>
    <t>RECOLOCAÇÕES - CAIXAS E QUADROS</t>
  </si>
  <si>
    <t>RECOLOCAÇÃO DE BARRAMENTOS EM QUADROS ELÉTRICOS</t>
  </si>
  <si>
    <t>RECOLOCAÇÃO DE ISOLADORES EM QUADROS ELÉTRICOS</t>
  </si>
  <si>
    <t>RECOLOCAÇÃO DE DISJUNTOR AUTOMÁTICO UNIPOLAR ATÉ 50A</t>
  </si>
  <si>
    <t>RECOLOCAÇÃO DE DISJUNTOR AUTOMÁTICO BIPOLAR ATÉ 50A</t>
  </si>
  <si>
    <t>RECOLOCAÇÃO DE DISJUNTOR AUTOMÁTICO TRIPOLAR ATÉ 50A</t>
  </si>
  <si>
    <t>RECOLOCAÇÃO DE CAIXA PARA FUSÍVEL OU TOMADA, INSTALADA EM PERFILADOS</t>
  </si>
  <si>
    <t>RECOLOCAÇÃO DE QUADRO DE DISTRIBUIÇÃO OU CAIXA DE PASSAGEM</t>
  </si>
  <si>
    <t>RECOLOCAÇÃO DE FECHADURA DE QUADRO DE DISTRIBUIÇÃO OU CAIXA DE PASSAGEM</t>
  </si>
  <si>
    <t>RECOLOCAÇÃO DE DISJUNTOR AUTOMÁTICO TIPO "QUICK-LAG"</t>
  </si>
  <si>
    <t>RECOLOCAÇÃO DE BASE EM CHAPA DE FERRO, PARA DISJUNTOR TIPO "QUICK-LAG"</t>
  </si>
  <si>
    <t>RECOLOCAÇÃO DE CAPACITOR PARA CORREÇÃO DE FATOR DE POTÊNCIA</t>
  </si>
  <si>
    <t>RECOLOCAÇÃO DE CHAVE SECCIONADA OU BASE PARA FUSÍVEL TIPO NH-UNIPOLAR</t>
  </si>
  <si>
    <t>RECOLOCAÇÃO DE CHAVE SECCIONADA OU BASE PARA FUSÍVEL TIPO NH-TRIPOLAR</t>
  </si>
  <si>
    <t>RECOLOCAÇÃO DE BASE DE FUSÍVEIS TIPO " DIAZED"</t>
  </si>
  <si>
    <t>RECOLOCAÇÃO DE BARRAMENTO DE COBRE</t>
  </si>
  <si>
    <t>RECOLOCAÇÕES - PONTOS E APARELHOS</t>
  </si>
  <si>
    <t>RECOLOCAÇÃO DE SOQUETES EM LUMINÁRIAS</t>
  </si>
  <si>
    <t>RECOLOCAÇÃO DE REATOR EM LUMINÁRIA FLUORESCENTE</t>
  </si>
  <si>
    <t>RECOLOCAÇÃO DE LÂMPADA FLUORESCENTE</t>
  </si>
  <si>
    <t>RECOLOCAÇÃO DE LÂMPADA VAPOR DE MERCÚRIO, SÓDIO OU MISTA</t>
  </si>
  <si>
    <t>RECOLOCAÇÃO DE PLACA DIFUSORA PARA LÂMPADA FLUORESCENTE</t>
  </si>
  <si>
    <t>RECOLOCAÇÃO DE LUMINÁRIA INTERNA PARA LÂMPADA FLUORESCENTE</t>
  </si>
  <si>
    <t>RECOLOCAÇÃO DE LUMINÁRIA EXTERNA INSTALADA EM POSTE</t>
  </si>
  <si>
    <t>RECOLOCAÇÃO DE LUMINÁRIA EXTERNA INSTALADA EM BRAÇO DE FERRO</t>
  </si>
  <si>
    <t>RECOLOCAÇÃO DE LUMINÁRIA A PROVA DE TEMPO, GASES E VAPOR</t>
  </si>
  <si>
    <t>RECOLOCAÇÃO DE PROJETOR DE FACHADA</t>
  </si>
  <si>
    <t>RECOLOCAÇÃO DE PROJETOR DE JARDIM</t>
  </si>
  <si>
    <t>RECOLOCAÇÃO DE BRAÇO DE LUMINÁRIA</t>
  </si>
  <si>
    <t>RECOLOCAÇÕES - PÁRA-RAIOS E OUTROS</t>
  </si>
  <si>
    <t>RECOLOCAÇÃO DE CORDOALHA DE COBRE NÚ</t>
  </si>
  <si>
    <t>RECOLOCAÇÃO CORDOALHA DE COBRE NÚ PARA ATERRAMENTO</t>
  </si>
  <si>
    <t>RECOLOCAÇÃO DE CONECTOR TIPO "SPLIT_BOLT"</t>
  </si>
  <si>
    <t>RECOLOCAÇÃO DE POSTE DE FERRO, INCLUSIVE BASE DE FIXAÇÃO</t>
  </si>
  <si>
    <t>RECOLOCAÇÃO DE POSTE DE FERRO ENGASTADO NO SOLO</t>
  </si>
  <si>
    <t>RECOLOCAÇÃO DE POSTE DE CONCRETO EM REDE DE ENERGIA</t>
  </si>
  <si>
    <t>RECOLOCAÇÕES - CABINES PRIMÁRIAS</t>
  </si>
  <si>
    <t>RECOLOCAÇÃO DE ISOLADOR TIPO DISCO INCLUSIVE GANCHO DE SUSTENTAÇÃO</t>
  </si>
  <si>
    <t>RECOLOCAÇÃO DE ISOLADOR TIPO CASTANHA INCLUSIVE GANCHO DE SUSTENTAÇÃO</t>
  </si>
  <si>
    <t>RECOLOCAÇÃO DE ISOLADOR TIPO PINO PARA A.T. INCLUSIVE PINO</t>
  </si>
  <si>
    <t>RECOLOCAÇÃO DE ISOLADOR TIPO PEDESTAL PARA A.T.</t>
  </si>
  <si>
    <t>RECOLOCAÇÃO DE CRUZETA DE MADEIRA</t>
  </si>
  <si>
    <t>RECOLOCAÇÃO DE BUCHA DE PASSAGEM INTERNA/EXTERNA PARA A.T.</t>
  </si>
  <si>
    <t>RECOLOCAÇÃO DE CHAPA DE FERRO PARA BUCHA DE PASSAGEM</t>
  </si>
  <si>
    <t>RECOLOCAÇÃO DE VERGALHÃO DE COBRE 3/8"</t>
  </si>
  <si>
    <t>RECOLOCAÇÃO DE TERMINAL OU CONECTOR PARA VERGALHÃO DE COBRE</t>
  </si>
  <si>
    <t>RECOLOCAÇÃO DE CHAVE SECCIONADORA TRIPOLAR CLASSE 15KV</t>
  </si>
  <si>
    <t>RECOLOCAÇÃO DE TRANSFORMADOR DE POTENCIAL</t>
  </si>
  <si>
    <t>RECOLOCAÇÃO DE DISJUNTOR A.T. DE VOLUME NORMAL OU REDUZIDO DE ÓLEO</t>
  </si>
  <si>
    <t>RECOLOCAÇÃO DE TRANSFORMADOR DE POTÊNCIA CLASSE 15KV</t>
  </si>
  <si>
    <t>RECOLOCAÇÃO DE CHAVE FUSÍVEL TIPO MATHEUS</t>
  </si>
  <si>
    <t>RECOLOCAÇÃO DE SUPORTE DE TRANSFORMADOR EM POSTE</t>
  </si>
  <si>
    <t>RECOLOCAÇÃO DE CABO DE A.T. EM LINHA AÉREA ATÉ 35MM2</t>
  </si>
  <si>
    <t>RECOLOCAÇÃO DE PÁRA-RAIO TIPO CRISTAL VALVE 15KV</t>
  </si>
  <si>
    <t>RECOLOCAÇÃO DE CONTATORES E RELÊS EM GERAL</t>
  </si>
  <si>
    <t>RECOLOCAÇÃO DE FUSÍVEL EM ALTA TENSÃO TIPO "HH"</t>
  </si>
  <si>
    <t>RECOLOCAÇÃO DE ELO FUSÍVEL EM CHAVE TIPO MATHEUS</t>
  </si>
  <si>
    <t>SERVIÇOS PARCIAIS - ENTRADA E DISTRIBUIÇÃO</t>
  </si>
  <si>
    <t>POSTE DE ENTRADA DE ENERGIA, DUPLO "T" - 7,5M/200DAN</t>
  </si>
  <si>
    <t>POSTE DE ENTRADA DE ENERGIA, DUPLO "T" - 7,5M/300DAN</t>
  </si>
  <si>
    <t>FORNECIMENTO E INSTALAÇÃO DE POSTE EM CONCRETO COM ALTURA LIVRE DE 18M, 1000DAN, ENGASTADO</t>
  </si>
  <si>
    <t>TERMINAL OU CONECTOR DE PRESSÃO - PARA FIO ATÉ 6MM2</t>
  </si>
  <si>
    <t>TERMINAL OU CONECTOR DE PRESSÃO - PARA CABO 10MM2</t>
  </si>
  <si>
    <t>TERMINAL OU CONECTOR DE PRESSÃO - PARA CABO 16MM2</t>
  </si>
  <si>
    <t>TERMINAL OU CONECTOR DE PRESSÃO - PARA CABO 25MM2</t>
  </si>
  <si>
    <t>TERMINAL OU CONECTOR DE PRESSÃO - PARA CABO 35MM2</t>
  </si>
  <si>
    <t>TERMINAL OU CONECTOR DE PRESSÃO - PARA CABO 50MM2</t>
  </si>
  <si>
    <t>TERMINAL OU CONECTOR DE PRESSÃO - PARA CABO 70MM2</t>
  </si>
  <si>
    <t>TERMINAL OU CONECTOR DE PRESSÃO - PARA CABO 95MM2</t>
  </si>
  <si>
    <t>TERMINAL OU CONECTOR DE PRESSÃO - PARA CABO 120MM2</t>
  </si>
  <si>
    <t>TERMINAL OU CONECTOR DE PRESSÃO - PARA CABO 150MM2</t>
  </si>
  <si>
    <t>TERMINAL OU CONECTOR DE PRESSÃO - PARA CABO 185MM2</t>
  </si>
  <si>
    <t>TERMINAL OU CONECTOR DE PRESSÃO - PARA CABO 240MM2</t>
  </si>
  <si>
    <t>TERMINAL OU CONECTOR DE PRESSÃO - PARA CABO 300MM2</t>
  </si>
  <si>
    <t>SERVIÇOS PARCIAIS - PONTOS E APARELHOS</t>
  </si>
  <si>
    <t>INTERRUPTOR SIMPLES - 1 TECLA</t>
  </si>
  <si>
    <t>INTERRUPTOR SIMPLES - 2 TECLAS</t>
  </si>
  <si>
    <t>INTERRUPTOR SIMPLES - 3 TECLAS</t>
  </si>
  <si>
    <t>INTERRUPTOR SIMPLES BIPOLAR - 1 TECLA</t>
  </si>
  <si>
    <t>INTERRUPTOR PARALELO - 1 TECLA</t>
  </si>
  <si>
    <t>ESPELHO PLÁSTICO - 3"X3"</t>
  </si>
  <si>
    <t>ESPELHO PLÁSTICO - 4"X2"</t>
  </si>
  <si>
    <t>ESPELHO PLÁSTICO - 4"X4"</t>
  </si>
  <si>
    <t>TOMADA PARA TELEFONE DE 4 POLOS PADRÃO TELEBRÁS</t>
  </si>
  <si>
    <t>TOMADA SIMPLES DE EMBUTIR - 110/220V</t>
  </si>
  <si>
    <t>TOMADA SIMPLES DE EMBUTIR - PARA PISO</t>
  </si>
  <si>
    <t>TOMADA 3P+T 30A - 440V</t>
  </si>
  <si>
    <t>TOMADA 3P+T 32A - 600/690V TIPO INDUSTRIAL</t>
  </si>
  <si>
    <t>TOMADA 3P+T 63A - 600/690V TIPO INDUSTRIAL</t>
  </si>
  <si>
    <t>BOTÃO PARA CAMPAINHA - USO AO TEMPO</t>
  </si>
  <si>
    <t>CIGARRA DE SOBREPOR, TIPO COLEGIAL</t>
  </si>
  <si>
    <t>TOMADA SIMPLES, 2P+T, 20A</t>
  </si>
  <si>
    <t>SOQUETE ANTIVIBRATÓRIO PARA LÂMPADA FLUORESCENTE SEM PORTA-STARTER</t>
  </si>
  <si>
    <t>IGNITOR PARA PARTIDA LÂMPADA VAPOR SÓDIO ALTA PRESSÃO ATÉ 400W</t>
  </si>
  <si>
    <t>REATOR SIMPLES PARA LÂMPADA FLUORESCENTE, ALTO F.POTÊNCIA - 220V/40W</t>
  </si>
  <si>
    <t>REATOR SIMPLES PARA LÂMPADA FLUORESCENTE PARTIDA RÁPIDA, ALTO F.POTÊNCIA - 110-220V/20W</t>
  </si>
  <si>
    <t>REATOR DUPLO PARA LÂMPADA FLUORESCENTE PARTIDA RÁPIDA, ALTO F.POTÊNCIA - 110-220V/2X20W</t>
  </si>
  <si>
    <t>REATOR DUPLO PARA LÂMPADA FLUORESCENTE PARTIDA RÁPIDA, ALTO F.POTÊNCIA 110-220V/2X40W</t>
  </si>
  <si>
    <t>REATOR SIMPLES PARA LÂMPADA FLUORESCENTE PARTIDA RÁPIDA, ALTO F.POTÊNCIA - 220V/1X110W</t>
  </si>
  <si>
    <t>REATOR DUPLO PARA LÂMPADA FLUORESCENTE PARTIDA RÁPIDA, ALTO F.POTÊNCIA 220V/2X110W</t>
  </si>
  <si>
    <t>REATOR PARA LÂMPADA HG - 220V/125W</t>
  </si>
  <si>
    <t>REATOR PARA LÂMPADA HG - 220V/250W</t>
  </si>
  <si>
    <t>REATOR PARA LÂMPADA HG - 220V/400W</t>
  </si>
  <si>
    <t>REATOR PARA LÂMPADA VAPOR DE MERCÚRIO USO EXTERNO 220V/400W</t>
  </si>
  <si>
    <t>REATOR PARA LÂMPADA VAPOR DE SÓDIO ALTA PRESSÃO - 220V/70W</t>
  </si>
  <si>
    <t>REATOR PARA LÂMPADA VAPOR DE SÓDIO ALTA PRESSÃO - 220V/150W</t>
  </si>
  <si>
    <t>REATOR PARA LÂMPADA VAPOR DE SÓDIO ALTA PRESSÃO - 220V/250W</t>
  </si>
  <si>
    <t>REATOR PARA LÂMPADA VAPOR DE SÓDIO ALTA PRESSÃO - 220V/400W</t>
  </si>
  <si>
    <t>INVERSOR FOTOVOLTÁICO SAÍDA TRIFÁSICA - 15 KW - ENTRADA ATÉ 1000 VCC - EFICIÊNCIA MÍNIMA 95%</t>
  </si>
  <si>
    <t>INVERSOR FOTOVOLTÁICO SAÍDA TRIFÁSICA - 10 KW -  ENTRADA ATÉ 600 VCC - EFICIÊNCIA MÍNIMA 95%</t>
  </si>
  <si>
    <t>LÂMPADA FLUORESCENTE - 20W</t>
  </si>
  <si>
    <t>LÂMPADA FLUORESCENTE - 40W</t>
  </si>
  <si>
    <t>LÂMPADA MISTA - 220V/160W</t>
  </si>
  <si>
    <t>LÂMPADA MISTA - 220V/250W</t>
  </si>
  <si>
    <t>LÂMPADA MISTA - 220V/500W</t>
  </si>
  <si>
    <t>LÂMPADA FLUORESCENTE - 110W TIPO HO</t>
  </si>
  <si>
    <t>LÂMPADA VAPOR DE MERCÚRIO - 220V/80W</t>
  </si>
  <si>
    <t>LÂMPADA VAPOR DE MERCÚRIO - 220V/125W</t>
  </si>
  <si>
    <t>LÂMPADA VAPOR DE MERCÚRIO - 220V/250W</t>
  </si>
  <si>
    <t>LÂMPADA VAPOR DE MERCÚRIO - 220V/400W</t>
  </si>
  <si>
    <t>LÂMPADA VAPOR DE SÓDIO ALTA PRESSÃO - 70W</t>
  </si>
  <si>
    <t>LÂMPADA VAPOR DE SÓDIO ALTA PRESSÃO - 150W</t>
  </si>
  <si>
    <t>LÂMPADA VAPOR DE SÓDIO ALTA PRESSÃO - 250W</t>
  </si>
  <si>
    <t>LÂMPADA VAPOR DE SÓDIO ALTA PRESSÃO - 400W</t>
  </si>
  <si>
    <t>LÂMPADA DE HALOGÊNIO - 110V/220V/300W</t>
  </si>
  <si>
    <t>LÂMPADA DE HALOGÊNIO - 220V/1000W</t>
  </si>
  <si>
    <t>LÂMPADA DE LED (BULBO) SOQUETE E-27/ E-40 - 40W</t>
  </si>
  <si>
    <t>LÂMPADA DE LED (BULBO) SOQUETE E-27/ E-40 - 70W</t>
  </si>
  <si>
    <t>LÂMPADA DE LED TUBULAR T8 - 9/10W</t>
  </si>
  <si>
    <t>LÂMPADA DE LED TUBULAR T8 - 18/20W</t>
  </si>
  <si>
    <t>LÂMPADA DE LED BULBO 10W - SOQUETE E-27</t>
  </si>
  <si>
    <t>MÓDULO FOTOVOLTÁICO (PAINEL) POLICRISTALINO - 270 W - TENSÃO MÁX. 1000 VCC - EFICIÊNCIA MÍN. 15%</t>
  </si>
  <si>
    <t>LÂMPADA DE LED (BULBO) SOQUETE E-27/E-40 - 100W</t>
  </si>
  <si>
    <t>LÂMPADA DE LED (BULBO) SOQUETE E-27/E-40 - 150W</t>
  </si>
  <si>
    <t>PLUG PARA TELEFONE DE 4 PINOS PADRÃO TELEBRÁS</t>
  </si>
  <si>
    <t>PLUG 3P+T 30A - 440V</t>
  </si>
  <si>
    <t>PLUG 3P+T 32A - 600/690V - TIPO INDUSTRIAL</t>
  </si>
  <si>
    <t>PLUG 3P+T 63A - 600/690V - TIPO INDUSTRIAL</t>
  </si>
  <si>
    <t>PLUG P/ TOMADA ATÉ 20A (2P+T, 20A - 250V)</t>
  </si>
  <si>
    <t>PLUG PARA TELEFONE - PADRÃO RJ11</t>
  </si>
  <si>
    <t>INTERRUPTOR COM VARIADOR DE LUMINOSIDADE 110/ 220 V - 127V/ 500W</t>
  </si>
  <si>
    <t>INTERRUPTOR PARALELO BIPOLAR 1 TECLA</t>
  </si>
  <si>
    <t>REATOR PARA LÂMPADA HG - 220V/80W</t>
  </si>
  <si>
    <t>SERVIÇOS PARCIAIS - PÁRA-RAIOS E OUTROS</t>
  </si>
  <si>
    <t>COLOCAÇÃO DE ARAME GUIA #14 DE AÇO GALVANIZADO EM ELETRODUTO</t>
  </si>
  <si>
    <t>FOTOCELULA SOLAR-RELÊ FOTOELÉTRICO CAPACIDADE - 1000W</t>
  </si>
  <si>
    <t>BASE E ESTAIS PARA HASTE DE PÁRA-RAIOS</t>
  </si>
  <si>
    <t>TERMINAL AÉREO EM AÇO GALVANIZADO COM BASE DE FIXAÇÃO H=30CM</t>
  </si>
  <si>
    <t>SUPORTE PARA FIXAÇÃO DE CABO EM TELHA ONDULADA</t>
  </si>
  <si>
    <t>CRUZETA DE FERRO GALVANIZADO PARA 3 PROJETORES</t>
  </si>
  <si>
    <t>BRAÇO P/ LUMINÁRIA EM TUBO FERRO GALVANIZADO 1"X1M</t>
  </si>
  <si>
    <t>POSTE DE AÇO GALVANIZADO, TIPO RETO FLANGEADO H=5M</t>
  </si>
  <si>
    <t>POSTE DE AÇO GALVANIZADO, TIPO RETO FLANGEADO H=7M</t>
  </si>
  <si>
    <t>POSTE DE AÇO GALVANIZADO, TIPO CURVO SIMPLES  H=7M</t>
  </si>
  <si>
    <t>POSTE DE AÇO GALVANIZADO, TIPO CURVO DUPLO H=7M</t>
  </si>
  <si>
    <t>CONECTOR TIPO PRENSA CABO EM ALUMÍNIO - 3/8"</t>
  </si>
  <si>
    <t>CONECTOR TIPO PRENSA-CABO EM ALUMÍNIO - 1/2"</t>
  </si>
  <si>
    <t>CONECTOR TIPO PRENSA-CABO EM ALUMÍNIO - 3/4"</t>
  </si>
  <si>
    <t>CONECTOR TIPO PRENSA-CABO EM ALUMÍNIO - 1"</t>
  </si>
  <si>
    <t>SUPORTE SIMPLES COM ROLDANA, PARA DESCIDA DE PÁRA-RAIOS</t>
  </si>
  <si>
    <t>CONECTOR TIPO "SPLIT-BOLT" - PARA CABO DE 16MM2</t>
  </si>
  <si>
    <t>CONECTOR TIPO "SPLIT-BOLT" - PARA CABO DE 35MM2</t>
  </si>
  <si>
    <t>HASTE "COPPERWELD"- 5/8"X3,OOM</t>
  </si>
  <si>
    <t>CONECTOR PARA HASTE "COPPERWELD"</t>
  </si>
  <si>
    <t>CONECTOR TIPO "SPLIT-BOLT" - PARA CABO DE 300,0MM2</t>
  </si>
  <si>
    <t>HASTE "COPPERWELD " - 3/4"X3,00M</t>
  </si>
  <si>
    <t>SERVIÇOS PARCIAIS - ELETROFERRAGENS E ACESSÓRIOS</t>
  </si>
  <si>
    <t>BUCHA E ARRUELA RÍGIDA PESADA EM ZAMAK - 1/2"</t>
  </si>
  <si>
    <t>BUCHA E ARRUELA RÍGIDA PESADA EM ZAMAK - 3/4"</t>
  </si>
  <si>
    <t>BRAÇADEIRA DE AÇO GALVANIZADO - 1/2"</t>
  </si>
  <si>
    <t>BRAÇADEIRA DE AÇO GALVANIZADO - 3"</t>
  </si>
  <si>
    <t>SUPORTE P/ PERFILADO 100X38MM GE</t>
  </si>
  <si>
    <t>SUPORTE CURTO PARA LUMINÁRIA 100X38MM GE</t>
  </si>
  <si>
    <t>SUPORTE LONGO PARA LUMINÁRIA 165X38MM GE</t>
  </si>
  <si>
    <t>EMENDA INTERNA P/ PERFILADO 38X38 "1" GE</t>
  </si>
  <si>
    <t>EMENDA INTERNA P/ PEFILADO 38X38 "T" GE</t>
  </si>
  <si>
    <t>CAIXA DE DERIVAÇÃO P/ PERFILADO 38X38 TP "C" GE - CHAPA 14</t>
  </si>
  <si>
    <t>CAIXA DE DERIVAÇÃO P/ PERFILADO 38X38 TP "L" GE - CHAPA 14</t>
  </si>
  <si>
    <t>CAIXA DE DERIVAÇÃO P/ PERFILADO 38X76 TP "E" GE - CHAPA 14</t>
  </si>
  <si>
    <t>CAIXA DE DERIVAÇÃO P/ PERFILADO 38X76 TP "C" GE - CHAPA 14</t>
  </si>
  <si>
    <t>CAIXA DE DERIVAÇÃO P/ PERFILADO 38X76 TP "L" GE - CHAPA 14</t>
  </si>
  <si>
    <t>CAIXA DE DERIVAÇÃO P/ PERFILADO 38X76 TP "T" GE - CHAPA 14</t>
  </si>
  <si>
    <t>CAIXA EM ALUMÍNIO P/ TOMADA FIXAÇÃO EM PERFILADO</t>
  </si>
  <si>
    <t>SAÍDA PARA ELETRODUTO EM PERFILADO 3/4" GE</t>
  </si>
  <si>
    <t>VERGALHÃO DE AÇO C/ ROSCA TOTAL 5/16" GE</t>
  </si>
  <si>
    <t>REATORES</t>
  </si>
  <si>
    <t>REATOR PARA LÂMPADA VAPOR METÁLICO - 70W/ 220V</t>
  </si>
  <si>
    <t>REATOR PARA LÂMPADA VAPOR METÁLICO - 150W/ 220V</t>
  </si>
  <si>
    <t>REATOR DE LÂMPADA VAPOR METÁLICO - 250W/ 220V</t>
  </si>
  <si>
    <t>REATOR PARA LÂMPADA VAPOR METÁLICO - 400W/ 220V</t>
  </si>
  <si>
    <t>REATOR ELETRÔNICO AFP 127V P/ LÂMPADA FLUORESCENTE - 1 X 14W</t>
  </si>
  <si>
    <t>REATOR ELETRÔNICO AFP 127V P/ LÂMPADA FLUORESCENTE - 1 X 28W</t>
  </si>
  <si>
    <t>REATOR ELETRÔNICO AFP 127V P/ LÂMPADA FLUORESCENTE - 2 X 14W</t>
  </si>
  <si>
    <t>REATOR ELETRÔNICO AFP 127V P/ LÂMPADA FLUORESCENTE - 2 X 28W</t>
  </si>
  <si>
    <t>REATOR ELETRÔNICO FLUORESCENTE SIMPLES AFP - 1X16W - 127/220V</t>
  </si>
  <si>
    <t>REATOR ELETRÔNICO FLUORESCENTE SIMPLES AFP - 1X32W - 127/220V</t>
  </si>
  <si>
    <t>REATOR ELETRÔNICO FLUORESCENTE DUPLO AFP - 2X16W - 127/220V</t>
  </si>
  <si>
    <t>REATOR ELETRÔNICO FLUORESCENTE DUPLO AFP - 2X32W - 127/220V</t>
  </si>
  <si>
    <t>REATOR ELETRÔNICO FLUORESCENTE SIMPLES AFP 1X54W - 220V</t>
  </si>
  <si>
    <t>REATOR ELETRÔNICO FLUORESCENTE DUPLO AFP 2X54W - 220V</t>
  </si>
  <si>
    <t>LÂMPADA VAPOR METÁLICO - 70W</t>
  </si>
  <si>
    <t>LÂMPADA VAPOR METÁLICO - 150W</t>
  </si>
  <si>
    <t>LÂMPADA VAPOR METÁLICO - 250W</t>
  </si>
  <si>
    <t>LÂMPADA VAPOR METÁLICO - 400W</t>
  </si>
  <si>
    <t>LÂMPADA FLUORESCENTE COMPACTA 15W - 220V</t>
  </si>
  <si>
    <t>LÂMPADA COMPACTA MINI-FLUORESCENTE COM REATOR E SOQUETE INCORPORADOS - 25W</t>
  </si>
  <si>
    <t>LÂMPADA FLUORESCENTE - 14W</t>
  </si>
  <si>
    <t>LÂMPADA FLUORESCENTE 16W</t>
  </si>
  <si>
    <t>LÂMPADA FLUORESCENTE 32W</t>
  </si>
  <si>
    <t>LÂMPADA FLUORESCENTE - 28W</t>
  </si>
  <si>
    <t>TOMADAS</t>
  </si>
  <si>
    <t>TOMADA RJ 45 PARA INFORMÁTICA COM PLACA</t>
  </si>
  <si>
    <t>TOMADA PARA TELEFONE PADRÃO RJ11 COM PLACA/ ESPELHO</t>
  </si>
  <si>
    <t>REDE LÓGICA</t>
  </si>
  <si>
    <t>CERTIFICAÇÃO DE REDE LÓGICA - ATÉ 50 PONTOS</t>
  </si>
  <si>
    <t>GL</t>
  </si>
  <si>
    <t>CERTIFICAÇÃO DE REDE LÓGICA - EXCEDENTE 50 PONTOS</t>
  </si>
  <si>
    <t>PTO</t>
  </si>
  <si>
    <t>RACK 8U'S COM VENTILAÇÃO, BANDEJA FIXA E RÉGUA DE TOMADAS - INSTALADO</t>
  </si>
  <si>
    <t>PATCH PAINEL - 24 PORTAS - INSTALADO</t>
  </si>
  <si>
    <t>SWITCH - 24 PORTAS - INSTALADO</t>
  </si>
  <si>
    <t>GUIA ORGANIZADORA DE CABOS 19" - 1V - INSTALADA</t>
  </si>
  <si>
    <t>PATCH CORD RJ45 - 1,5M</t>
  </si>
  <si>
    <t>PATCH CORD RJ45 - 2,5M</t>
  </si>
  <si>
    <t>CABO UTP - CATEGORIA 4 E 5 PARES</t>
  </si>
  <si>
    <t>INST.HIDRO-SANITARIAS</t>
  </si>
  <si>
    <t>ALIMENTAÇÃO PREDIAL DE ÁGUA E GÁS</t>
  </si>
  <si>
    <t>CAVALETE DE ENTRADA - 3/4"</t>
  </si>
  <si>
    <t>CAVALETE DE ENTRADA - 1"</t>
  </si>
  <si>
    <t>CAVALETE DE ENTRADA - 1 1/2"</t>
  </si>
  <si>
    <t>HV.09 - ABRIGO PARA CAVALETE ENTRADA, D=3/4" OU 1" EM ALVENARIA REVESTIDA</t>
  </si>
  <si>
    <t>HV.10 - ABRIGO PARA CAVALETE ENTRADA, D=1 1/4", D=1 1/2"OU 2" EM ALVENARIA REVESTIDA</t>
  </si>
  <si>
    <t>PROTEÇÃO ANTICORROSIVA PARA TUBULAÇÃO ENTERRADA</t>
  </si>
  <si>
    <t>ENVELOPAMENTO DE TUBULAÇÃO ENTERRADA, COM CONCRETO</t>
  </si>
  <si>
    <t>RESERVAÇÃO DE ÁGUA</t>
  </si>
  <si>
    <t>RESERVATÓRIO DE FIBRA DE VIDRO - CAPACIDADE 1000L</t>
  </si>
  <si>
    <t>CAIXA D'ÁGUA DE FIBRA DE VIDRO - 1500 LITROS</t>
  </si>
  <si>
    <t>CAIXA D'ÁGUA DE POLIETILENO 5000 LITROS</t>
  </si>
  <si>
    <t>CAIXA D'ÁGUA DE POLIETILENO 10.000 LITROS</t>
  </si>
  <si>
    <t>CAIXA D'ÁGUA DE POLIETILENO 15.000 LITROS</t>
  </si>
  <si>
    <t>ANÉIS PRÉ-MOLDADOS EM CONCRETO ARMADO P/ RESERVATÓRIO DE ÁGUA D=2,50M</t>
  </si>
  <si>
    <t>LAJE PRÉ-MOLDADA D=2,50M E=8CM PARA RESERVATÓRIO</t>
  </si>
  <si>
    <t>LAJE PRÉ-MOLDADA D=2,50M E=15CM PARA RESERVATÓRIO</t>
  </si>
  <si>
    <t>TUBO DE AÇO GALVANIZADO, CLASSE LEVE I (LINHA ÁGUA) - 3/4"</t>
  </si>
  <si>
    <t>TUBO DE AÇO GALVANIZADO, CLASSE LEVE I (LINHA ÁGUA) - 1"</t>
  </si>
  <si>
    <t>TUBO DE AÇO GALVANIZADO, CLASSE LEVE I (LINHA ÁGUA) - 1 1/2"</t>
  </si>
  <si>
    <t>TUBO DE AÇO GALVANIZADO, CLASSE LEVE I (LINHA ÁGUA) - 2"</t>
  </si>
  <si>
    <t>TUBO DE PVC RÍGIDO, SOLDÁVEL (LINHA ÁGUA) - 25MM (3/4")</t>
  </si>
  <si>
    <t>TUBO DE PVC RÍGIDO, SOLDÁVEL (LINHA ÁGUA) - 32MM (1")</t>
  </si>
  <si>
    <t>TUBO DE PVC RÍGIDO, SOLDÁVEL (LINHA ÁGUA) - 50MM (1 1/2")</t>
  </si>
  <si>
    <t>TUBO DE PVC RÍGIDO, SOLDÁVEL (LINHA ÁGUA) - 60MM (2")</t>
  </si>
  <si>
    <t>REGISTRO DE GAVETA, METAL AMARELO - 3/4"</t>
  </si>
  <si>
    <t>REGISTRO DE GAVETA, METAL AMARELO - 1"</t>
  </si>
  <si>
    <t>REGISTRO DE GAVETA, METAL AMARELO - 1 1/2"</t>
  </si>
  <si>
    <t>REGISTRO DE GAVETA, METAL AMARELO - 2"</t>
  </si>
  <si>
    <t>TORNEIRA DE BÓIA, DE LATÃO - 3/4"</t>
  </si>
  <si>
    <t>TORNEIRA DE BÓIA, DE LATÃO - 1"</t>
  </si>
  <si>
    <t>TORNEIRA DE BÓIA, DE LATÃO - 1 1/2"</t>
  </si>
  <si>
    <t>TORNEIRA DE BÓIA, DE LATÃO - 2"</t>
  </si>
  <si>
    <t>INSTALAÇÃO ELEVATÓRIA</t>
  </si>
  <si>
    <t>CONJUNTO MOTOR-BOMBA - ATÉ 1/2HP</t>
  </si>
  <si>
    <t>CONJUNTO MOTOR-BOMBA - ATÉ 3/4HP</t>
  </si>
  <si>
    <t>CONJUNTO MOTOR-BOMBA - ATÉ 1HP</t>
  </si>
  <si>
    <t>CONJUNTO MOTOR-BOMBA - ATÉ 2HP</t>
  </si>
  <si>
    <t>CONJUNTO MOTOR-BOMBA - ATÉ 3HP</t>
  </si>
  <si>
    <t>CONJUNTO MOTOR-BOMBA - ATÉ 4HP</t>
  </si>
  <si>
    <t>CONJUNTO MOTOR-BOMBA - ATÉ 5HP</t>
  </si>
  <si>
    <t>CONJUNTO MOTOR-BOMBA 80M3/H, 20MCA, 7,5CV, 3500RPM, 220/380V, TRIFÁSICO</t>
  </si>
  <si>
    <t>CONJUNTO MOTOR-BOMBA 112M3/H, 20MCA, 10CV, 3500RPM, 220/380V, TRIFÁSICO</t>
  </si>
  <si>
    <t>CONJUNTO MOTOR-BOMBA 160M3/H, 20MCA, 15CV, 1750RPM, 220/380V, TRIFÁSICO</t>
  </si>
  <si>
    <t>CONJUNTO MOTOR-BOMBA 240M3/H, 20MCA, 20CV, 1750RPM, 220/380V, TRIFÁSICO</t>
  </si>
  <si>
    <t>CONJUNTO MOTOR-BOMBA 270M3/H, 20MCA, 25CV, 1750RPM, 220/380V, TRIFÁSICO</t>
  </si>
  <si>
    <t>TUBO DE AÇO-CARBONO GALVANIZADO, CL.MÉDIA (DIN2440) - 1" (RECALQUE)</t>
  </si>
  <si>
    <t>TUBO DE AÇO-CARBONO GALVANIZADO, CL.MÉDIA (DIN2440) - 1 1/2" (SUCÇÃO)</t>
  </si>
  <si>
    <t>VÁLVULA DE RETENÇÃO HORIZONTAL - 1"</t>
  </si>
  <si>
    <t>VÁLVULA DE RETENÇÃO HORIZONTAL - 1 1/2"</t>
  </si>
  <si>
    <t>VÁLVULA DE RETENÇÃO HORIZONTAL - 2"</t>
  </si>
  <si>
    <t>VÁLVULA DE RETENÇÃO HORIZONTAL - 2 1/2"</t>
  </si>
  <si>
    <t>VÁLVULA DE RETENÇÃO HORIZONTAL - 3"</t>
  </si>
  <si>
    <t>VÁLVULA DE RETENÇÃO HORIZONTAL - 4"</t>
  </si>
  <si>
    <t>VÁLVULA DE RETENÇÃO VERTICAL - 1"</t>
  </si>
  <si>
    <t>VÁLVULA DE RETENÇÃO VERTICAL - 1 1/4"</t>
  </si>
  <si>
    <t>VÁLVULA DE RETENÇÃO VERTICAL - 1 1/2"</t>
  </si>
  <si>
    <t>VÁLVULA DE RETENÇÃO VERTICAL - 2"</t>
  </si>
  <si>
    <t>VÁLVULA DE RETENÇÃO VERTICAL - 2 1/2"</t>
  </si>
  <si>
    <t>VÁLVULA DE RETENÇÃO VERTICAL - 3"</t>
  </si>
  <si>
    <t>VÁLVULA DE RETENÇÃO VERTICAL - 4"</t>
  </si>
  <si>
    <t>CHAVE DE BÓIA</t>
  </si>
  <si>
    <t>REDE DE ÁGUA FRIA - TUBULAÇÃO</t>
  </si>
  <si>
    <t>TUBO DE AÇO GALVANIZADO, CLASSE LEVE I (LINHA ÁGUA) - 1 1/4"</t>
  </si>
  <si>
    <t>TUBO DE AÇO GALVANIZADO, CLASSE LEVE I (LINHA ÁGUA) - 2 1/2"</t>
  </si>
  <si>
    <t>TUBO DE AÇO GALVANIZADO, CLASSE LEVE I (LINHA ÁGUA) - 3"</t>
  </si>
  <si>
    <t>TUBO DE AÇO GALVANIZADO, CLASSE LEVE I (LINHA ÁGUA) - 4"</t>
  </si>
  <si>
    <t>TUBO DE PVC RÍGIDO, SOLDÁVEL (LINHA ÁGUA) - 40MM (1 1/4")</t>
  </si>
  <si>
    <t>TUBO DE PVC RÍGIDO, SOLDÁVEL (LINHA ÁGUA) - 75MM (2 1/2")</t>
  </si>
  <si>
    <t>TUBO DE PVC RÍGIDO, SOLDÁVEL (LINHA ÁGUA) - 85MM (3")</t>
  </si>
  <si>
    <t>TUBO DE PVC RÍGIDO, SOLDÁVEL (LINHA ÁGUA) - 110MM (4")</t>
  </si>
  <si>
    <t>REDE DE ÁGUA FRIA - ACESSÓRIOS</t>
  </si>
  <si>
    <t>REGISTRO DE GAVETA, METAL AMARELO - 1 1/4"</t>
  </si>
  <si>
    <t>REGISTRO DE GAVETA, METAL AMARELO - 2 1/2"</t>
  </si>
  <si>
    <t>REGISTRO DE GAVETA, METAL AMARELO - 3"</t>
  </si>
  <si>
    <t>REGISTRO DE GAVETA, METAL AMARELO - 4"</t>
  </si>
  <si>
    <t>REGISTRO DE GAVETA, METAL CROMADO - 3/4"</t>
  </si>
  <si>
    <t>REGISTRO DE GAVETA, METAL CROMADO - 1"</t>
  </si>
  <si>
    <t>REGISTRO DE GAVETA, METAL CROMADO - 1 1/4"</t>
  </si>
  <si>
    <t>REGISTRO DE GAVETA, METAL CROMADO - 1 1/2"</t>
  </si>
  <si>
    <t>REGISTRO DE PRESSÃO, METAL AMARELO - 1/2"</t>
  </si>
  <si>
    <t>REGISTRO DE PRESSÃO, METAL AMARELO - 3/4"</t>
  </si>
  <si>
    <t>REGISTRO DE PRESSÃO, METAL CROMADO - 3/4"</t>
  </si>
  <si>
    <t>REGISTRO GLOBO COM ADAPTADOR E TAMPA - 2 1/2"</t>
  </si>
  <si>
    <t>REDE DE ÁGUA QUENTE</t>
  </si>
  <si>
    <t>TUBO DE COBRE SEM COSTURA, CLASSE EL - 1/2"</t>
  </si>
  <si>
    <t>TUBO DE COBRE SEM COSTURA, CLASSE EL - 3/4"</t>
  </si>
  <si>
    <t>TUBO DE COBRE SEM COSTURA, CLASSE EL - 1"</t>
  </si>
  <si>
    <t>TUBO DE COBRE SEM COSTURA, CLASSE EL - 1 1/4"</t>
  </si>
  <si>
    <t>TUBO DE COBRE SEM COSTURA, CLASSE EL - 1 1/2"</t>
  </si>
  <si>
    <t>TUBO DE COBRE SEM COSTURA, CLASSE A - 1/2"</t>
  </si>
  <si>
    <t>TUBO DE COBRE SEM COSTURA, CLASSE A 3/4"</t>
  </si>
  <si>
    <t>TUBO DE COBRE SEM COSTURA, CLASSE A 1"</t>
  </si>
  <si>
    <t>TUBO DE COBRE SEM COSTURA, CLASSE A 1 1/4"</t>
  </si>
  <si>
    <t>TUBO DE COBRE SEM COSTURA, CLASSE A 1 1/2"</t>
  </si>
  <si>
    <t>REDE DE GÁS</t>
  </si>
  <si>
    <t>TUBO PRETO DE AÇO-CARBONO, CLASSE SCH-40 - 3/4"</t>
  </si>
  <si>
    <t>TUBO PRETO DE AÇO-CARBONO, CLASSE SCH-40 - 1"</t>
  </si>
  <si>
    <t>TUBO PRETO DE AÇO-CARBONO, CLASSE SCH-40 - 1 1/4"</t>
  </si>
  <si>
    <t>TUBO PRETO DE AÇO-CARBONO, CLASSE SCH-40 - 1 1/2"</t>
  </si>
  <si>
    <t>VÁLVULA ESFÉRICA MONOBLOCO EM LATÃO, 3/4" NPT</t>
  </si>
  <si>
    <t>HV.04 - ABRIGO PARA GÁS EM BLOCO DE CONCRETO APARENTE PARA 2 BOTIJÕES</t>
  </si>
  <si>
    <t>HV.12 - ABRIGO PARA GÁS EM ALVENARIA REVESTIDA PARA 2 BOTIJÕES</t>
  </si>
  <si>
    <t>HV.13 - ABRIGO PARA GÁS EM BLOCOS DE CONCRETO APARENTE PARA 2 CILINDROS</t>
  </si>
  <si>
    <t>HV.14 - ABRIGO PARA GÁS EM BLOCO DE CONCRETO APARENTE PARA 4 CILINDROS</t>
  </si>
  <si>
    <t>HV.15 - ABRIGO PARA GÁS EM BLOCO DE CONCRETO APARENTE PARA 6 CILINDROS</t>
  </si>
  <si>
    <t>HV.17 - ABRIGO PARA GÁS EM TIJOLO APARENTE PARA 4 CILINDROS</t>
  </si>
  <si>
    <t>HV.18 - ABRIGO PARA GÁS EM TIJOLO APARENTE PARA 6 CILINDROS</t>
  </si>
  <si>
    <t>HV.19 - ABRIGO PARA GÁS EM ALVENARIA REVESTIDA PARA 2 CILINDROS</t>
  </si>
  <si>
    <t>HV.20 - ABRIGO PARA GÁS EM ALVENARIA REVESTIDA PARA 4 CILINDROS</t>
  </si>
  <si>
    <t>HV.21 - ABRIGO PARA GÁS EM ALVENARIA REVESTIDA PARA 6 CILINDROS</t>
  </si>
  <si>
    <t>HD.10 - INSTALAÇÃO PARA 2 BOTIJÕES GLP 13KG, EXCLUSIVE ABRIGO</t>
  </si>
  <si>
    <t>HD.11 - INSTALAÇÃO PARA 2 CILINDROS GLP 45 KG, EXCLUSIVE ABRIGO</t>
  </si>
  <si>
    <t>HD.12 - INSTALAÇÃO PARA 4 CILINDRO GLP 45KG, EXCLUSIVE ABRIGO</t>
  </si>
  <si>
    <t>HD.13  - INSTALAÇÃO PARA 6 CILINDROS GLP 45KG, EXCLUSIVE ABRIGO</t>
  </si>
  <si>
    <t>BOTIJÃO DE GÁS DE 13KG COM CARGA</t>
  </si>
  <si>
    <t>CILINDRO DE G.L.P. DE 45KG COM CARGA</t>
  </si>
  <si>
    <t>CAIXA COM COLETOR DE ÁGUA (SIFÃO) PARA REDE DE GÁS</t>
  </si>
  <si>
    <t>REDE DE PREVENÇÃO E COMBATE A INCÊNDIOS</t>
  </si>
  <si>
    <t>TUBO DE AÇO-CARBONO GALVANIZADO, CLASSE MÉDIA (DIN2440) - 2 1/2"</t>
  </si>
  <si>
    <t>TUBO DE AÇO-CARBONO GALVANIZADO, CLASSE MÉDIA (DIN2440) - 3"</t>
  </si>
  <si>
    <t>TUBO DE AÇO-CARBONO GALVANIZADO, CLASSE MÉDIA (DIN2440) - 4"</t>
  </si>
  <si>
    <t>TUBO DE AÇO-CARBONO GALVANIZADO, CLASSE MÉDIA (DIN2440) - 6"</t>
  </si>
  <si>
    <t>RECALQUE DE PASSEIO COM UNIÃO ENGATE RÁPIDO - REGISTRO TIPO GLOBO 2 1/2"</t>
  </si>
  <si>
    <t>HIDRANTE COM UNIÃO DE ENGATE RÁPIDO - REGISTRO TIPO GLOBO 2 1/2"</t>
  </si>
  <si>
    <t>ABRIGO DE EMBUTIR PARA HIDRANTE E MANGUEIRA - CHAPA DE AÇO N.20</t>
  </si>
  <si>
    <t>MANGUEIRA DE INCÊNDIO COM UNIÃO DE ENGATE RÁPIDO, 15M - 1 1/2"</t>
  </si>
  <si>
    <t>MANGUEIRA DE INCÊNDIO COM UNIÃO DE ENGATE RÁPIDO, 30M - 1 1/2"</t>
  </si>
  <si>
    <t>MANGUEIRA DE INCÊNDIO COM UNIÃO DE ENGATE RÁPIDO, 30M - 2 1/2"</t>
  </si>
  <si>
    <t>ESGUICHO DE INCÊNDIO COM ENGATE RÁPIDO - 1 1/2"X1/2"</t>
  </si>
  <si>
    <t>ESGUICHO DE INCÊNDIO COM ENGATE RÁPIDO - 2 1/2"X5/8"</t>
  </si>
  <si>
    <t>EXTINTOR DE INCÊNDIO COM CARGA DE GÁS CARBÔNICO (CO2) - 4KG</t>
  </si>
  <si>
    <t>EXTINTOR DE INCÊNDIO COM CARGA DE GÁS CARBÔNICO (CO2) - 6KG</t>
  </si>
  <si>
    <t>EXTINTOR DE INCÊNDIO COM CARGA DE GÁS CARBÔNICO (CO2) - 10KG</t>
  </si>
  <si>
    <t>EXTINTOR DE INCÊNDIO COM CARGA DE ÁGUA PRESSURIZADA - 10L</t>
  </si>
  <si>
    <t>EXTINTOR DE INCÊNDIO COM CARGA DE ESPUMA QUÍMICA - 9L</t>
  </si>
  <si>
    <t>EXTINTOR DE INCÊNDIO COM CARGA DE PÓ QUÍMICO SECO - 4KG</t>
  </si>
  <si>
    <t>EXTINTOR DE INCÊNDIO COM CARGA DE PÓ QUÍMICO SECO - 8KG</t>
  </si>
  <si>
    <t>EXTINTOR DE INCÊNDIO COM CARGA DE PÓ QUÍMICO SECO - 12KG</t>
  </si>
  <si>
    <t>SETA PARA HIDRANTE/EXTINTOR DE INCÊNDIO</t>
  </si>
  <si>
    <t>REDE DE ESGOTO SANITÁRIO - TUBULAÇÃO</t>
  </si>
  <si>
    <t>TUBO DE FERRO FUNDIDO PARA ESGOTO, LINHA SMU - 50MM</t>
  </si>
  <si>
    <t>TUBO DE FERRO FUNDIDO PARA ESGOTO, LINHA SMU - 75MM</t>
  </si>
  <si>
    <t>TUBO DE FERRO FUNDIDO PARA ESGOTO, LINHA SMU - 100MM</t>
  </si>
  <si>
    <t>TUBO DE FERRO FUNDIDO PARA ESGOTO, LINHA SMU - 150MM</t>
  </si>
  <si>
    <t>TUBO DE PVC RÍGIDO, PONTA E BOLSA (LINHA ESGOTO) - 40MM (1 1/2")</t>
  </si>
  <si>
    <t>TUBO DE PVC RÍGIDO, PONTA E BOLSA (LINHA ESGOTO) - 50MM (2")</t>
  </si>
  <si>
    <t>TUBO DE PVC RÍGIDO, PONTA E BOLSA (LINHA ESGOTO) - 75MM (3")</t>
  </si>
  <si>
    <t>TUBO DE PVC RÍGIDO, PONTA E BOLSA (LINHA ESGOTO) - 100MM (4")</t>
  </si>
  <si>
    <t>TUBO DE PVC RÍGIDO, PONTA E BOLSA (LINHA ESGOTO) - 150MM (6")</t>
  </si>
  <si>
    <t>TUBO DE PVC RÍGIDO, PONTA E BOLSA (LINHA ESGOTO) - 200MM (8")</t>
  </si>
  <si>
    <t>REDE DE ESGOTO SANITÁRIO - ACESSÓRIOS</t>
  </si>
  <si>
    <t>RALO SECO DE PVC RÍGIDO, COM SAÍDA SOLDADA DE 40MM - DIÂMETRO 100MM</t>
  </si>
  <si>
    <t>CAIXA SIFONADA DE PVC RÍGIDO - 100X150MM</t>
  </si>
  <si>
    <t>CAIXA SIFONADA DE PVC RÍGIDO - 150X150MM</t>
  </si>
  <si>
    <t>CAIXA SIFONADA DE PVC RÍGIDO 250X230X75MM</t>
  </si>
  <si>
    <t>RALO SECO DE FERRO FUNDIDO, COM SAÍDA VERTICAL (SMU) - DIÂMETRO 100MM</t>
  </si>
  <si>
    <t>CAIXA DE GORDURA COM CESTO DE LIMPEZA EM PVC 100MM - TIGRE OU SIMILAR</t>
  </si>
  <si>
    <t>CAIXA DE GORDURA, ALVENARIA DE TIJOLOS MACIÇOS COMUNS - 60X60CM</t>
  </si>
  <si>
    <t>FOSSA SÉPTICA EM ANÉIS DE CONCRETO, PARA 10 PESSOAS - 1,40 X 1,20M</t>
  </si>
  <si>
    <t>FOSSA SÉPTICA EM ANÉIS DE CONCRETO, PARA 20 PESSOAS - 1,40 X 1,70M</t>
  </si>
  <si>
    <t>FOSSA SÉPTICA EM ANÉIS DE CONCRETO, PARA 100 PESSOAS - 2,40 X 2,50M</t>
  </si>
  <si>
    <t>FOSSA SÉPTICA EM ANÉIS DE CONCRETO, PARA 140 PESSOAS - 2,40 X 3,50M</t>
  </si>
  <si>
    <t>SUMIDOURO, DIÂMETRO INTERNO 2,00M - POÇO ABSORVENTE</t>
  </si>
  <si>
    <t>SUMIDOURO, DIÂMETRO INTERNO 2,00M - TAMPÃO DE CONCRETO</t>
  </si>
  <si>
    <t>FILTRO ANAERÓBICO D=3,00M H=2,00M</t>
  </si>
  <si>
    <t>ANEL DE CONCRETO D=2,00 H=0,50M</t>
  </si>
  <si>
    <t>ANEL DE CONCRETO D=3,00 H=0,50M</t>
  </si>
  <si>
    <t>REDE DE ÁGUAS PLUVIAIS - CAPTAÇÃO</t>
  </si>
  <si>
    <t>CALHA EM CHAPA DE AÇO GALVANIZADO N.24 - DESENVOLVIMENTO 33CM</t>
  </si>
  <si>
    <t>CALHA EM CHAPA DE AÇO GALVANIZADO N.24 - DESENVOLVIMENTO 50CM</t>
  </si>
  <si>
    <t>CALHA EM CHAPA DE AÇO GALVANIZADO N.24 - DESENVOLVIMENTO 100CM</t>
  </si>
  <si>
    <t>CALHA EM ALUMÍNIO - ESP. 0,8MM - DESENVOLVIMENTO 50CM</t>
  </si>
  <si>
    <t>CALHA EM ALUMÍNIO - ESP. 0,8MM - DESENVOLVIMENTO 100CM</t>
  </si>
  <si>
    <t>CALHA EM ALUMÍNIO ESP. 1,0MM - DESENVOLVIMENTO 50CM</t>
  </si>
  <si>
    <t>CALHA EM ALUMÍNIO ESP. 1,0MM - DESENVOLVIMENTO 100CM</t>
  </si>
  <si>
    <t>CALHA EM PVC COM 125 ≤ DIÂM. ≤ 150MM</t>
  </si>
  <si>
    <t>RUFO EM CHAPA DE AÇO GALVANIZADO N.24 - DESENVOLVIMENTO 16CM</t>
  </si>
  <si>
    <t>RUFO EM CHAPA DE AÇO GALVANIZADO N.24 - DESENVOLVIMENTO 25CM</t>
  </si>
  <si>
    <t>RUFO EM CHAPA DE AÇO GALVANIZADO N.24 - DESENVOLVIMENTO 33CM</t>
  </si>
  <si>
    <t>RUFO EM CHAPA DE AÇO GALVANIZADO N.24 - DESENVOLVIMENTO 50CM</t>
  </si>
  <si>
    <t>RUFO EM CHAPA DE AÇO GALVANIZADO N.24 - DESENVOLVIMENTO 100CM</t>
  </si>
  <si>
    <t>RUFO EM CHAPA DE AÇO GALVANIZADO N.24 - DESENVOLVIMENTO 130CM</t>
  </si>
  <si>
    <t>RUFO EM CHAPA DE AÇO GALVANIZADO N.24 - DESENVOLVIMENTO 140 CM</t>
  </si>
  <si>
    <t>CANALETA DE CONCRETO, TIPO GUIA E SARJETA - SECÇÃO 15X40CM</t>
  </si>
  <si>
    <t>CANALETA DE CONCRETO, TIPO GUIA E SARJETA - SECÇÃO 15X50CM</t>
  </si>
  <si>
    <t>HC.01 - CANALETA DE CONCRETO DE A.P.P/TAMPA/GRELHA DE CONCRETO OU FERRO L=30CM</t>
  </si>
  <si>
    <t>HC.02 - CANALETA DE CONCRETO DE A.P.P/TAMPA/GRELHA DE CONCRETO OU FERRO L=40CM</t>
  </si>
  <si>
    <t>CANALETA MEIA CANA EM CONCRETO D=30CM</t>
  </si>
  <si>
    <t>CANALETA MEIA CANA EM CONCRETO D=40CM</t>
  </si>
  <si>
    <t>HV.24 - CANALETA DE ALVENARIA PARA GRELHA DE FERRO  L=20CM</t>
  </si>
  <si>
    <t>HV.22 - CANALETA DE ALVENARIA PARA GRELHA OU TAMPA DE CONCRETO  L=30CM</t>
  </si>
  <si>
    <t>HV.23 - CANALETA DE ALVENARIA PARA GRELHA OU TAMPA DE CONCRETO  L=40CM</t>
  </si>
  <si>
    <t>CANTONEIRA DE FERRO 1"X1"X1/8" PARA APOIO E CHUMBAMENTO DAS GRELHAS DE FERRO</t>
  </si>
  <si>
    <t>HC.05 - GRELHA DE CONCRETO PARA CANALETA - L=30CM - SEM PASSAGEM DE VEÍCULOS</t>
  </si>
  <si>
    <t>HP.02 - GRELHA DE FERRO PERFILADO PARA CANALETA - L=30CM</t>
  </si>
  <si>
    <t>GRELHA DE FERRO PERFILADO PARA CANALETAS A CÉU ABERTO - 40CM</t>
  </si>
  <si>
    <t>GRELHA DE FERRO PERFILADO PARA CANALETAS A CÉU ABERTO - 50CM</t>
  </si>
  <si>
    <t>HC.03 - TAMPA DE CONCRETO PARA CANALETA DE A.P.L=0,30M</t>
  </si>
  <si>
    <t>HC.04 - TAMPA DE CONCRETO PARA CANALETA DE A.P.L=0,40M</t>
  </si>
  <si>
    <t>GRELHA DE CONCRETO PARA CANALETA - L=30CM - COM PASSAGEM DE VEÍCULOS</t>
  </si>
  <si>
    <t>REDE DE ÁGUAS PLUVIAIS - TUBULAÇÃO</t>
  </si>
  <si>
    <t>CONDUTOR EM TUBO DE FERRO FUNDIDO PARA ESGOTO, LINHA SMU - 50MM</t>
  </si>
  <si>
    <t>CONDUTOR EM TUBO DE FERRO FUNDIDO PARA ESGOTO, LINHA SMU - 75MM</t>
  </si>
  <si>
    <t>CONDUTOR EM TUBO DE FERRO FUNDIDO PARA ESGOTO, LINHA SMU - 100MM</t>
  </si>
  <si>
    <t>CONDUTOR EM TUBO DE FERRO FUNDIDO PARA ESGOTO, LINHA SMU - 150MM</t>
  </si>
  <si>
    <t>CONDUTOR EM TUBO DE PVC RÍGIDO, PONTA E BOLSA - 50MM (2")</t>
  </si>
  <si>
    <t>CONDUTOR EM TUBO DE PVC RÍGIDO, PONTA E BOLSA - 75MM (3")</t>
  </si>
  <si>
    <t>CONDUTOR EM TUBO DE PVC RÍGIDO, PONTA E BOLSA - 100MM (4")</t>
  </si>
  <si>
    <t>CONDUTOR EM TUBO DE PVC RÍGIDO, PONTA E BOLSA - 150MM (6")</t>
  </si>
  <si>
    <t>CONDUTOR EM TUBO DE PVC RÍGIDO, PONTA E BOLSA - 200MM (8")</t>
  </si>
  <si>
    <t>GRELHA HEMISFÉRICA DE FERRO FUNDIDO - 75MM</t>
  </si>
  <si>
    <t>GRELHA HEMISFÉRICA DE FERRO FUNDIDO - 100MM</t>
  </si>
  <si>
    <t>GRELHA HEMISFÉRICA DE FERRO FUNDIDO - 150MM</t>
  </si>
  <si>
    <t>CURVA DE FERRO FUNDIDO, LINHA SMU (LIGAÇÃO REDE-CONDUTOR) - 50MM</t>
  </si>
  <si>
    <t>CURVA DE FERRO FUNDIDO, LINHA SMU (LIGAÇÃO REDE-CONDUTOR) - 75MM</t>
  </si>
  <si>
    <t>CURVA DE FERRO FUNDIDO, LINHA SMU (LIGAÇÃO REDE-CONDUTOR) - 100MM</t>
  </si>
  <si>
    <t>CURVA DE FERRO FUNDIDO, LINHA SMU (LIGAÇÃO REDE-CONDUTOR) - 150MM</t>
  </si>
  <si>
    <t>LIGAÇÃO PARA DESPEJO LIVRE EM SARJETAS, COM TUBO DE FERRO FUNDIDO SMU - 100MM</t>
  </si>
  <si>
    <t>APARELHOS SANITÁRIOS E EQUIPAMENTOS</t>
  </si>
  <si>
    <t>BACIA SANITÁRIA SIFONADA, DE LOUÇA BRANCA</t>
  </si>
  <si>
    <t>BACIA SANITÁRIA COM CAIXA ACOPLADA DE LOUÇA BRANCA</t>
  </si>
  <si>
    <t>BACIA SANITÁRIA INFANTIL SIFONADA, DE LOUÇA BRANCA</t>
  </si>
  <si>
    <t>BACIA SANITÁRIA ALTEADA PARA PORTADORES DE DEFICIÊNCIA FÍSICA</t>
  </si>
  <si>
    <t>LAVATÓRIO DE LOUÇA BRANCA, SEM COLUNA, CAPACIDADE MÍNIMA 5L, EXCLUSIVE TORNEIRA</t>
  </si>
  <si>
    <t>LAVATÓRIO DE LOUÇA INDIVIDUAL PARA PORTADORES DE DEFICIÊNCIA FÍSICA</t>
  </si>
  <si>
    <t>LAVATÓRIO OVAL DE EMBUTIR, LOUÇA BRANCA - EXCLUSIVE TORNEIRA</t>
  </si>
  <si>
    <t>HX.01 - LAVATÓRIO E BEBEDOURO DE CHAPA AÇO INOX CHAPA 18 - EXCLUSIVE TORNEIRA</t>
  </si>
  <si>
    <t>MICTÓRIO INDIVIDUAL DE LOUÇA BRANCA, TIPO BACIA - DE CENTRO</t>
  </si>
  <si>
    <t>MICTÓRIO INDIVIDUAL DE LOUÇA, PARA DEFICIENTE</t>
  </si>
  <si>
    <t>MICTÓRIO COLETIVO DE AÇO INOXIDÁVEL - COMPRIMENTO 0/2000MM</t>
  </si>
  <si>
    <t>CONJUNTO ANTIVANDALISMO PARA MICTÓRIO FORMADO  POR VÁLVULA DE FECHAMENTO AUTOMÁTICO E RABICHO DE METAL</t>
  </si>
  <si>
    <t>TANQUE DE LOUÇA BRANCA, SEM COLUNA, CAPACIDADE MÍNIMA 30L, EXCLUSIVE TORNEIRA</t>
  </si>
  <si>
    <t>CUBA SIMPLES DE AÇO INOXIDÁVEL CHAPA 20 - 500X400X200MM</t>
  </si>
  <si>
    <t>CUBA SIMPLES DE AÇO INOXIDÁVEL CHAPA 20 - 560X335X150MM</t>
  </si>
  <si>
    <t>CUBA SIMPLES DE AÇO INOXIDÁVEL CHAPA 20 - 500X400X250MM</t>
  </si>
  <si>
    <t>CUBA SIMPLES DE AÇO INOXIDÁVEL CHAPA 20 - 500X400X150MM</t>
  </si>
  <si>
    <t>CUBA DUPLA DE AÇO INOXIDÁVEL CHAPA 20 - 700X400X150MM</t>
  </si>
  <si>
    <t>CUBA DUPLA DE AÇO INOXIDÁVEL CHAPA 20 - 1020X400X200MM</t>
  </si>
  <si>
    <t>TANQUE DE PANELA EM AÇO INOXIDÁVEL CHAPA 18  - 600X500X400MM</t>
  </si>
  <si>
    <t>HX.04 - TANQUE DE PANELA EM AÇO INOXIDÁVEL CHAPA 18 - 600X800X300MM</t>
  </si>
  <si>
    <t>TANQUE DE PANELA EM AÇO INOXIDÁVEL - 600X500X500MM</t>
  </si>
  <si>
    <t>CUBA DE FIBRA DE VIDRO 600 X 500 X 200MM</t>
  </si>
  <si>
    <t>TANQUE PARA LAVA PÉS</t>
  </si>
  <si>
    <t>BEBEDOURO ELÉTRICO COM SISTEMA DE REFRIGERAÇÃO E DUAS SAÍDAS - 40L</t>
  </si>
  <si>
    <t>BEBEDOURO ELÉTRICO COM SISTEMA DE REFRIGERAÇÃO E DUAS SAÍDAS - 80L</t>
  </si>
  <si>
    <t>FILTRO TIPO CUNO OU SIMILAR COM ELEMENTO FILTRANTE CEL./CARVAO/CEL. 180 L/H</t>
  </si>
  <si>
    <t>METAIS SANITÁRIOS E ACESSÓRIOS</t>
  </si>
  <si>
    <t>TORNEIRA DE PRESSÃO PARA USO GERAL, METAL CROMADO - 1/2"</t>
  </si>
  <si>
    <t>TORNEIRA DE PRESSÃO PARA USO GERAL, METAL CROMADO - 3/4"</t>
  </si>
  <si>
    <t>TORNEIRA DE PRESSÃO PARA PIA, COM CORPO LONGO E AERADOR - 3/4"</t>
  </si>
  <si>
    <t>TORNEIRA CLÍNICA DE MESA - 12 CM - 1/2"</t>
  </si>
  <si>
    <t>TORNEIRA DE MESA COM ACIONAMENTO MANUAL E FECHAMENTO AUTOMÁTICO</t>
  </si>
  <si>
    <t>TORNEIRA ELETRÔNICA DE MESA, COM SENSOR E ACIONAMENTO ELÉTRICO</t>
  </si>
  <si>
    <t>BICA ALTA ARTICULÁVEL DE MESA - 1/2"</t>
  </si>
  <si>
    <t>MISTURADOR DE PAREDE PARA PIA, COM BICA MÓVEL TIPO LONGA E AERADOR - 3/4"</t>
  </si>
  <si>
    <t>REGISTRO REGULADOR DE VAZÃO - 1/2"</t>
  </si>
  <si>
    <t>TORNEIRA DE PAREDE ANTIVANDALISMO</t>
  </si>
  <si>
    <t>TORNEIRA DE ACIONAMENTO RESTRITO DE PAREDE</t>
  </si>
  <si>
    <t>TORNEIRA ELÉTRICA AUTOMÁTICA, COM CORPO EM PVC CROMADO - 220V</t>
  </si>
  <si>
    <t>VÁLVULA DE ACIONAMENTO HIDRO-MECÂNICO POR PEDAL</t>
  </si>
  <si>
    <t>VÁLVULA DE DESCARGA COM DUPLO ACIONAMENTO</t>
  </si>
  <si>
    <t>VÁLVULA DE DESCARGA EXTERNA COM ALAVANCA - 1 1/4"</t>
  </si>
  <si>
    <t>ACABAMENTO ANTIVANDALISMO PARA VÁLVULA DE DESCARGA</t>
  </si>
  <si>
    <t>VÁLVULA DE FECHAMENTO AUTOMÁTICO PARA CHUVEIRO ELÉTRICO</t>
  </si>
  <si>
    <t>VÁLVULA DE FECHAMENTO AUTOMÁTICO PARA DUCHA DE ÁGUA FRIA OU PRÉ-MISTURADA</t>
  </si>
  <si>
    <t>VÁLVULA DE FECHAMENTO AUTOMÁTICO PARA CHUVEIRO DE AQUECEDOR DE ACUMULAÇÃO</t>
  </si>
  <si>
    <t>VÁLVULA FLUXIVEL PARA MICTÓRIO COM ACIONAMENTO MANUAL E FECHAMENTO AUTOMÁTICO</t>
  </si>
  <si>
    <t>CHUVEIRO FIXO DE METAL CROMADO - CRIVO COM DIÂMETRO DE NO MÍNIMO 6CM</t>
  </si>
  <si>
    <t>CHUVEIRO ELÉTRICO AUTOMÁTICO, CORPO EM PVC CROMADO - 220V-2800/4400W</t>
  </si>
  <si>
    <t>CHUVEIRO DUCHA MODELO JET-SET METÁLICA OU SIMILAR</t>
  </si>
  <si>
    <t>DUCHA HIGIÊNICA FLEXÍVEL SEM REGISTRO DE PAREDE</t>
  </si>
  <si>
    <t>CONJUNTO ANTIVANDALISMO FORMADO DE CHUVEIRO E VÁLVULA DE FECHAMENTO AUTOMÁTICO (ÁGUA FRIA OU PRÉ-MISTURADA)</t>
  </si>
  <si>
    <t>MISTURADOR DE MESA PARA LAVATÓRIO - 1/2"</t>
  </si>
  <si>
    <t>MISTURADOR PARA CHUVEIRO ENTRADA HORIZ. 3/4" SAÍDA 1/2 C/ ACABAMENTO</t>
  </si>
  <si>
    <t>DISPENSER DE SABÃO, DE PAREDE, MANUAL, PARA SANITÁRIOS, ABS, ALTO IMPACTO, COM RESERVATÓRIO DE 800/ 900ML</t>
  </si>
  <si>
    <t>DISPENSER PAPEL TOALHA, DE PAREDE, MANUAL, PARA SANITÁRIOS - ABS - ALTO IMPACTO - AUTO CORTE</t>
  </si>
  <si>
    <t>FRONTÃO OU TESTEIRA DE MÁRMORE BRANCO ESPIRITO SANTO - H. ATÉ 10CM</t>
  </si>
  <si>
    <t>FRONTÃO OU TESTEIRA DE GRANITO CINZA MAUA - H ATÉ 10CM</t>
  </si>
  <si>
    <t>TAMPO PARA BANCADA ÚMIDA - GRANITO CINZA ANDORINHA - ESPESSURA 2CM</t>
  </si>
  <si>
    <t>TAMPO PARA BANCADA ÚMIDA - GRANITO CINZA MAUA POLIDO - ESPESSURA 2CM</t>
  </si>
  <si>
    <t>TAMPO PARA BANCADA ÚMIDA - GRANITO VERDE UBATUBA POLIDO - ESPESSURA 2CM</t>
  </si>
  <si>
    <t>TAMPO PARA BANCADA ÚMIDA - GRANITO PRETO TIJUCA POLIDO 2CM</t>
  </si>
  <si>
    <t>TAMPO PARA BANCADA ÚMIDA - MÁRMORE BRANCO ESPIRITO SANTO 2CM</t>
  </si>
  <si>
    <t>TAMPO PARA BANCADA ÚMIDA - AÇO INOX N.18 (18:8)</t>
  </si>
  <si>
    <t>TAMPO PARA BANCADA ÚMIDA - CONCRETO POLIDO E=40MM COM BORDAS ARREDONDADAS E ENVERNIZADAS</t>
  </si>
  <si>
    <t>TAMPO PARA BANCADA ÚMIDA - CONCRETO POLIDO E=50MM COM BORDAS ARREDONDADAS E ENVERNIZADAS</t>
  </si>
  <si>
    <t>SABONETEIRA PARA SABÃO LÍQUIDO</t>
  </si>
  <si>
    <t>PORTA TOALHA DE PAPEL INTER FOLHAS</t>
  </si>
  <si>
    <t>DEMOLIÇÃO DE TUBULAÇÃO DE AÇO PRETO OU GALVANIZADO - ATÉ 2"</t>
  </si>
  <si>
    <t>DEMOLIÇÃO DE TUBULAÇÃO DE AÇO PRETO OU GALVANIZADO - ACIMA DE 2"</t>
  </si>
  <si>
    <t>DEMOLIÇÃO DE TUBULAÇÃO DE PVC RÍGIDO - ATÉ 4"</t>
  </si>
  <si>
    <t>DEMOLIÇÃO DE TUBULAÇÃO DE PVC RÍGIDO - ACIMA DE 4"</t>
  </si>
  <si>
    <t>DEMOLIÇÃO DE TUBULAÇÃO DE COBRE - ATÉ 1 1/4"</t>
  </si>
  <si>
    <t>DEMOLIÇÃO DE REGISTROS</t>
  </si>
  <si>
    <t>DEMOLIÇÃO DE CALHAS, RUFOS OU RINCÕES EM CHAPA METÁLICA</t>
  </si>
  <si>
    <t>DEMOLIÇÃO DE CONDUTORES APARENTES</t>
  </si>
  <si>
    <t>RETIRADA DE TUBULAÇÃO DE AÇO PRETO OU GALVANIZADO - ATÉ 2"</t>
  </si>
  <si>
    <t>RETIRADA DE TUBULAÇÃO DE AÇO PRETO OU GALVANIZADO - ACIMA DE 2"</t>
  </si>
  <si>
    <t>RETIRADA DE TUBULAÇÃO DE PVC RÍGIDO - ATÉ 4"</t>
  </si>
  <si>
    <t>RETIRADA DE TUBULAÇÃO DE PVC RÍGIDO - ACIMA DE 4"</t>
  </si>
  <si>
    <t>RETIRADA DE TUBULAÇÃO DE COBRE - ATÉ 1 1/4"</t>
  </si>
  <si>
    <t>RETIRADA DE TUBULAÇÃO DE COBRE - ACIMA DE 1 1/4"</t>
  </si>
  <si>
    <t>RETIRADA DE TUBULAÇÃO DE FERRO FUNDIDO - ATÉ 4"</t>
  </si>
  <si>
    <t>RETIRADA DE TUBULAÇÃO DE FERRO FUNDIDO - ACIMA DE 4"</t>
  </si>
  <si>
    <t>RETIRADA DE TUBULAÇÃO DE CIMENTO-AMIANTO - ATÉ 3"</t>
  </si>
  <si>
    <t>RETIRADA DE TUBULAÇÃO DE CIMENTO-AMIANTO - ACIMA DE 3"</t>
  </si>
  <si>
    <t>RETIRADA DE TUBULAÇÃO DE CERÂMICA VIDRADA - ATÉ 6"</t>
  </si>
  <si>
    <t>RETIRADA DE TUBULAÇÃO DE CERÂMICA VIDRADA - ACIMA DE 6"</t>
  </si>
  <si>
    <t>RETIRADA DE RESERVATÓRIOS DE CIMENTO-AMIANTO - ATÉ 1000 LITROS</t>
  </si>
  <si>
    <t>RETIRADA DE REGISTROS OU VÁLVULAS FLUXÍVEIS</t>
  </si>
  <si>
    <t>RETIRADA DE VÁLVULAS DE RETENÇÃO</t>
  </si>
  <si>
    <t>RETIRADA DE CONJUNTOS MOTOR-BOMBA</t>
  </si>
  <si>
    <t>RETIRADA DE CAIXAS SIFONADAS OU RALOS</t>
  </si>
  <si>
    <t>RETIRADA DE HIDRANTES DE PAREDE</t>
  </si>
  <si>
    <t>RETIRADA DE CALHAS, RUFOS OU RINCÕES EM CHAPA METÁLICA</t>
  </si>
  <si>
    <t>RETIRADA DE CONDUTORES APARENTES</t>
  </si>
  <si>
    <t>RETIRADA DE APARELHOS SANITÁRIOS, INCLUSIVE ACESSÓRIOS</t>
  </si>
  <si>
    <t>RETIRADA DE SIFÕES</t>
  </si>
  <si>
    <t>RETIRADA DE TORNEIRAS</t>
  </si>
  <si>
    <t>RETIRADA DE CAIXAS DE DESCARGA DE SOBREPOR</t>
  </si>
  <si>
    <t>RETIRADA DO TAMPO ÚMIDO</t>
  </si>
  <si>
    <t>RECOLOCAÇÃO DE REGISTROS OU VÁLVULAS FLUXÍVEIS</t>
  </si>
  <si>
    <t>RECOLOCAÇÃO DE VÁLVULAS DE RETENÇÃO</t>
  </si>
  <si>
    <t>RECOLOCAÇÃO DE CONJUNTOS MOTOR-BOMBA</t>
  </si>
  <si>
    <t>RECOLOCAÇÃO DE CAIXAS SIFONADAS OU RALOS</t>
  </si>
  <si>
    <t>RECOLOCAÇÃO DE HIDRANTES DE PAREDE</t>
  </si>
  <si>
    <t>RECOLOCAÇÃO DE CALHAS, RUFOS OU RINCÕES EM CHAPA METÁLICA</t>
  </si>
  <si>
    <t>RECOLOCAÇÃO DE CONDUTORES APARENTES</t>
  </si>
  <si>
    <t>RECOLOCAÇÃO DE APARELHOS SANITÁRIOS, INCLUSIVE ACESSÓRIOS</t>
  </si>
  <si>
    <t>RECOLOCAÇÃO DE SIFÕES</t>
  </si>
  <si>
    <t>RECOLOCAÇÃO DE TORNEIRAS</t>
  </si>
  <si>
    <t>RECOLOCAÇÃO DE CAIXAS DE DESCARGA DE SOBREPOR</t>
  </si>
  <si>
    <t>SIFÃO COM COPO, TIPO REFORÇADO, PVC RÍGIDO - 1 1/2"X2"</t>
  </si>
  <si>
    <t>SIFÃO TIPO PESADO, METAL CROMADO - 1"X1 1/2"</t>
  </si>
  <si>
    <t>SIFÃO TIPO PESADO, METAL CROMADO - 1"X2"</t>
  </si>
  <si>
    <t>SIFÃO TIPO PESADO, METAL CROMADO - 1 1/2"X2"</t>
  </si>
  <si>
    <t>TUBO DE LIGAÇÃO FLEXÍVEL, PVC - 1/2"X30/40CM</t>
  </si>
  <si>
    <t>TUBO DE LIGAÇÃO FLEXÍVEL, METAL CROMADO - 1/2"X30/40CM</t>
  </si>
  <si>
    <t>TORNEIRA DE PRESSÃO PARA LAVATÓRIO, METAL CROMADO - 1/2"</t>
  </si>
  <si>
    <t>VÁLVULA AMERICANA DE METAL CROMADO - 1 1/2"X3 3/4"</t>
  </si>
  <si>
    <t>TUBO DE LIGAÇÃO EM ALUMÍNIO COM CANOPLA, PARA CHUVEIRO - 3/4"</t>
  </si>
  <si>
    <t>DESENTUPIMENTO DE RAMAIS DE ESGOTO OU ÁGUAS PLUVIAIS</t>
  </si>
  <si>
    <t>REVESTIMENTOS</t>
  </si>
  <si>
    <t>REVESTIMENTO DE FORROS</t>
  </si>
  <si>
    <t>CHAPISCO COMUM - ARGAMASSA DE CIMENTO E AREIA 1:3</t>
  </si>
  <si>
    <t>EMBOÇO - ARGAMASSA MISTA DE CIMENTO, CAL E AREIA 1:4/12</t>
  </si>
  <si>
    <t>EMBOÇO DESEMPENADO PARA PINTURA - ARGAMASSA MISTA CIMENTO, CAL E AREIA 1:3/12</t>
  </si>
  <si>
    <t>REBOCO INTERNO - ARGAMASSA PRÉ-FABRICADA</t>
  </si>
  <si>
    <t>REVESTIMENTO DE PAREDES INTERNAS</t>
  </si>
  <si>
    <t>EMBOÇO INTERNO - ARGAMASSA MISTA DE CIMENTO, CAL E AREIA 1:4/12</t>
  </si>
  <si>
    <t>EMBOÇO INTERNO DESEMPENADO PARA PINTURA - ARGAMASSA MISTA DE CIMENTO, CAL E AREIA 1:3/12</t>
  </si>
  <si>
    <t>EMBOÇO INTERNO - ARGAMASSA DE CIMENTO E AREIA 1:3</t>
  </si>
  <si>
    <t>REVESTIMENTO COM GESSO</t>
  </si>
  <si>
    <t>AZULEJOS, JUNTAS AMARRAÇÃO OU A PRUMO - ASSENTES COM ARGAMASSA COMUM</t>
  </si>
  <si>
    <t>AZULEJOS, JUNTA AMARRAÇÃO OU A PRUMO - ASSENTES COM ARGAMASSA COLANTE</t>
  </si>
  <si>
    <t>LAMINADO MELAMÍNICO COLADO, 1,3MM DE ESPESSURA - JUNTAS SECAS</t>
  </si>
  <si>
    <t>REVESTIMENTO DE PAREDES EXTERNAS</t>
  </si>
  <si>
    <t>CHAPISCO RÚSTICO FINO, APLICADO COM PENEIRA - ARGAMASSA DE CIMENTO E AREIA 1:3</t>
  </si>
  <si>
    <t>CHAPISCO RÚSTICO GROSSO, COM ADIÇÃO DE BRITA N.1</t>
  </si>
  <si>
    <t>EMBOÇO EXTERNO - ARGAMASSA MISTA DE CIMENTO, CAL E AREIA 1:4/12</t>
  </si>
  <si>
    <t>EMBOÇO EXTERNO DESEMPENADO PARA PINTURA - ARGAMASSA MISTA DE CIMENTO, CAL E AREIA 1:3/12</t>
  </si>
  <si>
    <t>EMBOÇO EXTERNO - ARGAMASSA DE CIMENTO E AREIA 1:3</t>
  </si>
  <si>
    <t>REBOCO EXTERNO - ARGAMASSA PRÉ-FABRICADA</t>
  </si>
  <si>
    <t>PASTILHAS DE PORCELANA FOSCA, 3/4" - FAIXAS DE ATÉ 20CM</t>
  </si>
  <si>
    <t>REVESTIMENTO CERÂMICO ANTI-PICHAÇÃO, JUNTAS AMARRAÇÃO OU PRUMO - ASSENTADOS COM ARGAMASSA COMUM</t>
  </si>
  <si>
    <t>REVESTIMENTO CERÂMICO ANTI-PICHAÇÃO, JUNTAS AMARRAÇÃO OU PRUMO - ASSENTADOS COM ARGAMASSA COLANTE</t>
  </si>
  <si>
    <t>REVESTIMENTO CERÂMICO ESMALTADO, JUNTAS AMARRAÇÃO OU PRUMO - ASSENTADOS COM ARGAMASSA COMUM</t>
  </si>
  <si>
    <t>REVESTIMENTO CERÂMICO ESMALTADO, JUNTAS AMARRAÇÃO OU PRUMO - ASSENTADOS COM ARGAMASSA COLANTE</t>
  </si>
  <si>
    <t>ARREMATES DE REVESTIMENTO</t>
  </si>
  <si>
    <t>CANTONEIRA DE PROTEÇÃO - PERFIL "L" DE FERRO, 1 1/4" X 1 1/4" X 1/8"</t>
  </si>
  <si>
    <t>CANTONEIRA DE PROTEÇÃO - PERFIL "L" DE FERRO, 1"X1"X1/8"</t>
  </si>
  <si>
    <t>CANTONEIRA DE PROTEÇÃO - PERFIL "L" DE ALUMÍNIO, 1"X1"X1/8"</t>
  </si>
  <si>
    <t>CANTONEIRA DE PROTEÇÃO PARA REBOCO - PERFIL "Y" DE ALUMÍNIO</t>
  </si>
  <si>
    <t>CANTONEIRA DE PROTEÇÃO PARA AZULEJOS - PERFIL "TRIFACE" DE ALUMÍNIO</t>
  </si>
  <si>
    <t>PEITORIL DE ARGAMASSA DE CIMENTO QUEIMADO -  ESPESSURA 2CM</t>
  </si>
  <si>
    <t>PEITORIL DE GRANILITE - ESPESSURA 2CM, LARGURA 20CM</t>
  </si>
  <si>
    <t>PEITORIL DE GRANITO POLIDO - ESP=2CM</t>
  </si>
  <si>
    <t>DEMOLIÇÃO DE ARGAMASSA DE CAL E AREIA OU MISTA</t>
  </si>
  <si>
    <t>DEMOLIÇÃO DE ARGAMASSA DE CIMENTO E AREIA</t>
  </si>
  <si>
    <t>DEMOLIÇÃO DE REVESTIMENTO CERÂMICO OU SIMILAR</t>
  </si>
  <si>
    <t>DEMOLIÇÃO DE LAMBRI DE TÁBUAS OU CHAPAS DE MADEIRA, EXCLUSIVE ENTARUGAMENTO</t>
  </si>
  <si>
    <t>DEMOLIÇÃO DE LAMBRI DE TÁBUAS OU CHAPAS DE MADEIRA, INCLUSIVE ENTARUGAMENTO</t>
  </si>
  <si>
    <t>RETIRADA DE FORRAS DE PEDRAS NATURAIS - GRANITO OU MÁRMORE</t>
  </si>
  <si>
    <t>RETIRADA DE LAMBRI DE TÁBUAS OU CHAPAS DE MADEIRA, EXCLUSIVE ENTARUGAMENTO</t>
  </si>
  <si>
    <t>RETIRADA DE LAMBRI DE TÁBUAS OU CHAPAS DE MADEIRA, INCLUSIVE ENTARUGAMENTO</t>
  </si>
  <si>
    <t>RECOLOCAÇÃO DE FORRAS DE PEDRAS NATURAIS - GRANITO OU MÁRMORE</t>
  </si>
  <si>
    <t>REPAROS EM TRINCAS E RACHADURAS</t>
  </si>
  <si>
    <t>REPAROS EM EMBOÇO - ARGAMASSA MISTA DE CIMENTO, CAL E AREIA 1:4/12</t>
  </si>
  <si>
    <t>REPAROS EM REBOCO - ARGAMASSA DE CAL E AREIA 1:2</t>
  </si>
  <si>
    <t>FORROS</t>
  </si>
  <si>
    <t>FORROS FALSOS</t>
  </si>
  <si>
    <t>FORRO FIBRA MINERAL MODELADO ÚMIDA - ACABAMENTO SUPERFÍCIE PINTURA VINÍLICA A BASE DE LÁTEX BRANCA - ESPESSURA 13MM, NRC=0,50, CAC=MÍNIMO 35</t>
  </si>
  <si>
    <t>FORRO DE GESSO COMUM - PLACA CONVENCIONAL (FORNECIMENTO E INSTALAÇÃO)</t>
  </si>
  <si>
    <t>FORRO DE GESSO ACARTONADO TIPO FGA (FORNECIMENTO E INSTALAÇÃO)</t>
  </si>
  <si>
    <t>FORRO DE GESSO ACARTONADO TIPO FGE (FORNECIMENTO E INSTALAÇÃO)</t>
  </si>
  <si>
    <t>FORRO EM RÉGUA DE PVC 200MM - INCLUSIVE PERFIS DE FIXAÇÃO E ACABAMENTO</t>
  </si>
  <si>
    <t>DEMOLIÇÃO DE ESTUQUE COMUM, EXCLUSIVE ENTARUGAMENTO</t>
  </si>
  <si>
    <t>DEMOLIÇÃO DE FORRO DE TÁBUAS OU CHAPAS DE MADEIRA, EXCLUSIVE ENTARUGAMENTO</t>
  </si>
  <si>
    <t>DEMOLIÇÃO DE FORRO DE GESSO</t>
  </si>
  <si>
    <t>DEMOLIÇÃO DE ENTARUGAMENTO DE FORRO</t>
  </si>
  <si>
    <t>RETIRADA DE FORRO DE TÁBUAS OU CHAPAS EM GERAL - PREGADAS</t>
  </si>
  <si>
    <t>RETIRADA DE FORRO DE CHAPAS EM GERAL - APOIADAS</t>
  </si>
  <si>
    <t>RETIRADA DE ENTARUGAMENTO DE FORRO</t>
  </si>
  <si>
    <t>RETIRADA DE FORRO EM RÉGUAS DE PVC, INCLUSIVE PERFIS</t>
  </si>
  <si>
    <t>RECOLOCAÇÃO DE FORROS EM RÉGUA DE PVC, INCLUSIVE PERFIS</t>
  </si>
  <si>
    <t>RECOLOCAÇÃO DE FORROS, APOIADOS OU ENCAIXADOS</t>
  </si>
  <si>
    <t>PISOS</t>
  </si>
  <si>
    <t>LASTROS E ENCHIMENTOS</t>
  </si>
  <si>
    <t>ENCHIMENTO COM TIJOLOS CERÂMICOS FURADOS</t>
  </si>
  <si>
    <t>ENCHIMENTO COM ARGILA EXPANDIDA</t>
  </si>
  <si>
    <t>LASTRO DE CONCRETO - 200KG CIM/M3</t>
  </si>
  <si>
    <t>LASTRO DE CONCRETO, COM HIDROFUGO - 150KG CIM/M3</t>
  </si>
  <si>
    <t>LASTRO DE CONCRETO, COM HIDROFUGO - 200KG CIM/M3</t>
  </si>
  <si>
    <t>LASTRO DE CONCRETO COM AGREGADO RECICLADO - 150KG CIM/M3</t>
  </si>
  <si>
    <t>LASTRO DE CONCRETO COM AGREGADO RECICLADO - 200KG CIM/M3</t>
  </si>
  <si>
    <t>REVESTIMENTO DE PISOS</t>
  </si>
  <si>
    <t>CIMENTADO COMUM, DESEMPENADO - ESPESSURA 20MM</t>
  </si>
  <si>
    <t>CIMENTADO COMUM, DESEMPENADO E ALISADO - ESPESSURA 20MM</t>
  </si>
  <si>
    <t>CIMENTADO COM CORANTE, DESEMPENADO E ALISADO - ESPESSURA 20MM</t>
  </si>
  <si>
    <t>ACABAMENTO DE PISO DE CONCRETO TIPO BAMBOLÊ</t>
  </si>
  <si>
    <t>GRANILITE - ESPESSURA 8MM</t>
  </si>
  <si>
    <t>CIMENTADO COMUM COM AGREGADO RECLICLADO, DESEMPENADO ALISADO - ESPESSURA 20MM</t>
  </si>
  <si>
    <t>ARGAMASSA DE ALTA RESISTÊNCIA, TIPO LEVE - ESPESSURA 8MM</t>
  </si>
  <si>
    <t>ARGAMASSA DE ALTA RESISTÊNCIA, TIPO MÉDIO - ESPESSURA 12MM</t>
  </si>
  <si>
    <t>CIMENTADO COM AGREGADO RECICLADO, COM CORANTE DESEMPENADO  ALISADO</t>
  </si>
  <si>
    <t>CIMENTADO COMUM COM AGREGADO RECICLADO, DESEMPENADO - ESPESSURA 20MM</t>
  </si>
  <si>
    <t>PISO ESTRUTURAL EM CONCRETO ARMADO - 7CM</t>
  </si>
  <si>
    <t>MOSAICO PORTUGUÊS UMA OU DUAS CORES SOBRE BASE DE AREIA RECICLADA</t>
  </si>
  <si>
    <t>PISO CERÂMICO NÃO ESMALTADO ANTIDERRAPANTE  - ASSENTADO COM ARGAMASSA COMUM (PARA COZINHAS E REFEITÓRIOS)</t>
  </si>
  <si>
    <t>PISO CERÂMICO NÃO ESMALTADO ANTIDERRAPANTE  - ASSENTADO COM ARGAMASSA COLANTE (PARA COZINHAS E REFEITÓRIOS)</t>
  </si>
  <si>
    <t>PISO CERÂMICO ESMALTADO  (PEI-5) - ASSENTADO COM ARGAMASSA COMUM</t>
  </si>
  <si>
    <t>PISO CERÂMICO ESMALTADO  (PEI-5) - ASSENTADO COM ARGAMASSA COLANTE</t>
  </si>
  <si>
    <t>PISO PODOTÁTIL, ALERTA OU DIRECIONAL, EM BORRACHA SINTÉTICA ASSENTES COM COLA</t>
  </si>
  <si>
    <t>PISO PODOTÁTIL, ALERTA OU DIRECIONAL, EM BORRACHA SINTÉTICA ASSENTES COM ARGAMASSA</t>
  </si>
  <si>
    <t>PISO PODOTÁTIL, ALERTA DIRECIONAL, INTERTRAVADO 6CM</t>
  </si>
  <si>
    <t>PISO PODOTÁTIL, ALERTA OU DIRECIONAL, EM LADRILHO HIDRÁULICO</t>
  </si>
  <si>
    <t>PISO PODOTÁTIL COLORIDO, ALERTA OU DIRECIONAL VIBRO-PRENSADO - 3CM - SELADO</t>
  </si>
  <si>
    <t>PISO EM GRANITO CINZA MAUA, PLACAS - ESPESSURA 2CM</t>
  </si>
  <si>
    <t>GRANITO POLIDO, FORRAS DE 20MM - VERDE UBATUBA</t>
  </si>
  <si>
    <t>MÁRMORE POLIDO, FORRAS DE 20MM - BRANCO ESPIRITO SANTO</t>
  </si>
  <si>
    <t>PISO VINÍLICO CROMA OU SIMILAR 2,0 MM, EXCLUSIVE ARGAMASSA DE REGULARIZAÇÃO DA BASE</t>
  </si>
  <si>
    <t>PISO VINÍLICO CROMA OU SIMILAR - E=3,2 MM, EXCLUSIVE ARGAMASSA REGULARIZAÇÃO DA BASE</t>
  </si>
  <si>
    <t>CHAPAS DE BORRACHA SINTÉTICA ASSENTES COM COLA, E=4 A 5MM - LISAS</t>
  </si>
  <si>
    <t>CHAPAS DE BORRACHA SINTÉTICA ASSENTES COM COLA, E=4 A 5MM - COM RELEVO</t>
  </si>
  <si>
    <t>CHAPAS DE BORRACHA SINTÉTICA ASSENTES COM ARGAMASSA, E=8 A 10MM - LISAS</t>
  </si>
  <si>
    <t>CHAPAS DE BORRACHA SINTÉTICA ASSENTES COM ARGAMASSA, E=8 A 10MM - COM RELEVO</t>
  </si>
  <si>
    <t>ARREMATE DE PISOS E ESCADAS</t>
  </si>
  <si>
    <t>RODAPÉ DE ARGAMASSA DE CIMENTO E AREIA 1:3 - 10CM</t>
  </si>
  <si>
    <t>RODAPÉ DE GRANILITE - 10CM</t>
  </si>
  <si>
    <t>RODAPÉ DE GRANILITE - MEIA CANA, 10CM</t>
  </si>
  <si>
    <t>RODAPÉ DE ARGAMASSA DE ALTA RESISTÊNCIA - MEIA CANA, 10CM</t>
  </si>
  <si>
    <t>RODAPÉ CERÂMICO ESMALTADO PEIV 7CM À 10CM</t>
  </si>
  <si>
    <t>RODAPÉ DE MADEIRA - PADRÃO CUMARU 7CM</t>
  </si>
  <si>
    <t>RODAPÉ DE FIBRO-VINIL - 7,5CM</t>
  </si>
  <si>
    <t>RODAPÉ DE BORRACHA SINTÉTICA - BOLEADO, 7CM</t>
  </si>
  <si>
    <t>RODAPÉ EM GRANITO CINZA MAUA, ESP. 2CM, ALT. 7CM</t>
  </si>
  <si>
    <t>JUNTA PLÁSTICA PARA PISOS 3/4" X 1/8"</t>
  </si>
  <si>
    <t>DEGRAUS DE ARGAMASSA DE CIMENTO E AREIA 1:3</t>
  </si>
  <si>
    <t>DEGRAUS DE GRANILITE</t>
  </si>
  <si>
    <t>DEGRAUS DE ARGAMASSA DE ALTA RESISTÊNCIA</t>
  </si>
  <si>
    <t>DEGRAUS DE CHAPAS VINÍLICAS - ESPESSURA 2MM (INCLUSIVE ARGAMASSA DE REGULARIZAÇÃO DA BASE)</t>
  </si>
  <si>
    <t>DEGRAUS DE CHAPAS DE BORRACHA SINTÉTICA - ESPESSURA 4 À 5MM</t>
  </si>
  <si>
    <t>FITA ANTIDERRAPANTE, FAIXA COM LARGURA=5CM E ESPESSURA=2MM, APLICAÇÃO EM DEGRAU</t>
  </si>
  <si>
    <t>SOLEIRAS</t>
  </si>
  <si>
    <t>SOLEIRA PARA PORTA EM GRANITO CINZA SEM POLIMENTO (FOSCO)</t>
  </si>
  <si>
    <t>DEMOLIÇÃO DE ARGAMASSA, CERÂMICA OU SIMILAR INCLUSIVE ARGAMASSA DE REGULARIZAÇÃO</t>
  </si>
  <si>
    <t>DEMOLIÇÃO DE TACOS DE MADEIRA, INCLUSIVE ARGAMASSA DE ASSENTAMENTO</t>
  </si>
  <si>
    <t>DEMOLIÇÃO DE SOALHO DE MADEIRA, EXCLUSIVE VIGAMENTO</t>
  </si>
  <si>
    <t>DEMOLIÇÃO DE SOALHO DE MADEIRA, INCLUSIVE VIGAMENTO</t>
  </si>
  <si>
    <t>DEMOLIÇÃO DE FIBRO-VINIL OU BORRACHA SINTÉTICA, INCLUSIVE ARGAMASSA DE REGULARIZAÇÃO</t>
  </si>
  <si>
    <t>DEMOLIÇÃO DE RODAPÉS EM GERAL, INCLUSIVE ARGAMASSA DE ASSENTAMENTO</t>
  </si>
  <si>
    <t>DEMOLIÇÃO DE DEGRAUS EM GERAL, INCLUSIVE ARGAMASSA DE ASSENTAMENTO</t>
  </si>
  <si>
    <t>RETIRADA DE TACOS DE MADEIRA</t>
  </si>
  <si>
    <t>RETIRADA DE SOALHO DE MADEIRA, EXCLUSIVE VIGAMENTO</t>
  </si>
  <si>
    <t>RETIRADA DE SOALHO DE MADEIRA, INCLUSIVE VIGAMENTO</t>
  </si>
  <si>
    <t>RETIRADA DE FIBRO-VINIL</t>
  </si>
  <si>
    <t>RETIRADA DE RODAPÉS DE MADEIRA, INCLUSIVE CORDÃO</t>
  </si>
  <si>
    <t>RECOLOCAÇÃO DE TACOS DE MADEIRA</t>
  </si>
  <si>
    <t>RECOLOCAÇÃO DE SOALHO DE MADEIRA, EXCLUSIVE VIGAMENTO</t>
  </si>
  <si>
    <t>RECOLOCAÇÃO DE SOALHO DE MADEIRA, INCLUSIVE VIGAMENTO</t>
  </si>
  <si>
    <t>RECOLOCAÇÃO DE FIBRO-VINIL</t>
  </si>
  <si>
    <t>RECOLOCAÇÃO DE RODAPÉS DE MADEIRA, INCLUSIVE CORDÃO</t>
  </si>
  <si>
    <t>COLAGEM DE TACOS SOLTOS - COM FORNECIMENTO DE TACOS</t>
  </si>
  <si>
    <t>COLAGEM DE TACOS SOLTOS - SEM FORNECIMENTO DE TACOS</t>
  </si>
  <si>
    <t>REPREGAMENTO DE ASSOALHO DE MADEIRA</t>
  </si>
  <si>
    <t>TABUAS DE MADEIRA MACIÇA PARA ASSOALHO - CUMARU</t>
  </si>
  <si>
    <t>TESTEIRA DE BORRACHA SINTÉTICA PARA DEGRAUS</t>
  </si>
  <si>
    <t>POLIMENTO DE PISO DE GRANILITE OU ARGAMASSA DE ALTA RESISTÊNCIA</t>
  </si>
  <si>
    <t>POLIMENTO DE PISO DE MÁRMORE</t>
  </si>
  <si>
    <t>RESINA ACRÍLICA PARA PISO GRANILITE</t>
  </si>
  <si>
    <t>RESINA EPÓXI PARA PISO GRANILITE</t>
  </si>
  <si>
    <t>RESINA POLIURETANO PARA PISO GRANILITE</t>
  </si>
  <si>
    <t>RESINA ACRÍLICA PARA DEGRAU DE GRANILITE</t>
  </si>
  <si>
    <t>RESINA EPÓXI PARA DEGRAU DE GRANILITE</t>
  </si>
  <si>
    <t>RESINA POLIURETANO PARA DEGRAU DE GRANILITE</t>
  </si>
  <si>
    <t>LIMPEZA POR HIDROJATEAMENTO E REJUNTAMENTO DE PISO CERÂMICO TIPO GAIL OU SIMILAR</t>
  </si>
  <si>
    <t>VIDROS</t>
  </si>
  <si>
    <t>VIDROS ENCAIXILHADOS E ESPELHOS</t>
  </si>
  <si>
    <t>VIDRO LISO COMUM, TRANSPARENTE INCOLOR - ESPESSURA 4MM</t>
  </si>
  <si>
    <t>VIDRO LISO COMUM, TRANSPARENTE INCOLOR - ESPESSURA 5MM</t>
  </si>
  <si>
    <t>VIDRO LISO COMUM, TRANSPARENTE INCOLOR - ESPESSURA 6MM</t>
  </si>
  <si>
    <t>VIDRO IMPRESSO COMUM, TRANSLÚCIDO INCOLOR - TIPO CANELADO, 4MM</t>
  </si>
  <si>
    <t>VIDRO LISO DE SEGURANÇA, LAMINADO INCOLOR - ESPESSURA 6MM</t>
  </si>
  <si>
    <t>VIDRO LISO DE SEGURANÇA, LAMINADO LEITOSO - ESPESSURA 6MM</t>
  </si>
  <si>
    <t>VIDRO LISO DE SEGURANÇA, TEMPERADO INCOLOR - ESPESSURA 6MM</t>
  </si>
  <si>
    <t>VIDRO LISO DE SEGURANÇA, TEMPERADO INCOLOR - ESPESSURA 10MM</t>
  </si>
  <si>
    <t>ESPELHO COMUM - ESPESSURA 3MM</t>
  </si>
  <si>
    <t>ESPELHO E=3MM COM MOLDURA DE ALUMÍNIO</t>
  </si>
  <si>
    <t>DEMOLIÇÃO DE VIDROS ENCAIXILHADOS EM GERAL, INCLUSIVE LIMPEZA DO CAIXILHO</t>
  </si>
  <si>
    <t>RETIRADA DE VIDROS ENCAIXILHADOS EM GERAL, INCLUSIVE LIMPEZA DO CAIXILHO</t>
  </si>
  <si>
    <t>RECOLOCAÇÃO DE VIDROS ENCAIXILHADOS EM GERAL</t>
  </si>
  <si>
    <t>PINTURA EM ALVENARIA E CONCRETO</t>
  </si>
  <si>
    <t>AGUADA DE CAL - CONCRETO OU REBOCO SEM MASSA CORRIDA, INTERIOR</t>
  </si>
  <si>
    <t>AGUADA DE CAL - CONCRETO OU REBOCO SEM MASSA CORRIDA, EXTERIOR</t>
  </si>
  <si>
    <t>TINTA HIDROFUGA A BASE DE CIMENTO -  CONCRETO OU REBOCO SEM MASSA CORRIDA</t>
  </si>
  <si>
    <t>TINTA PVA (LÁTEX) - REBOCO COM MASSA CORRIDA</t>
  </si>
  <si>
    <t>TINTA ACRÍLICA - CONCRETO OU REBOCO SEM MASSA CORRIDA</t>
  </si>
  <si>
    <t>TINTA ACRÍLICA - REBOCO COM MASSA CORRIDA</t>
  </si>
  <si>
    <t>TINTA ACRÍLICA COR DE CONCRETO COM MASSA TEXTURA ACRÍLICA</t>
  </si>
  <si>
    <t>TINTA ACRÍLICA TEXTURADA</t>
  </si>
  <si>
    <t>TINTA ESMALTE SINTÉTICO - CONCRETO OU REBOCO SEM MASSA CORRIDA</t>
  </si>
  <si>
    <t>TINTA ESMALTE SINTÉTICO - CONCRETO OU REBOCO COM MASSA CORRIDA</t>
  </si>
  <si>
    <t>APLICAÇÃO DE TINTA ANTI-PICHAÇÃO - BASE SOLVENTE - 2 DEMÃOS (REMOÇÃO DA PICHAÇÃO SOMENTE A SECO OU COM ÁGUA E SABÃO)</t>
  </si>
  <si>
    <t>TINTA EPÓXI - REBOCO COM MASSA BASE EPÓXI</t>
  </si>
  <si>
    <t>HIDRO-REPELENTE A BASE DE SILICONE - CONCRETO OU ALVENARIA APARENTE (2 DEMÃOS)</t>
  </si>
  <si>
    <t>VERNIZ ACRÍLICO - CONCRETO APARENTE/ ALVENARIA</t>
  </si>
  <si>
    <t>APLICAÇÃO DE VERNIZ ANTI-PICHAÇÃO - BASE SOLVENTE - 2 DEMÃOS (REMOÇÃO DA PICHAÇÃO  SOMENTE A SECO OU COM ÁGUA E SABÃO)</t>
  </si>
  <si>
    <t>PINTURA EM MADEIRA</t>
  </si>
  <si>
    <t>ESMALTE SINTÉTICO - ESQUADRIAS E PEÇAS DE MARCENARIA, SEM EMASSAMENTO</t>
  </si>
  <si>
    <t>ESMALTE SINTÉTICO - ESQUADRIAS E PEÇAS DE MARCENARIA, COM EMASSAMENTO</t>
  </si>
  <si>
    <t>ESMALTE SINTÉTICO - ESTRUTURAS DE MADEIRA, SEM EMASSAMENTO</t>
  </si>
  <si>
    <t>ESMALTE SINTÉTICO - RODAPÉS, GUARNIÇÕES E MOLDURAS DE MADEIRA</t>
  </si>
  <si>
    <t>LÍQUIDO IMUNIZANTE PARA MADEIRA A BASE DE PIRETROIDE DISSOLVIDO EM ISOPARAFINA - COM APLICAÇÃO</t>
  </si>
  <si>
    <t>VERNIZ A BASE DE POLIURETANO TIPO "MARÍTIMO" - ESQUADRIAS E PEÇAS DE MARCENARIA</t>
  </si>
  <si>
    <t>PINTURA EM METAL</t>
  </si>
  <si>
    <t>TINTA BETUMINOSA - INTERIOR DE CALHAS, RUFOS E RINCÕES METÁLICOS</t>
  </si>
  <si>
    <t>ESMALTE SINTÉTICO - ESQUADRIAS E PEÇAS DE SERRALHERIA</t>
  </si>
  <si>
    <t>ESMALTE SINTÉTICO - ESTRUTURAS METÁLICAS</t>
  </si>
  <si>
    <t>ESMALTE SINTÉTICO - EXTERIOR DE CALHAS, RUFOS E CONDUTORES</t>
  </si>
  <si>
    <t>REMOÇÃO DE AGUADA DE CAL OU TINTA A BASE DE CIMENTO - ESCOVA DE AÇO</t>
  </si>
  <si>
    <t>REMOÇÃO DE PINTURA EM ALVENARIA E CONCRETO - LIXA</t>
  </si>
  <si>
    <t>REMOÇÃO DE PINTURA EM ALVENARIA E CONCRETO - REMOVEDOR</t>
  </si>
  <si>
    <t>REMOÇÃO DE PINTURA EM CONCRETO - JATEAMENTO</t>
  </si>
  <si>
    <t>REMOÇÃO DE PINTURA EM ESQUADRIAS E FORROS DE MADEIRA - LIXA</t>
  </si>
  <si>
    <t>REMOÇÃO DE PINTURA EM ESQUADRIAS E FORROS DE MADEIRA - REMOVEDOR</t>
  </si>
  <si>
    <t>REMOÇÃO DE PINTURA EM RODAPÉS E MOLDURAS DE MADEIRA - LIXA</t>
  </si>
  <si>
    <t>REMOÇÃO DE PINTURA EM RODAPÉS E MOLDURAS DE MADEIRA - REMOVEDOR</t>
  </si>
  <si>
    <t>REMOÇÃO DE PINTURA EM ESQUADRIAS E PEÇAS DE SERRALHERIA - LIXA</t>
  </si>
  <si>
    <t>REMOÇÃO DE PINTURA EM ESQUADRIAS E PEÇAS DE SERRALHERIA - REMOVEDOR</t>
  </si>
  <si>
    <t>REMOÇÃO DE PINTURA EM ESTRUTURAS METÁLICAS - JATEAMENTO</t>
  </si>
  <si>
    <t>PVA (LÁTEX) - REPINTURA DE ALVENARIA E CONCRETO, COM RETOQUES DE MASSA</t>
  </si>
  <si>
    <t>TINTA ACRÍLICA - REPINTURA DE ALVENARIA E CONCRETO COM RETOQUE DE MASSA</t>
  </si>
  <si>
    <t>ESMALTE SINTÉTICO - REPINTURA DE ESQUADRIAS DE MADEIRA</t>
  </si>
  <si>
    <t>ESMALTE SINTÉTICO - REPINTURA DE ESTRUTURAS DE MADEIRA</t>
  </si>
  <si>
    <t>ESMALTE SINTÉTICO - REPINTURA DE FORROS DE MADEIRA</t>
  </si>
  <si>
    <t>ESMALTE SINTÉTICO - REPINTURA DE RODAPÉS E MOLDURAS DE MADEIRA</t>
  </si>
  <si>
    <t>ESMALTE SINTÉTICO - REPINTURA DE ESQUADRIAS METÁLICAS</t>
  </si>
  <si>
    <t>SERV.COMPLEMENTARES</t>
  </si>
  <si>
    <t>FECHAMENTOS</t>
  </si>
  <si>
    <t>FP.04 - ALAMBRADO EM TUBO GALVANIZADO E TELA GALVANIZADA H=2,00M</t>
  </si>
  <si>
    <t>FP.05 - ALAMBRADO EM TUBO GALVANIZADO E TELA GALVANIZADA H=1,00M</t>
  </si>
  <si>
    <t>FP.03 - ALAMBRADO PARA QUADRAS DE ESPORTE - GP.6/EDIF - TG/4,5M</t>
  </si>
  <si>
    <t>GRADIL DE FERRO PERFILADO - GE-1/EDIF</t>
  </si>
  <si>
    <t>FP.01 - GRADIL DE FERRO PERFILADO, TIPO PARQUE SEM MURETA - GP-5/DEPAVE</t>
  </si>
  <si>
    <t>FP.02 - GRADIL DE FERRO PERFILADO, TIPO PARQUE COM MURETA - GPM-1/DEPAVE</t>
  </si>
  <si>
    <t>FP.06 - GRADIL/PEITORIL DE FERRO PERFILADO H=1,00M</t>
  </si>
  <si>
    <t>PP.38 - PORTÃO DE FERRO PERFILADO, TIPO PARQUE (GP.5/GPM1) 2,00M, 1 FOLHA</t>
  </si>
  <si>
    <t>PP.37 - PORTÃO DE FERRO PERFILADO, TIPO PARQUE (GP.5/GPM.1) 1,50M, 1 FOLHA</t>
  </si>
  <si>
    <t>PP.39/PP.40 - PORTÃO DE FERRO PERFILADO TIPO PARQUE (GP.5/GPM1) 3,0M, 1 OU 2 FOLHAS</t>
  </si>
  <si>
    <t>PP.41 - PORTÃO DE FERRO PERFILADO, TIPO PARQUE (GP-5/GPM-1) 4,00M, 2 FOLHAS</t>
  </si>
  <si>
    <t>PP.42 - PORTÃO DE FERRO PERFILADO, TIPO PARQUE (GP-5/GPM-1) 6,00M, 2 FOLHAS</t>
  </si>
  <si>
    <t>PP.15/19 - PORTÃO EM FERRO PERFILADO COM CHAPA, 1 FOLHA</t>
  </si>
  <si>
    <t>PP.20/24 - PORTÃO EM FERRO PERFILADO COM TELA, 1 FOLHA</t>
  </si>
  <si>
    <t>PP.25/29 - PORTÃO EM FERRO PERFILADO COM CHAPA, 2 FOLHAS</t>
  </si>
  <si>
    <t>PP.30/34 - PORTÃO EM FERRO PERFILADO COM TELA, 2 FOLHAS</t>
  </si>
  <si>
    <t>PP.43/44 - PORTÃO EM FERRO PERFILADO COM CHAPA, 1 FOLHA, H=1,00M</t>
  </si>
  <si>
    <t>PP.45/46 - PORTÃO EM FERRO PERFILADO COM TELA, 1 FOLHA, H=1,00M</t>
  </si>
  <si>
    <t>FV.15/16 - MURO DE FECHO EM BLOCOS E ESTRUTURA DE CONCRETO, FUNDAÇÃO COM BROCAS</t>
  </si>
  <si>
    <t>MURO DE ARRIMO H=1,40M, COM DRENAGEM</t>
  </si>
  <si>
    <t>MURO DE ARRIMO H=2,50M, COM DRENAGEM</t>
  </si>
  <si>
    <t>MURO DE ARRIMO H=3,50M, COM DRENAGEM</t>
  </si>
  <si>
    <t>MURO DE ARRIMO H=4,50M, COM DRENAGEM</t>
  </si>
  <si>
    <t>FV.08 - MURETA DE BLOCOS DE CONCRETO</t>
  </si>
  <si>
    <t>FV.12/13 - MURETA DE ARRIMO EM BLOCOS DE CONCRETO, H=1,00 M</t>
  </si>
  <si>
    <t>FV.14 - MURETA DE ARRIMO EM BLOCOS DE CONCRETO H=1,00M - CHAPISCADO</t>
  </si>
  <si>
    <t>FV15/16 (MODIFICADO PARA H=2,5M) - MURO FECHO EM BLOCO E ESTRUT. CONCRETO FUND. EM BROCAS</t>
  </si>
  <si>
    <t>MURETA EM BLOCOS DE CONCRETO H=0,50M (REVESTIDO)</t>
  </si>
  <si>
    <t>GRADIL DE FERRO GALVANIZADO ELETROFUNDIDO - BARRA 25X2MM - MALHA 65X132MM - MONTANTE COM DISTÂNCIA DE 1650MM - SEM PINTURA</t>
  </si>
  <si>
    <t>GRADIL DE FERRO GALVANIZADO ELETROFUNDIDO - BARRA 25X2MM - MALHA 65X132MM - MONTANTE COM DISTÂNCIA DE 1650MM - COM PINTURA</t>
  </si>
  <si>
    <t>PORTÃO EM FERRO GALVANIZADO ELETROFUNDIDO, MALHA 65X132MM, DE ABRIR, 1 FOLHA, SEM PINTURA</t>
  </si>
  <si>
    <t>PORTÃO EM FERRO GALVANIZADO ELETROFUNDIDO MALHA 65X132MM, DE ABRIR, 1 FOLHA, COM PINTURA ELETROLÍTICA</t>
  </si>
  <si>
    <t>PORTÃO EM FERRO GALVANIZADO ELETROFUNDIDO MALHA 65X132MM, DE ABRIR, 2 FOLHAS, SEM PINTURA</t>
  </si>
  <si>
    <t>PORTÃO EM FERRO GALVANIZADO ELETROFUNDIDO MALHA 65X132MM, DE ABRIR, 2 FOLHAS, COM PINTURA ELETROLÍTICA</t>
  </si>
  <si>
    <t>PORTÃO EM FERRO GALVANIZADO ELETROFUNDIDO MALHA 65X132MM, DE CORRER, SEM PINTURA</t>
  </si>
  <si>
    <t>PORTÃO EM FERRO GALVANIZADO ELETROFUNDIDO MALHA 65X132MM, DE CORRER, COM PINTURA ELETROLÍTICA</t>
  </si>
  <si>
    <t>CONCRETO SIMPLES DESEMPENADO E RIPADO, 200KG CIM/M3</t>
  </si>
  <si>
    <t>CONCRETO DESEMPENADO E RIPADO (PMSP-DL.1009/47), 335KG CIM/M3 - 7CM</t>
  </si>
  <si>
    <t>PISO DE CONCRETO INTERTRAVADO, ESPESSURA 6CM</t>
  </si>
  <si>
    <t>PISO DE CONCRETO INTERTRAVADO, ESPESSURA 8CM</t>
  </si>
  <si>
    <t>PISO DE CONCRETO INTERTRAVADO, ESPESSURA 10CM</t>
  </si>
  <si>
    <t>CONCRETO SIMPLES COM AGREGADO RECICLADO, DESEMPENADO E RIPADO -200KG CIM/M3</t>
  </si>
  <si>
    <t>CONCRETO COM AGREGADO RECICLADO DESEMPENADO E RIPADO, TIPO PMSP -DL1009/47,335KGCIM/M3-7CM</t>
  </si>
  <si>
    <t>LAJOTA PRÉ-MOLDADA DE CONCRETO E=7CM - JUNTA DE GRAMA</t>
  </si>
  <si>
    <t>LAJOTA DE CONCRETO MOLDADA "IN LOCO", TIPO PMSP E=7CM JUNTA DE PEDRISCO</t>
  </si>
  <si>
    <t>LAJOTA DE CONCRETO MOLDADA "IN LOCO", TIPO PMSP E=7CM - JUNTA DE ARGAMASSA</t>
  </si>
  <si>
    <t>MOSAICO PORTUGUÊS, UMA OU DUAS CORES, SOBRE BASE DE AREIA</t>
  </si>
  <si>
    <t>MOSAICO PORTUGUÊS, UMA OU DUAS CORES, SOBRE BASE DE CONCRETO</t>
  </si>
  <si>
    <t>PEDRISCO - FORNECIMENTO E ESPALHAMENTO COM COMPACTAÇÃO MECÂNICA</t>
  </si>
  <si>
    <t>PEDRISCO COM COMPACTAÇÃO MANUAL - ESPESSURA 5CM</t>
  </si>
  <si>
    <t>PÓ DE BRITA COM COMPACTAÇÃO MECÂNICA - ESPESSURA 10CM</t>
  </si>
  <si>
    <t>PEDRA BRITADA N.2 COM COMPACTAÇÃO MANUAL - 5CM</t>
  </si>
  <si>
    <t>PEDRISCO RECICLADO, FORNECIMENTO E ESPALHAMENTO COM  COMPACTAÇÃO MECÂNICA</t>
  </si>
  <si>
    <t>PEDRISCO RECICLADO COM COMPACTAÇÃO MANUAL - ESPESSURA 5CM</t>
  </si>
  <si>
    <t>AGREGADO RECICLADO FINO COMPACTAÇÃO MECÂNICA - ESPESSURA 10CM</t>
  </si>
  <si>
    <t>AGREGADO RECICLADO N.2 COM COMPACTAÇÃO MANUAL - 5CM</t>
  </si>
  <si>
    <t>MOSAICO PORTUGUÊS UMA OU DUAS CORES, SOBRE BASE DE CONCRETO COM AGREGADO RECICLADO</t>
  </si>
  <si>
    <t>PAVIMENTAÇÃO ASFÁLTICA PARA TRÁFEGO MÉDIO (POR PENETRAÇÃO)</t>
  </si>
  <si>
    <t>PASSEIO DE CONCRETO, FCK=25MPA, INCLUINDO PREPARO DA CAIXA E LASTRO DE BRITA</t>
  </si>
  <si>
    <t>PASSEIO DE CONCRETO ARMADO, FCK=25MPA, INCLUINDO PREPARO DA CAIXA E LASTRO DE BRITA</t>
  </si>
  <si>
    <t>PASSEIO DE CONCRETO, FCK=30MPA, INCLUINDO PREPARO DA CAIXA E LASTRO DE BRITA</t>
  </si>
  <si>
    <t>PASSEIO DE CONCRETO ARMADO, FCK=30MPA, INCLUINDO PREPARO DA CAIXA E LASTRO DE BRITA</t>
  </si>
  <si>
    <t>GUIA DE CONCRETO RETA OU CURVA, TIPO PMSP</t>
  </si>
  <si>
    <t>GUIA DE CONCRETO COM AGREGADO RECICLADO, RETA OU CURVA TIPO PMSP</t>
  </si>
  <si>
    <t>SARJETA DE CONCRETO, INCLUSIVE PREPARO DE CAIXA</t>
  </si>
  <si>
    <t>REBAIXAMENTO DE GUIA</t>
  </si>
  <si>
    <t>REBAIXAMENTO DE GUIA COM CONCRETO RECICLADO</t>
  </si>
  <si>
    <t>PISO DE CONCRETO INTERTRAVADO DRENANTE, ESPESSURA 6CM</t>
  </si>
  <si>
    <t>PISO DE CONCRETO INTERTRAVADO DRENANTE, ESPESSURA 8CM</t>
  </si>
  <si>
    <t>IP.03 - PLATAFORMA COM 3 MASTROS DE BANDEIRA H.LIVRE=7,00M (EXCLUSIVE ENGASTAMENTO)</t>
  </si>
  <si>
    <t>IP.04 - PLATAFORMA COM 3 MASTROS DE BANDEIRA H LIVRE=9,00M (EXCLUSIVE ENGASTAMENTO)</t>
  </si>
  <si>
    <t>QC.02 - QUADRA POLIESPORTIVA - PISO ARMADO</t>
  </si>
  <si>
    <t>QC.02 - QUADRA POLIESPORTIVA PISO ARMADO COM AGREGADO RECICLADO</t>
  </si>
  <si>
    <t>QD.01 - DEMARCAÇÃO DE QUADRA COM TINTA A BASE DE BORRACHA CLORADA - VOLEIBOL</t>
  </si>
  <si>
    <t>QD.02 - DEMARCAÇÃO DE QUADRA COM TINTA A BASE DE BORRACHA. CLORADA - FUTEBOL DE SALÃO</t>
  </si>
  <si>
    <t>QD.03 - DEMARCAÇÃO DE QUADRA COM TINTA A BASE DE BORRACHA CLORADA - BASQUETE</t>
  </si>
  <si>
    <t>QD.05 - DEMARCAÇÃO DE QUADRA COM TINTA A BASE DE BORRACHA CLORADA - HANDBOL</t>
  </si>
  <si>
    <t>DEMARCAÇÃO DE VAGA DE ESTACIONAMENTO PARA PORTADORES DE DEFICIÊNCIA FÍSICA</t>
  </si>
  <si>
    <t>POSTES PARA VOLEIBOL, INCLUSIVE PINTURA E REDE</t>
  </si>
  <si>
    <t>TRAVE PARA FUTEBOL DE SALÃO, INCLUSIVE PINTURA E REDE</t>
  </si>
  <si>
    <t>TABELA PARA BASQUETE, ENGLOBANDO DESDE FUNDAÇÃO ATÉ A CESTA DE NYLON</t>
  </si>
  <si>
    <t>TELA DE NYLON PARA COBERTURA DE QUADRA</t>
  </si>
  <si>
    <t>DEMARCAÇÃO E PINTURA DE SUPERFÍCIES - BORRACHA CLORADA</t>
  </si>
  <si>
    <t>DEMARCAÇÃO E PINTURA DE SUPERFÍCIES - EPÓXI</t>
  </si>
  <si>
    <t>DEMARCAÇÃO E PINTURA DE FAIXAS ATÉ 10CM - BORRACHA CLORADA</t>
  </si>
  <si>
    <t>DEMARCAÇÃO E PINTURA DE FAIXAS ATÉ 10CM - EPÓXI</t>
  </si>
  <si>
    <t>HV.20 - ABRIGO PARA LIXO EM ALVENARIA - REVESTIMENTO EXTERNO COM ARGAMASSA E INTERNO COM AZULEJOS</t>
  </si>
  <si>
    <t>IV.06 - LIXEIRA JUNTO AO ALINHAMENTO COM REVESTIMENTO INTERNO EM AZULEJOS</t>
  </si>
  <si>
    <t>BANCADA DE CONCRETO POLIDO COM BORDAS ARREDONDADAS - ESPESSURA 30MM</t>
  </si>
  <si>
    <t>BANCADA DE CONCRETO POLIDO COM BORDAS ARREDONDADAS - ESPESSURA 40MM</t>
  </si>
  <si>
    <t>BANCADA DE CONCRETO POLIDO COM BORDAS ARREDONDADAS - ESPESSURA 50MM</t>
  </si>
  <si>
    <t>LIMPEZA</t>
  </si>
  <si>
    <t>LIMPEZA GERAL DA OBRA</t>
  </si>
  <si>
    <t>LIMPEZA DE PISOS E REVESTIMENTO DE ARGAMASSA, CERÂMICA OU PEDRAS NATURAIS</t>
  </si>
  <si>
    <t>LIMPEZA DE VIDROS EM GERAL, INCLUSIVE CAIXILHO</t>
  </si>
  <si>
    <t>LIMPEZA E LAVAGEM DE PAREDE POR HIDROJATEAMENTO, SEM REJUNTAMENTO</t>
  </si>
  <si>
    <t>LIMPEZA E LAVAGEM DE PAREDE COM REVESTIMENTO EM PASTILHA OU MATERIAL CERÂMICO POR HIDROJATEAMENTO COM REJUNTAMENTO</t>
  </si>
  <si>
    <t>LIMPEZA E LAVAGEM DE PISO POR HIDROJATEAMENTO</t>
  </si>
  <si>
    <t>LIMPEZA DE CAIXA D'ÁGUA - ATÉ 1000 LITROS</t>
  </si>
  <si>
    <t>LIMPEZA DE CAIXA D'ÁGUA - DE 1001 À 10000 LITROS</t>
  </si>
  <si>
    <t>LIMPEZA DE CAIXA D'ÁGUA - ACIMA DE 10000 LITROS</t>
  </si>
  <si>
    <t>LIMPEZA DE CANALETAS DE ÁGUAS PLUVIAIS</t>
  </si>
  <si>
    <t>LIMPEZA DE CAIXA DE INSPEÇÃO</t>
  </si>
  <si>
    <t>LIMPEZA DE FOSSA SÉPTICA</t>
  </si>
  <si>
    <t>LIMPEZA DE SUMIDOURO, POR VIAGEM DE 7M3</t>
  </si>
  <si>
    <t>VG</t>
  </si>
  <si>
    <t>ENCERAMENTO E LUSTRAÇÃO DE REVESTIMENTOS E PISOS EM GERAL</t>
  </si>
  <si>
    <t>COMPLEMENTOS DO EDIFÍCIO</t>
  </si>
  <si>
    <t>PRATELEIRA DE GRANILITE, ESPESSURA 30MM, EXCLUSIVE APOIO</t>
  </si>
  <si>
    <t>PRATELEIRA DE GRANILITE, ESPESSURA 40MM, EXCLUSIVE APOIO</t>
  </si>
  <si>
    <t>PRATELEIRA DE GRANILITE, ESPESSURA 50MM, EXCLUSIVE APOIO</t>
  </si>
  <si>
    <t>PRATELEIRA DE CONCRETO, ESPESSURA 50MM, COM BORDAS ARREDONDADAS E ENVERNIZADAS, EXCLUSIVE APOIO</t>
  </si>
  <si>
    <t>PRATELEIRA EM ARDÓSIA CINZA, POLIDA 2 LADOS, ESPESSURA 30MM, EXCLUSIVE APOIO</t>
  </si>
  <si>
    <t>EP.01 - MÃO FRANCESA DE FERRO PERFILADO</t>
  </si>
  <si>
    <t>EP.02 - MÃO FRANCESA DE FERRO PERFILADO</t>
  </si>
  <si>
    <t>DM.01 - ESTRADO DE MADEIRA APARELHADA PARA DESPENSA</t>
  </si>
  <si>
    <t>DM.02/04 - ESTRADO DE MADEIRA APARELHADA PARA DESPENSA</t>
  </si>
  <si>
    <t>BARRA DE APOIO PARA DEFICIENTES L=45 CM (BARRAS COM DIÂMETRO ENTRE 3,0 E 4,5CM)</t>
  </si>
  <si>
    <t>BARRA DE APOIO PARA DEFICIENTES L=80 CM (BARRAS COM DIÂMETRO ENTRE 3,0 E 4,5CM)</t>
  </si>
  <si>
    <t>BARRA DE APOIO PARA DEFICIENTES L=90 CM (BARRAS COM DIÂMETRO ENTRE 3,0 E 4,5CM)</t>
  </si>
  <si>
    <t>BARRA DE APOIO PARA CHUVEIRO PARA PORTADORES DE DEFICIÊNCIA FÍSICA (BARRAS COM DIÂMETRO ENTRE 3,0 E 4,5CM)</t>
  </si>
  <si>
    <t>DP.04 - CORRIMÃO EM TUBO GALVANIZADO</t>
  </si>
  <si>
    <t>DP.05 - CORRIMÃO EM TUBO GALVANIZADO COM GUARDA CORPO</t>
  </si>
  <si>
    <t>ANEL DE TEXTURA PARA CORRIMÃO</t>
  </si>
  <si>
    <t>BARRA DE APOIO PARA LAVATÓRIO EM "L" - PPDF</t>
  </si>
  <si>
    <t>MM.23/24 - LOUSA EM LAMINADO MELAMÍNICO BRANCO SOBRE COMPENSADO</t>
  </si>
  <si>
    <t>DM.07 - QUADRO DE AVISOS DE MADEIRA</t>
  </si>
  <si>
    <t>FAIXA BATE-CARTEIRA PARA SALA DE AULA</t>
  </si>
  <si>
    <t>DM.06 - FIXADOR DE CARTAZES PARA SALA DE AULA</t>
  </si>
  <si>
    <t>DP.01 - ESCADA MARINHEIRO DE FERRO GALVANIZADO</t>
  </si>
  <si>
    <t>DP.02 - ESCADA MARINHEIRO DE FERRO GALVANIZADO COM GUARDA CORPO</t>
  </si>
  <si>
    <t>DP.03 - COMPLEMENTOS PARA ESCADA MARINHEIRO DE FERRO PERFILADO</t>
  </si>
  <si>
    <t>BATE PNEU EM TUBO DE AÇO GALVANIZADO D=3" C=2,50M</t>
  </si>
  <si>
    <t>ARMÁRIO DE AÇO COM 4 PORTAS E FECHADURA L 640XP420XH1980</t>
  </si>
  <si>
    <t>DR.1 - MESA DE PREPARO PARA COZINHAS - EM MÁRMORE</t>
  </si>
  <si>
    <t>PORTA CORTA-FOGO P90 (0,90X2,10M) COM FERRAGENS</t>
  </si>
  <si>
    <t>PORTA CORTA-FOGO P90 - 1,05 X 2,10M, COM DOBRADIÇAS E MOLAS SEM FERRAGEM</t>
  </si>
  <si>
    <t>PEDESTAL SINALIZADOR PARA ESTACIONAMENTO P/ DEFICIENTE</t>
  </si>
  <si>
    <t>PLACA DE IDENTIFICAÇÃO COM NÚMERO PAVIMENTO EM BRAILE</t>
  </si>
  <si>
    <t>PLACA DE IDENTIFICAÇÃO DE WC EM BRAILE FEM./ MASC.</t>
  </si>
  <si>
    <t>PLACA DE IDENTIFICAÇÃO EM BRAILE "INÍCIO E FINAL" P/ CORRIMÃO</t>
  </si>
  <si>
    <t>PLACA DE IDENTIFICAÇÃO EM BRAILE DE PAVIMENTO P/ CORRIMÃO</t>
  </si>
  <si>
    <t>PLACA PARA PORTA WC C/ DESENHO UNIVERSAL ACESSIBILIDADE</t>
  </si>
  <si>
    <t>SINALIZAÇÃO VISUAL DE DEGRAUS PARA DEFICIENTE VISUAL</t>
  </si>
  <si>
    <t>EQUIPAMENTOS DIVERSOS</t>
  </si>
  <si>
    <t>ELEVADOR ELÉTRICO SEM CASA DE MÁQUINAS - 2 PARADAS</t>
  </si>
  <si>
    <t>ELEVADOR ELÉTRICO SEM CASA DE MÁQUINAS - 3 PARADAS</t>
  </si>
  <si>
    <t>ELEVADOR EL[ETRICO SEM CASA DE MÁQUINAS - 4 PARADAS</t>
  </si>
  <si>
    <t>ELEVADOR ELÉTRICO SEM CASA DE MÁQUINAS - 5 PARADAS</t>
  </si>
  <si>
    <t>DX.05/06 - COIFA EM CHAPA DE AÇO GALVANIZADO PARA FOGÃO DE 3 OU 4 BOCAS</t>
  </si>
  <si>
    <t>DX.01/03 - COIFA EM CHAPA DE AÇO GALVANIZADO PARA FOGÃO DE 6 BOCAS</t>
  </si>
  <si>
    <t>CHAPÉU CHINÊS PARA DUTO GALVANIZADO 35CM BIT.22 PARA EXAUSTÃO DE AR</t>
  </si>
  <si>
    <t>DUTO EM CHAPA DE AÇO GALVANIZADO N.22 - DIÂMETRO 35CM</t>
  </si>
  <si>
    <t>CURVA PARA DUTO EM CHAPA GALVANIZADA 35CM BIT.22 PARA EXAUSTÃO AR RECRAVADA A CADA 10GRAUS</t>
  </si>
  <si>
    <t>EXAUSTOR 1/2 HP PARA COIFAS</t>
  </si>
  <si>
    <t>FOGÃO INDUSTRIAL 4 BOCAS COM FORNO E 2 QUEIMADORES DUPLOS</t>
  </si>
  <si>
    <t>FOGÃO INDUSTRIAL 6 BOCAS COM FORNO E 2 QUEIMADORES DUPLOS</t>
  </si>
  <si>
    <t>AUTOCLAVE - CAPACIDADE 54 LITROS</t>
  </si>
  <si>
    <t>VENTILADOR DE PAREDE, DIÂM. MÍN.=65CM</t>
  </si>
  <si>
    <t>PORTA DE VIDRO TEMPERADO 10MM OPACO COM FERRAGENS 82X210CM</t>
  </si>
  <si>
    <t>POSTO DE CONSUMO DE O2 OU AR VÁCUO OU N2O</t>
  </si>
  <si>
    <t>ESTAÇÃO DE CHAMADA DE ENFERMEIRA</t>
  </si>
  <si>
    <t>PAINEL DE ALARME PARA O2 OU AR OU VÁCUO OU N2O, INSTALADO</t>
  </si>
  <si>
    <t>PLACAS DE OBRA</t>
  </si>
  <si>
    <t>PLACA INAUGURAL - 600X500X3MM - CHAPA DE  AÇO INOX EM BAIXO RELEVO</t>
  </si>
  <si>
    <t>SISTEMA DE AQUECIMENTO SOLAR</t>
  </si>
  <si>
    <t>SISTEMA DE AQUECIMENTO SOLAR ATÉ 1000L - COLETOR SOLAR PLANO FECHADO (SELO "A" DO INMETRO)</t>
  </si>
  <si>
    <t>SISTEMA DE AQUECIMENTO SOLAR ACIMA DE 1000L - FORNECIMENTO DE COLETOR SOLAR PLANO FECHADO (SELO "A" INMETRO) - SEM INSTALAÇÃO</t>
  </si>
  <si>
    <t>SISTEMA DE AQUECIMENTO SOLAR, FORNECIMENTO DE RESERVATÓRIO TÉRMICO ATÉ 1000L, BAIXA PRESSÃO (APROVAÇÃO INMETRO) - SEM INSTALAÇÃO</t>
  </si>
  <si>
    <t>SISTEMA DE AQUECIMENTO SOLAR, FORNECIMENTO DE RESERVATÓRIO TÉRMICO ATÉ 1000L, ALTA PRESSÃO (APROVAÇÃO INMETRO) - SEM INSTALAÇÃO</t>
  </si>
  <si>
    <t>SISTEMA DE AQUECIMENTO SOLAR, INSTALAÇÃO DE RESERVATÓRIO TÉRMICO ATÉ 1000L</t>
  </si>
  <si>
    <t>SISTEMA DE AQUECIMENTO SOLAR, FORNECIMENTO DE RESERVATÓRIO TÉRMICO ACIMA DE 1000L, BAIXA PRESSÃO (APROVAÇÃO INMETRO) - SEM INSTALAÇÃO</t>
  </si>
  <si>
    <t>SISTEMA DE AQUECIMENTO SOLAR, FORNECIMENTO DE RESERVATÓRIO TÉRMICO ACIMA DE 1000L, ALTA PRESSÃO (APROVAÇÃO INMETRO) - SEM INSTALAÇÃO</t>
  </si>
  <si>
    <t>SISTEMA DE AQUECIMENTO SOLAR (CIRCULAÇÃO FORÇADA), BOMBA HIDRÁULICA DE CIRCULAÇÃO DE ÁGUA NOS COLETORES SOLARES</t>
  </si>
  <si>
    <t>SISTEMA DE AQUECIMENTO SOLAR (CIRCULAÇÃO FORÇADA), CONJUNTO DIGITAL PARA ACIONAMENTOS PROGRAMADOS DE EQUIPAMENTOS</t>
  </si>
  <si>
    <t>SISTEMA DE AQUECIMENTO SOLAR PARA PISCINA, FORNECIMENTO DE COLETOR SOLAR ABERTO (SELO "A" INMETRO) - SEM INSTALAÇÃO</t>
  </si>
  <si>
    <t>M3xMÊS</t>
  </si>
  <si>
    <t>DEMOLIÇÃO DE MURO DE ALVENARIA - H=1,80 À 2,00M</t>
  </si>
  <si>
    <t>DEMOLIÇÃO DE ALAMBRADO DE TELA GALVANIZADA</t>
  </si>
  <si>
    <t>DEMOLIÇÃO DE LADRILHOS HIDRÁULICOS, INCLUSIVE ARGAMASSA DE REGULARIZAÇÃO</t>
  </si>
  <si>
    <t>DEMOLIÇÃO DE LAJOTAS DE CONCRETO</t>
  </si>
  <si>
    <t>DEMOLIÇÃO DE PAVIMENTAÇÃO ASFÁLTICA, CAPA E BASE - MANUAL</t>
  </si>
  <si>
    <t>DEMOLIÇÃO DE GUIAS DE CONCRETO</t>
  </si>
  <si>
    <t>DEMOLIÇÃO DE SARJETAS DE CONCRETO</t>
  </si>
  <si>
    <t>RETIRADA DE CERCA DE ARAME FARPADO, MOURÃO DE EUCALIPTO OU CONCRETO</t>
  </si>
  <si>
    <t>RETIRADA DE LAJOTAS PRÉ-MOLDADAS DE CONCRETO</t>
  </si>
  <si>
    <t>RETIRADA DE FORRAS DE PEDRAS NATURAIS</t>
  </si>
  <si>
    <t>RETIRADA DE PARALELEPÍPEDOS</t>
  </si>
  <si>
    <t>RETIRADA DE MOSAICO PORTUGUÊS</t>
  </si>
  <si>
    <t>RETIRADA DE GUIAS DE CONCRETO</t>
  </si>
  <si>
    <t>RETIRADA DE PISO INTERTRAVADO</t>
  </si>
  <si>
    <t>RETIRADA DE BRINQUEDOS</t>
  </si>
  <si>
    <t>RETIRADA DE PORTA-GIZ, INCLUSIVE SUPORTES</t>
  </si>
  <si>
    <t>RETIRADA DE COIFA E CHAPA PARA FOGÃO DE 3 OU 4 BOCAS</t>
  </si>
  <si>
    <t>RETIRADA DE COIFA EM CHAPA PARA FOGÃO DE 6 BOCAS</t>
  </si>
  <si>
    <t>RETIRADA DE EXAUSTOR</t>
  </si>
  <si>
    <t>RETIRADA DE DUTO DE EXAUSTÃO</t>
  </si>
  <si>
    <t>RETIRADA DE PORTÃO DE FERRO PERFILADO TIPO PQ (GP5/GPM1)</t>
  </si>
  <si>
    <t>RETIRADA DE ALAMBRADO EM TELA INCLUSIVE ESTRUTURA DE SUSTENTAÇÃO (FP.04)</t>
  </si>
  <si>
    <t>RETIRADA DE CERCA DE TELA GALVANIZADA E RESPECTIVOS MOURÕES (FC 04/05)</t>
  </si>
  <si>
    <t>RETIRADA DE PORTÃO METÁLICO</t>
  </si>
  <si>
    <t>RECOLOCAÇÃO DE TELA E TIRANTE EM ALAMBRADO</t>
  </si>
  <si>
    <t>RECOLOCAÇÃO DE PARALELEPÍPEDOS</t>
  </si>
  <si>
    <t>RECOLOCAÇÃO DE PARALELEPÍPEDO COM AREIA RECICLADA</t>
  </si>
  <si>
    <t>RECOLOCAÇÃO DE MOSAICO PORTUGUÊS SOBRE BASE DE CONCRETO</t>
  </si>
  <si>
    <t>RECOLOCAÇÃO DE MOSAICO PORTUGUÊS SOBRE BASE DE AREIA</t>
  </si>
  <si>
    <t>RECOLOCAÇÃO DE MOSAICO PORTUGUÊS SOBRE BASE DE CONCRETO COM AGREGADO RECICLADO</t>
  </si>
  <si>
    <t>RECOLOCAÇÃO DE MOSAICO PORTUGUÊS SOBRE BASE DE AREIA RECICLADA</t>
  </si>
  <si>
    <t>RECOLOCAÇÃO DE GUIAS DE CONCRETO</t>
  </si>
  <si>
    <t>RECOLOCAÇÃO DE PISO INTERTRAVADO COM AREIA RECICLADA</t>
  </si>
  <si>
    <t>RECOLOCAÇÃO DE PORTA-GIZ, INCLUSIVE SUPORTES</t>
  </si>
  <si>
    <t>RECOLOCAÇÃO DE COIFA EM CHAPA PARA FOGÃO DE 3 OU 4 BOCAS</t>
  </si>
  <si>
    <t>RECOLOCAÇÃO DE COIFA EM CHAPA PARA FOGÃO DE 6 BOCAS</t>
  </si>
  <si>
    <t>RECOLOCAÇÃO DE EXAUSTOR</t>
  </si>
  <si>
    <t>RECOLOCAÇÃO DE DUTO DE EXAUSTÃO</t>
  </si>
  <si>
    <t>RECOLOCAÇÃO DE PORTÃO DE FERRO PERFILADO TIPO PARQUE (GP5/GPM-1)</t>
  </si>
  <si>
    <t>RECOLOCAÇÃO DE CERCA DE TELA GALVANIZADA E RESPECTIVOS MOURÕES (FC 04/05)</t>
  </si>
  <si>
    <t>TELA GALVANIZADA PARA ALAMBRADO - MALHA 2" FIO 10</t>
  </si>
  <si>
    <t>FERRO TRABALHADO PARA GRADIS</t>
  </si>
  <si>
    <t>TABELA DE BASQUETE, INCLUSIVE ARO E CESTA - MADEIRA PINTADA</t>
  </si>
  <si>
    <t>REPINTURA DE FAIXAS ATÉ 10CM - BORRACHA CLORADA</t>
  </si>
  <si>
    <t>REPINTURA DE FAIXAS ATÉ 10CM - EPÓXI</t>
  </si>
  <si>
    <t>PAISAGISMO</t>
  </si>
  <si>
    <t>SERVIÇOS GERAIS</t>
  </si>
  <si>
    <t>TUTOR E AMARILHO PARA ÁRVORES</t>
  </si>
  <si>
    <t>PROTETOR TIPO PARQUE PARA ÁRVORES</t>
  </si>
  <si>
    <t>ÁRVORES E PALMEIRAS - FORNECIMENTO E PLANTIO</t>
  </si>
  <si>
    <t>ALECRIM DE CAMPINAS (HOLOCALIX GLAZZIOVII)</t>
  </si>
  <si>
    <t>GOIABA DA SERRA (ACCA SELLOWIANA)</t>
  </si>
  <si>
    <t>GUARITÁ  (ASTRONIUM GRAVEOLENS)</t>
  </si>
  <si>
    <t>PAU MARFIM  (BALFOURODENDRON RIEDELLIANUM)</t>
  </si>
  <si>
    <t>GUANANDI (CALOPHYLLUM BRASILIENSES)</t>
  </si>
  <si>
    <t>CAMBUCI (CAMPOMANESIA PHAEA)</t>
  </si>
  <si>
    <t>GABIROBA (CAMPOMANESIA XANTHOCARPA)</t>
  </si>
  <si>
    <t>CASSIA (CASSIA MULTIJUGA)</t>
  </si>
  <si>
    <t>CÁSSIA FERRUGEM (CASSIA FERRUGINEA)</t>
  </si>
  <si>
    <t>FALSO BARBATIMÃO (CASSIA LEPTOPHYLLA)</t>
  </si>
  <si>
    <t>PAU VIOLA (CITHAREXYLUM MYRIANTHUM)</t>
  </si>
  <si>
    <t>IPÊ VERDE (CYBYSTAX ANTISYPHILITICA)</t>
  </si>
  <si>
    <t>SAGUARAGI (COLUBRINA GLANDULOSA)</t>
  </si>
  <si>
    <t>MULUNGU ( ERYTHRINA FALCATA)</t>
  </si>
  <si>
    <t>UVAIA (EUGENIA PYRIFORMIS)</t>
  </si>
  <si>
    <t>PITANGUEIRA ( EUGENIA UNIFLORA)</t>
  </si>
  <si>
    <t>IPÊ BRANCO (HANDROANTHUS ROSEO ALBA)</t>
  </si>
  <si>
    <t>IPÊ AMARELO DO BREJO (HANDROANTHUS UMBELLATUS)</t>
  </si>
  <si>
    <t>IPÊ TABACO (HANDROANTHUS VELLOSOI)</t>
  </si>
  <si>
    <t>INGÁ FEIJÃO (INGA MARGINATA)</t>
  </si>
  <si>
    <t>JACARANDÁ DE MINAS (JACARANDA CUSPIDIFOLIA)</t>
  </si>
  <si>
    <t>CAROBÃO (JACARANDA MICRANTHA)</t>
  </si>
  <si>
    <t>IPÊ AMARELO (TABEBUIA CHRYSOTRICHA)</t>
  </si>
  <si>
    <t>IPÊ ROSA (TABEBUIA AVELLANEDAE)</t>
  </si>
  <si>
    <t>IPÊ ROXO (TABEBUIA IMPETIGINOSA)</t>
  </si>
  <si>
    <t>CAROBINHA (JACARANDA PUBERULA)</t>
  </si>
  <si>
    <t>EMBIRA DE SAPO - LONCHOCARPUS MUELBERGIANUS</t>
  </si>
  <si>
    <t>AÇOITA CAVALO (LUEHEA DIVARICATA)</t>
  </si>
  <si>
    <t>JACARANDÁ DO CAMPO (MICHAERIUM ACUTIFOLIUM)</t>
  </si>
  <si>
    <t>JACARANDÁ BRANCO (MICHAERIUM PARAGUAIENSIS)</t>
  </si>
  <si>
    <t>CAMBOATÁ BRANCO (MATAYBA ELAEAGNOIDES)</t>
  </si>
  <si>
    <t>AROEIRA PRETA (MYRACRODURON URUNDEUVA)</t>
  </si>
  <si>
    <t>PAINEIRA (CHORISIA SPECIOSA)</t>
  </si>
  <si>
    <t>CAMBUÍ (MYRCIA SELLOI)</t>
  </si>
  <si>
    <t>PAU-BRASIL (CAESALPINIA ECHINATA)</t>
  </si>
  <si>
    <t>CABREÚVA PARDA (MYROCARPUS FRONDOSUS)</t>
  </si>
  <si>
    <t>CABREÚVA ( MIROXYLON PERUIFERUM)</t>
  </si>
  <si>
    <t>PAU-FERRO (CAESALPINIA FERREA)</t>
  </si>
  <si>
    <t>BORDÃO DE VELHO (SAMANEA TUBULOSA)</t>
  </si>
  <si>
    <t>PITOMBA (TALISIA ESCULENTA)</t>
  </si>
  <si>
    <t>SIBIPIRUNA (CAESALPINIA PELTOPHOROIDES)</t>
  </si>
  <si>
    <t>SUINÃ (ERYTRINA SPECIOSA)</t>
  </si>
  <si>
    <t>TIPUANA (TIPUANA TIPU)</t>
  </si>
  <si>
    <t>ARECA BAMBU (CHRYSALIDO CARPUS LUTESCENS)</t>
  </si>
  <si>
    <t>BURITI (MAURITIA VINIFERA)</t>
  </si>
  <si>
    <t>COLINIA (CHAMAEDOREA ELEGANS)</t>
  </si>
  <si>
    <t>COQUEIRO (COCOS NUCIFERA)</t>
  </si>
  <si>
    <t>GUARIROBA (SYAGRUS OLERACEA)</t>
  </si>
  <si>
    <t>JERIVÁ (ARECASTRUM ROMANZOFFIANUM)</t>
  </si>
  <si>
    <t>LATÂNIA (LATANIA SPP)</t>
  </si>
  <si>
    <t>SEAFORTIA (ARCHONTO PHOENIX CUNNINGHAMIANA)</t>
  </si>
  <si>
    <t>PALMEIRA IMPERIAL (ROY STONEAOLERACEA)</t>
  </si>
  <si>
    <t>PATA DE VACA (BAUHINIA VARIEGATA)</t>
  </si>
  <si>
    <t>QUARESMEIRA (TIBOUCHINA GRANULOSA)</t>
  </si>
  <si>
    <t>MANACA DA SERRA (TIBOUCHINA MUTABILIS)</t>
  </si>
  <si>
    <t>ARBUSTOS, FORRAÇÕES E TREPADEIRAS - FORNECIMENTO E PLANTIO</t>
  </si>
  <si>
    <t>GRAMA BATATAES EM PLACAS (PASPALUM NOTATUM)</t>
  </si>
  <si>
    <t>GRAMA SÃO CARLOS EM PLACAS (ANOXONOPUS OBTUSIFOLIUS)</t>
  </si>
  <si>
    <t>GRAMA ESMERALDA</t>
  </si>
  <si>
    <t>GRAMA PRETA (OPHIOPOGUM JAPONICUS) - 36 MUDAS POR M2</t>
  </si>
  <si>
    <t>CINERARIA (SENECIO CINERARIA)</t>
  </si>
  <si>
    <t>DÚZIA</t>
  </si>
  <si>
    <t>CLOROFITO (CLOROPHYTUM CROMOSSUM)</t>
  </si>
  <si>
    <t>FILODENDRO (PHILODENDRON BIPINNATIFIDUM)</t>
  </si>
  <si>
    <t>HERA (HEDERA HELIX)</t>
  </si>
  <si>
    <t>LÍRIO (HEMEROCALLIS FLAVA)</t>
  </si>
  <si>
    <t>MARIA SEM VERGONHA (IMPATIENS SPP)</t>
  </si>
  <si>
    <t>MONSTERA (MONSTERA DELICIOSA)</t>
  </si>
  <si>
    <t>PILEA (PILEA CADIEREI)</t>
  </si>
  <si>
    <t>VEDELIA (WEDELIA PALUDARIS)</t>
  </si>
  <si>
    <t>IPOMÉIA (IPOMEIA LEARII)</t>
  </si>
  <si>
    <t>JASMIM ESTRELA (TRACHELOSPERMOM JASMINDA)</t>
  </si>
  <si>
    <t>LÁGRIMA DE CRISTO (CLERODENDRON THOMSONAE)</t>
  </si>
  <si>
    <t>MARACUJÁ (PASSIFLORA COERULEA)</t>
  </si>
  <si>
    <t>PRIMAVERA (BOUGAINVILLEA GLABRA)</t>
  </si>
  <si>
    <t>TUMBERGIA (THUNBERGIA GRANDIFLORA)</t>
  </si>
  <si>
    <t>UNHA DE GATO (FICUS PUMILA)</t>
  </si>
  <si>
    <t>ABUTILOM (ABUTILON STRIATUM)</t>
  </si>
  <si>
    <t>ACALIFA (ACALYPHA WILKESIANA)</t>
  </si>
  <si>
    <t>ALAMANDA (ALLAMANDA NERIIFOLIA)</t>
  </si>
  <si>
    <t>AZALÉA (RHODODENDRON INDICUM)</t>
  </si>
  <si>
    <t>BAMBUZINHO (BAMBUZA GRACILIS)</t>
  </si>
  <si>
    <t>BELA EMÍLIA (PLUMBAGO CAPENSIS)</t>
  </si>
  <si>
    <t>CAMARÃO (BELOPERONE GUTATA)</t>
  </si>
  <si>
    <t>COSMOS (COSMOS BIPINNATUS)</t>
  </si>
  <si>
    <t>DRACENA (DRACAENA FRAGRANS)</t>
  </si>
  <si>
    <t>ESPONJINHA (CALLIANDRA TWEEDII)</t>
  </si>
  <si>
    <t>HIBISCO (HIBISCUS ROSA SINENSIS)</t>
  </si>
  <si>
    <t>MALVAVISCO (MALVAVISCUS MOLLIS)</t>
  </si>
  <si>
    <t>PIRACANTA (PYRACANTHA COCCINEA)</t>
  </si>
  <si>
    <t>MULTI EXERCITADOR CONJUGADO COM 6 FUNÇÕES</t>
  </si>
  <si>
    <t>TRATAMENTO PAISAGÍSTICO DE PISOS</t>
  </si>
  <si>
    <t>NR.10 - ORLA PARA ÁRVORE EM PARALELEPÍPEDO - 1,20 X 1,20 M</t>
  </si>
  <si>
    <t>ORLA DE SEPARAÇÃO EM CONCRETO NC.26</t>
  </si>
  <si>
    <t>GRELHA DE CONCRETO PARA PISOS GRAMADOS 60X45X9,5CM</t>
  </si>
  <si>
    <t>TORNEIRA PARA JARDIM  HD.16</t>
  </si>
  <si>
    <t>MOBILIÁRIO EXTERNO</t>
  </si>
  <si>
    <t>IC.01 - BANCO DE CONCRETO POLIDO COM PINTURA EM POLIURETANO</t>
  </si>
  <si>
    <t>IC.02 - CONJUNTO MESA E BANCOS EM CONCRETO</t>
  </si>
  <si>
    <t>IC.03 - BANCO EM CONCRETO APARENTE - L=40CM</t>
  </si>
  <si>
    <t>IC.04 - BANCO EM CONCRETO APARENTE - L=50CM</t>
  </si>
  <si>
    <t>IC.05 - BANCO EM CONCRETO APARENTE COM BALANÇO DE 40CM</t>
  </si>
  <si>
    <t>IC.06 - BANCO EM CONCRETO APARENTE, TIPO PMSP</t>
  </si>
  <si>
    <t>IV.02/03 - BANCO EM BLOCOS DE CONCRETO APARENTE</t>
  </si>
  <si>
    <t xml:space="preserve"> IV.07 - BANCO EM ALVENARIA APARENTE E CONCRETO</t>
  </si>
  <si>
    <t xml:space="preserve"> IV.08 - BANCO EM ALVENARIA REVESTIDA E CONCRETO</t>
  </si>
  <si>
    <t xml:space="preserve"> IV.09 - BANCO JARDINEIRA EM ALVENARIA DE TIJOLO APARENTE</t>
  </si>
  <si>
    <t>BRINQUEDOS EDIFICADOS</t>
  </si>
  <si>
    <t>RV.01 - MINI ANFITEATRO</t>
  </si>
  <si>
    <t>RV.06 - MURAL EM ALVENARIA</t>
  </si>
  <si>
    <t>RV.11 - TANQUE DE AREIA - GENÉRICO - ESCAVAÇÃO E APILOAMENTO</t>
  </si>
  <si>
    <t>RV.11 - TANQUE DE AREIA - GENÉRICO - DRENAGEM</t>
  </si>
  <si>
    <t>RV.11 - TANQUE DE AREIA - GENÉRICO - LASTRO DE CONCRETO</t>
  </si>
  <si>
    <t>RV.11 - TANQUE DE AREIA - GENÉRICO - BORDA BAIXA</t>
  </si>
  <si>
    <t>RV.11 - TANQUE DE AREIA - GENÉRICO - BORDA ALTA</t>
  </si>
  <si>
    <t>RV.11 - TANQUE DE AREIA - GENÉRICO - FORNECIMENTO E APLICAÇÃO DE AREIA LAVADA</t>
  </si>
  <si>
    <t>BRINQUEDO - TRENZINHO DE TUBOS DE CONCRETO/FABES</t>
  </si>
  <si>
    <t>RV.07 - FORTINHO</t>
  </si>
  <si>
    <t>BRINQUEDOS INDUSTRIALIZADOS</t>
  </si>
  <si>
    <t>CARROSSEL PARA 20 LUGARES,  DIÂMETRO 2,20M, FORNECIMENTO E INSTALAÇÃO</t>
  </si>
  <si>
    <t>ESCORREGADOR COMPR=3,00M H=1,80M - ESTRUTURA METÁLICA</t>
  </si>
  <si>
    <t>GANGORRA COM 3 PRANCHAS COMPR=3,00M H=0,70M - ESTRUTURA METÁLICA</t>
  </si>
  <si>
    <t>BALANÇO DE 3 LUGARES COM PNEUS COMPR=4,50M H=2,50M - ESTRUTURA METÁLICA</t>
  </si>
  <si>
    <t>BRINQUEDO TIPO BALANÇO FRONTAL DUPLO PARA CADEIRANTE COM ESTRUTURA EM TUBOS DE AÇO CARBONO - INSTALADO</t>
  </si>
  <si>
    <t>ESCADA HORIZONTAL COMPR=1,80M H=1,80M - ESTRUTURA METÁLICA</t>
  </si>
  <si>
    <t>GAIOLA LABIRINTO (1,5X1,5X2,0)M - ESTRUTURA METÁLICA</t>
  </si>
  <si>
    <t>PLACAS DE E.V.A. ESP.30MM PARA USO INTERNO, TIPO TATAMI, COLOCADAS</t>
  </si>
  <si>
    <t>PLAYGROUND BRINQUEDOS DE MADEIRA - CASA TARZAN COM RAMPA ESCALADA, ESCORREGADOR, PONTE E ESCADA MARINHEIRO</t>
  </si>
  <si>
    <t>PLAYGROUND BRINQUEDOS DE MADEIRA - CASA TARZAN COM RAMPA ESCALADA, ESCORREGADOR E ESCADA MARINHEIRO</t>
  </si>
  <si>
    <t>PLAYGROUND BRINQUEDOS DE MADEIRA - CASA TARZAN COM ESCORREGADOR E ESCADA MARINHEIRO</t>
  </si>
  <si>
    <t>PLAYGROUND BRINQUEDOS DE MADEIRA - DOIS CAVALINHOS E DUAS GANGORRAS</t>
  </si>
  <si>
    <t>PLAYGROUND BRINQUEDOS DE MADEIRA - ESCORREGADOR ( ALT.=1,80M COMP.=3,00M)</t>
  </si>
  <si>
    <t>PLAYGROUND BRINQUEDOS DE MADEIRA - GANGORRA DUPLA</t>
  </si>
  <si>
    <t>PLAYGROUND BRINQUEDOS DE MADEIRA - ARGOLA E TRAPÉZIO</t>
  </si>
  <si>
    <t>PLAYGROUND BRINQUEDOS DE MADEIRA - BALANÇA DUPLA</t>
  </si>
  <si>
    <t>PLAYGROUND BRINQUEDOS DE MADEIRA - ESCADA HORIZONTAL</t>
  </si>
  <si>
    <t>BRINQUEDOS - SERVIÇOS</t>
  </si>
  <si>
    <t>APARELHOS DE GINÁTICA EM MADEIRA - BARRA DUPLA EM DOIS NIVEIS</t>
  </si>
  <si>
    <t>APARELHOS DE GINÁTICA EM MADEIRA - BARREIRA SIMPLES</t>
  </si>
  <si>
    <t>APARELHOS DE GINÁTICA EM MADEIRA - BARRAS PARALELAS</t>
  </si>
  <si>
    <t>CARACOL - DEMARCAÇÃO DE PISO (RD-06)</t>
  </si>
  <si>
    <t>AMARELINHA DEMARCAÇÃO DE PISO (RD-05)</t>
  </si>
  <si>
    <t>XADREZ - DEMARCAÇÃO DE PISO (RD-04)</t>
  </si>
  <si>
    <t>FORNECIMENTO E APLICAÇÃO DE AREIA FINA</t>
  </si>
  <si>
    <t>FORNECIMENTO E APLICAÇÃO  DE PEDRA N.2</t>
  </si>
  <si>
    <t>SURF DUPLO CONJUGADO (EXERCITADOR PARA IDOSOS)</t>
  </si>
  <si>
    <t>ROTAÇÃO DIAGONAL DUPLA - APARELHO DUPLO CONJUGADO</t>
  </si>
  <si>
    <t>SIMULADOR DE CAVALGADA</t>
  </si>
  <si>
    <t>SIMULADOR DE CAVALGADA TRIPLO</t>
  </si>
  <si>
    <t>ALONGADOR COM 3 ALTURAS CONJUGADO</t>
  </si>
  <si>
    <t>PRESSÃO DE PERNAS TRIPLO CONJUGADO</t>
  </si>
  <si>
    <t>REMADA SENTADA</t>
  </si>
  <si>
    <t>SIMULADOR DE CAMINHADA DUPLO CONJUGADO</t>
  </si>
  <si>
    <t>SIMULADOR DE CAMINHADA TRIPLO CONJUGADO</t>
  </si>
  <si>
    <t>ROTAÇÃO VERTICAL DUPLO</t>
  </si>
  <si>
    <t>ROTAÇÃO VERTICAL TRIPLO CONJUGADO</t>
  </si>
  <si>
    <t>ESQUI DUPLO CONJUGADO</t>
  </si>
  <si>
    <t>ESQUI TRIPLO CONJUGADO</t>
  </si>
  <si>
    <t>BICICLETA DE CADEIRA INDIVIDUAL</t>
  </si>
  <si>
    <t>BICICLETA DE CADEIRA TRIPLA</t>
  </si>
  <si>
    <t>PUXADOR PEITORAL DUPLO STAR</t>
  </si>
  <si>
    <t>TWIST TRIPLO</t>
  </si>
  <si>
    <t>PLACA ORIENTADORA VERTICAL</t>
  </si>
  <si>
    <t>LIXEIRA DUPLA</t>
  </si>
  <si>
    <t>RETIRADA DE GRAMA</t>
  </si>
  <si>
    <t>RECOLOCAÇÃO DE GRAMA</t>
  </si>
  <si>
    <t>TRANSPLANTE DE ÁRVORES COM DIÂMETRO ATÉ 30CM</t>
  </si>
  <si>
    <t>TRANSPLANTE DE ÁRVORES COM DAP MAIOR OU IGUAL A 30CM</t>
  </si>
  <si>
    <t>REVOLVIMENTO E AJUSTE DO SOLO</t>
  </si>
  <si>
    <t>TERRA PREPARADA PARA PLANTIO</t>
  </si>
  <si>
    <t>CALCAREO DOLOMITICO</t>
  </si>
  <si>
    <t>ADUBO QUÍMICO NPK, 10:10:10</t>
  </si>
  <si>
    <t>PREPARO DO SOLO PARA PLANTIO DE GRAMA BATATAES</t>
  </si>
  <si>
    <t>RECOLOCAÇÃO DE TERRA DE JARDIM</t>
  </si>
  <si>
    <t>SERVICOS TECNICOS</t>
  </si>
  <si>
    <t>TOPOGRAFIA</t>
  </si>
  <si>
    <t>LEVANTAMENTO PLANIMÉTRICO DE PERÍMETRO - ATÉ 1.000M</t>
  </si>
  <si>
    <t>LEVANTAMENTO PLANIMÉTRICO DE PERÍMETRO - EXCEDENTE 1.000M</t>
  </si>
  <si>
    <t>LEVANTAMENTO PLANIALTIMÉTRICO DE ÁREAS - ATÉ 10.000M2</t>
  </si>
  <si>
    <t>LEVANTAMENTO PLANIALTIMÉTRICO DE ÁREAS - EXCEDENTE A 10.000M2</t>
  </si>
  <si>
    <t>ACRÉSCIMO FACE AO GRAU DE DIFICULDADE - TERRENO ACIDENTADO</t>
  </si>
  <si>
    <t>ACRÉSCIMO FACE AO GRAU DE DIFICULDADE - TERRENO COBERTO PARA VEGETAÇÃO</t>
  </si>
  <si>
    <t>ACRÉSCIMO FACE AO GRAU DE DIFICULDADE - TERRENO PANTANOSO</t>
  </si>
  <si>
    <t>ACRÉSCIMO FACE AO GRAU DE DIFICULDADE - TERRENO COM CADASTRO</t>
  </si>
  <si>
    <t>ACRÉSCIMO PARA ELABORAÇÃO DE CÁLCULOS - ÁREAS, DISTÂNCIAS E AZIMUTES</t>
  </si>
  <si>
    <t>ACRÉSCIMO PARA ELABORAÇÃO DE CÁLCULOS - NIVELAMENTO DE SECÇÕES TRANSVERSAIS</t>
  </si>
  <si>
    <t>ACRÉSCIMO PARA ELABORAÇÃO DE CÁLCULOS - MOVIMENTO DE TERRA</t>
  </si>
  <si>
    <t>SONDAGEM</t>
  </si>
  <si>
    <t>TRADO MANUAL</t>
  </si>
  <si>
    <t>MOBILIZAÇÃO E INSTALAÇÃO DE 1  EQUIPAMENTO PARA EXECUÇÃO DE SONDAGEM A PERCUSSÃO</t>
  </si>
  <si>
    <t>DESLOCAMENTO DE EQUIPAMENTO ENTRE FUROS EM TERRENO PLANO, CONSIDERANDO A DISTÂNCIA ATÉ 100M, PARA SONDAGEM A PERCUSSÃO</t>
  </si>
  <si>
    <t>DESLOCAMENTO DE EQUIPAMENTO ENTRE FUROS EM TERRENO PLANO, CONSIDERANDO A DISTÂNCIA DE 100 À 200M, PARA FUNDAÇÃO A PERCUSSÃO</t>
  </si>
  <si>
    <t>DESLOCAMENTO DE EQUIPAMENTO ENTRE FUROS EM TERRENO PLANO, CONSIDERANDO A DISTÂNCIA ACIMA DE 200M, PARA SONDAGEM A PERCUSSÃO</t>
  </si>
  <si>
    <t>DESLOCAMENTO DE EQUIPAMENTO ENTRE FUROS EM TERRENO ACIDENTADO, CONSIDERANDO A DISTÂNCIA ATÉ 50M, PARA SONDAGEM A PERCUSSÃO</t>
  </si>
  <si>
    <t>DESLOCAMENTO DE EQUIPAMENTO ENTRE FUROS EM TERRENO ACIDENTADO, CONSIDERANDO A DISTÂNCIA ACIMA DE 50M, PARA SONDAGEM A PERCUSSÃO</t>
  </si>
  <si>
    <t>EXECUÇÃO DE PLATAFORMA EM TERRENO ALAGADIÇO OU ACIDENTADO, PARA SONDAGEM A PERCUSSÃO</t>
  </si>
  <si>
    <t>PERFURAÇÃO E EXECUÇÃO DE ENSAIO PENETROMÉTRICO OU DE LAVAGEM POR TEMPO</t>
  </si>
  <si>
    <t>SERVIÇOS TÉCNICOS</t>
  </si>
  <si>
    <t>ENGENHEIRO/ ARQUITETO PLENO</t>
  </si>
  <si>
    <t>PROJETISTA CADISTA</t>
  </si>
  <si>
    <t>DESENVOLVIMENTO DE PRANCHA DE DESENHO TÉCNICO/ DETALHAMENTO FORMATO A1</t>
  </si>
  <si>
    <t>DESENHISTA CADISTA</t>
  </si>
  <si>
    <t>SERVIÇO DE PLOTAGEM EM PAPEL SULFITE, TAMANHO A0, PRETO E BRANCO</t>
  </si>
  <si>
    <t>SERVIÇO DE PLOTAGEM EM PAPEL SULFITE, TAMANHO A1, COLORIDA</t>
  </si>
  <si>
    <t>SERVIÇO DE PLOTAGEM EM PAPEL SULFITE, TAMANHO A0, COLORIDA</t>
  </si>
  <si>
    <t>CÓPIA XEROX EM TAMANHO OFÍCIO, UMA FACE, COLORIDA</t>
  </si>
  <si>
    <t>CÓPIA XEROX EM TAMANHO A3, UMA FACE, PRETO E BRANCO</t>
  </si>
  <si>
    <t>CÓPIA XEROX EM TAMANHO A3, UMA FACE, COLORIDA</t>
  </si>
  <si>
    <t>CÓPIA XEROX - PRETO E BRANCO</t>
  </si>
  <si>
    <t>LEVANTAMENTO CADASTRAL DE EDIFICAÇÃO ATÉ 500M2</t>
  </si>
  <si>
    <t>LEVANTAMENTO CADASTRAL DE EDIFICAÇÃO EXCEDENTE ENTRE 501M2 À 2000M2</t>
  </si>
  <si>
    <t>LEVANTAMENTO CADASTRAL DE EDIFICAÇÃO EXCEDENTE ENTRE 2001M2 À 5000M2</t>
  </si>
  <si>
    <t>LEVANTAMENTO CADASTRAL DE EDIFICAÇÃO EXCEDENTE ACIMA DE 5001M2</t>
  </si>
  <si>
    <t>LEVANTAMENTO CADASTRAL INSTALAÇÕES ELÉTRICAS ATÉ 500M2</t>
  </si>
  <si>
    <t>LEVANT. CADASTRAL INSTALAÇÕES ELÉTRICAS EXCEDENTE ENTRE 501M2 À 2000M2</t>
  </si>
  <si>
    <t>LEVANTAMENTO CADASTRAL INSTALAÇÕES ELÉTRICAS EXCEDENTE ENTRE 2001M2 À 5000M2</t>
  </si>
  <si>
    <t>LEVANTAMENTO CADASTRAL INSTALAÇÕES ELÉTRICAS EXCEDENTE ACIMA DE  5000M2</t>
  </si>
  <si>
    <t>LEVANTAMENTO CADASTRAL INSTALAÇÕES HIDRO-SANITÁRIAS ATÉ 500M2</t>
  </si>
  <si>
    <t>LEVANTAMENTO CADASTRAL INSTALAÇÕES HIDRO-SANITÁRIAS EXCEDENTE ENTRE 501M2 À 2000M2</t>
  </si>
  <si>
    <t>LEVANTAMENTO CADASTRAL INSTALAÇÕES HIDRO-SANITÁRIAS EXCEDENTE ENTRE 2001 M2 À 5000M2</t>
  </si>
  <si>
    <t>LEVANTAMENTO CADASTRAL INSTALAÇÕES HIDRO-SANITÁRIAS EXCEDENTE ACIMA DE 5000M2</t>
  </si>
  <si>
    <t>CADASTRAMENTO DE VEGETAÇÃO ARBOREA ATÉ 30 EXEMPLARES</t>
  </si>
  <si>
    <t>CADASTRAMENTO/ INVENTÁRIO DE VEGETAÇÃO ARBOREA ACIMA DE 30 EXEMPLARES</t>
  </si>
  <si>
    <t>PARECER TÉCNICO DE FUNDAÇÃO PARA ÁREA CONSTRUÍDA ATÉ 2000M2</t>
  </si>
  <si>
    <t>PARECER TÉCNICO DE FUNDAÇÃO PARA ÁREA CONSTRUÍDA DE 2001 À 5000M2</t>
  </si>
  <si>
    <t>PARECER TÉCNICO DE FUNDAÇÃO PARA ÁREA CONSTRUÍDA DE 5001 À 10000M2</t>
  </si>
  <si>
    <t>DESENVOLVIMENTO DE PROJETO TÉCNICO DE PREVENÇÃO E COMBATE A INCÊNDIO E APROVAÇÃO JUNTO AO CORPO DE BOMBEIROS PARA EDIFICAÇÕES ATÉ 2000 M2</t>
  </si>
  <si>
    <t>DESENVOLVIMENTO DE PROJETO TÉCNICO DE PREVENÇÃO E COMBATE A INCÊNDIO E APROVAÇÃO JUNTO AO CORPO DE BOMBEIROS PARA EDIFICAÇÕES DE 2001 M2 À 5000 M2</t>
  </si>
  <si>
    <t>DESENVOLVIMENTO DE PROJETO TÉCNICO DE PREVENÇÃO E COMBATE A INCÊNDIO E APROVAÇÃO JUNTO AO CORPO DE BOMBEIROS PARA EDIFICAÇÕES DE  5001 M2 À 10000 M2</t>
  </si>
  <si>
    <t>SERVIÇOS TÉCNICOS PROFISSIONAIS PARA OBTENÇÃO DO AVCB JUNTO AO CORPO DE BOMBEIROS PARA EDIFICAÇÕES ATÉ 2000 M2</t>
  </si>
  <si>
    <t>SERVIÇOS TÉCNICOS PROFISSIONAIS PARA OBTENÇÃO DO AVCB JUNTO AO CORPO DE BOMBEIROS PARA EDIFICAÇÕES DE 2001 À 5000 M2</t>
  </si>
  <si>
    <t>SERVIÇOS TÉCNICOS PROFISSIONAIS PARA OBTENÇÃO DO AVCB JUNTO AO CORPO DE BOMBEIROS PARA EDIFICAÇÕES DE 5001 À 10000 M2</t>
  </si>
  <si>
    <t>CONTROLE TECNOLÓGICO</t>
  </si>
  <si>
    <t>CONCRETO - ESTUDOS E ENSAIOS</t>
  </si>
  <si>
    <t>CONCRETO - ENSAIOS DE RUPTURA A COMPRESSÃO (CORPOS DE PROVA)</t>
  </si>
  <si>
    <t>CONTROLE TECNOLÓGICO DE CONCRETO - MOBILIZAÇÃO PARA MOLDAGEM E/OU COLETA DOS CORPOS DE PROVA DE CONCRETO</t>
  </si>
  <si>
    <t>VIAGEM</t>
  </si>
  <si>
    <t>CONTROLE TECNOLÓGICO DE CONCRETO MOLDAGEM DE CORPO DE PROVA</t>
  </si>
  <si>
    <t>PERÍODO</t>
  </si>
  <si>
    <t>AÇO - ENSAIOS DE TRAÇÃO EM BARRAS</t>
  </si>
  <si>
    <t>AÇO - ENSAIOS DE DOBRAMENTO EM BARRAS</t>
  </si>
  <si>
    <t>AÇO - ENSAIOS DE VERIFICAÇÃO DE BITOLA</t>
  </si>
  <si>
    <t>ENSAIO DE ISOLAÇÃO DE CABO DE MÉDIA TENSÃO</t>
  </si>
  <si>
    <t>Un</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</si>
  <si>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</si>
  <si>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</si>
  <si>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</si>
  <si>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</si>
  <si>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ENTRADA DE ENERGIA ELÉTRICA</t>
  </si>
  <si>
    <t>POSTE E FERRAGENS</t>
  </si>
  <si>
    <t>TRINCHEIRA</t>
  </si>
  <si>
    <t>CAIXA DE LIGAÇÃO</t>
  </si>
  <si>
    <t>ILUMINAÇÃO</t>
  </si>
  <si>
    <t>FABRICAÇÃO DE PLACA / TIRANTE / SLUMP / SOLEIRA</t>
  </si>
  <si>
    <t>Aço Ca - 50</t>
  </si>
  <si>
    <t>10 mm</t>
  </si>
  <si>
    <t>12,5 mm</t>
  </si>
  <si>
    <t>Concreto</t>
  </si>
  <si>
    <t>fck 20 Mpa - soleira e arremates</t>
  </si>
  <si>
    <t>fck 30 Mpa - placa / slump</t>
  </si>
  <si>
    <t>Proteção contra corrosão</t>
  </si>
  <si>
    <t>Manta geotextil para face do muro</t>
  </si>
  <si>
    <t>ARRUELA / ESPUMA / EVA</t>
  </si>
  <si>
    <t>Arruela 1 1/2"</t>
  </si>
  <si>
    <t>Espuma</t>
  </si>
  <si>
    <t>Aparelho de apoio EVA</t>
  </si>
  <si>
    <t>quant.</t>
  </si>
  <si>
    <t>E.03.000.090617</t>
  </si>
  <si>
    <t xml:space="preserve">RESUMO QUANTITATIVO DA CONTENÇÃO </t>
  </si>
  <si>
    <t>08.05.180</t>
  </si>
  <si>
    <t>CONTENÇÃO</t>
  </si>
  <si>
    <t>Arruela lisa em aço inoxidável de 1/4"; ref. 39136202 da Ciser, Inox 1/4" da Aciole, AL3/16A4 da Veppel ou equivalente</t>
  </si>
  <si>
    <t>Dispositivos de Segurança</t>
  </si>
  <si>
    <t>CATADIÓPTRICOS P/ DEFENSA</t>
  </si>
  <si>
    <t>Carga de Material de Limpeza</t>
  </si>
  <si>
    <t>Transporte Mat de Limpeza até 10k</t>
  </si>
  <si>
    <t>Transporte com caminhão basculante de 14 m³ - rodovia pavimentada</t>
  </si>
  <si>
    <t>tkm</t>
  </si>
  <si>
    <t>Escavação e carga de material de jazida com escavadeira hidráulica de 1,56 m³</t>
  </si>
  <si>
    <t>Transporte de Jazida à Obra</t>
  </si>
  <si>
    <t>RESUMO DE QUANTIDADES DE ILUMINAÇÃO</t>
  </si>
  <si>
    <r>
      <t>DMT - BotaFora Prefeitura = 7,5km</t>
    </r>
    <r>
      <rPr>
        <sz val="11"/>
        <color rgb="FFFF0000"/>
        <rFont val="Arial"/>
        <family val="2"/>
      </rPr>
      <t>*</t>
    </r>
    <r>
      <rPr>
        <sz val="11"/>
        <rFont val="Arial"/>
        <family val="2"/>
      </rPr>
      <t xml:space="preserve"> (Aterro municipal) </t>
    </r>
    <r>
      <rPr>
        <sz val="11"/>
        <color rgb="FFFF0000"/>
        <rFont val="Arial"/>
        <family val="2"/>
      </rPr>
      <t>*aproximado</t>
    </r>
  </si>
  <si>
    <t>TRATAMENTO DO ATERRO</t>
  </si>
  <si>
    <t>REFORÇO P/ FUNDAÇÃO DO ATERRO</t>
  </si>
  <si>
    <t>Larg x Ext. =</t>
  </si>
  <si>
    <t>60,00 x 51,00</t>
  </si>
  <si>
    <t>Largura =</t>
  </si>
  <si>
    <t xml:space="preserve">Extensão = </t>
  </si>
  <si>
    <t xml:space="preserve">Área = </t>
  </si>
  <si>
    <t>Geomanta</t>
  </si>
  <si>
    <t>Esp.: 20cm</t>
  </si>
  <si>
    <t>Esp.: 40cm</t>
  </si>
  <si>
    <t>Geogrelha</t>
  </si>
  <si>
    <t>Galeria de concreto Dupla - 2,50 x 2,50 - Com aterro de 5m até 10m - Escav. Triang.</t>
  </si>
  <si>
    <t>Sobrelarg.=</t>
  </si>
  <si>
    <t>Base =</t>
  </si>
  <si>
    <t>Moldada no Local</t>
  </si>
  <si>
    <t>Areia média</t>
  </si>
  <si>
    <t>Reforço da Fundação C/ Solo selecionado</t>
  </si>
  <si>
    <t>Compactação do Aterro</t>
  </si>
  <si>
    <t>Obtenção de Solo de Jazida/Emprestimo</t>
  </si>
  <si>
    <t>Transporte de Solo de Jazida</t>
  </si>
  <si>
    <t>Forma Comum</t>
  </si>
  <si>
    <t>Utilização 3x</t>
  </si>
  <si>
    <t>Galeria 2,50 x 2,50</t>
  </si>
  <si>
    <r>
      <t xml:space="preserve">RESUMO DE QUANTIDADE DE DRENAGEM SUPERFICIAL E PROFUNDA </t>
    </r>
    <r>
      <rPr>
        <b/>
        <sz val="9"/>
        <color rgb="FFFF0000"/>
        <rFont val="Arial"/>
        <family val="2"/>
      </rPr>
      <t>(EXCETO GALERIA)</t>
    </r>
  </si>
  <si>
    <t>CGCIT</t>
  </si>
  <si>
    <t>SISTEMA DE CUSTOS REFERENCIAIS DE OBRAS - SICRO</t>
  </si>
  <si>
    <t>DNIT</t>
  </si>
  <si>
    <t>São Paulo - Outubro/2022</t>
  </si>
  <si>
    <t>Descrição do Serviço</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</si>
  <si>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</si>
  <si>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</si>
  <si>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</si>
  <si>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</si>
  <si>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</si>
  <si>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</si>
  <si>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</si>
  <si>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</si>
  <si>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</si>
  <si>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</si>
  <si>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</si>
  <si>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</si>
  <si>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</si>
  <si>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</si>
  <si>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</si>
  <si>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</si>
  <si>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</si>
  <si>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</si>
  <si>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</si>
  <si>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</si>
  <si>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</si>
  <si>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</si>
  <si>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</si>
  <si>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</si>
  <si>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</si>
  <si>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</si>
  <si>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</si>
  <si>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</si>
  <si>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</si>
  <si>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</si>
  <si>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</si>
  <si>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</si>
  <si>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</si>
  <si>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</si>
  <si>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</si>
  <si>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</si>
  <si>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</si>
  <si>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</si>
  <si>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</si>
  <si>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</si>
  <si>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</si>
  <si>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</si>
  <si>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</si>
  <si>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</si>
  <si>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</si>
  <si>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</si>
  <si>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</si>
  <si>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</si>
  <si>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</si>
  <si>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</si>
  <si>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</si>
  <si>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</si>
  <si>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</si>
  <si>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</si>
  <si>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</si>
  <si>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</si>
  <si>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</si>
  <si>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</si>
  <si>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</si>
  <si>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</si>
  <si>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</si>
  <si>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</si>
  <si>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</si>
  <si>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</si>
  <si>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</si>
  <si>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</si>
  <si>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</si>
  <si>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</si>
  <si>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</si>
  <si>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</si>
  <si>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</si>
  <si>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</si>
  <si>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</si>
  <si>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</si>
  <si>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</si>
  <si>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</si>
  <si>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</si>
  <si>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</si>
  <si>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</si>
  <si>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</si>
  <si>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</si>
  <si>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</si>
  <si>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</si>
  <si>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</si>
  <si>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</si>
  <si>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</si>
  <si>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</si>
  <si>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</si>
  <si>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</si>
  <si>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</si>
  <si>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</si>
  <si>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</si>
  <si>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</si>
  <si>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</si>
  <si>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</si>
  <si>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</si>
  <si>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</si>
  <si>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</si>
  <si>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</si>
  <si>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</si>
  <si>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</si>
  <si>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</si>
  <si>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</si>
  <si>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</si>
  <si>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</si>
  <si>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</si>
  <si>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</si>
  <si>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</si>
  <si>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</si>
  <si>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</si>
  <si>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</si>
  <si>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</si>
  <si>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</si>
  <si>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</si>
  <si>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</si>
  <si>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</si>
  <si>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</si>
  <si>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</si>
  <si>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</si>
  <si>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</si>
  <si>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</si>
  <si>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</si>
  <si>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</si>
  <si>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</si>
  <si>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</si>
  <si>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</si>
  <si>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</si>
  <si>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</si>
  <si>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</si>
  <si>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</si>
  <si>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</si>
  <si>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</si>
  <si>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</si>
  <si>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</si>
  <si>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</si>
  <si>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</si>
  <si>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</si>
  <si>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</si>
  <si>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</si>
  <si>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</si>
  <si>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</si>
  <si>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</si>
  <si>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</si>
  <si>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</si>
  <si>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</si>
  <si>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</si>
  <si>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</si>
  <si>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</si>
  <si>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</si>
  <si>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</si>
  <si>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</si>
  <si>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</si>
  <si>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</si>
  <si>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</si>
  <si>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</si>
  <si>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</si>
  <si>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</si>
  <si>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</si>
  <si>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</si>
  <si>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</si>
  <si>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</si>
  <si>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</si>
  <si>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</si>
  <si>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</si>
  <si>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</si>
  <si>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</si>
  <si>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</si>
  <si>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</si>
  <si>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</si>
  <si>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</si>
  <si>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</si>
  <si>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</si>
  <si>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</si>
  <si>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</si>
  <si>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</si>
  <si>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</si>
  <si>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</si>
  <si>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</si>
  <si>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</si>
  <si>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</si>
  <si>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</si>
  <si>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</si>
  <si>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</si>
  <si>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</si>
  <si>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</si>
  <si>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</si>
  <si>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</si>
  <si>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</si>
  <si>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</si>
  <si>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</si>
  <si>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</si>
  <si>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</si>
  <si>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</si>
  <si>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</si>
  <si>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</si>
  <si>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</si>
  <si>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</si>
  <si>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</si>
  <si>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</si>
  <si>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</si>
  <si>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</si>
  <si>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</si>
  <si>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</si>
  <si>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</si>
  <si>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</si>
  <si>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</si>
  <si>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</si>
  <si>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</si>
  <si>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</si>
  <si>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</si>
  <si>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</si>
  <si>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</si>
  <si>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</si>
  <si>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</si>
  <si>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</si>
  <si>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</si>
  <si>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</si>
  <si>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</si>
  <si>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</si>
  <si>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</si>
  <si>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</si>
  <si>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</si>
  <si>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</si>
  <si>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</si>
  <si>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</si>
  <si>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</si>
  <si>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</si>
  <si>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</si>
  <si>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</si>
  <si>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</si>
  <si>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</si>
  <si>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</si>
  <si>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</si>
  <si>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</si>
  <si>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</si>
  <si>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</si>
  <si>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</si>
  <si>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</si>
  <si>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</si>
  <si>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</si>
  <si>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</si>
  <si>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</si>
  <si>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</si>
  <si>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</si>
  <si>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</si>
  <si>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</si>
  <si>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</si>
  <si>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</si>
  <si>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</si>
  <si>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</si>
  <si>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</si>
  <si>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</si>
  <si>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</si>
  <si>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</si>
  <si>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</si>
  <si>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</si>
  <si>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</si>
  <si>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</si>
  <si>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</si>
  <si>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</si>
  <si>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</si>
  <si>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</si>
  <si>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</si>
  <si>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</si>
  <si>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</si>
  <si>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</si>
  <si>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</si>
  <si>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</si>
  <si>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</si>
  <si>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</si>
  <si>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</si>
  <si>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</si>
  <si>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</si>
  <si>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</si>
  <si>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</si>
  <si>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</si>
  <si>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</si>
  <si>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</si>
  <si>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</si>
  <si>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</si>
  <si>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</si>
  <si>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</si>
  <si>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</si>
  <si>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</si>
  <si>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</si>
  <si>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</si>
  <si>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</si>
  <si>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</si>
  <si>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</si>
  <si>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</si>
  <si>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</si>
  <si>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</si>
  <si>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</si>
  <si>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</si>
  <si>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</si>
  <si>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</si>
  <si>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</si>
  <si>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</si>
  <si>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</si>
  <si>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</si>
  <si>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</si>
  <si>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</si>
  <si>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</si>
  <si>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</si>
  <si>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</si>
  <si>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</si>
  <si>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</si>
  <si>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</si>
  <si>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</si>
  <si>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</si>
  <si>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</si>
  <si>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</si>
  <si>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</si>
  <si>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</si>
  <si>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</si>
  <si>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</si>
  <si>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</si>
  <si>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</si>
  <si>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</si>
  <si>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</si>
  <si>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</si>
  <si>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</si>
  <si>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</si>
  <si>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</si>
  <si>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</si>
  <si>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</si>
  <si>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</si>
  <si>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</si>
  <si>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</si>
  <si>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</si>
  <si>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</si>
  <si>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</si>
  <si>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</si>
  <si>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</si>
  <si>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</si>
  <si>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</si>
  <si>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</si>
  <si>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</si>
  <si>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</si>
  <si>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</si>
  <si>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</si>
  <si>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</si>
  <si>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</si>
  <si>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</si>
  <si>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</si>
  <si>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</si>
  <si>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</si>
  <si>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</si>
  <si>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</si>
  <si>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</si>
  <si>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</si>
  <si>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</si>
  <si>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</si>
  <si>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</si>
  <si>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</si>
  <si>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</si>
  <si>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</si>
  <si>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</si>
  <si>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</si>
  <si>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</si>
  <si>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</si>
  <si>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</si>
  <si>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</si>
  <si>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</si>
  <si>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</si>
  <si>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</si>
  <si>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</si>
  <si>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</si>
  <si>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</si>
  <si>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</si>
  <si>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</si>
  <si>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</si>
  <si>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</si>
  <si>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</si>
  <si>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</si>
  <si>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</si>
  <si>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</si>
  <si>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</si>
  <si>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</si>
  <si>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</si>
  <si>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</si>
  <si>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</si>
  <si>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</si>
  <si>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</si>
  <si>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</si>
  <si>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</si>
  <si>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</si>
  <si>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</si>
  <si>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</si>
  <si>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</si>
  <si>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</si>
  <si>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</si>
  <si>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</si>
  <si>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</si>
  <si>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</si>
  <si>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</si>
  <si>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</si>
  <si>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</si>
  <si>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</si>
  <si>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</si>
  <si>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</si>
  <si>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</si>
  <si>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</si>
  <si>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</si>
  <si>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</si>
  <si>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</si>
  <si>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</si>
  <si>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</si>
  <si>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</si>
  <si>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</si>
  <si>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</si>
  <si>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</si>
  <si>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</si>
  <si>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</si>
  <si>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</si>
  <si>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</si>
  <si>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</si>
  <si>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</si>
  <si>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</si>
  <si>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</si>
  <si>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</si>
  <si>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</si>
  <si>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</si>
  <si>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</si>
  <si>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</si>
  <si>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</si>
  <si>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</si>
  <si>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</si>
  <si>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</si>
  <si>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</si>
  <si>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</si>
  <si>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</si>
  <si>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</si>
  <si>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</si>
  <si>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</si>
  <si>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</si>
  <si>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</si>
  <si>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</si>
  <si>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</si>
  <si>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</si>
  <si>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</si>
  <si>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</si>
  <si>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</si>
  <si>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</si>
  <si>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</si>
  <si>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</si>
  <si>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</si>
  <si>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</si>
  <si>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</si>
  <si>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</si>
  <si>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</si>
  <si>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</si>
  <si>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</si>
  <si>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</si>
  <si>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</si>
  <si>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</si>
  <si>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</si>
  <si>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</si>
  <si>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</si>
  <si>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</si>
  <si>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</si>
  <si>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</si>
  <si>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</si>
  <si>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</si>
  <si>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</si>
  <si>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</si>
  <si>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</si>
  <si>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</si>
  <si>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</si>
  <si>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</si>
  <si>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</si>
  <si>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</si>
  <si>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</si>
  <si>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</si>
  <si>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</si>
  <si>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</si>
  <si>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</si>
  <si>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</si>
  <si>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</si>
  <si>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</si>
  <si>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</si>
  <si>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</si>
  <si>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</si>
  <si>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</si>
  <si>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</si>
  <si>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</si>
  <si>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</si>
  <si>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</si>
  <si>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</si>
  <si>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</si>
  <si>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</si>
  <si>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</si>
  <si>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</si>
  <si>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</si>
  <si>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</si>
  <si>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</si>
  <si>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</si>
  <si>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</si>
  <si>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</si>
  <si>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</si>
  <si>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</si>
  <si>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</si>
  <si>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</si>
  <si>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</si>
  <si>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</si>
  <si>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</si>
  <si>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</si>
  <si>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</si>
  <si>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</si>
  <si>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</si>
  <si>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</si>
  <si>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</si>
  <si>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</si>
  <si>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</si>
  <si>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</si>
  <si>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</si>
  <si>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</si>
  <si>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</si>
  <si>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</si>
  <si>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</si>
  <si>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</si>
  <si>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</si>
  <si>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</si>
  <si>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</si>
  <si>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</si>
  <si>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</si>
  <si>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</si>
  <si>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</si>
  <si>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</si>
  <si>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</si>
  <si>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</si>
  <si>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</si>
  <si>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</si>
  <si>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</si>
  <si>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</si>
  <si>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</si>
  <si>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</si>
  <si>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</si>
  <si>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</si>
  <si>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</si>
  <si>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</si>
  <si>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</si>
  <si>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</si>
  <si>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</si>
  <si>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</si>
  <si>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</si>
  <si>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</si>
  <si>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</si>
  <si>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</si>
  <si>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</si>
  <si>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</si>
  <si>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</si>
  <si>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</si>
  <si>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</si>
  <si>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</si>
  <si>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</si>
  <si>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</si>
  <si>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</si>
  <si>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</si>
  <si>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</si>
  <si>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</si>
  <si>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</si>
  <si>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</si>
  <si>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</si>
  <si>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</si>
  <si>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</si>
  <si>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</si>
  <si>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</si>
  <si>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</si>
  <si>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</si>
  <si>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</si>
  <si>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</si>
  <si>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</si>
  <si>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</si>
  <si>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</si>
  <si>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</si>
  <si>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</si>
  <si>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</si>
  <si>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</si>
  <si>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</si>
  <si>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</si>
  <si>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</si>
  <si>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</si>
  <si>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</si>
  <si>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</si>
  <si>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</si>
  <si>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</si>
  <si>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</si>
  <si>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</si>
  <si>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</si>
  <si>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</si>
  <si>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</si>
  <si>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</si>
  <si>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</si>
  <si>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</si>
  <si>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</si>
  <si>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</si>
  <si>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</si>
  <si>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</si>
  <si>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</si>
  <si>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</si>
  <si>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</si>
  <si>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</si>
  <si>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</si>
  <si>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</si>
  <si>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</si>
  <si>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</si>
  <si>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</si>
  <si>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</si>
  <si>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</si>
  <si>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</si>
  <si>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</si>
  <si>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</si>
  <si>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</si>
  <si>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</si>
  <si>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</si>
  <si>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</si>
  <si>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</si>
  <si>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</si>
  <si>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</si>
  <si>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</si>
  <si>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</si>
  <si>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</si>
  <si>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</si>
  <si>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</si>
  <si>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</si>
  <si>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</si>
  <si>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</si>
  <si>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</si>
  <si>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</si>
  <si>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</si>
  <si>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</si>
  <si>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</si>
  <si>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</si>
  <si>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</si>
  <si>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</si>
  <si>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</si>
  <si>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</si>
  <si>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</si>
  <si>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</si>
  <si>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</si>
  <si>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</si>
  <si>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</si>
  <si>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</si>
  <si>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</si>
  <si>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</si>
  <si>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</si>
  <si>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</si>
  <si>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</si>
  <si>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</si>
  <si>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</si>
  <si>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</si>
  <si>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</si>
  <si>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</si>
  <si>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</si>
  <si>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</si>
  <si>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</si>
  <si>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</si>
  <si>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</si>
  <si>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</si>
  <si>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</si>
  <si>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</si>
  <si>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</si>
  <si>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</si>
  <si>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</si>
  <si>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</si>
  <si>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</si>
  <si>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</si>
  <si>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</si>
  <si>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</si>
  <si>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</si>
  <si>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</si>
  <si>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</si>
  <si>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</si>
  <si>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</si>
  <si>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</si>
  <si>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</si>
  <si>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</si>
  <si>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</si>
  <si>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</si>
  <si>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</si>
  <si>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</si>
  <si>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</si>
  <si>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</si>
  <si>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</si>
  <si>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</si>
  <si>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</si>
  <si>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</si>
  <si>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</si>
  <si>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</si>
  <si>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</si>
  <si>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</si>
  <si>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</si>
  <si>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</si>
  <si>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</si>
  <si>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</si>
  <si>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</si>
  <si>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</si>
  <si>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</si>
  <si>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</si>
  <si>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</si>
  <si>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</si>
  <si>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</si>
  <si>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</si>
  <si>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</si>
  <si>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</si>
  <si>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</si>
  <si>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</si>
  <si>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</si>
  <si>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</si>
  <si>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</si>
  <si>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</si>
  <si>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</si>
  <si>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</si>
  <si>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</si>
  <si>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</si>
  <si>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</si>
  <si>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</si>
  <si>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</si>
  <si>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</si>
  <si>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</si>
  <si>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</si>
  <si>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</si>
  <si>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</si>
  <si>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</si>
  <si>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</si>
  <si>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</si>
  <si>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</si>
  <si>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</si>
  <si>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</si>
  <si>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</si>
  <si>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</si>
  <si>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</si>
  <si>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</si>
  <si>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</si>
  <si>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</si>
  <si>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</si>
  <si>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</si>
  <si>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</si>
  <si>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</si>
  <si>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</si>
  <si>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</si>
  <si>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</si>
  <si>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</si>
  <si>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</si>
  <si>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</si>
  <si>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</si>
  <si>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</si>
  <si>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</si>
  <si>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</si>
  <si>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</si>
  <si>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</si>
  <si>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</si>
  <si>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</si>
  <si>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</si>
  <si>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</si>
  <si>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</si>
  <si>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</si>
  <si>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</si>
  <si>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</si>
  <si>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</si>
  <si>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</si>
  <si>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</si>
  <si>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</si>
  <si>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</si>
  <si>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</si>
  <si>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</si>
  <si>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</si>
  <si>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</si>
  <si>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</si>
  <si>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</si>
  <si>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</si>
  <si>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</si>
  <si>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</si>
  <si>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</si>
  <si>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</si>
  <si>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</si>
  <si>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</si>
  <si>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</si>
  <si>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</si>
  <si>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</si>
  <si>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</si>
  <si>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</si>
  <si>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</si>
  <si>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</si>
  <si>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</si>
  <si>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</si>
  <si>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</si>
  <si>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</si>
  <si>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</si>
  <si>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</si>
  <si>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</si>
  <si>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</si>
  <si>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</si>
  <si>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</si>
  <si>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</si>
  <si>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</si>
  <si>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</si>
  <si>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</si>
  <si>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</si>
  <si>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</si>
  <si>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</si>
  <si>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</si>
  <si>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</si>
  <si>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</si>
  <si>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</si>
  <si>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</si>
  <si>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</si>
  <si>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</si>
  <si>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</si>
  <si>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</si>
  <si>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</si>
  <si>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</si>
  <si>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</si>
  <si>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</si>
  <si>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</si>
  <si>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</si>
  <si>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</si>
  <si>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</si>
  <si>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</si>
  <si>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</si>
  <si>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</si>
  <si>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</si>
  <si>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</si>
  <si>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</si>
  <si>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</si>
  <si>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</si>
  <si>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</si>
  <si>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</si>
  <si>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</si>
  <si>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</si>
  <si>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</si>
  <si>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</si>
  <si>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</si>
  <si>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</si>
  <si>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</si>
  <si>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</si>
  <si>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</si>
  <si>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</si>
  <si>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</si>
  <si>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</si>
  <si>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</si>
  <si>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</si>
  <si>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</si>
  <si>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</si>
  <si>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</si>
  <si>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</si>
  <si>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</si>
  <si>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</si>
  <si>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</si>
  <si>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</si>
  <si>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</si>
  <si>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</si>
  <si>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</si>
  <si>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</si>
  <si>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</si>
  <si>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</si>
  <si>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</si>
  <si>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</si>
  <si>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</si>
  <si>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</si>
  <si>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</si>
  <si>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</si>
  <si>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</si>
  <si>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</si>
  <si>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</si>
  <si>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</si>
  <si>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</si>
  <si>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</si>
  <si>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</si>
  <si>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</si>
  <si>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</si>
  <si>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</si>
  <si>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</si>
  <si>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</si>
  <si>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</si>
  <si>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</si>
  <si>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</si>
  <si>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</si>
  <si>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</si>
  <si>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</si>
  <si>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</si>
  <si>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</si>
  <si>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</si>
  <si>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</si>
  <si>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</si>
  <si>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</si>
  <si>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</si>
  <si>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</si>
  <si>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</si>
  <si>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</si>
  <si>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</si>
  <si>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</si>
  <si>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</si>
  <si>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</si>
  <si>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</si>
  <si>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</si>
  <si>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</si>
  <si>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</si>
  <si>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</si>
  <si>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</si>
  <si>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</si>
  <si>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</si>
  <si>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</si>
  <si>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</si>
  <si>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</si>
  <si>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</si>
  <si>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</si>
  <si>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</si>
  <si>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</si>
  <si>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</si>
  <si>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</si>
  <si>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</si>
  <si>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</si>
  <si>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</si>
  <si>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</si>
  <si>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</si>
  <si>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</si>
  <si>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</si>
  <si>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</si>
  <si>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</si>
  <si>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</si>
  <si>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</si>
  <si>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</si>
  <si>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</si>
  <si>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</si>
  <si>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</si>
  <si>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</si>
  <si>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</si>
  <si>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</si>
  <si>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</si>
  <si>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</si>
  <si>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</si>
  <si>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</si>
  <si>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</si>
  <si>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</si>
  <si>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</si>
  <si>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</si>
  <si>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</si>
  <si>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</si>
  <si>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</si>
  <si>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</si>
  <si>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</si>
  <si>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</si>
  <si>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</si>
  <si>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</si>
  <si>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</si>
  <si>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</si>
  <si>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</si>
  <si>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</si>
  <si>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</si>
  <si>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</si>
  <si>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</si>
  <si>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</si>
  <si>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</si>
  <si>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</si>
  <si>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</si>
  <si>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</si>
  <si>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</si>
  <si>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</si>
  <si>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</si>
  <si>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</si>
  <si>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</si>
  <si>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</si>
  <si>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</si>
  <si>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</si>
  <si>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</si>
  <si>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</si>
  <si>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</si>
  <si>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</si>
  <si>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</si>
  <si>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</si>
  <si>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</si>
  <si>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</si>
  <si>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</si>
  <si>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</si>
  <si>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</si>
  <si>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</si>
  <si>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</si>
  <si>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</si>
  <si>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</si>
  <si>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</si>
  <si>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</si>
  <si>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</si>
  <si>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</si>
  <si>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</si>
  <si>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</si>
  <si>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</si>
  <si>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</si>
  <si>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</si>
  <si>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</si>
  <si>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</si>
  <si>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</si>
  <si>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</si>
  <si>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</si>
  <si>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</si>
  <si>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</si>
  <si>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</si>
  <si>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</si>
  <si>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</si>
  <si>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</si>
  <si>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</si>
  <si>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</si>
  <si>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</si>
  <si>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</si>
  <si>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</si>
  <si>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</si>
  <si>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</si>
  <si>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</si>
  <si>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</si>
  <si>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</si>
  <si>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</si>
  <si>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</si>
  <si>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</si>
  <si>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</si>
  <si>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</si>
  <si>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</si>
  <si>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</si>
  <si>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</si>
  <si>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</si>
  <si>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</si>
  <si>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</si>
  <si>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</si>
  <si>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</si>
  <si>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</si>
  <si>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</si>
  <si>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</si>
  <si>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</si>
  <si>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</si>
  <si>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</si>
  <si>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</si>
  <si>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</si>
  <si>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</si>
  <si>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</si>
  <si>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</si>
  <si>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</si>
  <si>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</si>
  <si>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</si>
  <si>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</si>
  <si>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</si>
  <si>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</si>
  <si>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</si>
  <si>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</si>
  <si>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</si>
  <si>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</si>
  <si>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</si>
  <si>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</si>
  <si>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</si>
  <si>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</si>
  <si>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</si>
  <si>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</si>
  <si>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</si>
  <si>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</si>
  <si>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</si>
  <si>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</si>
  <si>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</si>
  <si>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</si>
  <si>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</si>
  <si>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</si>
  <si>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</si>
  <si>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</si>
  <si>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</si>
  <si>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</si>
  <si>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</si>
  <si>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</si>
  <si>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</si>
  <si>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</si>
  <si>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</si>
  <si>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</si>
  <si>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</si>
  <si>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</si>
  <si>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</si>
  <si>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</si>
  <si>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</si>
  <si>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</si>
  <si>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</si>
  <si>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</si>
  <si>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</si>
  <si>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</si>
  <si>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</si>
  <si>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</si>
  <si>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</si>
  <si>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</si>
  <si>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</si>
  <si>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</si>
  <si>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</si>
  <si>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</si>
  <si>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</si>
  <si>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</si>
  <si>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</si>
  <si>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</si>
  <si>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</si>
  <si>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</si>
  <si>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</si>
  <si>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</si>
  <si>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</si>
  <si>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</si>
  <si>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</si>
  <si>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</si>
  <si>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</si>
  <si>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</si>
  <si>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</si>
  <si>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</si>
  <si>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</si>
  <si>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</si>
  <si>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</si>
  <si>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</si>
  <si>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</si>
  <si>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</si>
  <si>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</si>
  <si>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</si>
  <si>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</si>
  <si>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</si>
  <si>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</si>
  <si>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</si>
  <si>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</si>
  <si>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</si>
  <si>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</si>
  <si>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</si>
  <si>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</si>
  <si>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</si>
  <si>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</si>
  <si>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</si>
  <si>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</si>
  <si>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</si>
  <si>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</si>
  <si>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</si>
  <si>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</si>
  <si>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</si>
  <si>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</si>
  <si>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</si>
  <si>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</si>
  <si>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</si>
  <si>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</si>
  <si>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</si>
  <si>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</si>
  <si>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</si>
  <si>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</si>
  <si>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</si>
  <si>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</si>
  <si>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</si>
  <si>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</si>
  <si>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</si>
  <si>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</si>
  <si>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</si>
  <si>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</si>
  <si>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</si>
  <si>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</si>
  <si>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</si>
  <si>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</si>
  <si>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</si>
  <si>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</si>
  <si>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</si>
  <si>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</si>
  <si>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</si>
  <si>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</si>
  <si>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</si>
  <si>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</si>
  <si>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</si>
  <si>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</si>
  <si>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</si>
  <si>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</si>
  <si>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</si>
  <si>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</si>
  <si>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</si>
  <si>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</si>
  <si>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</si>
  <si>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</si>
  <si>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</si>
  <si>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</si>
  <si>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</si>
  <si>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</si>
  <si>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</si>
  <si>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</si>
  <si>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</si>
  <si>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</si>
  <si>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</si>
  <si>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</si>
  <si>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</si>
  <si>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</si>
  <si>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</si>
  <si>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</si>
  <si>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</si>
  <si>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</si>
  <si>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</si>
  <si>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</si>
  <si>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</si>
  <si>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</si>
  <si>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</si>
  <si>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</si>
  <si>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</si>
  <si>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</si>
  <si>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</si>
  <si>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</si>
  <si>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</si>
  <si>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</si>
  <si>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</si>
  <si>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</si>
  <si>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</si>
  <si>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</si>
  <si>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</si>
  <si>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</si>
  <si>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</si>
  <si>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</si>
  <si>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</si>
  <si>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</si>
  <si>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</si>
  <si>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</si>
  <si>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</si>
  <si>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</si>
  <si>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</si>
  <si>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</si>
  <si>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</si>
  <si>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</si>
  <si>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</si>
  <si>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</si>
  <si>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</si>
  <si>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</si>
  <si>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</si>
  <si>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</si>
  <si>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</si>
  <si>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</si>
  <si>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</si>
  <si>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</si>
  <si>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</si>
  <si>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</si>
  <si>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</si>
  <si>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</si>
  <si>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</si>
  <si>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</si>
  <si>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</si>
  <si>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</si>
  <si>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</si>
  <si>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</si>
  <si>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</si>
  <si>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</si>
  <si>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</si>
  <si>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</si>
  <si>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</si>
  <si>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</si>
  <si>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</si>
  <si>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</si>
  <si>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</si>
  <si>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</si>
  <si>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</si>
  <si>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</si>
  <si>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</si>
  <si>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</si>
  <si>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</si>
  <si>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</si>
  <si>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</si>
  <si>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</si>
  <si>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</si>
  <si>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</si>
  <si>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</si>
  <si>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</si>
  <si>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</si>
  <si>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</si>
  <si>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</si>
  <si>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</si>
  <si>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</si>
  <si>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</si>
  <si>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</si>
  <si>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</si>
  <si>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</si>
  <si>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</si>
  <si>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</si>
  <si>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</si>
  <si>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</si>
  <si>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</si>
  <si>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</si>
  <si>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</si>
  <si>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</si>
  <si>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</si>
  <si>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</si>
  <si>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</si>
  <si>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</si>
  <si>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</si>
  <si>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</si>
  <si>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</si>
  <si>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</si>
  <si>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</si>
  <si>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</si>
  <si>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</si>
  <si>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</si>
  <si>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</si>
  <si>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</si>
  <si>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</si>
  <si>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</si>
  <si>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</si>
  <si>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</si>
  <si>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</si>
  <si>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</si>
  <si>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</si>
  <si>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</si>
  <si>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</si>
  <si>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</si>
  <si>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</si>
  <si>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</si>
  <si>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</si>
  <si>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</si>
  <si>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</si>
  <si>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</si>
  <si>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</si>
  <si>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</si>
  <si>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</si>
  <si>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</si>
  <si>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</si>
  <si>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</si>
  <si>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</si>
  <si>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</si>
  <si>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</si>
  <si>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</si>
  <si>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</si>
  <si>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</si>
  <si>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</si>
  <si>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</si>
  <si>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</si>
  <si>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</si>
  <si>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</si>
  <si>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</si>
  <si>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</si>
  <si>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</si>
  <si>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</si>
  <si>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</si>
  <si>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</si>
  <si>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</si>
  <si>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</si>
  <si>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</si>
  <si>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</si>
  <si>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</si>
  <si>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</si>
  <si>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</si>
  <si>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</si>
  <si>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</si>
  <si>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</si>
  <si>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</si>
  <si>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</si>
  <si>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</si>
  <si>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</si>
  <si>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</si>
  <si>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</si>
  <si>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</si>
  <si>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</si>
  <si>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</si>
  <si>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</si>
  <si>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</si>
  <si>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</si>
  <si>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</si>
  <si>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</si>
  <si>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</si>
  <si>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</si>
  <si>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</si>
  <si>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</si>
  <si>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</si>
  <si>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</si>
  <si>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</si>
  <si>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</si>
  <si>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</si>
  <si>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</si>
  <si>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</si>
  <si>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</si>
  <si>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</si>
  <si>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</si>
  <si>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</si>
  <si>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</si>
  <si>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</si>
  <si>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</si>
  <si>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</si>
  <si>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</si>
  <si>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</si>
  <si>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</si>
  <si>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</si>
  <si>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</si>
  <si>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</si>
  <si>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</si>
  <si>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</si>
  <si>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</si>
  <si>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</si>
  <si>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</si>
  <si>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</si>
  <si>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</si>
  <si>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</si>
  <si>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</si>
  <si>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</si>
  <si>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</si>
  <si>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</si>
  <si>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</si>
  <si>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</si>
  <si>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</si>
  <si>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</si>
  <si>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</si>
  <si>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</si>
  <si>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</si>
  <si>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</si>
  <si>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</si>
  <si>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</si>
  <si>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</si>
  <si>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</si>
  <si>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</si>
  <si>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</si>
  <si>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</si>
  <si>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</si>
  <si>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</si>
  <si>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</si>
  <si>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</si>
  <si>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</si>
  <si>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</si>
  <si>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</si>
  <si>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</si>
  <si>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</si>
  <si>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</si>
  <si>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</si>
  <si>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</si>
  <si>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</si>
  <si>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</si>
  <si>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</si>
  <si>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</si>
  <si>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</si>
  <si>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</si>
  <si>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</si>
  <si>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</si>
  <si>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</si>
  <si>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</si>
  <si>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</si>
  <si>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</si>
  <si>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</si>
  <si>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</si>
  <si>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</si>
  <si>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</si>
  <si>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</si>
  <si>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</si>
  <si>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</si>
  <si>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</si>
  <si>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</si>
  <si>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</si>
  <si>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</si>
  <si>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</si>
  <si>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</si>
  <si>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</si>
  <si>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</si>
  <si>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</si>
  <si>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 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</si>
  <si>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</si>
  <si>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</si>
  <si>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</si>
  <si>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</si>
  <si>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</si>
  <si>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</si>
  <si>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</si>
  <si>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</si>
  <si>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</si>
  <si>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</si>
  <si>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</si>
  <si>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Massa única, para recebimento de pintura, em argamassa traço 1:2:8, espessura de 20 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</si>
  <si>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</si>
  <si>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</si>
  <si>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</si>
  <si>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</si>
  <si>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</si>
  <si>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</si>
  <si>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</si>
  <si>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</si>
  <si>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</si>
  <si>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</si>
  <si>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</si>
  <si>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</si>
  <si>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</si>
  <si>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</si>
  <si>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</si>
  <si>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</si>
  <si>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</si>
  <si>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</si>
  <si>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</si>
  <si>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</si>
  <si>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</si>
  <si>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</si>
  <si>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</si>
  <si>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</si>
  <si>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</si>
  <si>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</si>
  <si>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</si>
  <si>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</si>
  <si>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</si>
  <si>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</si>
  <si>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</si>
  <si>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</si>
  <si>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</si>
  <si>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</si>
  <si>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</si>
  <si>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</si>
  <si>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</si>
  <si>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</si>
  <si>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</si>
  <si>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</si>
  <si>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</si>
  <si>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</si>
  <si>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</si>
  <si>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</si>
  <si>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</si>
  <si>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</si>
  <si>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</si>
  <si>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</si>
  <si>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</si>
  <si>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</si>
  <si>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</si>
  <si>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</si>
  <si>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</si>
  <si>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</si>
  <si>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</si>
  <si>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</si>
  <si>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</si>
  <si>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</si>
  <si>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</si>
  <si>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</si>
  <si>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</si>
  <si>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</si>
  <si>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</si>
  <si>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</si>
  <si>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</si>
  <si>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</si>
  <si>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</si>
  <si>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</si>
  <si>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</si>
  <si>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</si>
  <si>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</si>
  <si>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</si>
  <si>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</si>
  <si>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</si>
  <si>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</si>
  <si>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</si>
  <si>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</si>
  <si>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</si>
  <si>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</si>
  <si>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</si>
  <si>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</si>
  <si>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</si>
  <si>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</si>
  <si>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</si>
  <si>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</si>
  <si>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</si>
  <si>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</si>
  <si>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</si>
  <si>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</si>
  <si>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</si>
  <si>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</si>
  <si>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</si>
  <si>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</si>
  <si>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</si>
  <si>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</si>
  <si>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</si>
  <si>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</si>
  <si>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</si>
  <si>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</si>
  <si>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</si>
  <si>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</si>
  <si>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</si>
  <si>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</si>
  <si>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</si>
  <si>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</si>
  <si>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</si>
  <si>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</si>
  <si>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</si>
  <si>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</si>
  <si>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</si>
  <si>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</si>
  <si>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</si>
  <si>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</si>
  <si>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</si>
  <si>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</si>
  <si>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</si>
  <si>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</si>
  <si>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</si>
  <si>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</si>
  <si>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</si>
  <si>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</si>
  <si>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</si>
  <si>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</si>
  <si>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</si>
  <si>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</si>
  <si>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</si>
  <si>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</si>
  <si>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</si>
  <si>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</si>
  <si>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</si>
  <si>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</si>
  <si>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</si>
  <si>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</si>
  <si>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</si>
  <si>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</si>
  <si>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</si>
  <si>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</si>
  <si>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</si>
  <si>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</si>
  <si>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</si>
  <si>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</si>
  <si>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</si>
  <si>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</si>
  <si>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</si>
  <si>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</si>
  <si>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</si>
  <si>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</si>
  <si>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</si>
  <si>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</si>
  <si>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</si>
  <si>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</si>
  <si>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</si>
  <si>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</si>
  <si>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</si>
  <si>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</si>
  <si>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</si>
  <si>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</si>
  <si>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</si>
  <si>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</si>
  <si>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</si>
  <si>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</si>
  <si>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</si>
  <si>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</si>
  <si>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</si>
  <si>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</si>
  <si>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</si>
  <si>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</si>
  <si>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</si>
  <si>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</si>
  <si>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</si>
  <si>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</si>
  <si>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</si>
  <si>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</si>
  <si>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</si>
  <si>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</si>
  <si>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</si>
  <si>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</si>
  <si>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</si>
  <si>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</si>
  <si>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</si>
  <si>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</si>
  <si>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</si>
  <si>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</si>
  <si>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</si>
  <si>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</si>
  <si>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</si>
  <si>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</si>
  <si>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</si>
  <si>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</si>
  <si>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</si>
  <si>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</si>
  <si>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</si>
  <si>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</si>
  <si>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</si>
  <si>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</si>
  <si>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</si>
  <si>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</si>
  <si>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</si>
  <si>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</si>
  <si>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</si>
  <si>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</si>
  <si>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</si>
  <si>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</si>
  <si>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</si>
  <si>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</si>
  <si>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</si>
  <si>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</si>
  <si>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</si>
  <si>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</si>
  <si>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</si>
  <si>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</si>
  <si>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</si>
  <si>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</si>
  <si>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</si>
  <si>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</si>
  <si>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</si>
  <si>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</si>
  <si>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</si>
  <si>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</si>
  <si>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</si>
  <si>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</si>
  <si>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</si>
  <si>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</si>
  <si>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</si>
  <si>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</si>
  <si>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</si>
  <si>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</si>
  <si>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</si>
  <si>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</si>
  <si>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</si>
  <si>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</si>
  <si>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</si>
  <si>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</si>
  <si>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</si>
  <si>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</si>
  <si>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</si>
  <si>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</si>
  <si>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</si>
  <si>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</si>
  <si>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</si>
  <si>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</si>
  <si>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</si>
  <si>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</si>
  <si>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</si>
  <si>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</si>
  <si>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</si>
  <si>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</si>
  <si>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</si>
  <si>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</si>
  <si>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</si>
  <si>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</si>
  <si>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</si>
  <si>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</si>
  <si>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</si>
  <si>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</si>
  <si>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</si>
  <si>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</si>
  <si>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</si>
  <si>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</si>
  <si>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</si>
  <si>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</si>
  <si>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</si>
  <si>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</si>
  <si>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</si>
  <si>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</si>
  <si>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</si>
  <si>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</si>
  <si>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</si>
  <si>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</si>
  <si>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</si>
  <si>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</si>
  <si>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</si>
  <si>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</si>
  <si>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</si>
  <si>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</si>
  <si>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</si>
  <si>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</si>
  <si>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</si>
  <si>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</si>
  <si>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</si>
  <si>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</si>
  <si>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</si>
  <si>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</si>
  <si>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</si>
  <si>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</si>
  <si>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</si>
  <si>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</si>
  <si>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</si>
  <si>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</si>
  <si>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</si>
  <si>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</si>
  <si>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</si>
  <si>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</si>
  <si>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</si>
  <si>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</si>
  <si>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</si>
  <si>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</si>
  <si>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</si>
  <si>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</si>
  <si>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</si>
  <si>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</si>
  <si>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</si>
  <si>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</si>
  <si>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</si>
  <si>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</si>
  <si>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</si>
  <si>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</si>
  <si>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</si>
  <si>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</si>
  <si>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</si>
  <si>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</si>
  <si>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</si>
  <si>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</si>
  <si>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</si>
  <si>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</si>
  <si>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</si>
  <si>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</si>
  <si>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</si>
  <si>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</si>
  <si>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</si>
  <si>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</si>
  <si>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</si>
  <si>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</si>
  <si>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</si>
  <si>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</si>
  <si>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</si>
  <si>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</si>
  <si>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</si>
  <si>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</si>
  <si>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</si>
  <si>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</si>
  <si>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</si>
  <si>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</si>
  <si>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</si>
  <si>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</si>
  <si>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</si>
  <si>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</si>
  <si>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</si>
  <si>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</si>
  <si>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</si>
  <si>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</si>
  <si>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</si>
  <si>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</si>
  <si>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</si>
  <si>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</si>
  <si>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</si>
  <si>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</si>
  <si>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</si>
  <si>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</si>
  <si>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</si>
  <si>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</si>
  <si>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</si>
  <si>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</si>
  <si>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</si>
  <si>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</si>
  <si>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</si>
  <si>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</si>
  <si>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</si>
  <si>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</si>
  <si>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</si>
  <si>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</si>
  <si>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</si>
  <si>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</si>
  <si>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</si>
  <si>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</si>
  <si>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</si>
  <si>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</si>
  <si>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</si>
  <si>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</si>
  <si>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</si>
  <si>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</si>
  <si>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</si>
  <si>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</si>
  <si>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</si>
  <si>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</si>
  <si>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</si>
  <si>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</si>
  <si>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</si>
  <si>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</si>
  <si>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</si>
  <si>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</si>
  <si>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</si>
  <si>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</si>
  <si>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</si>
  <si>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</si>
  <si>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</si>
  <si>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</si>
  <si>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</si>
  <si>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</si>
  <si>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</si>
  <si>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</si>
  <si>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</si>
  <si>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</si>
  <si>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</si>
  <si>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</si>
  <si>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</si>
  <si>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</si>
  <si>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</si>
  <si>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</si>
  <si>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</si>
  <si>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</si>
  <si>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</si>
  <si>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</si>
  <si>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</si>
  <si>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</si>
  <si>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</si>
  <si>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</si>
  <si>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</si>
  <si>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</si>
  <si>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</si>
  <si>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</si>
  <si>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</si>
  <si>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</si>
  <si>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</si>
  <si>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</si>
  <si>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</si>
  <si>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</si>
  <si>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</si>
  <si>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</si>
  <si>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</si>
  <si>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</si>
  <si>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</si>
  <si>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</si>
  <si>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</si>
  <si>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</si>
  <si>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</si>
  <si>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</si>
  <si>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</si>
  <si>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</si>
  <si>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</si>
  <si>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</si>
  <si>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</si>
  <si>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</si>
  <si>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</si>
  <si>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</si>
  <si>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</si>
  <si>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</si>
  <si>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</si>
  <si>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</si>
  <si>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</si>
  <si>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</si>
  <si>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</si>
  <si>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</si>
  <si>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</si>
  <si>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</si>
  <si>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</si>
  <si>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</si>
  <si>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</si>
  <si>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</si>
  <si>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</si>
  <si>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</si>
  <si>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</si>
  <si>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</si>
  <si>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</si>
  <si>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</si>
  <si>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</si>
  <si>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</si>
  <si>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</si>
  <si>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</si>
  <si>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</si>
  <si>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</si>
  <si>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</si>
  <si>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</si>
  <si>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</si>
  <si>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</si>
  <si>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</si>
  <si>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</si>
  <si>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</si>
  <si>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</si>
  <si>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</si>
  <si>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</si>
  <si>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</si>
  <si>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</si>
  <si>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</si>
  <si>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</si>
  <si>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</si>
  <si>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</si>
  <si>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</si>
  <si>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</si>
  <si>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</si>
  <si>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</si>
  <si>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</si>
  <si>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</si>
  <si>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</si>
  <si>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</si>
  <si>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</si>
  <si>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</si>
  <si>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</si>
  <si>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</si>
  <si>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</si>
  <si>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</si>
  <si>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</si>
  <si>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</si>
  <si>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</si>
  <si>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</si>
  <si>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</si>
  <si>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</si>
  <si>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</si>
  <si>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</si>
  <si>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</si>
  <si>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</si>
  <si>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</si>
  <si>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</si>
  <si>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</si>
  <si>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</si>
  <si>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</si>
  <si>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</si>
  <si>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</si>
  <si>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</si>
  <si>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</si>
  <si>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</si>
  <si>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</si>
  <si>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</si>
  <si>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</si>
  <si>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</si>
  <si>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</si>
  <si>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</si>
  <si>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</si>
  <si>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</si>
  <si>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</si>
  <si>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</si>
  <si>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</si>
  <si>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</si>
  <si>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</si>
  <si>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</si>
  <si>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</si>
  <si>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</si>
  <si>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</si>
  <si>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</si>
  <si>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</si>
  <si>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</si>
  <si>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</si>
  <si>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</si>
  <si>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</si>
  <si>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</si>
  <si>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</si>
  <si>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</si>
  <si>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</si>
  <si>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</si>
  <si>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</si>
  <si>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</si>
  <si>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</si>
  <si>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</si>
  <si>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</si>
  <si>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</si>
  <si>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</si>
  <si>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</si>
  <si>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</si>
  <si>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</si>
  <si>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</si>
  <si>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</si>
  <si>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</si>
  <si>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</si>
  <si>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</si>
  <si>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</si>
  <si>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</si>
  <si>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</si>
  <si>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</si>
  <si>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</si>
  <si>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</si>
  <si>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</si>
  <si>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</si>
  <si>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</si>
  <si>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</si>
  <si>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</si>
  <si>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</si>
  <si>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</si>
  <si>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</si>
  <si>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</si>
  <si>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</si>
  <si>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</si>
  <si>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</si>
  <si>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</si>
  <si>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</si>
  <si>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</si>
  <si>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</si>
  <si>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</si>
  <si>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</si>
  <si>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</si>
  <si>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</si>
  <si>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</si>
  <si>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</si>
  <si>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</si>
  <si>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</si>
  <si>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</si>
  <si>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</si>
  <si>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</si>
  <si>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</si>
  <si>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</si>
  <si>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</si>
  <si>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</si>
  <si>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</si>
  <si>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</si>
  <si>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</si>
  <si>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</si>
  <si>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</si>
  <si>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</si>
  <si>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</si>
  <si>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</si>
  <si>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</si>
  <si>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</si>
  <si>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</si>
  <si>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</si>
  <si>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</si>
  <si>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</si>
  <si>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</si>
  <si>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</si>
  <si>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</si>
  <si>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</si>
  <si>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</si>
  <si>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</si>
  <si>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</si>
  <si>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</si>
  <si>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</si>
  <si>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</si>
  <si>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</si>
  <si>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</si>
  <si>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</si>
  <si>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</si>
  <si>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</si>
  <si>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</si>
  <si>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</si>
  <si>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</si>
  <si>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</si>
  <si>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</si>
  <si>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</si>
  <si>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</si>
  <si>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</si>
  <si>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</si>
  <si>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</si>
  <si>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</si>
  <si>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</si>
  <si>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</si>
  <si>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</si>
  <si>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</si>
  <si>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</si>
  <si>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</si>
  <si>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</si>
  <si>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</si>
  <si>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</si>
  <si>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</si>
  <si>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</si>
  <si>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</si>
  <si>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</si>
  <si>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</si>
  <si>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</si>
  <si>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</si>
  <si>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</si>
  <si>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</si>
  <si>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</si>
  <si>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</si>
  <si>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</si>
  <si>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</si>
  <si>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</si>
  <si>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</si>
  <si>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</si>
  <si>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</si>
  <si>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</si>
  <si>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</si>
  <si>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</si>
  <si>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</si>
  <si>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</si>
  <si>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</si>
  <si>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</si>
  <si>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</si>
  <si>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</si>
  <si>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</si>
  <si>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</si>
  <si>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</si>
  <si>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</si>
  <si>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</si>
  <si>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</si>
  <si>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</si>
  <si>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</si>
  <si>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</si>
  <si>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</si>
  <si>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</si>
  <si>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</si>
  <si>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</si>
  <si>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</si>
  <si>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</si>
  <si>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</si>
  <si>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</si>
  <si>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</si>
  <si>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</si>
  <si>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</si>
  <si>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</si>
  <si>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</si>
  <si>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</si>
  <si>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</si>
  <si>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</si>
  <si>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</si>
  <si>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</si>
  <si>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</si>
  <si>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</si>
  <si>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</si>
  <si>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</si>
  <si>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</si>
  <si>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</si>
  <si>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</si>
  <si>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</si>
  <si>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</si>
  <si>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</si>
  <si>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</si>
  <si>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</si>
  <si>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</si>
  <si>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</si>
  <si>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</si>
  <si>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</si>
  <si>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</si>
  <si>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</si>
  <si>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</si>
  <si>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</si>
  <si>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</si>
  <si>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</si>
  <si>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</si>
  <si>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</si>
  <si>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</si>
  <si>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</si>
  <si>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</si>
  <si>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</si>
  <si>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</si>
  <si>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</si>
  <si>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</si>
  <si>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</si>
  <si>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</si>
  <si>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</si>
  <si>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</si>
  <si>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</si>
  <si>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</si>
  <si>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</si>
  <si>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</si>
  <si>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</si>
  <si>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</si>
  <si>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</si>
  <si>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</si>
  <si>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</si>
  <si>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</si>
  <si>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</si>
  <si>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</si>
  <si>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</si>
  <si>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</si>
  <si>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</si>
  <si>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</si>
  <si>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</si>
  <si>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</si>
  <si>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</si>
  <si>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</si>
  <si>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</si>
  <si>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</si>
  <si>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</si>
  <si>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</si>
  <si>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</si>
  <si>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</si>
  <si>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</si>
  <si>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</si>
  <si>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</si>
  <si>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</si>
  <si>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</si>
  <si>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</si>
  <si>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</si>
  <si>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</si>
  <si>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</si>
  <si>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</si>
  <si>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</si>
  <si>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</si>
  <si>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</si>
  <si>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</si>
  <si>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</si>
  <si>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</si>
  <si>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</si>
  <si>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</si>
  <si>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</si>
  <si>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</si>
  <si>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</si>
  <si>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</si>
  <si>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</si>
  <si>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</si>
  <si>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</si>
  <si>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</si>
  <si>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</si>
  <si>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</si>
  <si>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</si>
  <si>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</si>
  <si>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</si>
  <si>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</si>
  <si>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</si>
  <si>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</si>
  <si>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</si>
  <si>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</si>
  <si>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</si>
  <si>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</si>
  <si>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</si>
  <si>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</si>
  <si>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</si>
  <si>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</si>
  <si>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</si>
  <si>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</si>
  <si>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</si>
  <si>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</si>
  <si>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</si>
  <si>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</si>
  <si>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</si>
  <si>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</si>
  <si>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</si>
  <si>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</si>
  <si>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</si>
  <si>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</si>
  <si>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</si>
  <si>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</si>
  <si>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</si>
  <si>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</si>
  <si>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</si>
  <si>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</si>
  <si>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</si>
  <si>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</si>
  <si>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</si>
  <si>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</si>
  <si>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</si>
  <si>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</si>
  <si>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</si>
  <si>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</si>
  <si>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</si>
  <si>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</si>
  <si>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</si>
  <si>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</si>
  <si>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</si>
  <si>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</si>
  <si>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</si>
  <si>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</si>
  <si>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</si>
  <si>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</si>
  <si>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</si>
  <si>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</si>
  <si>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</si>
  <si>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</si>
  <si>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</si>
  <si>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</si>
  <si>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</si>
  <si>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</si>
  <si>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</si>
  <si>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</si>
  <si>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</si>
  <si>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</si>
  <si>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</si>
  <si>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</si>
  <si>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</si>
  <si>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</si>
  <si>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</si>
  <si>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</si>
  <si>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</si>
  <si>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</si>
  <si>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</si>
  <si>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</si>
  <si>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</si>
  <si>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</si>
  <si>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</si>
  <si>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</si>
  <si>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</si>
  <si>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</si>
  <si>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</si>
  <si>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</si>
  <si>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</si>
  <si>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</si>
  <si>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</si>
  <si>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</si>
  <si>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</si>
  <si>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</si>
  <si>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</si>
  <si>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</si>
  <si>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</si>
  <si>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</si>
  <si>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</si>
  <si>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</si>
  <si>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</si>
  <si>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</si>
  <si>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</si>
  <si>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</si>
  <si>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</si>
  <si>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</si>
  <si>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</si>
  <si>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</si>
  <si>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</si>
  <si>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</si>
  <si>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</si>
  <si>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</si>
  <si>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</si>
  <si>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</si>
  <si>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</si>
  <si>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</si>
  <si>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</si>
  <si>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</si>
  <si>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</si>
  <si>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</si>
  <si>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</si>
  <si>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</si>
  <si>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</si>
  <si>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</si>
  <si>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</si>
  <si>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</si>
  <si>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</si>
  <si>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</si>
  <si>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</si>
  <si>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</si>
  <si>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</si>
  <si>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</si>
  <si>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</si>
  <si>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</si>
  <si>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</si>
  <si>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</si>
  <si>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</si>
  <si>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</si>
  <si>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</si>
  <si>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</si>
  <si>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</si>
  <si>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</si>
  <si>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</si>
  <si>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</si>
  <si>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</si>
  <si>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</si>
  <si>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</si>
  <si>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</si>
  <si>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</si>
  <si>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</si>
  <si>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</si>
  <si>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</si>
  <si>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</si>
  <si>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</si>
  <si>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</si>
  <si>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</si>
  <si>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</si>
  <si>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</si>
  <si>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</si>
  <si>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</si>
  <si>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</si>
  <si>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</si>
  <si>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</si>
  <si>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</si>
  <si>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</si>
  <si>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</si>
  <si>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</si>
  <si>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</si>
  <si>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</si>
  <si>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</si>
  <si>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</si>
  <si>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</si>
  <si>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</si>
  <si>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</si>
  <si>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</si>
  <si>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</si>
  <si>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</si>
  <si>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</si>
  <si>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</si>
  <si>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</si>
  <si>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</si>
  <si>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</si>
  <si>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</si>
  <si>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</si>
  <si>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</si>
  <si>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</si>
  <si>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</si>
  <si>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</si>
  <si>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</si>
  <si>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</si>
  <si>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</si>
  <si>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</si>
  <si>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</si>
  <si>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</si>
  <si>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</si>
  <si>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</si>
  <si>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</si>
  <si>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</si>
  <si>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</si>
  <si>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</si>
  <si>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</si>
  <si>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</si>
  <si>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</si>
  <si>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</si>
  <si>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</si>
  <si>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</si>
  <si>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</si>
  <si>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</si>
  <si>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</si>
  <si>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</si>
  <si>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</si>
  <si>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</si>
  <si>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</si>
  <si>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</si>
  <si>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</si>
  <si>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</si>
  <si>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</si>
  <si>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</si>
  <si>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</si>
  <si>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</si>
  <si>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</si>
  <si>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</si>
  <si>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</si>
  <si>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</si>
  <si>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</si>
  <si>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</si>
  <si>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</si>
  <si>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</si>
  <si>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</si>
  <si>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</si>
  <si>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</si>
  <si>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</si>
  <si>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</si>
  <si>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</si>
  <si>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</si>
  <si>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</si>
  <si>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</si>
  <si>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</si>
  <si>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</si>
  <si>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</si>
  <si>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</si>
  <si>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</si>
  <si>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</si>
  <si>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</si>
  <si>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</si>
  <si>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</si>
  <si>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</si>
  <si>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</si>
  <si>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</si>
  <si>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</si>
  <si>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</si>
  <si>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</si>
  <si>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</si>
  <si>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</si>
  <si>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</si>
  <si>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</si>
  <si>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</si>
  <si>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</si>
  <si>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</si>
  <si>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</si>
  <si>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</si>
  <si>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</si>
  <si>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</si>
  <si>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</si>
  <si>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</si>
  <si>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</si>
  <si>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</si>
  <si>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</si>
  <si>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</si>
  <si>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</si>
  <si>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</si>
  <si>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</si>
  <si>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</si>
  <si>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</si>
  <si>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</si>
  <si>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</si>
  <si>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</si>
  <si>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</si>
  <si>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</si>
  <si>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</si>
  <si>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</si>
  <si>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</si>
  <si>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</si>
  <si>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</si>
  <si>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</si>
  <si>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</si>
  <si>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</si>
  <si>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</si>
  <si>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</si>
  <si>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</si>
  <si>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</si>
  <si>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</si>
  <si>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</si>
  <si>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</si>
  <si>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</si>
  <si>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</si>
  <si>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</si>
  <si>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</si>
  <si>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</si>
  <si>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</si>
  <si>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</si>
  <si>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</si>
  <si>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</si>
  <si>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</si>
  <si>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</si>
  <si>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</si>
  <si>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</si>
  <si>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</si>
  <si>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</si>
  <si>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</si>
  <si>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</si>
  <si>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</si>
  <si>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</si>
  <si>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</si>
  <si>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</si>
  <si>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</si>
  <si>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</si>
  <si>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</si>
  <si>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</si>
  <si>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</si>
  <si>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</si>
  <si>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</si>
  <si>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</si>
  <si>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</si>
  <si>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</si>
  <si>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</si>
  <si>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</si>
  <si>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</si>
  <si>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</si>
  <si>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</si>
  <si>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</si>
  <si>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</si>
  <si>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</si>
  <si>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</si>
  <si>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</si>
  <si>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</si>
  <si>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</si>
  <si>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</si>
  <si>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</si>
  <si>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</si>
  <si>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</si>
  <si>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</si>
  <si>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</si>
  <si>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</si>
  <si>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</si>
  <si>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</si>
  <si>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</si>
  <si>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</si>
  <si>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</si>
  <si>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</si>
  <si>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</si>
  <si>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</si>
  <si>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</si>
  <si>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</si>
  <si>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</si>
  <si>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</si>
  <si>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</si>
  <si>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</si>
  <si>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</si>
  <si>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</si>
  <si>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</si>
  <si>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</si>
  <si>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</si>
  <si>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</si>
  <si>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</si>
  <si>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</si>
  <si>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</si>
  <si>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</si>
  <si>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</si>
  <si>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</si>
  <si>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</si>
  <si>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</si>
  <si>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</si>
  <si>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</si>
  <si>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</si>
  <si>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</si>
  <si>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</si>
  <si>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</si>
  <si>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</si>
  <si>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</si>
  <si>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</si>
  <si>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</si>
  <si>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</si>
  <si>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</si>
  <si>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</si>
  <si>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</si>
  <si>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</si>
  <si>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</si>
  <si>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</si>
  <si>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</si>
  <si>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</si>
  <si>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</si>
  <si>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</si>
  <si>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</si>
  <si>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</si>
  <si>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</si>
  <si>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</si>
  <si>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</si>
  <si>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</si>
  <si>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</si>
  <si>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</si>
  <si>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</si>
  <si>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</si>
  <si>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</si>
  <si>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</si>
  <si>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</si>
  <si>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</si>
  <si>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</si>
  <si>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</si>
  <si>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</si>
  <si>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</si>
  <si>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</si>
  <si>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</si>
  <si>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</si>
  <si>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</si>
  <si>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</si>
  <si>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</si>
  <si>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</si>
  <si>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</si>
  <si>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</si>
  <si>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</si>
  <si>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</si>
  <si>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</si>
  <si>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</si>
  <si>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</si>
  <si>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</si>
  <si>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</si>
  <si>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</si>
  <si>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</si>
  <si>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</si>
  <si>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</si>
  <si>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</si>
  <si>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</si>
  <si>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</si>
  <si>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</si>
  <si>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</si>
  <si>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</si>
  <si>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</si>
  <si>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</si>
  <si>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</si>
  <si>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</si>
  <si>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</si>
  <si>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</si>
  <si>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</si>
  <si>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</si>
  <si>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</si>
  <si>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</si>
  <si>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</si>
  <si>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</si>
  <si>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</si>
  <si>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</si>
  <si>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</si>
  <si>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</si>
  <si>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</si>
  <si>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</si>
  <si>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</si>
  <si>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</si>
  <si>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</si>
  <si>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</si>
  <si>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</si>
  <si>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</si>
  <si>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</si>
  <si>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</si>
  <si>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</si>
  <si>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</si>
  <si>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</si>
  <si>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</si>
  <si>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</si>
  <si>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</si>
  <si>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</si>
  <si>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</si>
  <si>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</si>
  <si>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</si>
  <si>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</si>
  <si>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</si>
  <si>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</si>
  <si>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</si>
  <si>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</si>
  <si>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</si>
  <si>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</si>
  <si>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</si>
  <si>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</si>
  <si>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</si>
  <si>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</si>
  <si>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</si>
  <si>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</si>
  <si>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</si>
  <si>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</si>
  <si>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</si>
  <si>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</si>
  <si>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</si>
  <si>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</si>
  <si>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</si>
  <si>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</si>
  <si>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</si>
  <si>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</si>
  <si>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</si>
  <si>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</si>
  <si>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</si>
  <si>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</si>
  <si>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</si>
  <si>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</si>
  <si>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</si>
  <si>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</si>
  <si>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</si>
  <si>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</si>
  <si>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</si>
  <si>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</si>
  <si>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</si>
  <si>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</si>
  <si>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</si>
  <si>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</si>
  <si>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</si>
  <si>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</si>
  <si>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</si>
  <si>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</si>
  <si>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</si>
  <si>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</si>
  <si>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</si>
  <si>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</si>
  <si>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</si>
  <si>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</si>
  <si>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</si>
  <si>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</si>
  <si>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</si>
  <si>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</si>
  <si>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</si>
  <si>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</si>
  <si>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</si>
  <si>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</si>
  <si>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</si>
  <si>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</si>
  <si>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</si>
  <si>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</si>
  <si>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</si>
  <si>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</si>
  <si>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</si>
  <si>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</si>
  <si>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</si>
  <si>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</si>
  <si>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</si>
  <si>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</si>
  <si>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</si>
  <si>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</si>
  <si>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</si>
  <si>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</si>
  <si>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</si>
  <si>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</si>
  <si>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</si>
  <si>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</si>
  <si>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</si>
  <si>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</si>
  <si>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</si>
  <si>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</si>
  <si>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</si>
  <si>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</si>
  <si>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</si>
  <si>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</si>
  <si>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</si>
  <si>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</si>
  <si>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</si>
  <si>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</si>
  <si>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</si>
  <si>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</si>
  <si>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</si>
  <si>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</si>
  <si>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</si>
  <si>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</si>
  <si>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</si>
  <si>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</si>
  <si>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</si>
  <si>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</si>
  <si>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</si>
  <si>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</si>
  <si>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</si>
  <si>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</si>
  <si>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</si>
  <si>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</si>
  <si>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</si>
  <si>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</si>
  <si>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</si>
  <si>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</si>
  <si>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</si>
  <si>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</si>
  <si>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</si>
  <si>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</si>
  <si>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</si>
  <si>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</si>
  <si>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</si>
  <si>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</si>
  <si>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</si>
  <si>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</si>
  <si>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</si>
  <si>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</si>
  <si>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</si>
  <si>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</si>
  <si>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</si>
  <si>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</si>
  <si>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</si>
  <si>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</si>
  <si>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</si>
  <si>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</si>
  <si>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</si>
  <si>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</si>
  <si>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</si>
  <si>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</si>
  <si>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</si>
  <si>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</si>
  <si>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</si>
  <si>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</si>
  <si>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</si>
  <si>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</si>
  <si>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</si>
  <si>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</si>
  <si>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</si>
  <si>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</si>
  <si>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</si>
  <si>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</si>
  <si>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</si>
  <si>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</si>
  <si>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</si>
  <si>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</si>
  <si>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</si>
  <si>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</si>
  <si>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</si>
  <si>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</si>
  <si>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</si>
  <si>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</si>
  <si>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</si>
  <si>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</si>
  <si>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</si>
  <si>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</si>
  <si>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</si>
  <si>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</si>
  <si>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</si>
  <si>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</si>
  <si>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</si>
  <si>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</si>
  <si>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</si>
  <si>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</si>
  <si>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</si>
  <si>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</si>
  <si>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</si>
  <si>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</si>
  <si>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</si>
  <si>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</si>
  <si>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</si>
  <si>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</si>
  <si>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</si>
  <si>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</si>
  <si>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</si>
  <si>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</si>
  <si>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</si>
  <si>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</si>
  <si>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</si>
  <si>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</si>
  <si>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</si>
  <si>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</si>
  <si>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</si>
  <si>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</si>
  <si>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</si>
  <si>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</si>
  <si>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</si>
  <si>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</si>
  <si>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</si>
  <si>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</si>
  <si>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</si>
  <si>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</si>
  <si>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</si>
  <si>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</si>
  <si>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</si>
  <si>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</si>
  <si>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</si>
  <si>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</si>
  <si>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</si>
  <si>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</si>
  <si>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</si>
  <si>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</si>
  <si>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</si>
  <si>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</si>
  <si>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</si>
  <si>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</si>
  <si>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</si>
  <si>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</si>
  <si>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</si>
  <si>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</si>
  <si>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</si>
  <si>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</si>
  <si>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</si>
  <si>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</si>
  <si>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</si>
  <si>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</si>
  <si>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</si>
  <si>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</si>
  <si>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</si>
  <si>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</si>
  <si>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</si>
  <si>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</si>
  <si>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</si>
  <si>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</si>
  <si>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</si>
  <si>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</si>
  <si>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</si>
  <si>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</si>
  <si>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</si>
  <si>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</si>
  <si>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</si>
  <si>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</si>
  <si>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</si>
  <si>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</si>
  <si>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</si>
  <si>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</si>
  <si>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</si>
  <si>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</si>
  <si>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</si>
  <si>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</si>
  <si>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</si>
  <si>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</si>
  <si>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</si>
  <si>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</si>
  <si>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</si>
  <si>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</si>
  <si>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</si>
  <si>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</si>
  <si>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</si>
  <si>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</si>
  <si>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</si>
  <si>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</si>
  <si>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</si>
  <si>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</si>
  <si>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</si>
  <si>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</si>
  <si>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</si>
  <si>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</si>
  <si>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</si>
  <si>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</si>
  <si>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</si>
  <si>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</si>
  <si>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</si>
  <si>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</si>
  <si>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</si>
  <si>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</si>
  <si>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</si>
  <si>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</si>
  <si>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</si>
  <si>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</si>
  <si>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</si>
  <si>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</si>
  <si>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</si>
  <si>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</si>
  <si>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</si>
  <si>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</si>
  <si>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</si>
  <si>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</si>
  <si>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</si>
  <si>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</si>
  <si>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</si>
  <si>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</si>
  <si>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</si>
  <si>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</si>
  <si>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</si>
  <si>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</si>
  <si>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</si>
  <si>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</si>
  <si>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</si>
  <si>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</si>
  <si>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</si>
  <si>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</si>
  <si>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</si>
  <si>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</si>
  <si>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</si>
  <si>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</si>
  <si>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</si>
  <si>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</si>
  <si>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</si>
  <si>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</si>
  <si>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</si>
  <si>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</si>
  <si>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</si>
  <si>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</si>
  <si>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</si>
  <si>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</si>
  <si>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</si>
  <si>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</si>
  <si>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</si>
  <si>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</si>
  <si>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</si>
  <si>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</si>
  <si>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</si>
  <si>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</si>
  <si>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</si>
  <si>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</si>
  <si>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</si>
  <si>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</si>
  <si>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</si>
  <si>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</si>
  <si>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</si>
  <si>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</si>
  <si>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</si>
  <si>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</si>
  <si>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</si>
  <si>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</si>
  <si>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</si>
  <si>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</si>
  <si>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</si>
  <si>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</si>
  <si>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</si>
  <si>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</si>
  <si>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</si>
  <si>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</si>
  <si>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</si>
  <si>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</si>
  <si>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</si>
  <si>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</si>
  <si>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</si>
  <si>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</si>
  <si>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</si>
  <si>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</si>
  <si>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</si>
  <si>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</si>
  <si>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</si>
  <si>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</si>
  <si>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</si>
  <si>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</si>
  <si>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</si>
  <si>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</si>
  <si>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</si>
  <si>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</si>
  <si>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</si>
  <si>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</si>
  <si>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</si>
  <si>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</si>
  <si>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</si>
  <si>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</si>
  <si>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</si>
  <si>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</si>
  <si>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</si>
  <si>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</si>
  <si>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</si>
  <si>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</si>
  <si>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</si>
  <si>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</si>
  <si>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</si>
  <si>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</si>
  <si>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</si>
  <si>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</si>
  <si>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</si>
  <si>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</si>
  <si>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</si>
  <si>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</si>
  <si>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</si>
  <si>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</si>
  <si>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</si>
  <si>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</si>
  <si>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</si>
  <si>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</si>
  <si>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</si>
  <si>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</si>
  <si>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</si>
  <si>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</si>
  <si>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</si>
  <si>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</si>
  <si>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</si>
  <si>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</si>
  <si>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</si>
  <si>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</si>
  <si>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</si>
  <si>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</si>
  <si>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</si>
  <si>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</si>
  <si>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</si>
  <si>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</si>
  <si>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</si>
  <si>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</si>
  <si>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</si>
  <si>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</si>
  <si>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</si>
  <si>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</si>
  <si>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</si>
  <si>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</si>
  <si>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</si>
  <si>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</si>
  <si>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</si>
  <si>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</si>
  <si>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</si>
  <si>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</si>
  <si>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</si>
  <si>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</si>
  <si>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</si>
  <si>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</si>
  <si>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</si>
  <si>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</si>
  <si>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</si>
  <si>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</si>
  <si>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</si>
  <si>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</si>
  <si>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</si>
  <si>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</si>
  <si>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</si>
  <si>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</si>
  <si>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</si>
  <si>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</si>
  <si>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</si>
  <si>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</si>
  <si>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</si>
  <si>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</si>
  <si>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</si>
  <si>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</si>
  <si>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</si>
  <si>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</si>
  <si>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</si>
  <si>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</si>
  <si>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</si>
  <si>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</si>
  <si>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</si>
  <si>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</si>
  <si>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</si>
  <si>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</si>
  <si>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</si>
  <si>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</si>
  <si>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</si>
  <si>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</si>
  <si>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</si>
  <si>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</si>
  <si>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</si>
  <si>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</si>
  <si>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</si>
  <si>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</si>
  <si>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</si>
  <si>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</si>
  <si>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</si>
  <si>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</si>
  <si>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</si>
  <si>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</si>
  <si>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</si>
  <si>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</si>
  <si>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</si>
  <si>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</si>
  <si>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</si>
  <si>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</si>
  <si>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</si>
  <si>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</si>
  <si>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</si>
  <si>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</si>
  <si>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</si>
  <si>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</si>
  <si>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</si>
  <si>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</si>
  <si>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</si>
  <si>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</si>
  <si>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</si>
  <si>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</si>
  <si>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</si>
  <si>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</si>
  <si>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</si>
  <si>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</si>
  <si>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</si>
  <si>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</si>
  <si>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</si>
  <si>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</si>
  <si>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</si>
  <si>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</si>
  <si>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</si>
  <si>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</si>
  <si>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</si>
  <si>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</si>
  <si>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</si>
  <si>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</si>
  <si>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</si>
  <si>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</si>
  <si>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</si>
  <si>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</si>
  <si>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</si>
  <si>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</si>
  <si>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</si>
  <si>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</si>
  <si>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</si>
  <si>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</si>
  <si>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</si>
  <si>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</si>
  <si>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</si>
  <si>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</si>
  <si>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</si>
  <si>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</si>
  <si>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</si>
  <si>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</si>
  <si>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</si>
  <si>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</si>
  <si>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</si>
  <si>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</si>
  <si>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</si>
  <si>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</si>
  <si>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</si>
  <si>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</si>
  <si>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</si>
  <si>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</si>
  <si>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</si>
  <si>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</si>
  <si>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</si>
  <si>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</si>
  <si>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</si>
  <si>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</si>
  <si>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</si>
  <si>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</si>
  <si>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</si>
  <si>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</si>
  <si>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</si>
  <si>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</si>
  <si>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</si>
  <si>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</si>
  <si>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</si>
  <si>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</si>
  <si>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</si>
  <si>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</si>
  <si>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</si>
  <si>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</si>
  <si>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</si>
  <si>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</si>
  <si>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</si>
  <si>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</si>
  <si>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</si>
  <si>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</si>
  <si>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</si>
  <si>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</si>
  <si>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</si>
  <si>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</si>
  <si>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</si>
  <si>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</si>
  <si>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</si>
  <si>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</si>
  <si>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</si>
  <si>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</si>
  <si>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</si>
  <si>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</si>
  <si>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</si>
  <si>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</si>
  <si>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</si>
  <si>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</si>
  <si>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</si>
  <si>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</si>
  <si>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</si>
  <si>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</si>
  <si>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</si>
  <si>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</si>
  <si>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</si>
  <si>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</si>
  <si>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</si>
  <si>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</si>
  <si>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</si>
  <si>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</si>
  <si>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</si>
  <si>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</si>
  <si>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</si>
  <si>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</si>
  <si>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</si>
  <si>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</si>
  <si>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</si>
  <si>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</si>
  <si>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</si>
  <si>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</si>
  <si>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</si>
  <si>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</si>
  <si>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</si>
  <si>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</si>
  <si>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</si>
  <si>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</si>
  <si>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</si>
  <si>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</si>
  <si>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</si>
  <si>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</si>
  <si>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</si>
  <si>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</si>
  <si>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</si>
  <si>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</si>
  <si>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</si>
  <si>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</si>
  <si>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</si>
  <si>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</si>
  <si>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</si>
  <si>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</si>
  <si>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</si>
  <si>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</si>
  <si>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</si>
  <si>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</si>
  <si>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</si>
  <si>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</si>
  <si>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</si>
  <si>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</si>
  <si>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</si>
  <si>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</si>
  <si>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</si>
  <si>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</si>
  <si>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</si>
  <si>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</si>
  <si>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</si>
  <si>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</si>
  <si>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</si>
  <si>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</si>
  <si>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</si>
  <si>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</si>
  <si>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</si>
  <si>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</si>
  <si>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</si>
  <si>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</si>
  <si>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</si>
  <si>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</si>
  <si>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</si>
  <si>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</si>
  <si>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</si>
  <si>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</si>
  <si>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</si>
  <si>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</si>
  <si>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</si>
  <si>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</si>
  <si>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</si>
  <si>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</si>
  <si>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</si>
  <si>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</si>
  <si>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</si>
  <si>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</si>
  <si>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</si>
  <si>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</si>
  <si>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</si>
  <si>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</si>
  <si>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</si>
  <si>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</si>
  <si>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</si>
  <si>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</si>
  <si>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</si>
  <si>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</si>
  <si>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</si>
  <si>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</si>
  <si>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</si>
  <si>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</si>
  <si>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</si>
  <si>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</si>
  <si>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</si>
  <si>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</si>
  <si>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</si>
  <si>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</si>
  <si>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</si>
  <si>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</si>
  <si>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</si>
  <si>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</si>
  <si>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</si>
  <si>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</si>
  <si>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</si>
  <si>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</si>
  <si>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</si>
  <si>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</si>
  <si>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</si>
  <si>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</si>
  <si>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</si>
  <si>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</si>
  <si>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</si>
  <si>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</si>
  <si>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</si>
  <si>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</si>
  <si>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</si>
  <si>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</si>
  <si>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</si>
  <si>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</si>
  <si>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</si>
  <si>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</si>
  <si>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</si>
  <si>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</si>
  <si>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</si>
  <si>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</si>
  <si>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</si>
  <si>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</si>
  <si>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</si>
  <si>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</si>
  <si>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</si>
  <si>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</si>
  <si>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</si>
  <si>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</si>
  <si>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</si>
  <si>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</si>
  <si>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</si>
  <si>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</si>
  <si>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</si>
  <si>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</si>
  <si>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</si>
  <si>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</si>
  <si>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</si>
  <si>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</si>
  <si>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</si>
  <si>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</si>
  <si>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</si>
  <si>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</si>
  <si>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</si>
  <si>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</si>
  <si>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</si>
  <si>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</si>
  <si>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</si>
  <si>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</si>
  <si>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</si>
  <si>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</si>
  <si>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</si>
  <si>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</si>
  <si>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</si>
  <si>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</si>
  <si>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</si>
  <si>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</si>
  <si>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</si>
  <si>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</si>
  <si>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</si>
  <si>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</si>
  <si>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</si>
  <si>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</si>
  <si>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</si>
  <si>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</si>
  <si>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</si>
  <si>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</si>
  <si>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</si>
  <si>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</si>
  <si>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</si>
  <si>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</si>
  <si>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</si>
  <si>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</si>
  <si>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</si>
  <si>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</si>
  <si>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</si>
  <si>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</si>
  <si>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</si>
  <si>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</si>
  <si>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</si>
  <si>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</si>
  <si>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</si>
  <si>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</si>
  <si>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</si>
  <si>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</si>
  <si>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</si>
  <si>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</si>
  <si>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</si>
  <si>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</si>
  <si>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</si>
  <si>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</si>
  <si>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</si>
  <si>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</si>
  <si>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</si>
  <si>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</si>
  <si>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</si>
  <si>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</si>
  <si>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</si>
  <si>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</si>
  <si>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</si>
  <si>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</si>
  <si>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</si>
  <si>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</si>
  <si>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</si>
  <si>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</si>
  <si>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</si>
  <si>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</si>
  <si>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</si>
  <si>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</si>
  <si>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</si>
  <si>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</si>
  <si>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</si>
  <si>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</si>
  <si>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</si>
  <si>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</si>
  <si>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</si>
  <si>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</si>
  <si>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</si>
  <si>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</si>
  <si>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</si>
  <si>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</si>
  <si>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</si>
  <si>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</si>
  <si>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</si>
  <si>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</si>
  <si>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</si>
  <si>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</si>
  <si>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</si>
  <si>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</si>
  <si>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</si>
  <si>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</si>
  <si>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</si>
  <si>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</si>
  <si>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</si>
  <si>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</si>
  <si>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</si>
  <si>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</si>
  <si>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</si>
  <si>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</si>
  <si>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</si>
  <si>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</si>
  <si>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</si>
  <si>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</si>
  <si>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</si>
  <si>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</si>
  <si>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</si>
  <si>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</si>
  <si>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</si>
  <si>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</si>
  <si>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</si>
  <si>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</si>
  <si>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</si>
  <si>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</si>
  <si>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</si>
  <si>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</si>
  <si>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</si>
  <si>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</si>
  <si>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</si>
  <si>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</si>
  <si>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</si>
  <si>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</si>
  <si>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</si>
  <si>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</si>
  <si>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</si>
  <si>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</si>
  <si>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</si>
  <si>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</si>
  <si>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</si>
  <si>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</si>
  <si>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</si>
  <si>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</si>
  <si>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</si>
  <si>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</si>
  <si>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</si>
  <si>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</si>
  <si>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</si>
  <si>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</si>
  <si>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</si>
  <si>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</si>
  <si>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</si>
  <si>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</si>
  <si>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</si>
  <si>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</si>
  <si>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</si>
  <si>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</si>
  <si>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</si>
  <si>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</si>
  <si>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</si>
  <si>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</si>
  <si>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</si>
  <si>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</si>
  <si>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</si>
  <si>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</si>
  <si>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</si>
  <si>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</si>
  <si>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</si>
  <si>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</si>
  <si>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</si>
  <si>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</si>
  <si>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</si>
  <si>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</si>
  <si>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</si>
  <si>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</si>
  <si>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</si>
  <si>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</si>
  <si>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</si>
  <si>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</si>
  <si>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</si>
  <si>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</si>
  <si>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</si>
  <si>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</si>
  <si>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</si>
  <si>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</si>
  <si>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</si>
  <si>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</si>
  <si>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</si>
  <si>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</si>
  <si>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</si>
  <si>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</si>
  <si>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</si>
  <si>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</si>
  <si>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</si>
  <si>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</si>
  <si>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</si>
  <si>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</si>
  <si>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</si>
  <si>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</si>
  <si>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</si>
  <si>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</si>
  <si>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</si>
  <si>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</si>
  <si>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</si>
  <si>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</si>
  <si>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</si>
  <si>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</si>
  <si>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</si>
  <si>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</si>
  <si>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</si>
  <si>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</si>
  <si>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</si>
  <si>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</si>
  <si>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</si>
  <si>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</si>
  <si>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</si>
  <si>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</si>
  <si>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</si>
  <si>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</si>
  <si>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</si>
  <si>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</si>
  <si>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</si>
  <si>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</si>
  <si>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</si>
  <si>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</si>
  <si>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</si>
  <si>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</si>
  <si>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</si>
  <si>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</si>
  <si>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</si>
  <si>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</si>
  <si>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</si>
  <si>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</si>
  <si>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</si>
  <si>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</si>
  <si>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</si>
  <si>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</si>
  <si>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</si>
  <si>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</si>
  <si>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</si>
  <si>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</si>
  <si>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</si>
  <si>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</si>
  <si>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</si>
  <si>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</si>
  <si>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</si>
  <si>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</si>
  <si>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</si>
  <si>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</si>
  <si>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</si>
  <si>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</si>
  <si>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</si>
  <si>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</si>
  <si>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</si>
  <si>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</si>
  <si>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</si>
  <si>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</si>
  <si>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</si>
  <si>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</si>
  <si>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</si>
  <si>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</si>
  <si>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</si>
  <si>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</si>
  <si>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</si>
  <si>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</si>
  <si>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</si>
  <si>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</si>
  <si>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</si>
  <si>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</si>
  <si>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</si>
  <si>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</si>
  <si>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</si>
  <si>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</si>
  <si>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</si>
  <si>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</si>
  <si>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</si>
  <si>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</si>
  <si>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</si>
  <si>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</si>
  <si>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</si>
  <si>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</si>
  <si>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</si>
  <si>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</si>
  <si>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</si>
  <si>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</si>
  <si>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</si>
  <si>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</si>
  <si>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</si>
  <si>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</si>
  <si>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</si>
  <si>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</si>
  <si>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</si>
  <si>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</si>
  <si>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</si>
  <si>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</si>
  <si>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</si>
  <si>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</si>
  <si>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</si>
  <si>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</si>
  <si>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</si>
  <si>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</si>
  <si>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</si>
  <si>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</si>
  <si>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</si>
  <si>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</si>
  <si>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</si>
  <si>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</si>
  <si>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</si>
  <si>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</si>
  <si>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</si>
  <si>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</si>
  <si>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</si>
  <si>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</si>
  <si>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</si>
  <si>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</si>
  <si>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</si>
  <si>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</si>
  <si>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</si>
  <si>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</si>
  <si>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</si>
  <si>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</si>
  <si>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</si>
  <si>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</si>
  <si>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</si>
  <si>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</si>
  <si>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</si>
  <si>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</si>
  <si>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</si>
  <si>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</si>
  <si>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</si>
  <si>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</si>
  <si>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</si>
  <si>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</si>
  <si>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</si>
  <si>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</si>
  <si>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</si>
  <si>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</si>
  <si>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</si>
  <si>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</si>
  <si>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</si>
  <si>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</si>
  <si>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</si>
  <si>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</si>
  <si>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</si>
  <si>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</si>
  <si>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</si>
  <si>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</si>
  <si>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</si>
  <si>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</si>
  <si>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</si>
  <si>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</si>
  <si>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</si>
  <si>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</si>
  <si>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</si>
  <si>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</si>
  <si>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</si>
  <si>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</si>
  <si>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</si>
  <si>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</si>
  <si>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</si>
  <si>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</si>
  <si>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</si>
  <si>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</si>
  <si>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</si>
  <si>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</si>
  <si>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</si>
  <si>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</si>
  <si>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</si>
  <si>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</si>
  <si>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</si>
  <si>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</si>
  <si>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</si>
  <si>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</si>
  <si>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</si>
  <si>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</si>
  <si>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</si>
  <si>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</si>
  <si>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</si>
  <si>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</si>
  <si>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</si>
  <si>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</si>
  <si>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</si>
  <si>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</si>
  <si>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</si>
  <si>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</si>
  <si>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</si>
  <si>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</si>
  <si>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</si>
  <si>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</si>
  <si>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</si>
  <si>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</si>
  <si>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</si>
  <si>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</si>
  <si>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</si>
  <si>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</si>
  <si>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</si>
  <si>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</si>
  <si>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</si>
  <si>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</si>
  <si>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</si>
  <si>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</si>
  <si>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</si>
  <si>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</si>
  <si>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</si>
  <si>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</si>
  <si>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</si>
  <si>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</si>
  <si>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</si>
  <si>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</si>
  <si>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</si>
  <si>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</si>
  <si>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</si>
  <si>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</si>
  <si>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</si>
  <si>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</si>
  <si>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</si>
  <si>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</si>
  <si>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</si>
  <si>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</si>
  <si>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</si>
  <si>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</si>
  <si>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</si>
  <si>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</si>
  <si>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</si>
  <si>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</si>
  <si>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</si>
  <si>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</si>
  <si>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</si>
  <si>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</si>
  <si>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</si>
  <si>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</si>
  <si>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</si>
  <si>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</si>
  <si>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</si>
  <si>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</si>
  <si>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</si>
  <si>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</si>
  <si>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</si>
  <si>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</si>
  <si>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</si>
  <si>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</si>
  <si>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</si>
  <si>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</si>
  <si>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</si>
  <si>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</si>
  <si>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</si>
  <si>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</si>
  <si>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</si>
  <si>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</si>
  <si>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</si>
  <si>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</si>
  <si>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</si>
  <si>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</si>
  <si>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</si>
  <si>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</si>
  <si>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</si>
  <si>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</si>
  <si>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</si>
  <si>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</si>
  <si>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</si>
  <si>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</si>
  <si>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</si>
  <si>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</si>
  <si>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</si>
  <si>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</si>
  <si>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</si>
  <si>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</si>
  <si>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</si>
  <si>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</si>
  <si>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</si>
  <si>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</si>
  <si>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</si>
  <si>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</si>
  <si>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</si>
  <si>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</si>
  <si>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</si>
  <si>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</si>
  <si>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</si>
  <si>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</si>
  <si>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</si>
  <si>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</si>
  <si>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</si>
  <si>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</si>
  <si>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</si>
  <si>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</si>
  <si>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</si>
  <si>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</si>
  <si>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</si>
  <si>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</si>
  <si>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</si>
  <si>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</si>
  <si>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</si>
  <si>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</si>
  <si>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</si>
  <si>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</si>
  <si>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</si>
  <si>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</si>
  <si>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</si>
  <si>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</si>
  <si>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</si>
  <si>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</si>
  <si>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</si>
  <si>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</si>
  <si>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</si>
  <si>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</si>
  <si>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</si>
  <si>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</si>
  <si>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</si>
  <si>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</si>
  <si>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</si>
  <si>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</si>
  <si>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</si>
  <si>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</si>
  <si>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</si>
  <si>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</si>
  <si>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</si>
  <si>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</si>
  <si>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</si>
  <si>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</si>
  <si>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</si>
  <si>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</si>
  <si>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</si>
  <si>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</si>
  <si>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</si>
  <si>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</si>
  <si>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</si>
  <si>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</si>
  <si>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</si>
  <si>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</si>
  <si>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</si>
  <si>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</si>
  <si>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</si>
  <si>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</si>
  <si>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</si>
  <si>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</si>
  <si>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</si>
  <si>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</si>
  <si>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</si>
  <si>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</si>
  <si>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</si>
  <si>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</si>
  <si>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</si>
  <si>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</si>
  <si>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</si>
  <si>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</si>
  <si>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</si>
  <si>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</si>
  <si>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</si>
  <si>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</si>
  <si>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</si>
  <si>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</si>
  <si>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</si>
  <si>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</si>
  <si>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</si>
  <si>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</si>
  <si>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</si>
  <si>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</si>
  <si>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</si>
  <si>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</si>
  <si>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</si>
  <si>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</si>
  <si>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</si>
  <si>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</si>
  <si>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</si>
  <si>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</si>
  <si>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</si>
  <si>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</si>
  <si>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</si>
  <si>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</si>
  <si>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</si>
  <si>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</si>
  <si>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</si>
  <si>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</si>
  <si>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</si>
  <si>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</si>
  <si>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</si>
  <si>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</si>
  <si>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</si>
  <si>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</si>
  <si>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</si>
  <si>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</si>
  <si>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</si>
  <si>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</si>
  <si>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</si>
  <si>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</si>
  <si>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</si>
  <si>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</si>
  <si>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</si>
  <si>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</si>
  <si>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</si>
  <si>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</si>
  <si>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</si>
  <si>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</si>
  <si>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</si>
  <si>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</si>
  <si>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</si>
  <si>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</si>
  <si>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</si>
  <si>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</si>
  <si>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</si>
  <si>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</si>
  <si>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</si>
  <si>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</si>
  <si>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</si>
  <si>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</si>
  <si>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</si>
  <si>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</si>
  <si>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</si>
  <si>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</si>
  <si>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</si>
  <si>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</si>
  <si>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</si>
  <si>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</si>
  <si>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</si>
  <si>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</si>
  <si>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</si>
  <si>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</si>
  <si>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</si>
  <si>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</si>
  <si>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</si>
  <si>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</si>
  <si>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</si>
  <si>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</si>
  <si>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</si>
  <si>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</si>
  <si>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</si>
  <si>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</si>
  <si>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</si>
  <si>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</si>
  <si>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</si>
  <si>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</si>
  <si>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</si>
  <si>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</si>
  <si>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</si>
  <si>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</si>
  <si>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</si>
  <si>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</si>
  <si>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</si>
  <si>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</si>
  <si>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</si>
  <si>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</si>
  <si>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</si>
  <si>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</si>
  <si>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</si>
  <si>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</si>
  <si>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</si>
  <si>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</si>
  <si>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</si>
  <si>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</si>
  <si>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</si>
  <si>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</si>
  <si>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</si>
  <si>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</si>
  <si>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</si>
  <si>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</si>
  <si>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</si>
  <si>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</si>
  <si>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</si>
  <si>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</si>
  <si>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</si>
  <si>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</si>
  <si>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</si>
  <si>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</si>
  <si>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</si>
  <si>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</si>
  <si>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</si>
  <si>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</si>
  <si>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</si>
  <si>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</si>
  <si>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</si>
  <si>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</si>
  <si>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</si>
  <si>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</si>
  <si>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</si>
  <si>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</si>
  <si>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</si>
  <si>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</si>
  <si>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</si>
  <si>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</si>
  <si>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</si>
  <si>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</si>
  <si>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</si>
  <si>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</si>
  <si>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</si>
  <si>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</si>
  <si>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</si>
  <si>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</si>
  <si>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</si>
  <si>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</si>
  <si>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</si>
  <si>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</si>
  <si>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</si>
  <si>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</si>
  <si>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</si>
  <si>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</si>
  <si>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</si>
  <si>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</si>
  <si>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</si>
  <si>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</si>
  <si>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</si>
  <si>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</si>
  <si>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</si>
  <si>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</si>
  <si>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</si>
  <si>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</si>
  <si>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</si>
  <si>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</si>
  <si>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</si>
  <si>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</si>
  <si>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</si>
  <si>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</si>
  <si>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</si>
  <si>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</si>
  <si>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</si>
  <si>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</si>
  <si>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</si>
  <si>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</si>
  <si>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</si>
  <si>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</si>
  <si>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</si>
  <si>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de material pétreo para núcleo</t>
  </si>
  <si>
    <t>Espalhamento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</si>
  <si>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</si>
  <si>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</si>
  <si>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</si>
  <si>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</si>
  <si>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</si>
  <si>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</si>
  <si>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</si>
  <si>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</si>
  <si>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</si>
  <si>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</si>
  <si>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</si>
  <si>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</si>
  <si>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</si>
  <si>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</si>
  <si>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</si>
  <si>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</si>
  <si>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</si>
  <si>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</si>
  <si>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</si>
  <si>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</si>
  <si>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</si>
  <si>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</si>
  <si>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</si>
  <si>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</si>
  <si>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</si>
  <si>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</si>
  <si>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</si>
  <si>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</si>
  <si>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</si>
  <si>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</si>
  <si>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</si>
  <si>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</si>
  <si>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</si>
  <si>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</si>
  <si>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</si>
  <si>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</si>
  <si>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</si>
  <si>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</si>
  <si>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</si>
  <si>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</si>
  <si>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</si>
  <si>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</si>
  <si>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</si>
  <si>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</si>
  <si>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</si>
  <si>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</si>
  <si>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</si>
  <si>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</si>
  <si>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</si>
  <si>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</si>
  <si>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</si>
  <si>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</si>
  <si>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</si>
  <si>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</si>
  <si>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</si>
  <si>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</si>
  <si>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</si>
  <si>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</si>
  <si>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</si>
  <si>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</si>
  <si>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</si>
  <si>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</si>
  <si>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</si>
  <si>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</si>
  <si>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</si>
  <si>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</si>
  <si>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</si>
  <si>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</si>
  <si>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</si>
  <si>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</si>
  <si>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</si>
  <si>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</si>
  <si>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</si>
  <si>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</si>
  <si>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</si>
  <si>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</si>
  <si>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</si>
  <si>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</si>
  <si>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</si>
  <si>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</si>
  <si>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</si>
  <si>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</si>
  <si>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</si>
  <si>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</si>
  <si>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</si>
  <si>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</si>
  <si>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</si>
  <si>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</si>
  <si>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</si>
  <si>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</si>
  <si>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</si>
  <si>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</si>
  <si>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</si>
  <si>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</si>
  <si>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</si>
  <si>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</si>
  <si>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</si>
  <si>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</si>
  <si>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</si>
  <si>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</si>
  <si>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</si>
  <si>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</si>
  <si>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</si>
  <si>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</si>
  <si>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</si>
  <si>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</si>
  <si>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</si>
  <si>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</si>
  <si>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</si>
  <si>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</si>
  <si>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</si>
  <si>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</si>
  <si>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</si>
  <si>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</si>
  <si>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</si>
  <si>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</si>
  <si>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</si>
  <si>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</si>
  <si>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</si>
  <si>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</si>
  <si>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</si>
  <si>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</si>
  <si>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</si>
  <si>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</si>
  <si>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</si>
  <si>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</si>
  <si>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</si>
  <si>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</si>
  <si>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</si>
  <si>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</si>
  <si>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</si>
  <si>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</si>
  <si>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</si>
  <si>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</si>
  <si>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</si>
  <si>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</si>
  <si>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</si>
  <si>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</si>
  <si>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</si>
  <si>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</si>
  <si>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</si>
  <si>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</si>
  <si>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</si>
  <si>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</si>
  <si>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</si>
  <si>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</si>
  <si>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</si>
  <si>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</si>
  <si>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</si>
  <si>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</si>
  <si>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</si>
  <si>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</si>
  <si>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</si>
  <si>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</si>
  <si>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</si>
  <si>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</si>
  <si>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</si>
  <si>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</si>
  <si>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</si>
  <si>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</si>
  <si>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</si>
  <si>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</si>
  <si>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</si>
  <si>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</si>
  <si>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</si>
  <si>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</si>
  <si>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</si>
  <si>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</si>
  <si>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</si>
  <si>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</si>
  <si>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</si>
  <si>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</si>
  <si>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</si>
  <si>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</si>
  <si>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</si>
  <si>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</si>
  <si>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</si>
  <si>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</si>
  <si>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</si>
  <si>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</si>
  <si>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</si>
  <si>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</si>
  <si>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</si>
  <si>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</si>
  <si>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</si>
  <si>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</si>
  <si>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</si>
  <si>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</si>
  <si>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</si>
  <si>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</si>
  <si>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</si>
  <si>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</si>
  <si>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</si>
  <si>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</si>
  <si>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</si>
  <si>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</si>
  <si>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</si>
  <si>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</si>
  <si>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</si>
  <si>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</si>
  <si>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</si>
  <si>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</si>
  <si>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</si>
  <si>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</si>
  <si>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</si>
  <si>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</si>
  <si>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</si>
  <si>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</si>
  <si>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</si>
  <si>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</si>
  <si>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</si>
  <si>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</si>
  <si>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</si>
  <si>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</si>
  <si>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</si>
  <si>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</si>
  <si>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</si>
  <si>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</si>
  <si>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</si>
  <si>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</si>
  <si>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</si>
  <si>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</si>
  <si>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</si>
  <si>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</si>
  <si>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</si>
  <si>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</si>
  <si>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</si>
  <si>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</si>
  <si>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</si>
  <si>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</si>
  <si>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</si>
  <si>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</si>
  <si>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</si>
  <si>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</si>
  <si>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</si>
  <si>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</si>
  <si>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</si>
  <si>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</si>
  <si>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</si>
  <si>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</si>
  <si>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</si>
  <si>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</si>
  <si>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</si>
  <si>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</si>
  <si>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</si>
  <si>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</si>
  <si>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</si>
  <si>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</si>
  <si>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</si>
  <si>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</si>
  <si>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</si>
  <si>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</si>
  <si>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</si>
  <si>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</si>
  <si>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</si>
  <si>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</si>
  <si>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</si>
  <si>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</si>
  <si>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</si>
  <si>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</si>
  <si>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</si>
  <si>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</si>
  <si>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</si>
  <si>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</si>
  <si>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</si>
  <si>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</si>
  <si>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</si>
  <si>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</si>
  <si>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</si>
  <si>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</si>
  <si>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</si>
  <si>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</si>
  <si>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</si>
  <si>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</si>
  <si>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</si>
  <si>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</si>
  <si>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</si>
  <si>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</si>
  <si>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</si>
  <si>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</si>
  <si>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</si>
  <si>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</si>
  <si>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</si>
  <si>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</si>
  <si>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</si>
  <si>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</si>
  <si>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</si>
  <si>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</si>
  <si>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</si>
  <si>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</si>
  <si>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</si>
  <si>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</si>
  <si>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</si>
  <si>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</si>
  <si>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</si>
  <si>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</si>
  <si>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</si>
  <si>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</si>
  <si>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</si>
  <si>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</si>
  <si>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</si>
  <si>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</si>
  <si>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</si>
  <si>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</si>
  <si>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</si>
  <si>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</si>
  <si>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</si>
  <si>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</si>
  <si>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</si>
  <si>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</si>
  <si>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</si>
  <si>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</si>
  <si>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</si>
  <si>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</si>
  <si>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</si>
  <si>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</si>
  <si>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</si>
  <si>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</si>
  <si>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</si>
  <si>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</si>
  <si>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</si>
  <si>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</si>
  <si>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</si>
  <si>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</si>
  <si>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</si>
  <si>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</si>
  <si>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</si>
  <si>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</si>
  <si>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</si>
  <si>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</si>
  <si>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</si>
  <si>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</si>
  <si>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</si>
  <si>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</si>
  <si>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</si>
  <si>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</si>
  <si>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</si>
  <si>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</si>
  <si>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</si>
  <si>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</si>
  <si>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</si>
  <si>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</si>
  <si>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</si>
  <si>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</si>
  <si>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</si>
  <si>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</si>
  <si>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</si>
  <si>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</si>
  <si>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</si>
  <si>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</si>
  <si>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</si>
  <si>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</si>
  <si>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</si>
  <si>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</si>
  <si>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</si>
  <si>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</si>
  <si>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</si>
  <si>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</si>
  <si>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</si>
  <si>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</si>
  <si>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</si>
  <si>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</si>
  <si>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</si>
  <si>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</si>
  <si>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</si>
  <si>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</si>
  <si>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</si>
  <si>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</si>
  <si>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</si>
  <si>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</si>
  <si>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</si>
  <si>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</si>
  <si>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</si>
  <si>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</si>
  <si>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</si>
  <si>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</si>
  <si>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</si>
  <si>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</si>
  <si>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</si>
  <si>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</si>
  <si>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</si>
  <si>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</si>
  <si>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</si>
  <si>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</si>
  <si>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</si>
  <si>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</si>
  <si>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</si>
  <si>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</si>
  <si>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</si>
  <si>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</si>
  <si>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</si>
  <si>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</si>
  <si>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</si>
  <si>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</si>
  <si>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</si>
  <si>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</si>
  <si>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</si>
  <si>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</si>
  <si>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</si>
  <si>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</si>
  <si>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</si>
  <si>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</si>
  <si>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</si>
  <si>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</si>
  <si>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</si>
  <si>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</si>
  <si>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</si>
  <si>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</si>
  <si>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</si>
  <si>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</si>
  <si>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</si>
  <si>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</si>
  <si>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</si>
  <si>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</si>
  <si>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</si>
  <si>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</si>
  <si>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</si>
  <si>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</si>
  <si>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</si>
  <si>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</si>
  <si>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</si>
  <si>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</si>
  <si>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</si>
  <si>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</si>
  <si>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</si>
  <si>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</si>
  <si>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</si>
  <si>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</si>
  <si>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</si>
  <si>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</si>
  <si>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</si>
  <si>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</si>
  <si>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</si>
  <si>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</si>
  <si>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</si>
  <si>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</si>
  <si>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</si>
  <si>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</si>
  <si>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</si>
  <si>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</si>
  <si>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</si>
  <si>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</si>
  <si>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</si>
  <si>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</si>
  <si>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</si>
  <si>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</si>
  <si>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</si>
  <si>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</si>
  <si>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</si>
  <si>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</si>
  <si>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</si>
  <si>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</si>
  <si>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</si>
  <si>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</si>
  <si>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</si>
  <si>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</si>
  <si>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</si>
  <si>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</si>
  <si>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</si>
  <si>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</si>
  <si>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</si>
  <si>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</si>
  <si>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</si>
  <si>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</si>
  <si>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</si>
  <si>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</si>
  <si>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</si>
  <si>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</si>
  <si>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</si>
  <si>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</si>
  <si>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</si>
  <si>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</si>
  <si>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</si>
  <si>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</si>
  <si>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</si>
  <si>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</si>
  <si>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</si>
  <si>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</si>
  <si>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</si>
  <si>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</si>
  <si>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</si>
  <si>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</si>
  <si>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</si>
  <si>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</si>
  <si>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</si>
  <si>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</si>
  <si>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</si>
  <si>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</si>
  <si>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</si>
  <si>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</si>
  <si>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</si>
  <si>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</si>
  <si>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</si>
  <si>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</si>
  <si>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</si>
  <si>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</si>
  <si>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</si>
  <si>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</si>
  <si>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</si>
  <si>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</si>
  <si>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</si>
  <si>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</si>
  <si>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</si>
  <si>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</si>
  <si>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</si>
  <si>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</si>
  <si>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</si>
  <si>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</si>
  <si>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</si>
  <si>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</si>
  <si>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</si>
  <si>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</si>
  <si>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</si>
  <si>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</si>
  <si>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</si>
  <si>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</si>
  <si>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</si>
  <si>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</si>
  <si>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</si>
  <si>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</si>
  <si>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</si>
  <si>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</si>
  <si>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</si>
  <si>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</si>
  <si>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</si>
  <si>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</si>
  <si>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</si>
  <si>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</si>
  <si>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</si>
  <si>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</si>
  <si>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</si>
  <si>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</si>
  <si>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</si>
  <si>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</si>
  <si>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</si>
  <si>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</si>
  <si>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</si>
  <si>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</si>
  <si>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</si>
  <si>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</si>
  <si>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</si>
  <si>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</si>
  <si>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</si>
  <si>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</si>
  <si>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</si>
  <si>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</si>
  <si>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</si>
  <si>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</si>
  <si>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</si>
  <si>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</si>
  <si>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</si>
  <si>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</si>
  <si>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</si>
  <si>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</si>
  <si>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</si>
  <si>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</si>
  <si>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</si>
  <si>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</si>
  <si>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</si>
  <si>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</si>
  <si>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</si>
  <si>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</si>
  <si>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</si>
  <si>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</si>
  <si>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</si>
  <si>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</si>
  <si>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</si>
  <si>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</si>
  <si>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</si>
  <si>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</si>
  <si>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</si>
  <si>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</si>
  <si>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</si>
  <si>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</si>
  <si>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</si>
  <si>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</si>
  <si>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</si>
  <si>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</si>
  <si>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</si>
  <si>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</si>
  <si>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</si>
  <si>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</si>
  <si>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</si>
  <si>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</si>
  <si>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</si>
  <si>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</si>
  <si>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</si>
  <si>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</si>
  <si>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</si>
  <si>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</si>
  <si>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</si>
  <si>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</si>
  <si>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</si>
  <si>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</si>
  <si>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</si>
  <si>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</si>
  <si>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</si>
  <si>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</si>
  <si>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</si>
  <si>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</si>
  <si>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</si>
  <si>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</si>
  <si>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</si>
  <si>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</si>
  <si>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</si>
  <si>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</si>
  <si>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</si>
  <si>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</si>
  <si>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</si>
  <si>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</si>
  <si>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</si>
  <si>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</si>
  <si>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</si>
  <si>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</si>
  <si>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</si>
  <si>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</si>
  <si>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</si>
  <si>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</si>
  <si>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</si>
  <si>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</si>
  <si>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</si>
  <si>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</si>
  <si>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</si>
  <si>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</si>
  <si>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</si>
  <si>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</si>
  <si>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</si>
  <si>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</si>
  <si>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</si>
  <si>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</si>
  <si>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</si>
  <si>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</si>
  <si>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</si>
  <si>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</si>
  <si>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</si>
  <si>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</si>
  <si>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</si>
  <si>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</si>
  <si>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</si>
  <si>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</si>
  <si>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</si>
  <si>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</si>
  <si>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</si>
  <si>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</si>
  <si>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</si>
  <si>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</si>
  <si>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</si>
  <si>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</si>
  <si>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</si>
  <si>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</si>
  <si>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</si>
  <si>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</si>
  <si>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</si>
  <si>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</si>
  <si>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</si>
  <si>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</si>
  <si>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</si>
  <si>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</si>
  <si>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</si>
  <si>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</si>
  <si>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</si>
  <si>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</si>
  <si>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</si>
  <si>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</si>
  <si>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</si>
  <si>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</si>
  <si>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</si>
  <si>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</si>
  <si>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</si>
  <si>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</si>
  <si>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</si>
  <si>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</si>
  <si>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</si>
  <si>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</si>
  <si>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</si>
  <si>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</si>
  <si>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</si>
  <si>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</si>
  <si>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</si>
  <si>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</si>
  <si>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</si>
  <si>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</si>
  <si>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</si>
  <si>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</si>
  <si>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</si>
  <si>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</si>
  <si>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</si>
  <si>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</si>
  <si>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</si>
  <si>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</si>
  <si>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</si>
  <si>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</si>
  <si>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</si>
  <si>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</si>
  <si>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</si>
  <si>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</si>
  <si>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</si>
  <si>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</si>
  <si>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</si>
  <si>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</si>
  <si>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</si>
  <si>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</si>
  <si>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</si>
  <si>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</si>
  <si>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</si>
  <si>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</si>
  <si>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</si>
  <si>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</si>
  <si>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</si>
  <si>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</si>
  <si>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</si>
  <si>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</si>
  <si>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</si>
  <si>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</si>
  <si>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</si>
  <si>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</si>
  <si>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</si>
  <si>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</si>
  <si>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</si>
  <si>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</si>
  <si>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</si>
  <si>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</si>
  <si>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</si>
  <si>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</si>
  <si>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</si>
  <si>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</si>
  <si>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</si>
  <si>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</si>
  <si>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</si>
  <si>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</si>
  <si>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</si>
  <si>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</si>
  <si>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</si>
  <si>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</si>
  <si>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</si>
  <si>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</si>
  <si>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</si>
  <si>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</si>
  <si>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</si>
  <si>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</si>
  <si>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</si>
  <si>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</si>
  <si>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</si>
  <si>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</si>
  <si>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</si>
  <si>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</si>
  <si>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</si>
  <si>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</si>
  <si>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</si>
  <si>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</si>
  <si>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</si>
  <si>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</si>
  <si>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</si>
  <si>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</si>
  <si>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</si>
  <si>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</si>
  <si>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</si>
  <si>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</si>
  <si>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</si>
  <si>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</si>
  <si>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</si>
  <si>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</si>
  <si>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</si>
  <si>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</si>
  <si>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</si>
  <si>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</si>
  <si>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</si>
  <si>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</si>
  <si>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</si>
  <si>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</si>
  <si>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</si>
  <si>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</si>
  <si>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</si>
  <si>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</si>
  <si>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</si>
  <si>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</si>
  <si>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</si>
  <si>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</si>
  <si>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</si>
  <si>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</si>
  <si>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</si>
  <si>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</si>
  <si>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</si>
  <si>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</si>
  <si>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</si>
  <si>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</si>
  <si>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</si>
  <si>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</si>
  <si>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</si>
  <si>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</si>
  <si>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</si>
  <si>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</si>
  <si>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</si>
  <si>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</si>
  <si>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</si>
  <si>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</si>
  <si>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</si>
  <si>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</si>
  <si>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</si>
  <si>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</si>
  <si>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</si>
  <si>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</si>
  <si>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</si>
  <si>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</si>
  <si>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</si>
  <si>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</si>
  <si>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</si>
  <si>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</si>
  <si>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</si>
  <si>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</si>
  <si>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</si>
  <si>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</si>
  <si>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</si>
  <si>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</si>
  <si>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</si>
  <si>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</si>
  <si>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</si>
  <si>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</si>
  <si>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</si>
  <si>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</si>
  <si>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</si>
  <si>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</si>
  <si>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</si>
  <si>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</si>
  <si>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</si>
  <si>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</si>
  <si>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</si>
  <si>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</si>
  <si>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</si>
  <si>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</si>
  <si>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</si>
  <si>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</si>
  <si>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</si>
  <si>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</si>
  <si>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</si>
  <si>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</si>
  <si>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</si>
  <si>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</si>
  <si>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</si>
  <si>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</si>
  <si>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</si>
  <si>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</si>
  <si>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</si>
  <si>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</si>
  <si>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</si>
  <si>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</si>
  <si>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</si>
  <si>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</si>
  <si>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</si>
  <si>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</si>
  <si>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</si>
  <si>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</si>
  <si>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</si>
  <si>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</si>
  <si>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</si>
  <si>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</si>
  <si>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</si>
  <si>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</si>
  <si>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</si>
  <si>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</si>
  <si>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</si>
  <si>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</si>
  <si>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</si>
  <si>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</si>
  <si>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</si>
  <si>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</si>
  <si>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</si>
  <si>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</si>
  <si>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</si>
  <si>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</si>
  <si>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</si>
  <si>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</si>
  <si>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</si>
  <si>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</si>
  <si>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</si>
  <si>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</si>
  <si>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</si>
  <si>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</si>
  <si>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</si>
  <si>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</si>
  <si>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</si>
  <si>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</si>
  <si>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</si>
  <si>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</si>
  <si>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</si>
  <si>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</si>
  <si>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</si>
  <si>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</si>
  <si>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</si>
  <si>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</si>
  <si>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</si>
  <si>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</si>
  <si>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</si>
  <si>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</si>
  <si>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</si>
  <si>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</si>
  <si>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</si>
  <si>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</si>
  <si>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</si>
  <si>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</si>
  <si>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</si>
  <si>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</si>
  <si>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</si>
  <si>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</si>
  <si>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</si>
  <si>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</si>
  <si>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</si>
  <si>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</si>
  <si>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</si>
  <si>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</si>
  <si>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</si>
  <si>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</si>
  <si>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</si>
  <si>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</si>
  <si>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</si>
  <si>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</si>
  <si>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</si>
  <si>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</si>
  <si>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</si>
  <si>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</si>
  <si>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</si>
  <si>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</si>
  <si>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</si>
  <si>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</si>
  <si>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</si>
  <si>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</si>
  <si>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</si>
  <si>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</si>
  <si>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</si>
  <si>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</si>
  <si>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</si>
  <si>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</si>
  <si>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</si>
  <si>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</si>
  <si>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</si>
  <si>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</si>
  <si>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</si>
  <si>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</si>
  <si>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</si>
  <si>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</si>
  <si>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</si>
  <si>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</si>
  <si>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</si>
  <si>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</si>
  <si>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</si>
  <si>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</si>
  <si>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</si>
  <si>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</si>
  <si>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</si>
  <si>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</si>
  <si>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</si>
  <si>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</si>
  <si>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</si>
  <si>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</si>
  <si>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</si>
  <si>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</si>
  <si>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</si>
  <si>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</si>
  <si>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</si>
  <si>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</si>
  <si>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</si>
  <si>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</si>
  <si>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</si>
  <si>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</si>
  <si>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</si>
  <si>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</si>
  <si>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</si>
  <si>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</si>
  <si>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</si>
  <si>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</si>
  <si>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</si>
  <si>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</si>
  <si>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</si>
  <si>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</si>
  <si>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</si>
  <si>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</si>
  <si>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</si>
  <si>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</si>
  <si>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</si>
  <si>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</si>
  <si>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</si>
  <si>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</si>
  <si>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</si>
  <si>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</si>
  <si>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</si>
  <si>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</si>
  <si>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</si>
  <si>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</si>
  <si>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</si>
  <si>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</si>
  <si>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</si>
  <si>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</si>
  <si>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</si>
  <si>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</si>
  <si>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</si>
  <si>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</si>
  <si>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</si>
  <si>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</si>
  <si>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</si>
  <si>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</si>
  <si>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</si>
  <si>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</si>
  <si>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</si>
  <si>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</si>
  <si>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</si>
  <si>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</si>
  <si>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</si>
  <si>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</si>
  <si>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</si>
  <si>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</si>
  <si>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</si>
  <si>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</si>
  <si>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</si>
  <si>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</si>
  <si>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</si>
  <si>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</si>
  <si>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</si>
  <si>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</si>
  <si>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</si>
  <si>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</si>
  <si>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</si>
  <si>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</si>
  <si>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</si>
  <si>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</si>
  <si>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</si>
  <si>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</si>
  <si>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</si>
  <si>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</si>
  <si>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</si>
  <si>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</si>
  <si>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</si>
  <si>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</si>
  <si>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</si>
  <si>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</si>
  <si>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</si>
  <si>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</si>
  <si>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</si>
  <si>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</si>
  <si>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</si>
  <si>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</si>
  <si>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</si>
  <si>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</si>
  <si>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</si>
  <si>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</si>
  <si>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</si>
  <si>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</si>
  <si>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</si>
  <si>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</si>
  <si>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</si>
  <si>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</si>
  <si>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</si>
  <si>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</si>
  <si>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</si>
  <si>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</si>
  <si>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</si>
  <si>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</si>
  <si>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</si>
  <si>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</si>
  <si>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</si>
  <si>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</si>
  <si>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</si>
  <si>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</si>
  <si>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</si>
  <si>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</si>
  <si>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</si>
  <si>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</si>
  <si>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</si>
  <si>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</si>
  <si>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</si>
  <si>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</si>
  <si>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</si>
  <si>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</si>
  <si>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</si>
  <si>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</si>
  <si>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</si>
  <si>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</si>
  <si>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</si>
  <si>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</si>
  <si>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</si>
  <si>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</si>
  <si>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</si>
  <si>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</si>
  <si>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</si>
  <si>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</si>
  <si>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</si>
  <si>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</si>
  <si>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</si>
  <si>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</si>
  <si>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</si>
  <si>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</si>
  <si>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</si>
  <si>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</si>
  <si>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</si>
  <si>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</si>
  <si>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</si>
  <si>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</si>
  <si>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</si>
  <si>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</si>
  <si>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</si>
  <si>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</si>
  <si>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</si>
  <si>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</si>
  <si>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</si>
  <si>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</si>
  <si>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</si>
  <si>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</si>
  <si>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</si>
  <si>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</si>
  <si>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</si>
  <si>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</si>
  <si>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</si>
  <si>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</si>
  <si>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</si>
  <si>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</si>
  <si>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</si>
  <si>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</si>
  <si>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</si>
  <si>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</si>
  <si>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</si>
  <si>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</si>
  <si>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</si>
  <si>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</si>
  <si>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</si>
  <si>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</si>
  <si>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</si>
  <si>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</si>
  <si>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</si>
  <si>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</si>
  <si>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</si>
  <si>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</si>
  <si>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</si>
  <si>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</si>
  <si>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</si>
  <si>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</si>
  <si>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</si>
  <si>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</si>
  <si>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</si>
  <si>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</si>
  <si>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</si>
  <si>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</si>
  <si>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</si>
  <si>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</si>
  <si>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</si>
  <si>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</si>
  <si>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</si>
  <si>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</si>
  <si>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</si>
  <si>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</si>
  <si>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</si>
  <si>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</si>
  <si>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</si>
  <si>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</si>
  <si>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</si>
  <si>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</si>
  <si>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</si>
  <si>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</si>
  <si>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</si>
  <si>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</si>
  <si>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</si>
  <si>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</si>
  <si>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</si>
  <si>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</si>
  <si>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</si>
  <si>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</si>
  <si>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</si>
  <si>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</si>
  <si>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</si>
  <si>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</si>
  <si>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</si>
  <si>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</si>
  <si>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</si>
  <si>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</si>
  <si>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</si>
  <si>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</si>
  <si>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</si>
  <si>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</si>
  <si>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</si>
  <si>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</si>
  <si>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</si>
  <si>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</si>
  <si>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</si>
  <si>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</si>
  <si>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</si>
  <si>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</si>
  <si>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</si>
  <si>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</si>
  <si>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</si>
  <si>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</si>
  <si>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</si>
  <si>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</si>
  <si>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</si>
  <si>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</si>
  <si>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</si>
  <si>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</si>
  <si>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</si>
  <si>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</si>
  <si>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</si>
  <si>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</si>
  <si>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</si>
  <si>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</si>
  <si>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</si>
  <si>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</si>
  <si>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</si>
  <si>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</si>
  <si>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</si>
  <si>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</si>
  <si>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</si>
  <si>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</si>
  <si>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</si>
  <si>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</si>
  <si>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</si>
  <si>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</si>
  <si>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</si>
  <si>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</si>
  <si>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</si>
  <si>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</si>
  <si>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</si>
  <si>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</si>
  <si>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</si>
  <si>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</si>
  <si>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</si>
  <si>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</si>
  <si>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</si>
  <si>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</si>
  <si>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</si>
  <si>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</si>
  <si>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</si>
  <si>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</si>
  <si>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</si>
  <si>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</si>
  <si>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</si>
  <si>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</si>
  <si>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</si>
  <si>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</si>
  <si>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</si>
  <si>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</si>
  <si>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</si>
  <si>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</si>
  <si>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</si>
  <si>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</si>
  <si>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</si>
  <si>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</si>
  <si>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</si>
  <si>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</si>
  <si>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</si>
  <si>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</si>
  <si>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</si>
  <si>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</si>
  <si>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</si>
  <si>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</si>
  <si>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</si>
  <si>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</si>
  <si>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</si>
  <si>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</si>
  <si>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</si>
  <si>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</si>
  <si>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</si>
  <si>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</si>
  <si>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</si>
  <si>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</si>
  <si>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</si>
  <si>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</si>
  <si>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</si>
  <si>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</si>
  <si>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</si>
  <si>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</si>
  <si>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</si>
  <si>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</si>
  <si>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</si>
  <si>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</si>
  <si>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</si>
  <si>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</si>
  <si>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</si>
  <si>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</si>
  <si>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</si>
  <si>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</si>
  <si>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</si>
  <si>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</si>
  <si>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</si>
  <si>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</si>
  <si>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</si>
  <si>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</si>
  <si>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</si>
  <si>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</si>
  <si>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</si>
  <si>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</si>
  <si>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</si>
  <si>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</si>
  <si>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</si>
  <si>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</si>
  <si>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</si>
  <si>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</si>
  <si>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</si>
  <si>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</si>
  <si>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</si>
  <si>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</si>
  <si>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</si>
  <si>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</si>
  <si>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</si>
  <si>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</si>
  <si>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</si>
  <si>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</si>
  <si>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</si>
  <si>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</si>
  <si>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</si>
  <si>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</si>
  <si>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</si>
  <si>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</si>
  <si>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</si>
  <si>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</si>
  <si>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</si>
  <si>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</si>
  <si>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</si>
  <si>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</si>
  <si>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</si>
  <si>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</si>
  <si>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</si>
  <si>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</si>
  <si>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</si>
  <si>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</si>
  <si>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</si>
  <si>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</si>
  <si>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</si>
  <si>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</si>
  <si>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</si>
  <si>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</si>
  <si>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</si>
  <si>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</si>
  <si>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</si>
  <si>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</si>
  <si>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</si>
  <si>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</si>
  <si>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</si>
  <si>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</si>
  <si>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</si>
  <si>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</si>
  <si>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</si>
  <si>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</si>
  <si>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</si>
  <si>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</si>
  <si>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</si>
  <si>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</si>
  <si>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</si>
  <si>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</si>
  <si>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</si>
  <si>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</si>
  <si>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</si>
  <si>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</si>
  <si>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</si>
  <si>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</si>
  <si>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</si>
  <si>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</si>
  <si>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</si>
  <si>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</si>
  <si>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</si>
  <si>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</si>
  <si>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</si>
  <si>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</si>
  <si>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</si>
  <si>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</si>
  <si>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</si>
  <si>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</si>
  <si>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</si>
  <si>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</si>
  <si>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</si>
  <si>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</si>
  <si>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</si>
  <si>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</si>
  <si>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</si>
  <si>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</si>
  <si>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</si>
  <si>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</si>
  <si>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</si>
  <si>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</si>
  <si>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</si>
  <si>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</si>
  <si>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</si>
  <si>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</si>
  <si>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</si>
  <si>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</si>
  <si>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</si>
  <si>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</si>
  <si>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</si>
  <si>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</si>
  <si>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</si>
  <si>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</si>
  <si>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</si>
  <si>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</si>
  <si>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</si>
  <si>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</si>
  <si>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</si>
  <si>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</si>
  <si>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</si>
  <si>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</si>
  <si>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</si>
  <si>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</si>
  <si>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</si>
  <si>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</si>
  <si>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</si>
  <si>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</si>
  <si>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</si>
  <si>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</si>
  <si>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</si>
  <si>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</si>
  <si>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</si>
  <si>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</si>
  <si>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</si>
  <si>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</si>
  <si>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</si>
  <si>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</si>
  <si>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</si>
  <si>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</si>
  <si>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</si>
  <si>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</si>
  <si>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</si>
  <si>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</si>
  <si>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</si>
  <si>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</si>
  <si>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</si>
  <si>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</si>
  <si>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</si>
  <si>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</si>
  <si>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</si>
  <si>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</si>
  <si>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</si>
  <si>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</si>
  <si>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</si>
  <si>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</si>
  <si>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</si>
  <si>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</si>
  <si>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</si>
  <si>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</si>
  <si>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</si>
  <si>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</si>
  <si>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</si>
  <si>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</si>
  <si>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</si>
  <si>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</si>
  <si>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</si>
  <si>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</si>
  <si>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</si>
  <si>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</si>
  <si>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</si>
  <si>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</si>
  <si>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</si>
  <si>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</si>
  <si>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</si>
  <si>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</si>
  <si>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</si>
  <si>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</si>
  <si>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</si>
  <si>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</si>
  <si>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</si>
  <si>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</si>
  <si>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</si>
  <si>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</si>
  <si>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</si>
  <si>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</si>
  <si>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</si>
  <si>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</si>
  <si>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</si>
  <si>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</si>
  <si>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</si>
  <si>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</si>
  <si>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</si>
  <si>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</si>
  <si>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</si>
  <si>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</si>
  <si>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</si>
  <si>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</si>
  <si>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</si>
  <si>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</si>
  <si>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</si>
  <si>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</si>
  <si>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</si>
  <si>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</si>
  <si>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</si>
  <si>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</si>
  <si>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</si>
  <si>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</si>
  <si>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</si>
  <si>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</si>
  <si>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</si>
  <si>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</si>
  <si>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</si>
  <si>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</si>
  <si>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</si>
  <si>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</si>
  <si>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</si>
  <si>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</si>
  <si>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</si>
  <si>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</si>
  <si>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</si>
  <si>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</si>
  <si>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</si>
  <si>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</si>
  <si>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</si>
  <si>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</si>
  <si>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</si>
  <si>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</si>
  <si>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</si>
  <si>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</si>
  <si>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</si>
  <si>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</si>
  <si>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</si>
  <si>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</si>
  <si>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</si>
  <si>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</si>
  <si>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</si>
  <si>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</si>
  <si>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</si>
  <si>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</si>
  <si>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</si>
  <si>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</si>
  <si>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</si>
  <si>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</si>
  <si>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</si>
  <si>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</si>
  <si>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</si>
  <si>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</si>
  <si>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</si>
  <si>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</si>
  <si>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</si>
  <si>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</si>
  <si>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</si>
  <si>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</si>
  <si>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</si>
  <si>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</si>
  <si>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</si>
  <si>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</si>
  <si>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</si>
  <si>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</si>
  <si>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</si>
  <si>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</si>
  <si>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</si>
  <si>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</si>
  <si>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</si>
  <si>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</si>
  <si>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</si>
  <si>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</si>
  <si>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</si>
  <si>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</si>
  <si>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</si>
  <si>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</si>
  <si>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</si>
  <si>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</si>
  <si>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</si>
  <si>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</si>
  <si>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</si>
  <si>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</si>
  <si>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</si>
  <si>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</si>
  <si>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</si>
  <si>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</si>
  <si>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</si>
  <si>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</si>
  <si>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</si>
  <si>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</si>
  <si>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</si>
  <si>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</si>
  <si>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</si>
  <si>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</si>
  <si>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</si>
  <si>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</si>
  <si>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</si>
  <si>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</si>
  <si>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</si>
  <si>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</si>
  <si>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</si>
  <si>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</si>
  <si>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</si>
  <si>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</si>
  <si>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</si>
  <si>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</si>
  <si>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</si>
  <si>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</si>
  <si>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</si>
  <si>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</si>
  <si>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</si>
  <si>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</si>
  <si>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</si>
  <si>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</si>
  <si>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</si>
  <si>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</si>
  <si>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</si>
  <si>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</si>
  <si>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</si>
  <si>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</si>
  <si>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</si>
  <si>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</si>
  <si>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</si>
  <si>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</si>
  <si>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</si>
  <si>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</si>
  <si>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</si>
  <si>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</si>
  <si>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</si>
  <si>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</si>
  <si>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</si>
  <si>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</si>
  <si>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</si>
  <si>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</si>
  <si>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</si>
  <si>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</si>
  <si>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</si>
  <si>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</si>
  <si>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</si>
  <si>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</si>
  <si>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</si>
  <si>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</si>
  <si>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</si>
  <si>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</si>
  <si>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</si>
  <si>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</si>
  <si>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</si>
  <si>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</si>
  <si>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</si>
  <si>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</si>
  <si>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</si>
  <si>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</si>
  <si>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</si>
  <si>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</si>
  <si>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</si>
  <si>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</si>
  <si>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</si>
  <si>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</si>
  <si>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</si>
  <si>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</si>
  <si>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</si>
  <si>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</si>
  <si>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</si>
  <si>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</si>
  <si>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</si>
  <si>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</si>
  <si>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</si>
  <si>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</si>
  <si>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</si>
  <si>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</si>
  <si>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</si>
  <si>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</si>
  <si>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</si>
  <si>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</si>
  <si>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</si>
  <si>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</si>
  <si>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</si>
  <si>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</si>
  <si>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</si>
  <si>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</si>
  <si>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</si>
  <si>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</si>
  <si>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</si>
  <si>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</si>
  <si>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</si>
  <si>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</si>
  <si>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</si>
  <si>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</si>
  <si>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</si>
  <si>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</si>
  <si>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</si>
  <si>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</si>
  <si>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</si>
  <si>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</si>
  <si>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</si>
  <si>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</si>
  <si>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</si>
  <si>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</si>
  <si>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</si>
  <si>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</si>
  <si>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</si>
  <si>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</si>
  <si>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</si>
  <si>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</si>
  <si>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</si>
  <si>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</si>
  <si>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</si>
  <si>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</si>
  <si>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</si>
  <si>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</si>
  <si>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</si>
  <si>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</si>
  <si>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</si>
  <si>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</si>
  <si>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</si>
  <si>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</si>
  <si>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</si>
  <si>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</si>
  <si>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</si>
  <si>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</si>
  <si>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</si>
  <si>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</si>
  <si>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</si>
  <si>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</si>
  <si>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</si>
  <si>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</si>
  <si>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</si>
  <si>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</si>
  <si>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</si>
  <si>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</si>
  <si>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</si>
  <si>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</si>
  <si>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</si>
  <si>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</si>
  <si>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</si>
  <si>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</si>
  <si>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</si>
  <si>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</si>
  <si>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</si>
  <si>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</si>
  <si>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</si>
  <si>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</si>
  <si>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</si>
  <si>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</si>
  <si>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</si>
  <si>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</si>
  <si>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</si>
  <si>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</si>
  <si>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</si>
  <si>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</si>
  <si>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</si>
  <si>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</si>
  <si>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</si>
  <si>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</si>
  <si>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</si>
  <si>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</si>
  <si>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</si>
  <si>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</si>
  <si>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</si>
  <si>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</si>
  <si>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</si>
  <si>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</si>
  <si>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</si>
  <si>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</si>
  <si>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</si>
  <si>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</si>
  <si>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</si>
  <si>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</si>
  <si>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</si>
  <si>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</si>
  <si>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</si>
  <si>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</si>
  <si>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</si>
  <si>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</si>
  <si>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</si>
  <si>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</si>
  <si>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</si>
  <si>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</si>
  <si>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</si>
  <si>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</si>
  <si>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</si>
  <si>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</si>
  <si>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</si>
  <si>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</si>
  <si>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</si>
  <si>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</si>
  <si>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</si>
  <si>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</si>
  <si>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</si>
  <si>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</si>
  <si>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</si>
  <si>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</si>
  <si>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</si>
  <si>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</si>
  <si>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</si>
  <si>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</si>
  <si>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</si>
  <si>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</si>
  <si>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</si>
  <si>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</si>
  <si>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</si>
  <si>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</si>
  <si>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</si>
  <si>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</si>
  <si>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</si>
  <si>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</si>
  <si>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</si>
  <si>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</si>
  <si>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</si>
  <si>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</si>
  <si>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</si>
  <si>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</si>
  <si>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</si>
  <si>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</si>
  <si>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</si>
  <si>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</si>
  <si>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</si>
  <si>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</si>
  <si>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</si>
  <si>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</si>
  <si>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</si>
  <si>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</si>
  <si>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</si>
  <si>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</si>
  <si>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</si>
  <si>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</si>
  <si>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</si>
  <si>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</si>
  <si>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</si>
  <si>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</si>
  <si>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</si>
  <si>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</si>
  <si>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</si>
  <si>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</si>
  <si>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</si>
  <si>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</si>
  <si>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</si>
  <si>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</si>
  <si>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</si>
  <si>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</si>
  <si>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</si>
  <si>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</si>
  <si>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</si>
  <si>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</si>
  <si>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</si>
  <si>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</si>
  <si>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</si>
  <si>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</si>
  <si>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</si>
  <si>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</si>
  <si>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</si>
  <si>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</si>
  <si>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</si>
  <si>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</si>
  <si>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</si>
  <si>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</si>
  <si>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</si>
  <si>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</si>
  <si>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</si>
  <si>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</si>
  <si>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</si>
  <si>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</si>
  <si>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</si>
  <si>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</si>
  <si>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</si>
  <si>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</si>
  <si>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</si>
  <si>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</si>
  <si>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</si>
  <si>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</si>
  <si>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</si>
  <si>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</si>
  <si>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</si>
  <si>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</si>
  <si>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</si>
  <si>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</si>
  <si>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</si>
  <si>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</si>
  <si>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</si>
  <si>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</si>
  <si>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</si>
  <si>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</si>
  <si>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</si>
  <si>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</si>
  <si>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</si>
  <si>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</si>
  <si>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</si>
  <si>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</si>
  <si>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</si>
  <si>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</si>
  <si>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</si>
  <si>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</si>
  <si>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</si>
  <si>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</si>
  <si>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</si>
  <si>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</si>
  <si>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</si>
  <si>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</si>
  <si>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</si>
  <si>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</si>
  <si>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</si>
  <si>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</si>
  <si>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</si>
  <si>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</si>
  <si>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</si>
  <si>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</si>
  <si>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</si>
  <si>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</si>
  <si>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</si>
  <si>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</si>
  <si>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</si>
  <si>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</si>
  <si>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</si>
  <si>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</si>
  <si>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</si>
  <si>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</si>
  <si>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</si>
  <si>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</si>
  <si>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</si>
  <si>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</si>
  <si>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</si>
  <si>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</si>
  <si>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</si>
  <si>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</si>
  <si>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</si>
  <si>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</si>
  <si>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</si>
  <si>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</si>
  <si>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</si>
  <si>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</si>
  <si>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</si>
  <si>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</si>
  <si>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</si>
  <si>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</si>
  <si>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</si>
  <si>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</si>
  <si>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</si>
  <si>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</si>
  <si>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</si>
  <si>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</si>
  <si>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</si>
  <si>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</si>
  <si>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</si>
  <si>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</si>
  <si>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</si>
  <si>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</si>
  <si>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</si>
  <si>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</si>
  <si>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</si>
  <si>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</si>
  <si>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</si>
  <si>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</si>
  <si>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</si>
  <si>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</si>
  <si>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</si>
  <si>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</si>
  <si>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</si>
  <si>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</si>
  <si>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</si>
  <si>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</si>
  <si>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</si>
  <si>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</si>
  <si>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</si>
  <si>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</si>
  <si>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</si>
  <si>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</si>
  <si>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</si>
  <si>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</si>
  <si>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</si>
  <si>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</si>
  <si>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</si>
  <si>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</si>
  <si>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</si>
  <si>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</si>
  <si>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</si>
  <si>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</si>
  <si>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</si>
  <si>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</si>
  <si>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</si>
  <si>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</si>
  <si>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</si>
  <si>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</si>
  <si>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</si>
  <si>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</si>
  <si>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</si>
  <si>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</si>
  <si>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</si>
  <si>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</si>
  <si>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</si>
  <si>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</si>
  <si>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</si>
  <si>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</si>
  <si>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</si>
  <si>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</si>
  <si>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</si>
  <si>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</si>
  <si>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</si>
  <si>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</si>
  <si>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</si>
  <si>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</si>
  <si>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</si>
  <si>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</si>
  <si>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</si>
  <si>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</si>
  <si>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</si>
  <si>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</si>
  <si>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</si>
  <si>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</si>
  <si>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</si>
  <si>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</si>
  <si>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</si>
  <si>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</si>
  <si>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</si>
  <si>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</si>
  <si>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</si>
  <si>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</si>
  <si>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</si>
  <si>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</si>
  <si>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</si>
  <si>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</si>
  <si>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</si>
  <si>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</si>
  <si>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</si>
  <si>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</si>
  <si>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</si>
  <si>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</si>
  <si>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</si>
  <si>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</si>
  <si>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</si>
  <si>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</si>
  <si>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</si>
  <si>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</si>
  <si>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</si>
  <si>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</si>
  <si>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</si>
  <si>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</si>
  <si>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</si>
  <si>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</si>
  <si>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</si>
  <si>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</si>
  <si>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</si>
  <si>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</si>
  <si>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</si>
  <si>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</si>
  <si>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</si>
  <si>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</si>
  <si>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</si>
  <si>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</si>
  <si>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</si>
  <si>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</si>
  <si>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</si>
  <si>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</si>
  <si>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</si>
  <si>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</si>
  <si>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</si>
  <si>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</si>
  <si>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</si>
  <si>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</si>
  <si>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</si>
  <si>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</si>
  <si>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</si>
  <si>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</si>
  <si>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</si>
  <si>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</si>
  <si>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</si>
  <si>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</si>
  <si>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</si>
  <si>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</si>
  <si>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</si>
  <si>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</si>
  <si>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</si>
  <si>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</si>
  <si>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</si>
  <si>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</si>
  <si>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</si>
  <si>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</si>
  <si>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</si>
  <si>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</si>
  <si>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</si>
  <si>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</si>
  <si>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</si>
  <si>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</si>
  <si>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</si>
  <si>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</si>
  <si>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</si>
  <si>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</si>
  <si>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</si>
  <si>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</si>
  <si>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</si>
  <si>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</si>
  <si>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</si>
  <si>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</si>
  <si>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</si>
  <si>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</si>
  <si>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</si>
  <si>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</si>
  <si>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</si>
  <si>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</si>
  <si>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</si>
  <si>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</si>
  <si>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</si>
  <si>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</si>
  <si>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</si>
  <si>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</si>
  <si>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</si>
  <si>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</si>
  <si>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</si>
  <si>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</si>
  <si>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</si>
  <si>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</si>
  <si>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</si>
  <si>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</si>
  <si>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</si>
  <si>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</si>
  <si>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</si>
  <si>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</si>
  <si>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</si>
  <si>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</si>
  <si>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</si>
  <si>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</si>
  <si>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</si>
  <si>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</si>
  <si>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</si>
  <si>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</si>
  <si>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</si>
  <si>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</si>
  <si>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</si>
  <si>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</si>
  <si>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</si>
  <si>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</si>
  <si>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</si>
  <si>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</si>
  <si>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</si>
  <si>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</si>
  <si>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</si>
  <si>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</si>
  <si>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</si>
  <si>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</si>
  <si>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</si>
  <si>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</si>
  <si>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</si>
  <si>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</si>
  <si>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</si>
  <si>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</si>
  <si>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</si>
  <si>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</si>
  <si>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</si>
  <si>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</si>
  <si>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</si>
  <si>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</si>
  <si>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</si>
  <si>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</si>
  <si>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</si>
  <si>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</si>
  <si>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</si>
  <si>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</si>
  <si>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</si>
  <si>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</si>
  <si>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</si>
  <si>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</si>
  <si>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</si>
  <si>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</si>
  <si>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</si>
  <si>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</si>
  <si>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</si>
  <si>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</si>
  <si>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</si>
  <si>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</si>
  <si>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</si>
  <si>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</si>
  <si>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</si>
  <si>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</si>
  <si>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</si>
  <si>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</si>
  <si>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</si>
  <si>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</si>
  <si>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</si>
  <si>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</si>
  <si>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</si>
  <si>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</si>
  <si>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</si>
  <si>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</si>
  <si>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</si>
  <si>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</si>
  <si>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</si>
  <si>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</si>
  <si>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</si>
  <si>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</si>
  <si>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</si>
  <si>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</si>
  <si>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</si>
  <si>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</si>
  <si>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</si>
  <si>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</si>
  <si>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</si>
  <si>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</si>
  <si>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</si>
  <si>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</si>
  <si>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</si>
  <si>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</si>
  <si>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</si>
  <si>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</si>
  <si>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</si>
  <si>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</si>
  <si>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</si>
  <si>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</si>
  <si>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</si>
  <si>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</si>
  <si>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</si>
  <si>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</si>
  <si>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</si>
  <si>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</si>
  <si>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</si>
  <si>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</si>
  <si>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</si>
  <si>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</si>
  <si>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</si>
  <si>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</si>
  <si>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</si>
  <si>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</si>
  <si>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</si>
  <si>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</si>
  <si>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</si>
  <si>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</si>
  <si>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</si>
  <si>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</si>
  <si>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</si>
  <si>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</si>
  <si>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</si>
  <si>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</si>
  <si>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</si>
  <si>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</si>
  <si>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</si>
  <si>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</si>
  <si>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</si>
  <si>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</si>
  <si>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</si>
  <si>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</si>
  <si>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</si>
  <si>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</si>
  <si>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</si>
  <si>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</si>
  <si>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</si>
  <si>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</si>
  <si>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</si>
  <si>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</si>
  <si>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</si>
  <si>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</si>
  <si>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</si>
  <si>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</si>
  <si>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</si>
  <si>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</si>
  <si>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</si>
  <si>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</si>
  <si>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</si>
  <si>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</si>
  <si>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</si>
  <si>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</si>
  <si>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Prç Unit. S/BDI</t>
  </si>
  <si>
    <t>BDI - sem Desoneração da folha de pagamento</t>
  </si>
  <si>
    <t>TABELA DE PREÇOS UNITÁRIOS NÃO DESONERADOS</t>
  </si>
  <si>
    <t>Atendendo à Lei Federal nº 13.161 de 31/08/2015</t>
  </si>
  <si>
    <t>21.01.01</t>
  </si>
  <si>
    <t>21.01.02</t>
  </si>
  <si>
    <t>21.01.03</t>
  </si>
  <si>
    <t>21.01.04</t>
  </si>
  <si>
    <t>21.01.05</t>
  </si>
  <si>
    <t>21.01.06</t>
  </si>
  <si>
    <t>21.01.07</t>
  </si>
  <si>
    <t>21.01.08</t>
  </si>
  <si>
    <t>21.01.09</t>
  </si>
  <si>
    <t>21.01.10</t>
  </si>
  <si>
    <t>21.01.11</t>
  </si>
  <si>
    <t>21.01.12</t>
  </si>
  <si>
    <t>21.01.14</t>
  </si>
  <si>
    <t>21.01.15</t>
  </si>
  <si>
    <t>21.01.16</t>
  </si>
  <si>
    <t>21.01.17</t>
  </si>
  <si>
    <t>21.01.18</t>
  </si>
  <si>
    <t>21.01.19</t>
  </si>
  <si>
    <t>21.01.20</t>
  </si>
  <si>
    <t>21.01.21</t>
  </si>
  <si>
    <t>21.01.22</t>
  </si>
  <si>
    <t>21.01.23</t>
  </si>
  <si>
    <t>21.01.24</t>
  </si>
  <si>
    <t>21.01.25</t>
  </si>
  <si>
    <t>21.01.26</t>
  </si>
  <si>
    <t>21.01.27</t>
  </si>
  <si>
    <t>21.01.28</t>
  </si>
  <si>
    <t>21.01.29</t>
  </si>
  <si>
    <t>21.01.30</t>
  </si>
  <si>
    <t>21.02.01.01</t>
  </si>
  <si>
    <t>21.02.01.02</t>
  </si>
  <si>
    <t>21.02.02.01</t>
  </si>
  <si>
    <t>21.02.03.01</t>
  </si>
  <si>
    <t>21.02.04.01</t>
  </si>
  <si>
    <t>21.02.05.01</t>
  </si>
  <si>
    <t>21.02.06.01</t>
  </si>
  <si>
    <t>21.02.06.02</t>
  </si>
  <si>
    <t>21.02.07.01</t>
  </si>
  <si>
    <t>21.02.07.02</t>
  </si>
  <si>
    <t>21.02.08.01</t>
  </si>
  <si>
    <t>21.02.09.01</t>
  </si>
  <si>
    <t>21.02.10.01</t>
  </si>
  <si>
    <t>21.02.11.01</t>
  </si>
  <si>
    <t>21.02.12.01</t>
  </si>
  <si>
    <t>21.02.13.01</t>
  </si>
  <si>
    <t>21.02.14.01</t>
  </si>
  <si>
    <t>21.02.15.01</t>
  </si>
  <si>
    <t>21.02.16.01</t>
  </si>
  <si>
    <t>21.02.17.01</t>
  </si>
  <si>
    <t>21.02.18.01</t>
  </si>
  <si>
    <t>21.02.19.01</t>
  </si>
  <si>
    <t>21.02.20.01</t>
  </si>
  <si>
    <t>21.02.20.02</t>
  </si>
  <si>
    <t>21.02.21.01</t>
  </si>
  <si>
    <t>21.02.22.01</t>
  </si>
  <si>
    <t>21.02.22.02</t>
  </si>
  <si>
    <t>21.02.23.01</t>
  </si>
  <si>
    <t>21.02.24.01</t>
  </si>
  <si>
    <t>21.02.25.01</t>
  </si>
  <si>
    <t>21.02.26.01</t>
  </si>
  <si>
    <t>21.02.26.02</t>
  </si>
  <si>
    <t>21.02.26.03</t>
  </si>
  <si>
    <t>21.02.27.01</t>
  </si>
  <si>
    <t>21.02.28.01</t>
  </si>
  <si>
    <t>21.02.28.02</t>
  </si>
  <si>
    <t>21.02.29.01</t>
  </si>
  <si>
    <t>21.02.30.01</t>
  </si>
  <si>
    <t>21.02.30.02</t>
  </si>
  <si>
    <t>21.02.31.01</t>
  </si>
  <si>
    <t>21.02.31.02</t>
  </si>
  <si>
    <t>21.02.32.01</t>
  </si>
  <si>
    <t>21.03.11.03</t>
  </si>
  <si>
    <t>21.03.13</t>
  </si>
  <si>
    <t>21.03.15</t>
  </si>
  <si>
    <t>21.08.01</t>
  </si>
  <si>
    <t>21.08.02</t>
  </si>
  <si>
    <t>21.08.03</t>
  </si>
  <si>
    <t>21.08.04</t>
  </si>
  <si>
    <t>21.08.05</t>
  </si>
  <si>
    <t>21.08.06</t>
  </si>
  <si>
    <t>21.08.08</t>
  </si>
  <si>
    <t>21.08.09</t>
  </si>
  <si>
    <t>21.08.11</t>
  </si>
  <si>
    <t>21.09.04</t>
  </si>
  <si>
    <t>21.09.05</t>
  </si>
  <si>
    <t>21.13.01</t>
  </si>
  <si>
    <t>22.01.01</t>
  </si>
  <si>
    <t>22.01.02</t>
  </si>
  <si>
    <t>22.01.03</t>
  </si>
  <si>
    <t>22.01.04</t>
  </si>
  <si>
    <t>22.01.05</t>
  </si>
  <si>
    <t>22.01.06</t>
  </si>
  <si>
    <t>22.01.07</t>
  </si>
  <si>
    <t>22.02.01</t>
  </si>
  <si>
    <t>22.02.03</t>
  </si>
  <si>
    <t>22.02.04</t>
  </si>
  <si>
    <t>22.02.05</t>
  </si>
  <si>
    <t>22.02.06</t>
  </si>
  <si>
    <t>22.02.07</t>
  </si>
  <si>
    <t>22.02.08</t>
  </si>
  <si>
    <t>22.02.09</t>
  </si>
  <si>
    <t>22.02.11</t>
  </si>
  <si>
    <t>22.03.01</t>
  </si>
  <si>
    <t>22.03.02</t>
  </si>
  <si>
    <t>22.03.03</t>
  </si>
  <si>
    <t>22.03.05</t>
  </si>
  <si>
    <t>22.03.06</t>
  </si>
  <si>
    <t>22.03.07</t>
  </si>
  <si>
    <t>22.03.08</t>
  </si>
  <si>
    <t>22.03.09</t>
  </si>
  <si>
    <t>22.03.10</t>
  </si>
  <si>
    <t>22.03.11</t>
  </si>
  <si>
    <t>22.03.12</t>
  </si>
  <si>
    <t>22.04.01</t>
  </si>
  <si>
    <t>22.04.02</t>
  </si>
  <si>
    <t>22.06.01</t>
  </si>
  <si>
    <t>22.06.04</t>
  </si>
  <si>
    <t>22.06.05</t>
  </si>
  <si>
    <t>22.07.01</t>
  </si>
  <si>
    <t>22.08.01</t>
  </si>
  <si>
    <t>22.08.02</t>
  </si>
  <si>
    <t>22.08.03</t>
  </si>
  <si>
    <t>22.08.04</t>
  </si>
  <si>
    <t>22.08.05</t>
  </si>
  <si>
    <t>22.08.06</t>
  </si>
  <si>
    <t>22.08.07</t>
  </si>
  <si>
    <t>22.08.08</t>
  </si>
  <si>
    <t>22.08.09</t>
  </si>
  <si>
    <t>22.08.10</t>
  </si>
  <si>
    <t>22.08.11</t>
  </si>
  <si>
    <t>22.08.12</t>
  </si>
  <si>
    <t>22.08.13</t>
  </si>
  <si>
    <t>22.08.14</t>
  </si>
  <si>
    <t>22.08.15</t>
  </si>
  <si>
    <t>22.08.16</t>
  </si>
  <si>
    <t>22.08.17</t>
  </si>
  <si>
    <t>22.08.18</t>
  </si>
  <si>
    <t>22.08.19</t>
  </si>
  <si>
    <t>22.08.20</t>
  </si>
  <si>
    <t>22.08.21</t>
  </si>
  <si>
    <t>22.08.22</t>
  </si>
  <si>
    <t>22.08.23</t>
  </si>
  <si>
    <t>22.08.24</t>
  </si>
  <si>
    <t>22.08.25</t>
  </si>
  <si>
    <t>22.08.26</t>
  </si>
  <si>
    <t>22.08.27</t>
  </si>
  <si>
    <t>22.08.28</t>
  </si>
  <si>
    <t>22.08.29</t>
  </si>
  <si>
    <t>22.08.30</t>
  </si>
  <si>
    <t>22.08.31</t>
  </si>
  <si>
    <t>22.08.32</t>
  </si>
  <si>
    <t>22.08.33</t>
  </si>
  <si>
    <t>22.08.34</t>
  </si>
  <si>
    <t>22.08.35</t>
  </si>
  <si>
    <t>22.08.36</t>
  </si>
  <si>
    <t>22.08.37</t>
  </si>
  <si>
    <t>22.08.38</t>
  </si>
  <si>
    <t>22.08.39</t>
  </si>
  <si>
    <t>22.08.40</t>
  </si>
  <si>
    <t>22.08.41</t>
  </si>
  <si>
    <t>22.08.42</t>
  </si>
  <si>
    <t>22.08.43</t>
  </si>
  <si>
    <t>23.02.01</t>
  </si>
  <si>
    <t>23.02.02</t>
  </si>
  <si>
    <t>23.03.01</t>
  </si>
  <si>
    <t>23.03.02.01</t>
  </si>
  <si>
    <t>23.03.02.02</t>
  </si>
  <si>
    <t>23.03.02.03</t>
  </si>
  <si>
    <t>23.03.02.04</t>
  </si>
  <si>
    <t>23.03.02.05</t>
  </si>
  <si>
    <t>23.03.02.06</t>
  </si>
  <si>
    <t>23.03.03</t>
  </si>
  <si>
    <t>23.03.04</t>
  </si>
  <si>
    <t>23.04.01.01</t>
  </si>
  <si>
    <t>23.04.01.01.01</t>
  </si>
  <si>
    <t>23.04.01.02.01</t>
  </si>
  <si>
    <t>23.04.01.03.01</t>
  </si>
  <si>
    <t>23.04.01.04.01</t>
  </si>
  <si>
    <t>23.04.01.05.01</t>
  </si>
  <si>
    <t>23.04.01.06.01</t>
  </si>
  <si>
    <t>23.04.01.07.01</t>
  </si>
  <si>
    <t>23.04.01.08.01</t>
  </si>
  <si>
    <t>23.04.01.09.01</t>
  </si>
  <si>
    <t>23.04.01.10.01</t>
  </si>
  <si>
    <t>23.04.01.11.01</t>
  </si>
  <si>
    <t>23.04.01.12.01</t>
  </si>
  <si>
    <t>23.04.01.13.01</t>
  </si>
  <si>
    <t>23.04.01.14.01</t>
  </si>
  <si>
    <t>23.04.01.15.01</t>
  </si>
  <si>
    <t>23.04.01.16.01</t>
  </si>
  <si>
    <t>23.04.01.17.01</t>
  </si>
  <si>
    <t>23.04.01.18.01</t>
  </si>
  <si>
    <t>23.04.01.19.01</t>
  </si>
  <si>
    <t>23.04.01.20.01</t>
  </si>
  <si>
    <t>23.04.01.26.01</t>
  </si>
  <si>
    <t>23.04.02.01.02</t>
  </si>
  <si>
    <t>23.04.02.02.01</t>
  </si>
  <si>
    <t>23.04.02.03.01</t>
  </si>
  <si>
    <t>23.04.02.04.41</t>
  </si>
  <si>
    <t>23.04.02.05.02</t>
  </si>
  <si>
    <t>23.04.02.05.03</t>
  </si>
  <si>
    <t>23.04.02.07.02</t>
  </si>
  <si>
    <t>23.04.02.09.02</t>
  </si>
  <si>
    <t>23.04.02.11.02</t>
  </si>
  <si>
    <t>23.04.02.13.02</t>
  </si>
  <si>
    <t>23.04.03.01</t>
  </si>
  <si>
    <t>23.04.03.02</t>
  </si>
  <si>
    <t>23.04.03.03</t>
  </si>
  <si>
    <t>23.04.03.04</t>
  </si>
  <si>
    <t>23.04.04.01</t>
  </si>
  <si>
    <t>23.04.04.02</t>
  </si>
  <si>
    <t>23.04.04.03</t>
  </si>
  <si>
    <t>23.04.04.04</t>
  </si>
  <si>
    <t>23.04.04.05</t>
  </si>
  <si>
    <t>23.04.05.01</t>
  </si>
  <si>
    <t>23.04.06.01</t>
  </si>
  <si>
    <t>23.04.06.02</t>
  </si>
  <si>
    <t>23.04.06.03</t>
  </si>
  <si>
    <t>23.04.07.01</t>
  </si>
  <si>
    <t>23.04.07.03</t>
  </si>
  <si>
    <t>23.04.07.04</t>
  </si>
  <si>
    <t>23.05.01</t>
  </si>
  <si>
    <t>23.05.01.01</t>
  </si>
  <si>
    <t>23.05.02</t>
  </si>
  <si>
    <t>23.05.02.01</t>
  </si>
  <si>
    <t>23.05.03</t>
  </si>
  <si>
    <t>23.05.04</t>
  </si>
  <si>
    <t>23.06.01</t>
  </si>
  <si>
    <t>23.06.02</t>
  </si>
  <si>
    <t>23.06.03</t>
  </si>
  <si>
    <t>23.06.04</t>
  </si>
  <si>
    <t>23.06.04.01</t>
  </si>
  <si>
    <t>23.06.04.07</t>
  </si>
  <si>
    <t>23.06.04.07.01</t>
  </si>
  <si>
    <t>23.06.05</t>
  </si>
  <si>
    <t>23.06.06</t>
  </si>
  <si>
    <t>23.06.07</t>
  </si>
  <si>
    <t>23.06.08</t>
  </si>
  <si>
    <t>23.06.09</t>
  </si>
  <si>
    <t>23.07.01</t>
  </si>
  <si>
    <t>23.07.01.01</t>
  </si>
  <si>
    <t>23.07.01.02</t>
  </si>
  <si>
    <t>23.08.01</t>
  </si>
  <si>
    <t>23.08.01.01</t>
  </si>
  <si>
    <t>23.08.02</t>
  </si>
  <si>
    <t>23.08.02.01</t>
  </si>
  <si>
    <t>23.08.02.02</t>
  </si>
  <si>
    <t>23.08.03.01</t>
  </si>
  <si>
    <t>23.08.03.03</t>
  </si>
  <si>
    <t>23.08.04.02</t>
  </si>
  <si>
    <t>23.08.04.03</t>
  </si>
  <si>
    <t>23.08.04.04</t>
  </si>
  <si>
    <t>23.08.05</t>
  </si>
  <si>
    <t>23.08.05.01.01</t>
  </si>
  <si>
    <t>23.08.06</t>
  </si>
  <si>
    <t>23.08.06.04</t>
  </si>
  <si>
    <t>23.08.06.05</t>
  </si>
  <si>
    <t>23.08.06.06</t>
  </si>
  <si>
    <t>23.09.01</t>
  </si>
  <si>
    <t>23.09.02</t>
  </si>
  <si>
    <t>23.10.01</t>
  </si>
  <si>
    <t>23.11.04.01</t>
  </si>
  <si>
    <t>23.11.09</t>
  </si>
  <si>
    <t>23.11.10</t>
  </si>
  <si>
    <t>23.11.11</t>
  </si>
  <si>
    <t>23.12.01</t>
  </si>
  <si>
    <t>23.12.02</t>
  </si>
  <si>
    <t>23.12.03</t>
  </si>
  <si>
    <t>23.13.07.01</t>
  </si>
  <si>
    <t>23.13.07.02</t>
  </si>
  <si>
    <t>23.13.07.03</t>
  </si>
  <si>
    <t>23.13.07.04</t>
  </si>
  <si>
    <t>23.13.07.05</t>
  </si>
  <si>
    <t>23.13.07.06</t>
  </si>
  <si>
    <t>23.13.07.07</t>
  </si>
  <si>
    <t>23.13.07.08</t>
  </si>
  <si>
    <t>23.13.07.09</t>
  </si>
  <si>
    <t>23.13.07.10</t>
  </si>
  <si>
    <t>24.01.01</t>
  </si>
  <si>
    <t>24.02.01</t>
  </si>
  <si>
    <t>24.02.02</t>
  </si>
  <si>
    <t>24.02.03</t>
  </si>
  <si>
    <t>24.02.04</t>
  </si>
  <si>
    <t>24.02.05</t>
  </si>
  <si>
    <t>24.02.08</t>
  </si>
  <si>
    <t>24.02.09</t>
  </si>
  <si>
    <t>24.02.10</t>
  </si>
  <si>
    <t>24.02.11</t>
  </si>
  <si>
    <t>24.02.12</t>
  </si>
  <si>
    <t>24.02.13</t>
  </si>
  <si>
    <t>24.02.14</t>
  </si>
  <si>
    <t>24.02.15</t>
  </si>
  <si>
    <t>24.03.01</t>
  </si>
  <si>
    <t>24.03.02</t>
  </si>
  <si>
    <t>24.03.03</t>
  </si>
  <si>
    <t>24.03.04</t>
  </si>
  <si>
    <t>24.03.05</t>
  </si>
  <si>
    <t>24.03.06</t>
  </si>
  <si>
    <t>24.03.07</t>
  </si>
  <si>
    <t>24.03.08</t>
  </si>
  <si>
    <t>24.04.01</t>
  </si>
  <si>
    <t>24.04.02</t>
  </si>
  <si>
    <t>24.04.03</t>
  </si>
  <si>
    <t>24.04.04</t>
  </si>
  <si>
    <t>24.05.02</t>
  </si>
  <si>
    <t>24.06.01</t>
  </si>
  <si>
    <t>24.06.02</t>
  </si>
  <si>
    <t>24.06.03</t>
  </si>
  <si>
    <t>24.06.04</t>
  </si>
  <si>
    <t>24.07.02</t>
  </si>
  <si>
    <t>24.07.03</t>
  </si>
  <si>
    <t>24.07.04</t>
  </si>
  <si>
    <t>24.07.05</t>
  </si>
  <si>
    <t>24.07.08</t>
  </si>
  <si>
    <t>24.07.09</t>
  </si>
  <si>
    <t>24.07.09.01</t>
  </si>
  <si>
    <t>24.07.12</t>
  </si>
  <si>
    <t>24.07.13</t>
  </si>
  <si>
    <t>24.07.14</t>
  </si>
  <si>
    <t>24.07.15</t>
  </si>
  <si>
    <t>24.08.01</t>
  </si>
  <si>
    <t>24.08.02</t>
  </si>
  <si>
    <t>24.09.01</t>
  </si>
  <si>
    <t>24.09.02</t>
  </si>
  <si>
    <t>24.09.03</t>
  </si>
  <si>
    <t>24.09.04.04</t>
  </si>
  <si>
    <t>24.09.04.05</t>
  </si>
  <si>
    <t>24.09.04.06</t>
  </si>
  <si>
    <t>24.09.04.07</t>
  </si>
  <si>
    <t>24.09.04.08</t>
  </si>
  <si>
    <t>24.09.04.09</t>
  </si>
  <si>
    <t>24.09.05.02</t>
  </si>
  <si>
    <t>24.09.05.03</t>
  </si>
  <si>
    <t>24.09.06.02</t>
  </si>
  <si>
    <t>24.09.06.03</t>
  </si>
  <si>
    <t>24.09.07.02</t>
  </si>
  <si>
    <t>24.09.07.03</t>
  </si>
  <si>
    <t>24.09.11.01</t>
  </si>
  <si>
    <t>24.09.11.02</t>
  </si>
  <si>
    <t>24.09.13</t>
  </si>
  <si>
    <t>24.10.02</t>
  </si>
  <si>
    <t>24.10.03</t>
  </si>
  <si>
    <t>24.11.01</t>
  </si>
  <si>
    <t>24.11.02</t>
  </si>
  <si>
    <t>24.11.03</t>
  </si>
  <si>
    <t xml:space="preserve">ALVENARIA LAJOES DE PEDRA                                                      </t>
  </si>
  <si>
    <t>24.11.04</t>
  </si>
  <si>
    <t>24.11.05</t>
  </si>
  <si>
    <t>24.11.07</t>
  </si>
  <si>
    <t>24.12.01.01</t>
  </si>
  <si>
    <t>24.12.01.02</t>
  </si>
  <si>
    <t>24.12.01.03</t>
  </si>
  <si>
    <t>24.12.02</t>
  </si>
  <si>
    <t>24.12.03</t>
  </si>
  <si>
    <t>24.12.05</t>
  </si>
  <si>
    <t>24.12.08</t>
  </si>
  <si>
    <t>24.12.09</t>
  </si>
  <si>
    <t>24.13.01</t>
  </si>
  <si>
    <t>24.13.02</t>
  </si>
  <si>
    <t>24.13.03</t>
  </si>
  <si>
    <t>24.13.04</t>
  </si>
  <si>
    <t>24.13.05</t>
  </si>
  <si>
    <t>24.13.06</t>
  </si>
  <si>
    <t>24.13.07</t>
  </si>
  <si>
    <t>24.14.01.01</t>
  </si>
  <si>
    <t>24.14.01.02</t>
  </si>
  <si>
    <t>24.14.01.03</t>
  </si>
  <si>
    <t>24.14.01.04</t>
  </si>
  <si>
    <t>24.14.01.05</t>
  </si>
  <si>
    <t>24.14.01.06</t>
  </si>
  <si>
    <t>24.14.01.07</t>
  </si>
  <si>
    <t>24.14.01.08</t>
  </si>
  <si>
    <t>24.14.01.09</t>
  </si>
  <si>
    <t>24.14.01.10</t>
  </si>
  <si>
    <t>24.14.01.11</t>
  </si>
  <si>
    <t>24.14.01.12</t>
  </si>
  <si>
    <t>24.14.02</t>
  </si>
  <si>
    <t>24.15.01</t>
  </si>
  <si>
    <t>24.15.02</t>
  </si>
  <si>
    <t>24.15.03</t>
  </si>
  <si>
    <t>24.15.04</t>
  </si>
  <si>
    <t>24.15.05</t>
  </si>
  <si>
    <t>24.15.06</t>
  </si>
  <si>
    <t>24.15.08</t>
  </si>
  <si>
    <t>24.15.09</t>
  </si>
  <si>
    <t>24.15.09.01</t>
  </si>
  <si>
    <t>24.15.09.02</t>
  </si>
  <si>
    <t>24.15.09.03</t>
  </si>
  <si>
    <t>24.15.09.04</t>
  </si>
  <si>
    <t>24.15.09.05</t>
  </si>
  <si>
    <t>24.15.11</t>
  </si>
  <si>
    <t>24.15.12</t>
  </si>
  <si>
    <t>24.15.13</t>
  </si>
  <si>
    <t>24.15.14</t>
  </si>
  <si>
    <t>24.15.15</t>
  </si>
  <si>
    <t>24.15.16</t>
  </si>
  <si>
    <t>24.15.17</t>
  </si>
  <si>
    <t>24.16.01</t>
  </si>
  <si>
    <t>24.16.02</t>
  </si>
  <si>
    <t>24.16.03</t>
  </si>
  <si>
    <t>24.16.04</t>
  </si>
  <si>
    <t>24.16.05</t>
  </si>
  <si>
    <t>24.16.06</t>
  </si>
  <si>
    <t>24.16.07</t>
  </si>
  <si>
    <t>24.16.08</t>
  </si>
  <si>
    <t>24.16.09</t>
  </si>
  <si>
    <t>24.16.10</t>
  </si>
  <si>
    <t>24.16.11</t>
  </si>
  <si>
    <t>24.16.12</t>
  </si>
  <si>
    <t>24.16.13</t>
  </si>
  <si>
    <t>24.16.14</t>
  </si>
  <si>
    <t>24.16.15</t>
  </si>
  <si>
    <t>24.16.16</t>
  </si>
  <si>
    <t>24.16.17</t>
  </si>
  <si>
    <t>24.16.18</t>
  </si>
  <si>
    <t>24.16.19</t>
  </si>
  <si>
    <t>24.16.20</t>
  </si>
  <si>
    <t>24.16.21</t>
  </si>
  <si>
    <t>24.16.22</t>
  </si>
  <si>
    <t>24.16.23</t>
  </si>
  <si>
    <t>24.16.24</t>
  </si>
  <si>
    <t>24.16.25</t>
  </si>
  <si>
    <t>24.16.26</t>
  </si>
  <si>
    <t>24.16.27</t>
  </si>
  <si>
    <t>24.16.28</t>
  </si>
  <si>
    <t>24.18.01</t>
  </si>
  <si>
    <t>24.18.02</t>
  </si>
  <si>
    <t>24.18.03</t>
  </si>
  <si>
    <t>24.19.03.01</t>
  </si>
  <si>
    <t>24.19.04.01</t>
  </si>
  <si>
    <t>24.19.05.01</t>
  </si>
  <si>
    <t>24.19.06</t>
  </si>
  <si>
    <t>24.19.07.01</t>
  </si>
  <si>
    <t>24.19.08</t>
  </si>
  <si>
    <t>24.20.01</t>
  </si>
  <si>
    <t>24.20.02</t>
  </si>
  <si>
    <t>24.20.03</t>
  </si>
  <si>
    <t>24.20.04</t>
  </si>
  <si>
    <t>24.21.01</t>
  </si>
  <si>
    <t>24.21.02</t>
  </si>
  <si>
    <t>24.21.03</t>
  </si>
  <si>
    <t>24.22.01</t>
  </si>
  <si>
    <t>24.22.02</t>
  </si>
  <si>
    <t>24.23.44</t>
  </si>
  <si>
    <t>24.23.45</t>
  </si>
  <si>
    <t>24.23.46</t>
  </si>
  <si>
    <t>24.23.47</t>
  </si>
  <si>
    <t>24.23.48</t>
  </si>
  <si>
    <t>24.23.49</t>
  </si>
  <si>
    <t>24.23.50</t>
  </si>
  <si>
    <t>24.23.51</t>
  </si>
  <si>
    <t>24.23.52</t>
  </si>
  <si>
    <t>24.25.01</t>
  </si>
  <si>
    <t>24.25.02</t>
  </si>
  <si>
    <t>24.25.03</t>
  </si>
  <si>
    <t>24.25.04</t>
  </si>
  <si>
    <t>24.25.05</t>
  </si>
  <si>
    <t>24.25.06</t>
  </si>
  <si>
    <t>24.26.01</t>
  </si>
  <si>
    <t>25.01.01</t>
  </si>
  <si>
    <t>25.01.02</t>
  </si>
  <si>
    <t>25.01.03</t>
  </si>
  <si>
    <t>25.01.03.05</t>
  </si>
  <si>
    <t>25.02.01</t>
  </si>
  <si>
    <t>25.02.02</t>
  </si>
  <si>
    <t>25.02.03</t>
  </si>
  <si>
    <t>25.02.04</t>
  </si>
  <si>
    <t>25.02.05</t>
  </si>
  <si>
    <t>25.02.06</t>
  </si>
  <si>
    <t>25.02.07</t>
  </si>
  <si>
    <t>25.02.08</t>
  </si>
  <si>
    <t>25.02.09</t>
  </si>
  <si>
    <t>25.02.10</t>
  </si>
  <si>
    <t>25.02.11</t>
  </si>
  <si>
    <t>25.02.12</t>
  </si>
  <si>
    <t>25.02.13</t>
  </si>
  <si>
    <t>25.03.01</t>
  </si>
  <si>
    <t>25.03.02</t>
  </si>
  <si>
    <t>25.03.03</t>
  </si>
  <si>
    <t>25.03.04</t>
  </si>
  <si>
    <t>25.03.04.01</t>
  </si>
  <si>
    <t>25.03.04.03</t>
  </si>
  <si>
    <t>25.03.04.04</t>
  </si>
  <si>
    <t>25.03.04.05</t>
  </si>
  <si>
    <t>25.03.05</t>
  </si>
  <si>
    <t>25.03.06</t>
  </si>
  <si>
    <t>25.03.07</t>
  </si>
  <si>
    <t>25.03.08</t>
  </si>
  <si>
    <t>25.03.23</t>
  </si>
  <si>
    <t>25.04.01</t>
  </si>
  <si>
    <t>25.04.02</t>
  </si>
  <si>
    <t>25.04.03</t>
  </si>
  <si>
    <t>25.04.04</t>
  </si>
  <si>
    <t>25.04.05</t>
  </si>
  <si>
    <t>25.04.06</t>
  </si>
  <si>
    <t>25.04.07</t>
  </si>
  <si>
    <t>25.04.08</t>
  </si>
  <si>
    <t>25.04.09</t>
  </si>
  <si>
    <t>25.04.10</t>
  </si>
  <si>
    <t>25.04.11</t>
  </si>
  <si>
    <t>25.04.12</t>
  </si>
  <si>
    <t>25.04.13</t>
  </si>
  <si>
    <t>25.04.14</t>
  </si>
  <si>
    <t>25.04.15</t>
  </si>
  <si>
    <t>25.04.16</t>
  </si>
  <si>
    <t>25.04.17</t>
  </si>
  <si>
    <t>25.04.18</t>
  </si>
  <si>
    <t>25.04.19</t>
  </si>
  <si>
    <t xml:space="preserve">ESTACA RAIZ EM ROCHA ALTERADA D=31CM                                           </t>
  </si>
  <si>
    <t>25.04.20</t>
  </si>
  <si>
    <t>25.04.21</t>
  </si>
  <si>
    <t>25.04.23.01</t>
  </si>
  <si>
    <t>25.04.28</t>
  </si>
  <si>
    <t>25.04.46</t>
  </si>
  <si>
    <t>25.04.47</t>
  </si>
  <si>
    <t>25.04.48</t>
  </si>
  <si>
    <t>25.04.49</t>
  </si>
  <si>
    <t>25.05.01</t>
  </si>
  <si>
    <t>25.05.02</t>
  </si>
  <si>
    <t>25.06.01</t>
  </si>
  <si>
    <t>25.06.02</t>
  </si>
  <si>
    <t>25.07.01</t>
  </si>
  <si>
    <t>25.07.02</t>
  </si>
  <si>
    <t>25.07.03</t>
  </si>
  <si>
    <t>25.07.04</t>
  </si>
  <si>
    <t>25.07.05</t>
  </si>
  <si>
    <t>25.07.06</t>
  </si>
  <si>
    <t>25.08.02</t>
  </si>
  <si>
    <t>25.08.03</t>
  </si>
  <si>
    <t>25.08.04</t>
  </si>
  <si>
    <t>25.08.05</t>
  </si>
  <si>
    <t>25.08.06</t>
  </si>
  <si>
    <t>25.08.07</t>
  </si>
  <si>
    <t>25.08.09</t>
  </si>
  <si>
    <t>25.08.10</t>
  </si>
  <si>
    <t>25.08.11</t>
  </si>
  <si>
    <t>25.08.12</t>
  </si>
  <si>
    <t>25.08.13.01</t>
  </si>
  <si>
    <t>25.08.13.02</t>
  </si>
  <si>
    <t>25.08.13.03</t>
  </si>
  <si>
    <t>25.08.13.04</t>
  </si>
  <si>
    <t>25.08.15.01</t>
  </si>
  <si>
    <t>25.08.15.02</t>
  </si>
  <si>
    <t>25.08.15.03</t>
  </si>
  <si>
    <t>25.08.15.04</t>
  </si>
  <si>
    <t>25.08.16.01</t>
  </si>
  <si>
    <t>25.08.16.02</t>
  </si>
  <si>
    <t>25.08.16.03</t>
  </si>
  <si>
    <t>25.08.16.04</t>
  </si>
  <si>
    <t>25.09.01</t>
  </si>
  <si>
    <t>25.09.02</t>
  </si>
  <si>
    <t>25.09.03</t>
  </si>
  <si>
    <t>25.09.04</t>
  </si>
  <si>
    <t>25.09.05</t>
  </si>
  <si>
    <t>25.09.06</t>
  </si>
  <si>
    <t>25.09.07</t>
  </si>
  <si>
    <t>25.09.08</t>
  </si>
  <si>
    <t>25.09.10</t>
  </si>
  <si>
    <t>25.09.11</t>
  </si>
  <si>
    <t>25.09.12</t>
  </si>
  <si>
    <t>25.09.15</t>
  </si>
  <si>
    <t>25.09.16</t>
  </si>
  <si>
    <t>25.09.17</t>
  </si>
  <si>
    <t>25.10.01</t>
  </si>
  <si>
    <t>25.10.02</t>
  </si>
  <si>
    <t>25.10.03</t>
  </si>
  <si>
    <t>25.10.04</t>
  </si>
  <si>
    <t>25.10.05</t>
  </si>
  <si>
    <t>25.10.06</t>
  </si>
  <si>
    <t>25.10.07</t>
  </si>
  <si>
    <t>25.10.08</t>
  </si>
  <si>
    <t>25.10.09</t>
  </si>
  <si>
    <t>25.10.10</t>
  </si>
  <si>
    <t>25.10.11</t>
  </si>
  <si>
    <t>25.10.12</t>
  </si>
  <si>
    <t>25.10.14</t>
  </si>
  <si>
    <t>25.10.15</t>
  </si>
  <si>
    <t>25.11.01</t>
  </si>
  <si>
    <t>25.11.02</t>
  </si>
  <si>
    <t>25.11.03</t>
  </si>
  <si>
    <t>25.11.04.01</t>
  </si>
  <si>
    <t>25.11.04.02</t>
  </si>
  <si>
    <t>25.11.04.03</t>
  </si>
  <si>
    <t>25.11.04.04</t>
  </si>
  <si>
    <t>25.11.04.05</t>
  </si>
  <si>
    <t>25.11.04.06</t>
  </si>
  <si>
    <t>25.11.05.02</t>
  </si>
  <si>
    <t>25.11.05.03</t>
  </si>
  <si>
    <t>25.11.06.02</t>
  </si>
  <si>
    <t>25.11.06.03</t>
  </si>
  <si>
    <t>25.11.07.02</t>
  </si>
  <si>
    <t>25.11.07.03</t>
  </si>
  <si>
    <t>25.11.11.01</t>
  </si>
  <si>
    <t>25.11.11.02</t>
  </si>
  <si>
    <t>25.12.02</t>
  </si>
  <si>
    <t>25.12.03</t>
  </si>
  <si>
    <t>25.13.01</t>
  </si>
  <si>
    <t>25.13.02</t>
  </si>
  <si>
    <t>25.13.04</t>
  </si>
  <si>
    <t>25.13.05</t>
  </si>
  <si>
    <t>25.13.07</t>
  </si>
  <si>
    <t>25.14.02</t>
  </si>
  <si>
    <t>25.15.01</t>
  </si>
  <si>
    <t>25.15.02</t>
  </si>
  <si>
    <t>25.15.03</t>
  </si>
  <si>
    <t>25.15.04</t>
  </si>
  <si>
    <t>25.15.05</t>
  </si>
  <si>
    <t>25.15.06</t>
  </si>
  <si>
    <t>25.15.07</t>
  </si>
  <si>
    <t>25.15.08</t>
  </si>
  <si>
    <t>25.15.09</t>
  </si>
  <si>
    <t>25.15.09.01</t>
  </si>
  <si>
    <t>25.15.10</t>
  </si>
  <si>
    <t>25.15.11</t>
  </si>
  <si>
    <t>25.15.12</t>
  </si>
  <si>
    <t>25.19.01</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</si>
  <si>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</si>
  <si>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</si>
  <si>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</si>
  <si>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</si>
  <si>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</si>
  <si>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</si>
  <si>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</si>
  <si>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</si>
  <si>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</si>
  <si>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</si>
  <si>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</si>
  <si>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</si>
  <si>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</si>
  <si>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</si>
  <si>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</si>
  <si>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</si>
  <si>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</si>
  <si>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</si>
  <si>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</si>
  <si>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</si>
  <si>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</si>
  <si>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</si>
  <si>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</si>
  <si>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</si>
  <si>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</si>
  <si>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</si>
  <si>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</si>
  <si>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</si>
  <si>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</si>
  <si>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</si>
  <si>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</si>
  <si>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</si>
  <si>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</si>
  <si>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</si>
  <si>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</si>
  <si>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</si>
  <si>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</si>
  <si>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</si>
  <si>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</si>
  <si>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</si>
  <si>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</si>
  <si>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</si>
  <si>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</si>
  <si>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</si>
  <si>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</si>
  <si>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</si>
  <si>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</si>
  <si>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</si>
  <si>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</si>
  <si>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</si>
  <si>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</si>
  <si>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</si>
  <si>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</si>
  <si>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</si>
  <si>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</si>
  <si>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</si>
  <si>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</si>
  <si>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</si>
  <si>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</si>
  <si>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</si>
  <si>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</si>
  <si>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</si>
  <si>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</si>
  <si>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</si>
  <si>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</si>
  <si>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25.22.02</t>
  </si>
  <si>
    <t>25.22.03</t>
  </si>
  <si>
    <t>25.22.04</t>
  </si>
  <si>
    <t>25.22.05</t>
  </si>
  <si>
    <t>25.22.06</t>
  </si>
  <si>
    <t>25.22.07</t>
  </si>
  <si>
    <t>25.22.08</t>
  </si>
  <si>
    <t>25.22.09</t>
  </si>
  <si>
    <t>25.22.10</t>
  </si>
  <si>
    <t>25.22.11</t>
  </si>
  <si>
    <t>25.22.12</t>
  </si>
  <si>
    <t>25.22.13</t>
  </si>
  <si>
    <t>25.22.14</t>
  </si>
  <si>
    <t>25.23.01</t>
  </si>
  <si>
    <t>25.23.02</t>
  </si>
  <si>
    <t>25.23.03</t>
  </si>
  <si>
    <t>25.23.04</t>
  </si>
  <si>
    <t>26.01.01</t>
  </si>
  <si>
    <t>26.01.02</t>
  </si>
  <si>
    <t>26.01.03</t>
  </si>
  <si>
    <t>26.02.01</t>
  </si>
  <si>
    <t>26.02.02</t>
  </si>
  <si>
    <t>26.02.03</t>
  </si>
  <si>
    <t>26.02.04</t>
  </si>
  <si>
    <t>26.02.05</t>
  </si>
  <si>
    <t>26.02.06</t>
  </si>
  <si>
    <t>26.02.07</t>
  </si>
  <si>
    <t>26.02.13</t>
  </si>
  <si>
    <t>26.02.14</t>
  </si>
  <si>
    <t>26.02.15</t>
  </si>
  <si>
    <t>26.02.16</t>
  </si>
  <si>
    <t>26.02.17</t>
  </si>
  <si>
    <t>26.02.19</t>
  </si>
  <si>
    <t>26.02.20</t>
  </si>
  <si>
    <t>26.02.20.01</t>
  </si>
  <si>
    <t>26.02.21</t>
  </si>
  <si>
    <t>26.03.25</t>
  </si>
  <si>
    <t>26.03.26</t>
  </si>
  <si>
    <t>26.03.27</t>
  </si>
  <si>
    <t>26.03.28</t>
  </si>
  <si>
    <t>26.04.01</t>
  </si>
  <si>
    <t>26.04.02</t>
  </si>
  <si>
    <t>26.04.03</t>
  </si>
  <si>
    <t>26.04.04</t>
  </si>
  <si>
    <t>26.04.05</t>
  </si>
  <si>
    <t>26.04.06</t>
  </si>
  <si>
    <t>26.05.01</t>
  </si>
  <si>
    <t>26.05.02</t>
  </si>
  <si>
    <t>26.05.03</t>
  </si>
  <si>
    <t>26.05.04</t>
  </si>
  <si>
    <t>26.05.05</t>
  </si>
  <si>
    <t>26.05.06</t>
  </si>
  <si>
    <t>26.06.01</t>
  </si>
  <si>
    <t>26.06.02</t>
  </si>
  <si>
    <t>26.06.03</t>
  </si>
  <si>
    <t>26.06.04</t>
  </si>
  <si>
    <t>26.06.05</t>
  </si>
  <si>
    <t>26.06.06</t>
  </si>
  <si>
    <t>26.07.02</t>
  </si>
  <si>
    <t>26.07.03</t>
  </si>
  <si>
    <t>26.07.04</t>
  </si>
  <si>
    <t>26.07.05</t>
  </si>
  <si>
    <t>26.07.06</t>
  </si>
  <si>
    <t>26.07.07</t>
  </si>
  <si>
    <t>26.07.09</t>
  </si>
  <si>
    <t>26.07.10</t>
  </si>
  <si>
    <t>26.07.12</t>
  </si>
  <si>
    <t>26.07.13.01</t>
  </si>
  <si>
    <t>26.07.13.02</t>
  </si>
  <si>
    <t>26.07.13.03</t>
  </si>
  <si>
    <t>26.07.13.04</t>
  </si>
  <si>
    <t>26.08.01</t>
  </si>
  <si>
    <t>26.08.03</t>
  </si>
  <si>
    <t>26.09.01</t>
  </si>
  <si>
    <t>26.09.02</t>
  </si>
  <si>
    <t>26.09.03</t>
  </si>
  <si>
    <t>26.09.04</t>
  </si>
  <si>
    <t>26.09.05</t>
  </si>
  <si>
    <t>26.09.06</t>
  </si>
  <si>
    <t>26.09.07</t>
  </si>
  <si>
    <t>26.09.09</t>
  </si>
  <si>
    <t>26.09.12</t>
  </si>
  <si>
    <t>26.09.13</t>
  </si>
  <si>
    <t>26.09.14</t>
  </si>
  <si>
    <t>26.09.15</t>
  </si>
  <si>
    <t>26.10.01</t>
  </si>
  <si>
    <t>26.10.02</t>
  </si>
  <si>
    <t>26.10.03</t>
  </si>
  <si>
    <t>26.10.04</t>
  </si>
  <si>
    <t>26.10.05</t>
  </si>
  <si>
    <t>26.10.06</t>
  </si>
  <si>
    <t>26.10.11</t>
  </si>
  <si>
    <t>26.11.03.01</t>
  </si>
  <si>
    <t>26.11.03.02</t>
  </si>
  <si>
    <t>26.11.03.03</t>
  </si>
  <si>
    <t>26.11.03.04</t>
  </si>
  <si>
    <t>26.11.03.05</t>
  </si>
  <si>
    <t>26.11.03.06</t>
  </si>
  <si>
    <t>26.11.04.01</t>
  </si>
  <si>
    <t>26.11.04.02</t>
  </si>
  <si>
    <t>26.11.06</t>
  </si>
  <si>
    <t>26.11.08.01</t>
  </si>
  <si>
    <t>26.12.01</t>
  </si>
  <si>
    <t>26.12.02</t>
  </si>
  <si>
    <t>26.12.03</t>
  </si>
  <si>
    <t>26.12.04</t>
  </si>
  <si>
    <t>26.13.01</t>
  </si>
  <si>
    <t>26.13.02</t>
  </si>
  <si>
    <t>26.14.01</t>
  </si>
  <si>
    <t>26.14.02</t>
  </si>
  <si>
    <t>26.14.03</t>
  </si>
  <si>
    <t>26.14.04</t>
  </si>
  <si>
    <t>26.15.01</t>
  </si>
  <si>
    <t>26.15.02</t>
  </si>
  <si>
    <t>26.15.03</t>
  </si>
  <si>
    <t>26.16.01</t>
  </si>
  <si>
    <t>26.16.02</t>
  </si>
  <si>
    <t>26.16.03</t>
  </si>
  <si>
    <t>27.01.01</t>
  </si>
  <si>
    <t>27.01.02</t>
  </si>
  <si>
    <t>27.01.03</t>
  </si>
  <si>
    <t>27.01.04</t>
  </si>
  <si>
    <t>27.01.29</t>
  </si>
  <si>
    <t>27.01.40</t>
  </si>
  <si>
    <t>27.01.45</t>
  </si>
  <si>
    <t>27.02.01</t>
  </si>
  <si>
    <t>27.02.02</t>
  </si>
  <si>
    <t>27.02.03</t>
  </si>
  <si>
    <t>27.02.05</t>
  </si>
  <si>
    <t>27.02.08</t>
  </si>
  <si>
    <t>27.02.09</t>
  </si>
  <si>
    <t>27.03.01</t>
  </si>
  <si>
    <t>27.03.02</t>
  </si>
  <si>
    <t>27.03.03.01</t>
  </si>
  <si>
    <t>27.03.03.02</t>
  </si>
  <si>
    <t>27.04.03</t>
  </si>
  <si>
    <t>27.04.05</t>
  </si>
  <si>
    <t>27.04.08</t>
  </si>
  <si>
    <t>27.04.08.09</t>
  </si>
  <si>
    <t xml:space="preserve">FURO NO CONCRETO D=1/2" PROF. 15CM - NOTURNO                                   </t>
  </si>
  <si>
    <t>27.04.14</t>
  </si>
  <si>
    <t>27.04.15</t>
  </si>
  <si>
    <t>27.04.16</t>
  </si>
  <si>
    <t>27.04.17</t>
  </si>
  <si>
    <t>27.04.18</t>
  </si>
  <si>
    <t>27.05.01</t>
  </si>
  <si>
    <t>27.05.02</t>
  </si>
  <si>
    <t>27.05.03</t>
  </si>
  <si>
    <t>27.06.01</t>
  </si>
  <si>
    <t>27.06.02</t>
  </si>
  <si>
    <t>27.06.03</t>
  </si>
  <si>
    <t>27.06.04</t>
  </si>
  <si>
    <t>27.06.05</t>
  </si>
  <si>
    <t>27.06.06</t>
  </si>
  <si>
    <t>27.06.07</t>
  </si>
  <si>
    <t>27.06.08</t>
  </si>
  <si>
    <t>27.06.09</t>
  </si>
  <si>
    <t>27.06.10</t>
  </si>
  <si>
    <t>27.06.11</t>
  </si>
  <si>
    <t>27.06.12</t>
  </si>
  <si>
    <t>27.06.13</t>
  </si>
  <si>
    <t>27.06.14</t>
  </si>
  <si>
    <t>27.06.15</t>
  </si>
  <si>
    <t>27.06.16</t>
  </si>
  <si>
    <t>27.06.17</t>
  </si>
  <si>
    <t>27.06.20</t>
  </si>
  <si>
    <t>27.07.02</t>
  </si>
  <si>
    <t>27.07.03</t>
  </si>
  <si>
    <t>27.07.04</t>
  </si>
  <si>
    <t>27.07.05</t>
  </si>
  <si>
    <t>27.07.06</t>
  </si>
  <si>
    <t>27.07.07</t>
  </si>
  <si>
    <t>27.07.09</t>
  </si>
  <si>
    <t>27.07.10</t>
  </si>
  <si>
    <t>27.07.12</t>
  </si>
  <si>
    <t>27.07.13.01</t>
  </si>
  <si>
    <t>27.07.13.02</t>
  </si>
  <si>
    <t>27.07.13.03</t>
  </si>
  <si>
    <t>27.07.13.04</t>
  </si>
  <si>
    <t>27.08.01</t>
  </si>
  <si>
    <t>27.09.01</t>
  </si>
  <si>
    <t>27.09.02</t>
  </si>
  <si>
    <t>27.09.03</t>
  </si>
  <si>
    <t>27.09.04</t>
  </si>
  <si>
    <t>27.09.05</t>
  </si>
  <si>
    <t>27.09.07</t>
  </si>
  <si>
    <t>27.09.08</t>
  </si>
  <si>
    <t>27.09.09</t>
  </si>
  <si>
    <t>27.09.10</t>
  </si>
  <si>
    <t>27.09.11</t>
  </si>
  <si>
    <t>27.09.12</t>
  </si>
  <si>
    <t>27.09.15</t>
  </si>
  <si>
    <t>27.09.16</t>
  </si>
  <si>
    <t>27.09.17</t>
  </si>
  <si>
    <t>27.09.18</t>
  </si>
  <si>
    <t>27.10.01</t>
  </si>
  <si>
    <t>27.10.02</t>
  </si>
  <si>
    <t>27.10.03</t>
  </si>
  <si>
    <t>27.10.04</t>
  </si>
  <si>
    <t>27.10.05</t>
  </si>
  <si>
    <t>27.10.06</t>
  </si>
  <si>
    <t xml:space="preserve">JUNTA/RETRAÇÃO C/LÁBIO POLI.AB. 120ATE150MM                                    </t>
  </si>
  <si>
    <t>27.11.02</t>
  </si>
  <si>
    <t>27.11.03</t>
  </si>
  <si>
    <t>27.11.05</t>
  </si>
  <si>
    <t>27.11.06</t>
  </si>
  <si>
    <t>27.11.09</t>
  </si>
  <si>
    <t>27.11.10</t>
  </si>
  <si>
    <t>27.11.11</t>
  </si>
  <si>
    <t>27.12.01</t>
  </si>
  <si>
    <t>27.12.02</t>
  </si>
  <si>
    <t>27.12.03</t>
  </si>
  <si>
    <t>27.12.04</t>
  </si>
  <si>
    <t>27.13.02</t>
  </si>
  <si>
    <t>27.13.03</t>
  </si>
  <si>
    <t>27.13.04</t>
  </si>
  <si>
    <t>27.13.05</t>
  </si>
  <si>
    <t>27.14.01.01</t>
  </si>
  <si>
    <t>27.14.02</t>
  </si>
  <si>
    <t>27.14.03</t>
  </si>
  <si>
    <t>27.14.04</t>
  </si>
  <si>
    <t>27.14.05</t>
  </si>
  <si>
    <t>27.16.01</t>
  </si>
  <si>
    <t>27.18.01</t>
  </si>
  <si>
    <t>28.01.04.01</t>
  </si>
  <si>
    <t>28.01.05.01</t>
  </si>
  <si>
    <t>28.01.07.01</t>
  </si>
  <si>
    <t>28.01.08.01</t>
  </si>
  <si>
    <t>28.01.24.01</t>
  </si>
  <si>
    <t>28.01.25.01</t>
  </si>
  <si>
    <t>28.01.27.01</t>
  </si>
  <si>
    <t>28.01.28</t>
  </si>
  <si>
    <t>28.01.31.01</t>
  </si>
  <si>
    <t>28.01.31.02</t>
  </si>
  <si>
    <t>28.02.01.02</t>
  </si>
  <si>
    <t>28.02.02.02</t>
  </si>
  <si>
    <t>28.02.04.02</t>
  </si>
  <si>
    <t>28.02.05.02</t>
  </si>
  <si>
    <t>28.02.06.02</t>
  </si>
  <si>
    <t>28.02.07.02</t>
  </si>
  <si>
    <t>28.02.08.01</t>
  </si>
  <si>
    <t>28.03.02</t>
  </si>
  <si>
    <t>28.03.03</t>
  </si>
  <si>
    <t>28.03.04</t>
  </si>
  <si>
    <t>28.03.05</t>
  </si>
  <si>
    <t>28.03.05.03</t>
  </si>
  <si>
    <t>28.03.05.04</t>
  </si>
  <si>
    <t>28.03.06</t>
  </si>
  <si>
    <t>28.03.07</t>
  </si>
  <si>
    <t>28.03.08</t>
  </si>
  <si>
    <t>28.03.08.01</t>
  </si>
  <si>
    <t>28.03.08.02</t>
  </si>
  <si>
    <t>28.03.09.02</t>
  </si>
  <si>
    <t>28.03.09.03</t>
  </si>
  <si>
    <t>28.03.09.04</t>
  </si>
  <si>
    <t>28.03.10</t>
  </si>
  <si>
    <t>28.03.10.01</t>
  </si>
  <si>
    <t>28.03.11</t>
  </si>
  <si>
    <t>28.03.12</t>
  </si>
  <si>
    <t>28.03.13</t>
  </si>
  <si>
    <t>28.03.14</t>
  </si>
  <si>
    <t>28.03.15.01</t>
  </si>
  <si>
    <t>28.03.17</t>
  </si>
  <si>
    <t>28.04.06</t>
  </si>
  <si>
    <t>28.04.18</t>
  </si>
  <si>
    <t>28.04.27</t>
  </si>
  <si>
    <t>28.04.28</t>
  </si>
  <si>
    <t>28.05.08.02</t>
  </si>
  <si>
    <t>28.05.08.03</t>
  </si>
  <si>
    <t>28.05.08.04</t>
  </si>
  <si>
    <t>28.05.08.05</t>
  </si>
  <si>
    <t>28.05.08.06</t>
  </si>
  <si>
    <t>28.05.08.07</t>
  </si>
  <si>
    <t>28.05.09.01</t>
  </si>
  <si>
    <t>28.05.11.03</t>
  </si>
  <si>
    <t>28.05.11.04</t>
  </si>
  <si>
    <t>28.05.11.05</t>
  </si>
  <si>
    <t>28.05.11.06</t>
  </si>
  <si>
    <t>28.05.11.07</t>
  </si>
  <si>
    <t>28.05.11.08</t>
  </si>
  <si>
    <t>28.05.11.09</t>
  </si>
  <si>
    <t>28.05.11.10</t>
  </si>
  <si>
    <t>28.05.12.01</t>
  </si>
  <si>
    <t>28.05.12.02</t>
  </si>
  <si>
    <t>28.05.13</t>
  </si>
  <si>
    <t>28.05.14</t>
  </si>
  <si>
    <t>28.06.10</t>
  </si>
  <si>
    <t>28.06.10.01</t>
  </si>
  <si>
    <t>28.06.11</t>
  </si>
  <si>
    <t>28.06.12</t>
  </si>
  <si>
    <t>28.06.17</t>
  </si>
  <si>
    <t>28.06.18</t>
  </si>
  <si>
    <t>28.06.20</t>
  </si>
  <si>
    <t>28.06.30</t>
  </si>
  <si>
    <t>28.06.31</t>
  </si>
  <si>
    <t>28.06.32</t>
  </si>
  <si>
    <t>28.06.33</t>
  </si>
  <si>
    <t>28.07.06</t>
  </si>
  <si>
    <t>28.08.01.01</t>
  </si>
  <si>
    <t>28.08.02.01</t>
  </si>
  <si>
    <t>28.10.01</t>
  </si>
  <si>
    <t>28.10.02</t>
  </si>
  <si>
    <t>28.13.01</t>
  </si>
  <si>
    <t>28.13.02</t>
  </si>
  <si>
    <t>28.13.03</t>
  </si>
  <si>
    <t>28.13.04</t>
  </si>
  <si>
    <t>28.13.05</t>
  </si>
  <si>
    <t>28.13.06</t>
  </si>
  <si>
    <t>28.13.07</t>
  </si>
  <si>
    <t>28.13.08</t>
  </si>
  <si>
    <t>28.13.09</t>
  </si>
  <si>
    <t>28.13.10</t>
  </si>
  <si>
    <t>28.13.11</t>
  </si>
  <si>
    <t>28.13.12</t>
  </si>
  <si>
    <t>28.14.01</t>
  </si>
  <si>
    <t>30.01.40.06</t>
  </si>
  <si>
    <t>PLANTIO FLORESTAL DE ESPÉ.ARBÓREAS NATIVAS H&lt;0,60 E ESPAÇ.PLANTIO DE 2,5MX2,00M</t>
  </si>
  <si>
    <t>30.01.40.07</t>
  </si>
  <si>
    <t>MANUTENÇÃO DO PLANTIO FLORESTAL DE ESP.ARBÓREAS NATIVAS COM ESP.DE 2,50M X 2,00</t>
  </si>
  <si>
    <t>34.08.27.02</t>
  </si>
  <si>
    <t xml:space="preserve">ESTUDO, REG. AMBIENTAL E APROV. DEPRN                                          </t>
  </si>
  <si>
    <t>35.03.33</t>
  </si>
  <si>
    <t xml:space="preserve">ESPECIALISTA EM TREINAMENTO PLENO                                              </t>
  </si>
  <si>
    <t>35.03.64</t>
  </si>
  <si>
    <t xml:space="preserve">ADMINISTRADOR JUNIOR                                                           </t>
  </si>
  <si>
    <t>35.03.65</t>
  </si>
  <si>
    <t xml:space="preserve">ADMINISTRADOR PLENO                                                            </t>
  </si>
  <si>
    <t>35.03.66</t>
  </si>
  <si>
    <t xml:space="preserve">ADMINISTRADOR SENIOR                                                           </t>
  </si>
  <si>
    <t>35.04.33</t>
  </si>
  <si>
    <t xml:space="preserve">ESPECIALISTA EM TREINAMENTO PLENO TEMPORARIO                                   </t>
  </si>
  <si>
    <t>37.01.01</t>
  </si>
  <si>
    <t>37.01.02</t>
  </si>
  <si>
    <t>37.01.03</t>
  </si>
  <si>
    <t>37.01.04</t>
  </si>
  <si>
    <t>37.01.05</t>
  </si>
  <si>
    <t>37.01.06</t>
  </si>
  <si>
    <t>37.01.07</t>
  </si>
  <si>
    <t>37.01.08</t>
  </si>
  <si>
    <t>37.01.09</t>
  </si>
  <si>
    <t>37.01.10</t>
  </si>
  <si>
    <t>37.01.11</t>
  </si>
  <si>
    <t>37.01.12</t>
  </si>
  <si>
    <t>37.01.13</t>
  </si>
  <si>
    <t>37.01.14</t>
  </si>
  <si>
    <t>37.01.15</t>
  </si>
  <si>
    <t>37.01.16</t>
  </si>
  <si>
    <t>37.01.16.01</t>
  </si>
  <si>
    <t xml:space="preserve">LIMPEZA DE PLACA (NOTURNO)                                                     </t>
  </si>
  <si>
    <t>37.01.17</t>
  </si>
  <si>
    <t>37.01.18</t>
  </si>
  <si>
    <t>37.01.19</t>
  </si>
  <si>
    <t>37.01.20</t>
  </si>
  <si>
    <t>37.01.21</t>
  </si>
  <si>
    <t>37.01.22</t>
  </si>
  <si>
    <t>37.01.23</t>
  </si>
  <si>
    <t>37.01.24</t>
  </si>
  <si>
    <t>37.02.01</t>
  </si>
  <si>
    <t>37.02.02</t>
  </si>
  <si>
    <t>37.02.03</t>
  </si>
  <si>
    <t>37.02.04</t>
  </si>
  <si>
    <t>37.02.05</t>
  </si>
  <si>
    <t>37.02.06</t>
  </si>
  <si>
    <t>37.02.07</t>
  </si>
  <si>
    <t>37.02.08</t>
  </si>
  <si>
    <t>37.02.09</t>
  </si>
  <si>
    <t>37.02.10</t>
  </si>
  <si>
    <t>37.02.11</t>
  </si>
  <si>
    <t>37.02.12</t>
  </si>
  <si>
    <t>37.02.13</t>
  </si>
  <si>
    <t>37.02.14.01</t>
  </si>
  <si>
    <t>37.02.18</t>
  </si>
  <si>
    <t>37.02.19</t>
  </si>
  <si>
    <t>37.02.20</t>
  </si>
  <si>
    <t>37.02.21</t>
  </si>
  <si>
    <t>37.02.22</t>
  </si>
  <si>
    <t>37.02.23</t>
  </si>
  <si>
    <t>37.02.24</t>
  </si>
  <si>
    <t>37.02.25</t>
  </si>
  <si>
    <t>37.02.26</t>
  </si>
  <si>
    <t>37.02.27</t>
  </si>
  <si>
    <t>37.03.01</t>
  </si>
  <si>
    <t>37.03.02</t>
  </si>
  <si>
    <t>37.03.03</t>
  </si>
  <si>
    <t>37.03.03.01</t>
  </si>
  <si>
    <t>37.03.04</t>
  </si>
  <si>
    <t>37.03.05</t>
  </si>
  <si>
    <t xml:space="preserve">SELAGEM DE TRINCA                                                              </t>
  </si>
  <si>
    <t>37.03.05.02</t>
  </si>
  <si>
    <t>37.03.06</t>
  </si>
  <si>
    <t>37.03.07</t>
  </si>
  <si>
    <t>37.03.08</t>
  </si>
  <si>
    <t>37.03.09</t>
  </si>
  <si>
    <t>37.03.10</t>
  </si>
  <si>
    <t>37.03.11</t>
  </si>
  <si>
    <t>37.03.13</t>
  </si>
  <si>
    <t>37.03.14</t>
  </si>
  <si>
    <t>37.03.15</t>
  </si>
  <si>
    <t>37.03.16</t>
  </si>
  <si>
    <t>37.03.17</t>
  </si>
  <si>
    <t>37.03.18</t>
  </si>
  <si>
    <t>37.03.19</t>
  </si>
  <si>
    <t>37.03.20</t>
  </si>
  <si>
    <t>37.03.21</t>
  </si>
  <si>
    <t>37.03.22</t>
  </si>
  <si>
    <t>37.03.23</t>
  </si>
  <si>
    <t>37.03.24</t>
  </si>
  <si>
    <t>37.03.25</t>
  </si>
  <si>
    <t>37.03.26</t>
  </si>
  <si>
    <t>37.04.01</t>
  </si>
  <si>
    <t>37.04.02.01</t>
  </si>
  <si>
    <t>37.04.03.01</t>
  </si>
  <si>
    <t>37.04.04</t>
  </si>
  <si>
    <t>37.04.05</t>
  </si>
  <si>
    <t>37.04.06</t>
  </si>
  <si>
    <t>37.04.07</t>
  </si>
  <si>
    <t>37.04.08</t>
  </si>
  <si>
    <t>37.04.09</t>
  </si>
  <si>
    <t>37.04.10</t>
  </si>
  <si>
    <t>37.04.11</t>
  </si>
  <si>
    <t>37.04.12</t>
  </si>
  <si>
    <t>37.04.13</t>
  </si>
  <si>
    <t>37.04.14</t>
  </si>
  <si>
    <t>37.04.15</t>
  </si>
  <si>
    <t>37.04.16</t>
  </si>
  <si>
    <t>37.04.17</t>
  </si>
  <si>
    <t>37.04.19</t>
  </si>
  <si>
    <t>37.04.21</t>
  </si>
  <si>
    <t>37.04.22</t>
  </si>
  <si>
    <t>37.04.23</t>
  </si>
  <si>
    <t>37.04.24</t>
  </si>
  <si>
    <t>37.04.25</t>
  </si>
  <si>
    <t>37.04.26</t>
  </si>
  <si>
    <t>37.04.27</t>
  </si>
  <si>
    <t>37.04.28</t>
  </si>
  <si>
    <t>37.04.29</t>
  </si>
  <si>
    <t>37.04.30</t>
  </si>
  <si>
    <t>37.04.31</t>
  </si>
  <si>
    <t>37.04.32</t>
  </si>
  <si>
    <t>37.04.33</t>
  </si>
  <si>
    <t>37.04.34</t>
  </si>
  <si>
    <t>37.04.35</t>
  </si>
  <si>
    <t>37.04.36</t>
  </si>
  <si>
    <t>37.04.37</t>
  </si>
  <si>
    <t>37.04.38</t>
  </si>
  <si>
    <t>37.04.39</t>
  </si>
  <si>
    <t>37.04.40</t>
  </si>
  <si>
    <t>37.04.41</t>
  </si>
  <si>
    <t>37.04.42</t>
  </si>
  <si>
    <t>37.04.43</t>
  </si>
  <si>
    <t>37.04.44</t>
  </si>
  <si>
    <t>37.04.45</t>
  </si>
  <si>
    <t>37.04.46</t>
  </si>
  <si>
    <t>37.04.47</t>
  </si>
  <si>
    <t>37.04.48</t>
  </si>
  <si>
    <t>37.04.49</t>
  </si>
  <si>
    <t>37.04.50</t>
  </si>
  <si>
    <t>37.04.51</t>
  </si>
  <si>
    <t>37.04.52</t>
  </si>
  <si>
    <t>37.04.53</t>
  </si>
  <si>
    <t>37.04.61</t>
  </si>
  <si>
    <t>37.04.62</t>
  </si>
  <si>
    <t>37.04.63</t>
  </si>
  <si>
    <t>37.04.64</t>
  </si>
  <si>
    <t>37.04.65</t>
  </si>
  <si>
    <t>37.04.66</t>
  </si>
  <si>
    <t>37.04.67</t>
  </si>
  <si>
    <t>37.04.68</t>
  </si>
  <si>
    <t>37.04.68.01</t>
  </si>
  <si>
    <t>37.04.68.02</t>
  </si>
  <si>
    <t>37.04.68.03</t>
  </si>
  <si>
    <t>37.04.68.04</t>
  </si>
  <si>
    <t>37.04.68.05</t>
  </si>
  <si>
    <t>37.04.68.06</t>
  </si>
  <si>
    <t>37.04.68.07</t>
  </si>
  <si>
    <t>37.04.68.08</t>
  </si>
  <si>
    <t>37.04.68.09</t>
  </si>
  <si>
    <t>37.04.68.10</t>
  </si>
  <si>
    <t>37.04.68.11</t>
  </si>
  <si>
    <t>37.04.69</t>
  </si>
  <si>
    <t>37.04.70</t>
  </si>
  <si>
    <t>37.04.71</t>
  </si>
  <si>
    <t>37.04.72</t>
  </si>
  <si>
    <t>37.04.73</t>
  </si>
  <si>
    <t>37.04.74</t>
  </si>
  <si>
    <t>37.04.75</t>
  </si>
  <si>
    <t>37.04.76</t>
  </si>
  <si>
    <t>37.05.04</t>
  </si>
  <si>
    <t>37.05.05</t>
  </si>
  <si>
    <t>37.05.06</t>
  </si>
  <si>
    <t>37.05.07</t>
  </si>
  <si>
    <t>37.05.10.01</t>
  </si>
  <si>
    <t>37.05.11.01</t>
  </si>
  <si>
    <t>37.05.12</t>
  </si>
  <si>
    <t>37.05.14</t>
  </si>
  <si>
    <t>37.05.15</t>
  </si>
  <si>
    <t>37.05.20</t>
  </si>
  <si>
    <t>37.05.20.01</t>
  </si>
  <si>
    <t>37.05.20.02</t>
  </si>
  <si>
    <t>37.05.20.03</t>
  </si>
  <si>
    <t>37.05.20.04</t>
  </si>
  <si>
    <t>37.05.20.05</t>
  </si>
  <si>
    <t>37.05.21</t>
  </si>
  <si>
    <t>37.05.26</t>
  </si>
  <si>
    <t>37.05.27</t>
  </si>
  <si>
    <t>37.05.28</t>
  </si>
  <si>
    <t>37.05.29</t>
  </si>
  <si>
    <t>37.05.30</t>
  </si>
  <si>
    <t>37.05.31</t>
  </si>
  <si>
    <t>37.05.32.01</t>
  </si>
  <si>
    <t>37.05.36.01</t>
  </si>
  <si>
    <t>37.05.36.02</t>
  </si>
  <si>
    <t>37.05.36.03</t>
  </si>
  <si>
    <t>37.05.36.04</t>
  </si>
  <si>
    <t>37.05.36.05</t>
  </si>
  <si>
    <t>37.05.36.06</t>
  </si>
  <si>
    <t>37.06.01</t>
  </si>
  <si>
    <t>37.06.02</t>
  </si>
  <si>
    <t>37.06.03</t>
  </si>
  <si>
    <t>37.06.04</t>
  </si>
  <si>
    <t>37.06.05</t>
  </si>
  <si>
    <t>37.06.06</t>
  </si>
  <si>
    <t>37.06.07</t>
  </si>
  <si>
    <t>37.06.08</t>
  </si>
  <si>
    <t>37.06.09</t>
  </si>
  <si>
    <t>37.25.11.04.01</t>
  </si>
  <si>
    <t>37.25.11.04.02</t>
  </si>
  <si>
    <t>37.25.11.04.03</t>
  </si>
  <si>
    <t>37.25.11.04.04</t>
  </si>
  <si>
    <t>37.25.11.04.05</t>
  </si>
  <si>
    <t>37.25.11.04.06</t>
  </si>
  <si>
    <t>37.25.11.05.02</t>
  </si>
  <si>
    <t>37.25.11.05.03</t>
  </si>
  <si>
    <t>37.25.11.06.02</t>
  </si>
  <si>
    <t>37.25.11.06.03</t>
  </si>
  <si>
    <t>37.25.11.07.02</t>
  </si>
  <si>
    <t>37.25.11.07.03</t>
  </si>
  <si>
    <t>37.25.11.11.01</t>
  </si>
  <si>
    <t>37.25.11.11.02</t>
  </si>
  <si>
    <t>37.28.08.01.01</t>
  </si>
  <si>
    <t>37.28.08.02.01</t>
  </si>
  <si>
    <t>37.28.10.01</t>
  </si>
  <si>
    <t>37.28.10.02</t>
  </si>
  <si>
    <t>72.01.01.01</t>
  </si>
  <si>
    <t>72.01.01.02</t>
  </si>
  <si>
    <t>72.01.01.03</t>
  </si>
  <si>
    <t>72.01.01.04</t>
  </si>
  <si>
    <t>72.01.02.01</t>
  </si>
  <si>
    <t>72.01.02.02</t>
  </si>
  <si>
    <t>72.01.02.03</t>
  </si>
  <si>
    <t>72.01.02.04</t>
  </si>
  <si>
    <t>72.02.02.01</t>
  </si>
  <si>
    <t>72.02.02.02</t>
  </si>
  <si>
    <t>72.02.02.03</t>
  </si>
  <si>
    <t>72.02.02.04</t>
  </si>
  <si>
    <t>72.02.02.05</t>
  </si>
  <si>
    <t>72.02.02.06</t>
  </si>
  <si>
    <t>72.02.04.01</t>
  </si>
  <si>
    <t>72.02.04.02</t>
  </si>
  <si>
    <t>72.02.04.03</t>
  </si>
  <si>
    <t>72.02.04.04</t>
  </si>
  <si>
    <t>72.02.04.05</t>
  </si>
  <si>
    <t>72.02.04.06</t>
  </si>
  <si>
    <t>72.02.05.01</t>
  </si>
  <si>
    <t>72.02.05.02</t>
  </si>
  <si>
    <t>72.02.05.03</t>
  </si>
  <si>
    <t>72.02.05.04</t>
  </si>
  <si>
    <t>72.02.08.01</t>
  </si>
  <si>
    <t>72.02.08.02</t>
  </si>
  <si>
    <t>72.02.08.03</t>
  </si>
  <si>
    <t>72.02.08.04</t>
  </si>
  <si>
    <t>72.02.08.05</t>
  </si>
  <si>
    <t>72.02.08.06</t>
  </si>
  <si>
    <t>72.02.09.01</t>
  </si>
  <si>
    <t>72.02.09.02</t>
  </si>
  <si>
    <t>72.02.09.03</t>
  </si>
  <si>
    <t>72.02.09.04</t>
  </si>
  <si>
    <t>72.02.09.05</t>
  </si>
  <si>
    <t>72.02.09.06</t>
  </si>
  <si>
    <t>72.02.10.01</t>
  </si>
  <si>
    <t>72.02.10.02</t>
  </si>
  <si>
    <t>72.02.10.03</t>
  </si>
  <si>
    <t>72.02.10.04</t>
  </si>
  <si>
    <t>72.02.10.05</t>
  </si>
  <si>
    <t>72.02.10.06</t>
  </si>
  <si>
    <t>72.02.11.01</t>
  </si>
  <si>
    <t>72.02.11.02</t>
  </si>
  <si>
    <t>72.02.11.03</t>
  </si>
  <si>
    <t>72.02.11.04</t>
  </si>
  <si>
    <t>72.02.11.05</t>
  </si>
  <si>
    <t>72.02.11.06</t>
  </si>
  <si>
    <t>72.02.12.01</t>
  </si>
  <si>
    <t>72.02.12.02</t>
  </si>
  <si>
    <t>72.02.12.03</t>
  </si>
  <si>
    <t>72.02.12.04</t>
  </si>
  <si>
    <t>72.02.12.05</t>
  </si>
  <si>
    <t>72.02.12.06</t>
  </si>
  <si>
    <t>72.03.01.01</t>
  </si>
  <si>
    <t>72.03.01.02</t>
  </si>
  <si>
    <t>72.03.01.03</t>
  </si>
  <si>
    <t>72.03.01.04</t>
  </si>
  <si>
    <t>72.03.02.01</t>
  </si>
  <si>
    <t>72.03.02.02</t>
  </si>
  <si>
    <t>72.03.02.03</t>
  </si>
  <si>
    <t>72.03.02.04</t>
  </si>
  <si>
    <t>72.04.01.01</t>
  </si>
  <si>
    <t>72.04.01.02</t>
  </si>
  <si>
    <t>72.04.01.03</t>
  </si>
  <si>
    <t>72.04.01.04</t>
  </si>
  <si>
    <t>72.04.02.01</t>
  </si>
  <si>
    <t>72.04.02.02</t>
  </si>
  <si>
    <t>72.04.02.03</t>
  </si>
  <si>
    <t>72.04.02.04</t>
  </si>
  <si>
    <t>72.04.03.01</t>
  </si>
  <si>
    <t>72.04.03.02</t>
  </si>
  <si>
    <t>72.04.03.03</t>
  </si>
  <si>
    <t>72.04.03.04</t>
  </si>
  <si>
    <t>72.04.04.01</t>
  </si>
  <si>
    <t>72.04.04.02</t>
  </si>
  <si>
    <t>72.04.04.03</t>
  </si>
  <si>
    <t>72.04.04.04</t>
  </si>
  <si>
    <t>72.05.01.01</t>
  </si>
  <si>
    <t>72.05.01.02</t>
  </si>
  <si>
    <t>72.05.01.03</t>
  </si>
  <si>
    <t>72.05.01.04</t>
  </si>
  <si>
    <t>72.05.02.01</t>
  </si>
  <si>
    <t>72.05.02.02</t>
  </si>
  <si>
    <t>72.05.02.03</t>
  </si>
  <si>
    <t>72.05.02.04</t>
  </si>
  <si>
    <t>72.05.03.01</t>
  </si>
  <si>
    <t>72.05.03.02</t>
  </si>
  <si>
    <t>72.05.03.03</t>
  </si>
  <si>
    <t>72.05.03.04</t>
  </si>
  <si>
    <t>72.05.04.01</t>
  </si>
  <si>
    <t>72.05.04.02</t>
  </si>
  <si>
    <t>72.05.04.03</t>
  </si>
  <si>
    <t>72.05.04.04</t>
  </si>
  <si>
    <t>72.05.05.01</t>
  </si>
  <si>
    <t>72.05.05.02</t>
  </si>
  <si>
    <t>72.05.05.03</t>
  </si>
  <si>
    <t>72.05.05.04</t>
  </si>
  <si>
    <t>72.06.01.01</t>
  </si>
  <si>
    <t>72.06.01.02</t>
  </si>
  <si>
    <t>72.06.01.03</t>
  </si>
  <si>
    <t>72.06.01.04</t>
  </si>
  <si>
    <t>72.06.02.01</t>
  </si>
  <si>
    <t>72.06.02.02</t>
  </si>
  <si>
    <t>72.06.02.03</t>
  </si>
  <si>
    <t>72.06.02.04</t>
  </si>
  <si>
    <t>72.06.03.01</t>
  </si>
  <si>
    <t>72.06.03.02</t>
  </si>
  <si>
    <t>72.06.03.03</t>
  </si>
  <si>
    <t>72.06.03.04</t>
  </si>
  <si>
    <t>72.06.04.01</t>
  </si>
  <si>
    <t>72.06.04.02</t>
  </si>
  <si>
    <t>72.06.04.03</t>
  </si>
  <si>
    <t>72.06.04.04</t>
  </si>
  <si>
    <t>72.06.05.01</t>
  </si>
  <si>
    <t>72.06.05.02</t>
  </si>
  <si>
    <t>72.06.05.03</t>
  </si>
  <si>
    <t>72.06.05.04</t>
  </si>
  <si>
    <t>72.07.01.01</t>
  </si>
  <si>
    <t>72.07.01.02</t>
  </si>
  <si>
    <t>72.07.01.03</t>
  </si>
  <si>
    <t>72.07.01.04</t>
  </si>
  <si>
    <t>72.07.03.01</t>
  </si>
  <si>
    <t xml:space="preserve">MACACO PROTENSAO AU-5 COND. A                                                  </t>
  </si>
  <si>
    <t>72.07.03.02</t>
  </si>
  <si>
    <t xml:space="preserve">MACACO PROTENSAO AU-5 COND. B                                                  </t>
  </si>
  <si>
    <t>72.07.03.03</t>
  </si>
  <si>
    <t xml:space="preserve">MACACO PROTENSAO AU-5 COND. C                                                  </t>
  </si>
  <si>
    <t>72.07.03.04</t>
  </si>
  <si>
    <t xml:space="preserve">MACACO PROTENSAO AU-5 COND. D                                                  </t>
  </si>
  <si>
    <t>72.07.06.01</t>
  </si>
  <si>
    <t>72.07.06.02</t>
  </si>
  <si>
    <t>72.07.06.03</t>
  </si>
  <si>
    <t>72.07.06.04</t>
  </si>
  <si>
    <t>72.07.07.01</t>
  </si>
  <si>
    <t>72.07.07.02</t>
  </si>
  <si>
    <t>72.07.07.03</t>
  </si>
  <si>
    <t>72.07.07.04</t>
  </si>
  <si>
    <t>72.08.01.01</t>
  </si>
  <si>
    <t>72.08.01.02</t>
  </si>
  <si>
    <t>72.08.01.03</t>
  </si>
  <si>
    <t>72.08.01.04</t>
  </si>
  <si>
    <t>72.08.01.05</t>
  </si>
  <si>
    <t>72.08.02.01</t>
  </si>
  <si>
    <t>72.08.02.02</t>
  </si>
  <si>
    <t>72.08.02.03</t>
  </si>
  <si>
    <t>72.08.02.04</t>
  </si>
  <si>
    <t>72.08.02.05</t>
  </si>
  <si>
    <t>72.09.01.01</t>
  </si>
  <si>
    <t>72.09.01.02</t>
  </si>
  <si>
    <t>72.09.01.03</t>
  </si>
  <si>
    <t>72.09.01.04</t>
  </si>
  <si>
    <t>72.09.01.05</t>
  </si>
  <si>
    <t>72.09.02.01</t>
  </si>
  <si>
    <t>72.09.02.02</t>
  </si>
  <si>
    <t>72.09.02.03</t>
  </si>
  <si>
    <t>72.09.02.04</t>
  </si>
  <si>
    <t>72.09.02.05</t>
  </si>
  <si>
    <t>72.09.04.01</t>
  </si>
  <si>
    <t>72.09.04.02</t>
  </si>
  <si>
    <t>72.09.04.03</t>
  </si>
  <si>
    <t>72.09.04.04</t>
  </si>
  <si>
    <t>72.09.04.05</t>
  </si>
  <si>
    <t>72.10.01.01</t>
  </si>
  <si>
    <t>72.10.01.02</t>
  </si>
  <si>
    <t>72.10.01.03</t>
  </si>
  <si>
    <t>72.10.01.04</t>
  </si>
  <si>
    <t>72.10.01.05</t>
  </si>
  <si>
    <t>72.11.01.01</t>
  </si>
  <si>
    <t>72.11.01.02</t>
  </si>
  <si>
    <t>72.11.01.03</t>
  </si>
  <si>
    <t>72.11.01.04</t>
  </si>
  <si>
    <t>72.11.01.05</t>
  </si>
  <si>
    <t>72.11.02.01</t>
  </si>
  <si>
    <t>72.11.02.02</t>
  </si>
  <si>
    <t>72.11.02.03</t>
  </si>
  <si>
    <t>72.11.02.04</t>
  </si>
  <si>
    <t>72.11.02.05</t>
  </si>
  <si>
    <t>72.11.03.01</t>
  </si>
  <si>
    <t>72.11.03.02</t>
  </si>
  <si>
    <t>72.11.03.03</t>
  </si>
  <si>
    <t>72.11.03.04</t>
  </si>
  <si>
    <t>72.11.03.05</t>
  </si>
  <si>
    <t>72.12.01.01</t>
  </si>
  <si>
    <t>72.12.01.02</t>
  </si>
  <si>
    <t>72.12.01.03</t>
  </si>
  <si>
    <t>72.12.01.04</t>
  </si>
  <si>
    <t>72.12.01.05</t>
  </si>
  <si>
    <t>72.12.02.01</t>
  </si>
  <si>
    <t>72.12.02.02</t>
  </si>
  <si>
    <t>72.12.02.03</t>
  </si>
  <si>
    <t>72.12.02.04</t>
  </si>
  <si>
    <t>72.12.02.05</t>
  </si>
  <si>
    <t>72.12.03.01</t>
  </si>
  <si>
    <t>72.12.03.02</t>
  </si>
  <si>
    <t>72.12.03.03</t>
  </si>
  <si>
    <t>72.12.03.04</t>
  </si>
  <si>
    <t>72.12.03.05</t>
  </si>
  <si>
    <t>72.12.04.01</t>
  </si>
  <si>
    <t>72.12.04.02</t>
  </si>
  <si>
    <t>72.12.04.03</t>
  </si>
  <si>
    <t>72.12.04.04</t>
  </si>
  <si>
    <t>72.12.04.05</t>
  </si>
  <si>
    <t>72.12.05.01</t>
  </si>
  <si>
    <t>72.12.05.02</t>
  </si>
  <si>
    <t>72.12.05.03</t>
  </si>
  <si>
    <t>72.12.05.04</t>
  </si>
  <si>
    <t>72.12.05.05</t>
  </si>
  <si>
    <t>72.12.06.01</t>
  </si>
  <si>
    <t>72.12.06.02</t>
  </si>
  <si>
    <t>72.12.06.03</t>
  </si>
  <si>
    <t>72.12.06.04</t>
  </si>
  <si>
    <t>72.12.06.05</t>
  </si>
  <si>
    <t>72.12.07.01</t>
  </si>
  <si>
    <t>72.12.07.02</t>
  </si>
  <si>
    <t>72.12.07.03</t>
  </si>
  <si>
    <t>72.12.07.04</t>
  </si>
  <si>
    <t>72.13.01.01</t>
  </si>
  <si>
    <t>72.13.01.02</t>
  </si>
  <si>
    <t>72.13.01.03</t>
  </si>
  <si>
    <t>72.13.01.04</t>
  </si>
  <si>
    <t>72.13.01.05</t>
  </si>
  <si>
    <t>72.14.01.01</t>
  </si>
  <si>
    <t>72.14.01.02</t>
  </si>
  <si>
    <t>72.14.01.03</t>
  </si>
  <si>
    <t>72.14.01.04</t>
  </si>
  <si>
    <t>72.14.01.05</t>
  </si>
  <si>
    <t>72.15.01.01</t>
  </si>
  <si>
    <t>72.15.01.02</t>
  </si>
  <si>
    <t>72.15.01.03</t>
  </si>
  <si>
    <t>72.15.01.04</t>
  </si>
  <si>
    <t>72.15.01.05</t>
  </si>
  <si>
    <t>72.15.02.01</t>
  </si>
  <si>
    <t>72.15.02.02</t>
  </si>
  <si>
    <t>72.15.02.03</t>
  </si>
  <si>
    <t>72.15.02.04</t>
  </si>
  <si>
    <t>72.15.02.05</t>
  </si>
  <si>
    <t>72.15.03.01</t>
  </si>
  <si>
    <t>72.15.03.02</t>
  </si>
  <si>
    <t>72.15.03.03</t>
  </si>
  <si>
    <t>72.15.03.04</t>
  </si>
  <si>
    <t>72.15.03.05</t>
  </si>
  <si>
    <t>72.16.01.01</t>
  </si>
  <si>
    <t>72.16.01.02</t>
  </si>
  <si>
    <t>72.16.01.03</t>
  </si>
  <si>
    <t>72.16.01.04</t>
  </si>
  <si>
    <t>72.16.01.05</t>
  </si>
  <si>
    <t>72.16.02.01</t>
  </si>
  <si>
    <t>72.16.02.02</t>
  </si>
  <si>
    <t>72.16.02.03</t>
  </si>
  <si>
    <t>72.16.02.04</t>
  </si>
  <si>
    <t>72.17.01.01</t>
  </si>
  <si>
    <t>72.17.01.02</t>
  </si>
  <si>
    <t>72.17.01.03</t>
  </si>
  <si>
    <t>72.17.01.04</t>
  </si>
  <si>
    <t>72.18.01.01</t>
  </si>
  <si>
    <t>72.18.01.02</t>
  </si>
  <si>
    <t>72.18.01.03</t>
  </si>
  <si>
    <t>72.18.01.04</t>
  </si>
  <si>
    <t>72.18.01.05</t>
  </si>
  <si>
    <t>72.18.02.01</t>
  </si>
  <si>
    <t>72.18.02.02</t>
  </si>
  <si>
    <t>72.18.02.03</t>
  </si>
  <si>
    <t>72.18.02.04</t>
  </si>
  <si>
    <t>72.18.02.05</t>
  </si>
  <si>
    <t>72.19.01.01</t>
  </si>
  <si>
    <t>72.19.01.02</t>
  </si>
  <si>
    <t>72.19.01.03</t>
  </si>
  <si>
    <t>72.19.01.04</t>
  </si>
  <si>
    <t>72.20.01.01</t>
  </si>
  <si>
    <t>72.20.01.02</t>
  </si>
  <si>
    <t>72.20.01.03</t>
  </si>
  <si>
    <t>72.20.01.04</t>
  </si>
  <si>
    <t>72.20.02.01</t>
  </si>
  <si>
    <t>72.20.02.02</t>
  </si>
  <si>
    <t>72.20.02.03</t>
  </si>
  <si>
    <t>72.20.02.04</t>
  </si>
  <si>
    <t>72.21.01.01</t>
  </si>
  <si>
    <t>72.21.01.02</t>
  </si>
  <si>
    <t>72.21.01.03</t>
  </si>
  <si>
    <t>72.21.01.04</t>
  </si>
  <si>
    <t>72.21.02.01</t>
  </si>
  <si>
    <t>72.21.02.02</t>
  </si>
  <si>
    <t>72.21.02.03</t>
  </si>
  <si>
    <t>72.21.02.04</t>
  </si>
  <si>
    <t>72.21.03.01</t>
  </si>
  <si>
    <t>72.21.03.02</t>
  </si>
  <si>
    <t>72.21.03.03</t>
  </si>
  <si>
    <t>72.21.03.04</t>
  </si>
  <si>
    <t>72.21.04.01</t>
  </si>
  <si>
    <t>72.21.04.02</t>
  </si>
  <si>
    <t>72.21.04.03</t>
  </si>
  <si>
    <t>72.21.04.04</t>
  </si>
  <si>
    <t>72.22.01.01</t>
  </si>
  <si>
    <t>72.22.01.02</t>
  </si>
  <si>
    <t>72.22.01.03</t>
  </si>
  <si>
    <t>72.22.01.04</t>
  </si>
  <si>
    <t>72.22.03.01</t>
  </si>
  <si>
    <t>72.22.03.02</t>
  </si>
  <si>
    <t>72.22.03.03</t>
  </si>
  <si>
    <t>72.22.03.04</t>
  </si>
  <si>
    <t>72.23.01.01</t>
  </si>
  <si>
    <t>72.23.01.02</t>
  </si>
  <si>
    <t>72.23.01.03</t>
  </si>
  <si>
    <t>72.23.01.04</t>
  </si>
  <si>
    <t>72.23.02.01</t>
  </si>
  <si>
    <t>72.23.02.02</t>
  </si>
  <si>
    <t>72.23.02.03</t>
  </si>
  <si>
    <t>72.23.02.04</t>
  </si>
  <si>
    <t>72.23.03.01</t>
  </si>
  <si>
    <t>72.23.03.02</t>
  </si>
  <si>
    <t>72.23.03.03</t>
  </si>
  <si>
    <t>72.23.03.04</t>
  </si>
  <si>
    <t>72.24.01.01</t>
  </si>
  <si>
    <t>72.24.01.02</t>
  </si>
  <si>
    <t>72.24.01.03</t>
  </si>
  <si>
    <t>72.24.01.04</t>
  </si>
  <si>
    <t>72.25.01.01</t>
  </si>
  <si>
    <t>72.25.01.02</t>
  </si>
  <si>
    <t>72.25.01.03</t>
  </si>
  <si>
    <t>72.25.01.04</t>
  </si>
  <si>
    <t>72.26.01.01</t>
  </si>
  <si>
    <t>72.26.01.02</t>
  </si>
  <si>
    <t>72.26.01.03</t>
  </si>
  <si>
    <t>72.26.01.04</t>
  </si>
  <si>
    <t>72.26.02.01</t>
  </si>
  <si>
    <t>72.26.02.02</t>
  </si>
  <si>
    <t>72.26.02.03</t>
  </si>
  <si>
    <t>72.26.02.04</t>
  </si>
  <si>
    <t>72.26.03.01</t>
  </si>
  <si>
    <t>72.26.03.02</t>
  </si>
  <si>
    <t>72.26.03.03</t>
  </si>
  <si>
    <t>72.26.03.04</t>
  </si>
  <si>
    <t>72.27.01.01</t>
  </si>
  <si>
    <t>72.27.01.02</t>
  </si>
  <si>
    <t>72.27.01.03</t>
  </si>
  <si>
    <t>72.27.01.04</t>
  </si>
  <si>
    <t>72.27.02.01</t>
  </si>
  <si>
    <t>72.27.02.02</t>
  </si>
  <si>
    <t>72.27.02.03</t>
  </si>
  <si>
    <t>72.27.02.04</t>
  </si>
  <si>
    <t>72.27.03.01</t>
  </si>
  <si>
    <t>72.27.03.02</t>
  </si>
  <si>
    <t>72.27.03.03</t>
  </si>
  <si>
    <t>72.27.03.04</t>
  </si>
  <si>
    <t>72.27.04.01</t>
  </si>
  <si>
    <t>72.27.04.02</t>
  </si>
  <si>
    <t>72.27.04.03</t>
  </si>
  <si>
    <t>72.27.04.04</t>
  </si>
  <si>
    <t>72.27.05.01</t>
  </si>
  <si>
    <t>72.27.05.02</t>
  </si>
  <si>
    <t>72.27.05.03</t>
  </si>
  <si>
    <t>72.27.05.04</t>
  </si>
  <si>
    <t>72.28.01.01</t>
  </si>
  <si>
    <t>72.28.01.02</t>
  </si>
  <si>
    <t>72.28.01.03</t>
  </si>
  <si>
    <t>72.28.01.04</t>
  </si>
  <si>
    <t>72.28.02.01</t>
  </si>
  <si>
    <t>72.28.02.02</t>
  </si>
  <si>
    <t>72.28.02.03</t>
  </si>
  <si>
    <t>72.28.02.04</t>
  </si>
  <si>
    <t>72.29.01.01</t>
  </si>
  <si>
    <t>72.29.01.02</t>
  </si>
  <si>
    <t>72.29.01.03</t>
  </si>
  <si>
    <t>72.29.01.04</t>
  </si>
  <si>
    <t>72.29.02.01</t>
  </si>
  <si>
    <t>72.29.02.02</t>
  </si>
  <si>
    <t>72.29.02.03</t>
  </si>
  <si>
    <t>72.29.02.04</t>
  </si>
  <si>
    <t>72.30.01.01</t>
  </si>
  <si>
    <t>72.30.01.02</t>
  </si>
  <si>
    <t>72.30.01.03</t>
  </si>
  <si>
    <t>72.30.01.04</t>
  </si>
  <si>
    <t>72.31.01.01</t>
  </si>
  <si>
    <t>72.31.01.02</t>
  </si>
  <si>
    <t>72.31.01.03</t>
  </si>
  <si>
    <t>72.31.01.04</t>
  </si>
  <si>
    <t>72.31.02.01</t>
  </si>
  <si>
    <t>72.31.02.02</t>
  </si>
  <si>
    <t>72.31.02.03</t>
  </si>
  <si>
    <t>72.31.02.04</t>
  </si>
  <si>
    <t>72.31.03.01</t>
  </si>
  <si>
    <t>72.31.03.02</t>
  </si>
  <si>
    <t>72.31.03.03</t>
  </si>
  <si>
    <t>72.31.03.04</t>
  </si>
  <si>
    <t>72.31.04.01</t>
  </si>
  <si>
    <t>72.31.04.02</t>
  </si>
  <si>
    <t>72.31.04.03</t>
  </si>
  <si>
    <t>72.31.04.04</t>
  </si>
  <si>
    <t>72.31.05.01</t>
  </si>
  <si>
    <t>72.31.05.02</t>
  </si>
  <si>
    <t>72.31.05.03</t>
  </si>
  <si>
    <t>72.31.05.04</t>
  </si>
  <si>
    <t>72.31.06.01</t>
  </si>
  <si>
    <t>72.31.06.02</t>
  </si>
  <si>
    <t>72.31.06.03</t>
  </si>
  <si>
    <t>72.31.06.04</t>
  </si>
  <si>
    <t>72.32.01.01</t>
  </si>
  <si>
    <t>72.32.01.02</t>
  </si>
  <si>
    <t>72.32.01.03</t>
  </si>
  <si>
    <t>72.32.01.04</t>
  </si>
  <si>
    <t>72.32.02.01</t>
  </si>
  <si>
    <t>72.32.02.02</t>
  </si>
  <si>
    <t>72.32.02.03</t>
  </si>
  <si>
    <t>72.32.02.04</t>
  </si>
  <si>
    <t>72.33.01.01</t>
  </si>
  <si>
    <t>72.33.01.02</t>
  </si>
  <si>
    <t>72.33.01.03</t>
  </si>
  <si>
    <t>72.33.01.04</t>
  </si>
  <si>
    <t>72.33.02.01</t>
  </si>
  <si>
    <t>72.33.02.02</t>
  </si>
  <si>
    <t>72.33.02.03</t>
  </si>
  <si>
    <t>72.33.02.04</t>
  </si>
  <si>
    <t>72.34.01.01</t>
  </si>
  <si>
    <t>72.34.01.02</t>
  </si>
  <si>
    <t>72.34.01.03</t>
  </si>
  <si>
    <t>72.34.01.04</t>
  </si>
  <si>
    <t>72.35.01.01</t>
  </si>
  <si>
    <t>72.35.01.02</t>
  </si>
  <si>
    <t>72.35.01.03</t>
  </si>
  <si>
    <t>72.35.01.04</t>
  </si>
  <si>
    <t>72.35.02.01</t>
  </si>
  <si>
    <t>72.35.02.02</t>
  </si>
  <si>
    <t>72.35.02.03</t>
  </si>
  <si>
    <t>72.35.02.04</t>
  </si>
  <si>
    <t>72.35.03.01</t>
  </si>
  <si>
    <t>72.35.03.02</t>
  </si>
  <si>
    <t>72.35.03.03</t>
  </si>
  <si>
    <t>72.35.03.04</t>
  </si>
  <si>
    <t>72.36.01.01</t>
  </si>
  <si>
    <t>72.36.01.02</t>
  </si>
  <si>
    <t>72.36.01.03</t>
  </si>
  <si>
    <t>72.36.01.04</t>
  </si>
  <si>
    <t>72.36.02.01</t>
  </si>
  <si>
    <t>72.36.02.02</t>
  </si>
  <si>
    <t>72.36.02.03</t>
  </si>
  <si>
    <t>72.36.02.04</t>
  </si>
  <si>
    <t>72.37.01.01</t>
  </si>
  <si>
    <t>72.37.01.02</t>
  </si>
  <si>
    <t>72.37.01.03</t>
  </si>
  <si>
    <t>72.37.01.04</t>
  </si>
  <si>
    <t>72.37.02.01</t>
  </si>
  <si>
    <t>72.37.02.02</t>
  </si>
  <si>
    <t>72.37.02.03</t>
  </si>
  <si>
    <t>72.37.02.04</t>
  </si>
  <si>
    <t>72.38.01.01</t>
  </si>
  <si>
    <t>72.38.01.02</t>
  </si>
  <si>
    <t>72.38.01.03</t>
  </si>
  <si>
    <t>72.38.01.04</t>
  </si>
  <si>
    <t>72.38.02.01</t>
  </si>
  <si>
    <t>72.38.02.02</t>
  </si>
  <si>
    <t>72.38.02.03</t>
  </si>
  <si>
    <t>72.38.02.04</t>
  </si>
  <si>
    <t>72.39.01.01</t>
  </si>
  <si>
    <t>72.39.01.02</t>
  </si>
  <si>
    <t>72.39.01.03</t>
  </si>
  <si>
    <t>72.39.01.04</t>
  </si>
  <si>
    <t>72.39.02.01</t>
  </si>
  <si>
    <t>72.39.02.02</t>
  </si>
  <si>
    <t>72.39.02.03</t>
  </si>
  <si>
    <t>72.39.02.04</t>
  </si>
  <si>
    <t>72.39.03.01</t>
  </si>
  <si>
    <t>72.39.03.02</t>
  </si>
  <si>
    <t>72.39.03.03</t>
  </si>
  <si>
    <t>72.39.03.04</t>
  </si>
  <si>
    <t>72.40.01.01</t>
  </si>
  <si>
    <t>72.40.01.02</t>
  </si>
  <si>
    <t>72.40.01.03</t>
  </si>
  <si>
    <t>72.40.01.04</t>
  </si>
  <si>
    <t>72.40.02.01</t>
  </si>
  <si>
    <t>72.40.02.02</t>
  </si>
  <si>
    <t>72.40.02.03</t>
  </si>
  <si>
    <t>72.40.02.04</t>
  </si>
  <si>
    <t>72.40.03.01</t>
  </si>
  <si>
    <t>72.40.03.02</t>
  </si>
  <si>
    <t>72.40.03.03</t>
  </si>
  <si>
    <t>72.40.03.04</t>
  </si>
  <si>
    <t>72.41.01.01</t>
  </si>
  <si>
    <t>72.41.01.02</t>
  </si>
  <si>
    <t>72.41.01.03</t>
  </si>
  <si>
    <t>72.41.01.04</t>
  </si>
  <si>
    <t>72.41.02.01</t>
  </si>
  <si>
    <t>72.41.02.02</t>
  </si>
  <si>
    <t>72.41.02.03</t>
  </si>
  <si>
    <t>72.41.02.04</t>
  </si>
  <si>
    <t>72.41.03.01</t>
  </si>
  <si>
    <t>72.41.03.02</t>
  </si>
  <si>
    <t>72.41.03.03</t>
  </si>
  <si>
    <t>72.41.03.04</t>
  </si>
  <si>
    <t>72.41.04.01</t>
  </si>
  <si>
    <t>72.41.04.02</t>
  </si>
  <si>
    <t>72.41.04.03</t>
  </si>
  <si>
    <t>72.41.04.04</t>
  </si>
  <si>
    <t>72.41.05.01</t>
  </si>
  <si>
    <t>72.41.05.02</t>
  </si>
  <si>
    <t>72.41.05.03</t>
  </si>
  <si>
    <t>72.41.05.04</t>
  </si>
  <si>
    <t>72.42.01.01</t>
  </si>
  <si>
    <t>72.42.01.02</t>
  </si>
  <si>
    <t>72.42.01.03</t>
  </si>
  <si>
    <t>72.42.01.04</t>
  </si>
  <si>
    <t>72.42.02.01</t>
  </si>
  <si>
    <t>72.42.02.02</t>
  </si>
  <si>
    <t>72.42.02.03</t>
  </si>
  <si>
    <t>72.42.02.04</t>
  </si>
  <si>
    <t>72.42.03.01</t>
  </si>
  <si>
    <t>72.42.03.02</t>
  </si>
  <si>
    <t>72.42.03.03</t>
  </si>
  <si>
    <t>72.42.03.04</t>
  </si>
  <si>
    <t>72.42.04.01</t>
  </si>
  <si>
    <t>72.42.04.02</t>
  </si>
  <si>
    <t>72.42.04.03</t>
  </si>
  <si>
    <t>72.42.04.04</t>
  </si>
  <si>
    <t>72.42.05.01</t>
  </si>
  <si>
    <t>72.42.05.02</t>
  </si>
  <si>
    <t>72.42.05.03</t>
  </si>
  <si>
    <t>72.42.05.04</t>
  </si>
  <si>
    <t>72.43.01.01</t>
  </si>
  <si>
    <t>72.43.01.02</t>
  </si>
  <si>
    <t>72.43.01.03</t>
  </si>
  <si>
    <t>72.43.01.04</t>
  </si>
  <si>
    <t>72.44.01.01</t>
  </si>
  <si>
    <t>72.44.01.02</t>
  </si>
  <si>
    <t>72.44.01.03</t>
  </si>
  <si>
    <t>72.44.01.04</t>
  </si>
  <si>
    <t>72.44.02.01</t>
  </si>
  <si>
    <t>72.44.02.02</t>
  </si>
  <si>
    <t>72.44.02.03</t>
  </si>
  <si>
    <t>72.44.02.04</t>
  </si>
  <si>
    <t>72.44.03.01</t>
  </si>
  <si>
    <t>72.44.03.02</t>
  </si>
  <si>
    <t>72.44.03.03</t>
  </si>
  <si>
    <t>72.44.03.04</t>
  </si>
  <si>
    <t>72.45.01.01</t>
  </si>
  <si>
    <t>72.45.01.02</t>
  </si>
  <si>
    <t>72.45.01.03</t>
  </si>
  <si>
    <t>72.45.01.04</t>
  </si>
  <si>
    <t>72.45.02.01</t>
  </si>
  <si>
    <t>72.45.02.02</t>
  </si>
  <si>
    <t>72.45.02.03</t>
  </si>
  <si>
    <t>72.45.02.04</t>
  </si>
  <si>
    <t>72.45.03.01</t>
  </si>
  <si>
    <t>72.45.03.02</t>
  </si>
  <si>
    <t>72.45.03.03</t>
  </si>
  <si>
    <t>72.45.03.04</t>
  </si>
  <si>
    <t>72.45.04.01</t>
  </si>
  <si>
    <t>72.45.04.02</t>
  </si>
  <si>
    <t>72.45.04.03</t>
  </si>
  <si>
    <t>72.45.04.04</t>
  </si>
  <si>
    <t>72.45.05.01</t>
  </si>
  <si>
    <t>72.45.05.02</t>
  </si>
  <si>
    <t>72.45.05.03</t>
  </si>
  <si>
    <t>72.45.05.04</t>
  </si>
  <si>
    <t>72.45.06.01</t>
  </si>
  <si>
    <t>72.45.06.02</t>
  </si>
  <si>
    <t>72.45.06.03</t>
  </si>
  <si>
    <t>72.45.06.04</t>
  </si>
  <si>
    <t>72.46.01.01</t>
  </si>
  <si>
    <t>72.46.01.02</t>
  </si>
  <si>
    <t>72.46.01.03</t>
  </si>
  <si>
    <t>72.46.01.04</t>
  </si>
  <si>
    <t>72.46.02.01</t>
  </si>
  <si>
    <t>72.46.02.02</t>
  </si>
  <si>
    <t>72.46.02.03</t>
  </si>
  <si>
    <t>72.46.02.04</t>
  </si>
  <si>
    <t>72.47.01.01</t>
  </si>
  <si>
    <t>72.47.01.02</t>
  </si>
  <si>
    <t>72.47.01.03</t>
  </si>
  <si>
    <t>72.47.01.04</t>
  </si>
  <si>
    <t>72.47.02.01</t>
  </si>
  <si>
    <t>72.47.02.02</t>
  </si>
  <si>
    <t>72.47.02.03</t>
  </si>
  <si>
    <t>72.47.02.04</t>
  </si>
  <si>
    <t>72.47.03.01</t>
  </si>
  <si>
    <t>72.47.03.02</t>
  </si>
  <si>
    <t>72.47.03.03</t>
  </si>
  <si>
    <t>72.47.03.04</t>
  </si>
  <si>
    <t>72.48.01.01</t>
  </si>
  <si>
    <t>72.48.01.02</t>
  </si>
  <si>
    <t>72.48.01.03</t>
  </si>
  <si>
    <t>72.48.01.04</t>
  </si>
  <si>
    <t>72.48.02.01</t>
  </si>
  <si>
    <t>72.48.02.02</t>
  </si>
  <si>
    <t>72.48.02.03</t>
  </si>
  <si>
    <t>72.48.02.04</t>
  </si>
  <si>
    <t>72.49.01.01</t>
  </si>
  <si>
    <t>72.49.01.02</t>
  </si>
  <si>
    <t>72.49.01.03</t>
  </si>
  <si>
    <t>72.49.01.04</t>
  </si>
  <si>
    <t>72.49.02.01</t>
  </si>
  <si>
    <t>72.49.02.02</t>
  </si>
  <si>
    <t>72.49.02.03</t>
  </si>
  <si>
    <t>72.49.02.04</t>
  </si>
  <si>
    <t>72.49.03.01</t>
  </si>
  <si>
    <t>72.49.03.02</t>
  </si>
  <si>
    <t>72.49.03.03</t>
  </si>
  <si>
    <t>72.49.03.04</t>
  </si>
  <si>
    <t>72.49.04.01</t>
  </si>
  <si>
    <t>72.49.04.02</t>
  </si>
  <si>
    <t>72.49.04.03</t>
  </si>
  <si>
    <t>72.49.04.04</t>
  </si>
  <si>
    <t>72.49.05.01</t>
  </si>
  <si>
    <t>72.49.05.02</t>
  </si>
  <si>
    <t>72.49.05.03</t>
  </si>
  <si>
    <t>72.49.05.04</t>
  </si>
  <si>
    <t>72.50.01.01</t>
  </si>
  <si>
    <t>72.50.01.02</t>
  </si>
  <si>
    <t>72.50.01.03</t>
  </si>
  <si>
    <t>72.50.01.04</t>
  </si>
  <si>
    <t>72.50.02.01</t>
  </si>
  <si>
    <t>72.50.02.02</t>
  </si>
  <si>
    <t>72.50.02.03</t>
  </si>
  <si>
    <t>72.50.02.04</t>
  </si>
  <si>
    <t>72.50.03.01</t>
  </si>
  <si>
    <t>72.50.03.02</t>
  </si>
  <si>
    <t>72.50.03.03</t>
  </si>
  <si>
    <t>72.50.03.04</t>
  </si>
  <si>
    <t>72.50.04.01</t>
  </si>
  <si>
    <t>72.50.04.02</t>
  </si>
  <si>
    <t>72.50.04.03</t>
  </si>
  <si>
    <t>72.50.04.04</t>
  </si>
  <si>
    <t>72.50.05.01</t>
  </si>
  <si>
    <t>72.50.05.02</t>
  </si>
  <si>
    <t>72.50.05.03</t>
  </si>
  <si>
    <t>72.50.05.04</t>
  </si>
  <si>
    <t>72.50.06.01</t>
  </si>
  <si>
    <t>72.50.06.02</t>
  </si>
  <si>
    <t>72.50.06.03</t>
  </si>
  <si>
    <t>72.50.06.04</t>
  </si>
  <si>
    <t>72.52.01.01</t>
  </si>
  <si>
    <t>72.52.01.02</t>
  </si>
  <si>
    <t>72.52.01.03</t>
  </si>
  <si>
    <t>72.52.01.04</t>
  </si>
  <si>
    <t>72.52.02.01</t>
  </si>
  <si>
    <t>72.52.02.02</t>
  </si>
  <si>
    <t>72.52.02.03</t>
  </si>
  <si>
    <t>72.52.02.04</t>
  </si>
  <si>
    <t>72.52.03.01</t>
  </si>
  <si>
    <t>72.52.03.02</t>
  </si>
  <si>
    <t>72.52.03.03</t>
  </si>
  <si>
    <t>72.52.03.04</t>
  </si>
  <si>
    <t>72.52.04.01</t>
  </si>
  <si>
    <t>72.52.04.02</t>
  </si>
  <si>
    <t>72.52.04.03</t>
  </si>
  <si>
    <t>72.52.04.04</t>
  </si>
  <si>
    <t>72.52.05.01</t>
  </si>
  <si>
    <t>72.52.05.02</t>
  </si>
  <si>
    <t>72.52.05.03</t>
  </si>
  <si>
    <t>72.52.05.04</t>
  </si>
  <si>
    <t>72.53.01.01</t>
  </si>
  <si>
    <t>72.53.01.02</t>
  </si>
  <si>
    <t>72.53.01.03</t>
  </si>
  <si>
    <t>72.53.01.04</t>
  </si>
  <si>
    <t>72.53.02.01</t>
  </si>
  <si>
    <t>72.53.02.02</t>
  </si>
  <si>
    <t>72.53.02.03</t>
  </si>
  <si>
    <t>72.53.02.04</t>
  </si>
  <si>
    <t>72.54.01.01</t>
  </si>
  <si>
    <t>72.54.01.02</t>
  </si>
  <si>
    <t>72.54.01.03</t>
  </si>
  <si>
    <t>72.54.01.04</t>
  </si>
  <si>
    <t>72.54.02.01</t>
  </si>
  <si>
    <t>72.54.02.02</t>
  </si>
  <si>
    <t>72.54.02.03</t>
  </si>
  <si>
    <t>72.54.02.04</t>
  </si>
  <si>
    <t>72.54.03.01</t>
  </si>
  <si>
    <t>72.54.03.02</t>
  </si>
  <si>
    <t>72.54.03.03</t>
  </si>
  <si>
    <t>72.54.03.04</t>
  </si>
  <si>
    <t>72.54.04.01</t>
  </si>
  <si>
    <t>72.54.04.02</t>
  </si>
  <si>
    <t>72.54.04.03</t>
  </si>
  <si>
    <t>72.54.04.04</t>
  </si>
  <si>
    <t>72.55.01.01</t>
  </si>
  <si>
    <t>72.55.01.02</t>
  </si>
  <si>
    <t>72.55.01.03</t>
  </si>
  <si>
    <t>72.55.01.04</t>
  </si>
  <si>
    <t>72.56.01.01</t>
  </si>
  <si>
    <t>72.56.01.02</t>
  </si>
  <si>
    <t>72.56.01.03</t>
  </si>
  <si>
    <t>72.56.01.04</t>
  </si>
  <si>
    <t>72.56.03.01</t>
  </si>
  <si>
    <t>72.56.03.02</t>
  </si>
  <si>
    <t>72.56.03.03</t>
  </si>
  <si>
    <t>72.56.03.04</t>
  </si>
  <si>
    <t>72.57.01.01</t>
  </si>
  <si>
    <t>72.57.01.02</t>
  </si>
  <si>
    <t>72.57.01.03</t>
  </si>
  <si>
    <t>72.57.01.04</t>
  </si>
  <si>
    <t>72.58.01.01</t>
  </si>
  <si>
    <t>72.58.01.02</t>
  </si>
  <si>
    <t>72.58.01.03</t>
  </si>
  <si>
    <t>72.58.01.04</t>
  </si>
  <si>
    <t>72.58.02.01</t>
  </si>
  <si>
    <t>72.58.02.02</t>
  </si>
  <si>
    <t>72.58.02.03</t>
  </si>
  <si>
    <t>72.58.02.04</t>
  </si>
  <si>
    <t>72.58.03.01</t>
  </si>
  <si>
    <t>72.58.03.02</t>
  </si>
  <si>
    <t>72.58.03.03</t>
  </si>
  <si>
    <t>72.58.03.04</t>
  </si>
  <si>
    <t>72.58.04.01</t>
  </si>
  <si>
    <t>72.58.04.02</t>
  </si>
  <si>
    <t>72.58.04.03</t>
  </si>
  <si>
    <t>72.58.04.04</t>
  </si>
  <si>
    <t>72.58.05.01</t>
  </si>
  <si>
    <t>72.58.05.02</t>
  </si>
  <si>
    <t>72.58.05.03</t>
  </si>
  <si>
    <t>72.58.05.04</t>
  </si>
  <si>
    <t>72.59.01.01</t>
  </si>
  <si>
    <t>72.59.01.02</t>
  </si>
  <si>
    <t>72.59.01.03</t>
  </si>
  <si>
    <t>72.59.01.04</t>
  </si>
  <si>
    <t>72.59.02.01</t>
  </si>
  <si>
    <t>72.59.02.02</t>
  </si>
  <si>
    <t>72.59.02.03</t>
  </si>
  <si>
    <t>72.59.02.04</t>
  </si>
  <si>
    <t>72.61.01.01</t>
  </si>
  <si>
    <t>72.61.01.02</t>
  </si>
  <si>
    <t>72.61.01.03</t>
  </si>
  <si>
    <t>72.61.01.04</t>
  </si>
  <si>
    <t>72.63.01.01</t>
  </si>
  <si>
    <t>72.63.01.02</t>
  </si>
  <si>
    <t>72.63.01.03</t>
  </si>
  <si>
    <t>72.63.01.04</t>
  </si>
  <si>
    <t>72.72.01.01</t>
  </si>
  <si>
    <t>72.72.01.02</t>
  </si>
  <si>
    <t>72.72.01.03</t>
  </si>
  <si>
    <t>72.72.01.04</t>
  </si>
  <si>
    <t>72.73.01.01</t>
  </si>
  <si>
    <t>72.73.01.02</t>
  </si>
  <si>
    <t>72.73.01.03</t>
  </si>
  <si>
    <t>72.73.01.04</t>
  </si>
  <si>
    <t>72.74.01.01</t>
  </si>
  <si>
    <t>72.74.01.02</t>
  </si>
  <si>
    <t>72.74.01.03</t>
  </si>
  <si>
    <t>72.74.01.04</t>
  </si>
  <si>
    <t>COMPARATIVO DE PREÇOS</t>
  </si>
  <si>
    <t>Prç Total</t>
  </si>
  <si>
    <t>Boca para BDCC 2,50x2,50 (DNIT)</t>
  </si>
  <si>
    <t>Consumo conforme Desenho 6.19 do Álbum de Projetos tipo de Dispositivos de Drenagem - DNIT 5a Edição P/ Aterro entre 5 e 7,50m e SICRO (Código 0705291)</t>
  </si>
  <si>
    <t>Não Desonerado</t>
  </si>
  <si>
    <t>104519</t>
  </si>
  <si>
    <t>LIXADEIRA DE PAREDE, COM LED, POTÊNCIA 750 W, FREQUÊNCIA 60 HZ, VELOCIDADE 1000 A 2100 RPM, DIÂMETRO DA LIXA 225 MM - MATERIAIS NA OPERAÇÃO. AF_12/2022</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</si>
  <si>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</si>
  <si>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</si>
  <si>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</si>
  <si>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</si>
  <si>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</si>
  <si>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</si>
  <si>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</si>
  <si>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</si>
  <si>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</si>
  <si>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</si>
  <si>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</si>
  <si>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</si>
  <si>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</si>
  <si>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</si>
  <si>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</si>
  <si>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</si>
  <si>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</si>
  <si>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</si>
  <si>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</si>
  <si>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</si>
  <si>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MONTAGEM DE ARMADURA DE ESTACAS, DIÂMETRO = 32,0 MM. AF_09/2021_PE</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</si>
  <si>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</si>
  <si>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</si>
  <si>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</si>
  <si>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</si>
  <si>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91935</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</si>
  <si>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</si>
  <si>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</si>
  <si>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</si>
  <si>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</si>
  <si>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</si>
  <si>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</si>
  <si>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</si>
  <si>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</si>
  <si>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</si>
  <si>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</si>
  <si>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</si>
  <si>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</si>
  <si>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</si>
  <si>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</si>
  <si>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</si>
  <si>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</si>
  <si>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</si>
  <si>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</si>
  <si>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</si>
  <si>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</si>
  <si>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</si>
  <si>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</si>
  <si>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</si>
  <si>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</si>
  <si>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</si>
  <si>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</si>
  <si>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</si>
  <si>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</si>
  <si>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</si>
  <si>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</si>
  <si>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</si>
  <si>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</si>
  <si>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</si>
  <si>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</si>
  <si>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</si>
  <si>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</si>
  <si>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</si>
  <si>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</si>
  <si>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</si>
  <si>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</si>
  <si>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</si>
  <si>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</si>
  <si>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</si>
  <si>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</si>
  <si>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</si>
  <si>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</si>
  <si>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</si>
  <si>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</si>
  <si>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</si>
  <si>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</si>
  <si>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</si>
  <si>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</si>
  <si>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</si>
  <si>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</si>
  <si>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</si>
  <si>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</si>
  <si>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</si>
  <si>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</si>
  <si>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</si>
  <si>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</si>
  <si>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</si>
  <si>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</si>
  <si>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</si>
  <si>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</si>
  <si>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</si>
  <si>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</si>
  <si>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</si>
  <si>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</si>
  <si>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</si>
  <si>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</si>
  <si>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</si>
  <si>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</si>
  <si>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</si>
  <si>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</si>
  <si>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</si>
  <si>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</si>
  <si>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</si>
  <si>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</si>
  <si>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</si>
  <si>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</si>
  <si>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</si>
  <si>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</si>
  <si>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</si>
  <si>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</si>
  <si>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</si>
  <si>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</si>
  <si>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</si>
  <si>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</si>
  <si>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</si>
  <si>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</si>
  <si>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</si>
  <si>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</si>
  <si>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</si>
  <si>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</si>
  <si>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</si>
  <si>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</si>
  <si>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</si>
  <si>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</si>
  <si>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</si>
  <si>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</si>
  <si>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</si>
  <si>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</si>
  <si>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</si>
  <si>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</si>
  <si>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</si>
  <si>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</si>
  <si>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</si>
  <si>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</si>
  <si>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</si>
  <si>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</si>
  <si>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</si>
  <si>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</si>
  <si>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</si>
  <si>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</si>
  <si>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</si>
  <si>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</si>
  <si>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</si>
  <si>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</si>
  <si>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</si>
  <si>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</si>
  <si>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</si>
  <si>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</si>
  <si>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</si>
  <si>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</si>
  <si>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</si>
  <si>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</si>
  <si>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</si>
  <si>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</si>
  <si>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</si>
  <si>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</si>
  <si>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</si>
  <si>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</si>
  <si>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</si>
  <si>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</si>
  <si>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</si>
  <si>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</si>
  <si>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</si>
  <si>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</si>
  <si>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</si>
  <si>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</si>
  <si>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</si>
  <si>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</si>
  <si>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</si>
  <si>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</si>
  <si>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</si>
  <si>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</si>
  <si>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</si>
  <si>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</si>
  <si>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</si>
  <si>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</si>
  <si>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</si>
  <si>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</si>
  <si>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</si>
  <si>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</si>
  <si>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</si>
  <si>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</si>
  <si>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</si>
  <si>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</si>
  <si>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</si>
  <si>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</si>
  <si>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</si>
  <si>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</si>
  <si>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</si>
  <si>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</si>
  <si>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9,54</t>
  </si>
  <si>
    <t>13,37</t>
  </si>
  <si>
    <t>14,78</t>
  </si>
  <si>
    <t>44,29</t>
  </si>
  <si>
    <t>58,24</t>
  </si>
  <si>
    <t>101,10</t>
  </si>
  <si>
    <t>97,02</t>
  </si>
  <si>
    <t>28,40</t>
  </si>
  <si>
    <t>54,46</t>
  </si>
  <si>
    <t>60,96</t>
  </si>
  <si>
    <t>73,95</t>
  </si>
  <si>
    <t>4,04</t>
  </si>
  <si>
    <t>5,52</t>
  </si>
  <si>
    <t>6,28</t>
  </si>
  <si>
    <t>7,03</t>
  </si>
  <si>
    <t>7,77</t>
  </si>
  <si>
    <t>6,07</t>
  </si>
  <si>
    <t>6,83</t>
  </si>
  <si>
    <t>8,32</t>
  </si>
  <si>
    <t>4,37</t>
  </si>
  <si>
    <t>2,87</t>
  </si>
  <si>
    <t>30,05</t>
  </si>
  <si>
    <t>2,38</t>
  </si>
  <si>
    <t>1,04</t>
  </si>
  <si>
    <t>24,13</t>
  </si>
  <si>
    <t>29,38</t>
  </si>
  <si>
    <t>34,64</t>
  </si>
  <si>
    <t>181,16</t>
  </si>
  <si>
    <t>316,67</t>
  </si>
  <si>
    <t>54,18</t>
  </si>
  <si>
    <t>100,37</t>
  </si>
  <si>
    <t>133,59</t>
  </si>
  <si>
    <t>179,41</t>
  </si>
  <si>
    <t>14,43</t>
  </si>
  <si>
    <t>17,11</t>
  </si>
  <si>
    <t>9,85</t>
  </si>
  <si>
    <t>11,17</t>
  </si>
  <si>
    <t>14,37</t>
  </si>
  <si>
    <t>26,19</t>
  </si>
  <si>
    <t>59,84</t>
  </si>
  <si>
    <t>97,39</t>
  </si>
  <si>
    <t>107,89</t>
  </si>
  <si>
    <t>110,14</t>
  </si>
  <si>
    <t>157,70</t>
  </si>
  <si>
    <t>136,59</t>
  </si>
  <si>
    <t>292,17</t>
  </si>
  <si>
    <t>454,79</t>
  </si>
  <si>
    <t>7,39</t>
  </si>
  <si>
    <t>20,79</t>
  </si>
  <si>
    <t>25,42</t>
  </si>
  <si>
    <t>36,97</t>
  </si>
  <si>
    <t>41,59</t>
  </si>
  <si>
    <t>46,21</t>
  </si>
  <si>
    <t>51,99</t>
  </si>
  <si>
    <t>57,77</t>
  </si>
  <si>
    <t>64,70</t>
  </si>
  <si>
    <t>72,80</t>
  </si>
  <si>
    <t>82,04</t>
  </si>
  <si>
    <t>92,43</t>
  </si>
  <si>
    <t>29,11</t>
  </si>
  <si>
    <t>50,83</t>
  </si>
  <si>
    <t>83,19</t>
  </si>
  <si>
    <t>104,00</t>
  </si>
  <si>
    <t>115,55</t>
  </si>
  <si>
    <t>145,60</t>
  </si>
  <si>
    <t>164,09</t>
  </si>
  <si>
    <t>17,32</t>
  </si>
  <si>
    <t>21,09</t>
  </si>
  <si>
    <t>42,21</t>
  </si>
  <si>
    <t>273,65</t>
  </si>
  <si>
    <t>2.968,59</t>
  </si>
  <si>
    <t>36,83</t>
  </si>
  <si>
    <t>64,81</t>
  </si>
  <si>
    <t>1.684,25</t>
  </si>
  <si>
    <t>36,01</t>
  </si>
  <si>
    <t>2.382,27</t>
  </si>
  <si>
    <t>193,01</t>
  </si>
  <si>
    <t>226,52</t>
  </si>
  <si>
    <t>439,43</t>
  </si>
  <si>
    <t>444,86</t>
  </si>
  <si>
    <t>575,85</t>
  </si>
  <si>
    <t>179,26</t>
  </si>
  <si>
    <t>132,94</t>
  </si>
  <si>
    <t>29,19</t>
  </si>
  <si>
    <t>37,17</t>
  </si>
  <si>
    <t>6,03</t>
  </si>
  <si>
    <t>19,02</t>
  </si>
  <si>
    <t>5,09</t>
  </si>
  <si>
    <t>12,50</t>
  </si>
  <si>
    <t>14,62</t>
  </si>
  <si>
    <t>15,16</t>
  </si>
  <si>
    <t>31,10</t>
  </si>
  <si>
    <t>29,29</t>
  </si>
  <si>
    <t>96,40</t>
  </si>
  <si>
    <t>313,59</t>
  </si>
  <si>
    <t>42,02</t>
  </si>
  <si>
    <t>181,55</t>
  </si>
  <si>
    <t>28,70</t>
  </si>
  <si>
    <t>0,69</t>
  </si>
  <si>
    <t>88,21</t>
  </si>
  <si>
    <t>59,12</t>
  </si>
  <si>
    <t>172,14</t>
  </si>
  <si>
    <t>54,55</t>
  </si>
  <si>
    <t>81,17</t>
  </si>
  <si>
    <t>63,97</t>
  </si>
  <si>
    <t>51,56</t>
  </si>
  <si>
    <t>54,68</t>
  </si>
  <si>
    <t>57,11</t>
  </si>
  <si>
    <t>30,53</t>
  </si>
  <si>
    <t>79,28</t>
  </si>
  <si>
    <t>59,87</t>
  </si>
  <si>
    <t>85,78</t>
  </si>
  <si>
    <t>1,05</t>
  </si>
  <si>
    <t>1,25</t>
  </si>
  <si>
    <t>0,99</t>
  </si>
  <si>
    <t>71,70</t>
  </si>
  <si>
    <t>94,20</t>
  </si>
  <si>
    <t>69,93</t>
  </si>
  <si>
    <t>92,88</t>
  </si>
  <si>
    <t>131,38</t>
  </si>
  <si>
    <t>93,73</t>
  </si>
  <si>
    <t>84,47</t>
  </si>
  <si>
    <t>4,99</t>
  </si>
  <si>
    <t>5,20</t>
  </si>
  <si>
    <t>279,41</t>
  </si>
  <si>
    <t>166,76</t>
  </si>
  <si>
    <t>59,82</t>
  </si>
  <si>
    <t>54,15</t>
  </si>
  <si>
    <t>7,72</t>
  </si>
  <si>
    <t>7,74</t>
  </si>
  <si>
    <t>64,35</t>
  </si>
  <si>
    <t>0,84</t>
  </si>
  <si>
    <t>68,36</t>
  </si>
  <si>
    <t>56,57</t>
  </si>
  <si>
    <t>64,11</t>
  </si>
  <si>
    <t>57,59</t>
  </si>
  <si>
    <t>84,27</t>
  </si>
  <si>
    <t>43,40</t>
  </si>
  <si>
    <t>417,66</t>
  </si>
  <si>
    <t>25,92</t>
  </si>
  <si>
    <t>155,18</t>
  </si>
  <si>
    <t>62,35</t>
  </si>
  <si>
    <t>280,88</t>
  </si>
  <si>
    <t>201,95</t>
  </si>
  <si>
    <t>49,22</t>
  </si>
  <si>
    <t>85,55</t>
  </si>
  <si>
    <t>82,22</t>
  </si>
  <si>
    <t>59,17</t>
  </si>
  <si>
    <t>53,15</t>
  </si>
  <si>
    <t>84,40</t>
  </si>
  <si>
    <t>208,96</t>
  </si>
  <si>
    <t>403,90</t>
  </si>
  <si>
    <t>26,68</t>
  </si>
  <si>
    <t>58,53</t>
  </si>
  <si>
    <t>18,08</t>
  </si>
  <si>
    <t>15,85</t>
  </si>
  <si>
    <t>55,32</t>
  </si>
  <si>
    <t>40,70</t>
  </si>
  <si>
    <t>31,85</t>
  </si>
  <si>
    <t>39,14</t>
  </si>
  <si>
    <t>6,23</t>
  </si>
  <si>
    <t>23,20</t>
  </si>
  <si>
    <t>19,78</t>
  </si>
  <si>
    <t>96,31</t>
  </si>
  <si>
    <t>71,72</t>
  </si>
  <si>
    <t>234,93</t>
  </si>
  <si>
    <t>191,67</t>
  </si>
  <si>
    <t>1,46</t>
  </si>
  <si>
    <t>37,55</t>
  </si>
  <si>
    <t>7,06</t>
  </si>
  <si>
    <t>6,30</t>
  </si>
  <si>
    <t>33,68</t>
  </si>
  <si>
    <t>35,81</t>
  </si>
  <si>
    <t>42,86</t>
  </si>
  <si>
    <t>1,12</t>
  </si>
  <si>
    <t>3,56</t>
  </si>
  <si>
    <t>7,69</t>
  </si>
  <si>
    <t>9,62</t>
  </si>
  <si>
    <t>44,68</t>
  </si>
  <si>
    <t>55,85</t>
  </si>
  <si>
    <t>57,90</t>
  </si>
  <si>
    <t>4,38</t>
  </si>
  <si>
    <t>52,09</t>
  </si>
  <si>
    <t>65,12</t>
  </si>
  <si>
    <t>40,11</t>
  </si>
  <si>
    <t>131,41</t>
  </si>
  <si>
    <t>29,57</t>
  </si>
  <si>
    <t>4,52</t>
  </si>
  <si>
    <t>39,87</t>
  </si>
  <si>
    <t>8,97</t>
  </si>
  <si>
    <t>30,94</t>
  </si>
  <si>
    <t>14,49</t>
  </si>
  <si>
    <t>37,24</t>
  </si>
  <si>
    <t>5,05</t>
  </si>
  <si>
    <t>7,00</t>
  </si>
  <si>
    <t>28,91</t>
  </si>
  <si>
    <t>27,14</t>
  </si>
  <si>
    <t>47,80</t>
  </si>
  <si>
    <t>22,31</t>
  </si>
  <si>
    <t>52,13</t>
  </si>
  <si>
    <t>45,30</t>
  </si>
  <si>
    <t>5,17</t>
  </si>
  <si>
    <t>46,84</t>
  </si>
  <si>
    <t>21,48</t>
  </si>
  <si>
    <t>3,46</t>
  </si>
  <si>
    <t>50,32</t>
  </si>
  <si>
    <t>9,05</t>
  </si>
  <si>
    <t>80,90</t>
  </si>
  <si>
    <t>1,76</t>
  </si>
  <si>
    <t>59,65</t>
  </si>
  <si>
    <t>6,66</t>
  </si>
  <si>
    <t>1,07</t>
  </si>
  <si>
    <t>7,41</t>
  </si>
  <si>
    <t>4,65</t>
  </si>
  <si>
    <t>14,90</t>
  </si>
  <si>
    <t>218,75</t>
  </si>
  <si>
    <t>273,75</t>
  </si>
  <si>
    <t>119,14</t>
  </si>
  <si>
    <t>106,93</t>
  </si>
  <si>
    <t>16,54</t>
  </si>
  <si>
    <t>148,63</t>
  </si>
  <si>
    <t>27,50</t>
  </si>
  <si>
    <t>60,37</t>
  </si>
  <si>
    <t>25,26</t>
  </si>
  <si>
    <t>5,18</t>
  </si>
  <si>
    <t>4,10</t>
  </si>
  <si>
    <t>46,40</t>
  </si>
  <si>
    <t>22,42</t>
  </si>
  <si>
    <t>4,41</t>
  </si>
  <si>
    <t>19,85</t>
  </si>
  <si>
    <t>29,49</t>
  </si>
  <si>
    <t>3,99</t>
  </si>
  <si>
    <t>3,16</t>
  </si>
  <si>
    <t>25,24</t>
  </si>
  <si>
    <t>4,01</t>
  </si>
  <si>
    <t>4,94</t>
  </si>
  <si>
    <t>41,94</t>
  </si>
  <si>
    <t>68,06</t>
  </si>
  <si>
    <t>35,10</t>
  </si>
  <si>
    <t>5,86</t>
  </si>
  <si>
    <t>340,15</t>
  </si>
  <si>
    <t>47,22</t>
  </si>
  <si>
    <t>425,67</t>
  </si>
  <si>
    <t>3,86</t>
  </si>
  <si>
    <t>1,35</t>
  </si>
  <si>
    <t>6,14</t>
  </si>
  <si>
    <t>25,90</t>
  </si>
  <si>
    <t>25,18</t>
  </si>
  <si>
    <t>7,10</t>
  </si>
  <si>
    <t>96,78</t>
  </si>
  <si>
    <t>17,42</t>
  </si>
  <si>
    <t>155,57</t>
  </si>
  <si>
    <t>9,88</t>
  </si>
  <si>
    <t>25,31</t>
  </si>
  <si>
    <t>44,05</t>
  </si>
  <si>
    <t>0,33</t>
  </si>
  <si>
    <t>4,44</t>
  </si>
  <si>
    <t>6,29</t>
  </si>
  <si>
    <t>2,57</t>
  </si>
  <si>
    <t>17,90</t>
  </si>
  <si>
    <t>146,67</t>
  </si>
  <si>
    <t>43,83</t>
  </si>
  <si>
    <t>8,12</t>
  </si>
  <si>
    <t>52,17</t>
  </si>
  <si>
    <t>6,19</t>
  </si>
  <si>
    <t>1,93</t>
  </si>
  <si>
    <t>6,72</t>
  </si>
  <si>
    <t>45,68</t>
  </si>
  <si>
    <t>6,25</t>
  </si>
  <si>
    <t>57,17</t>
  </si>
  <si>
    <t>68,63</t>
  </si>
  <si>
    <t>52,86</t>
  </si>
  <si>
    <t>66,07</t>
  </si>
  <si>
    <t>33,25</t>
  </si>
  <si>
    <t>57,35</t>
  </si>
  <si>
    <t>28,46</t>
  </si>
  <si>
    <t>20,55</t>
  </si>
  <si>
    <t>23,37</t>
  </si>
  <si>
    <t>7,46</t>
  </si>
  <si>
    <t>3,35</t>
  </si>
  <si>
    <t>154,68</t>
  </si>
  <si>
    <t>24,37</t>
  </si>
  <si>
    <t>1,29</t>
  </si>
  <si>
    <t>2,58</t>
  </si>
  <si>
    <t>4,84</t>
  </si>
  <si>
    <t>134,10</t>
  </si>
  <si>
    <t>178,80</t>
  </si>
  <si>
    <t>2,26</t>
  </si>
  <si>
    <t>9,73</t>
  </si>
  <si>
    <t>89,89</t>
  </si>
  <si>
    <t>100,72</t>
  </si>
  <si>
    <t>97,07</t>
  </si>
  <si>
    <t>117,80</t>
  </si>
  <si>
    <t>27,06</t>
  </si>
  <si>
    <t>38,67</t>
  </si>
  <si>
    <t>64,31</t>
  </si>
  <si>
    <t>30,86</t>
  </si>
  <si>
    <t>49,63</t>
  </si>
  <si>
    <t>61,35</t>
  </si>
  <si>
    <t>19,76</t>
  </si>
  <si>
    <t>22,66</t>
  </si>
  <si>
    <t>48,03</t>
  </si>
  <si>
    <t>21,55</t>
  </si>
  <si>
    <t>90,24</t>
  </si>
  <si>
    <t>288,04</t>
  </si>
  <si>
    <t>579,12</t>
  </si>
  <si>
    <t>39,29</t>
  </si>
  <si>
    <t>32,91</t>
  </si>
  <si>
    <t>112,41</t>
  </si>
  <si>
    <t>897,83</t>
  </si>
  <si>
    <t>29,85</t>
  </si>
  <si>
    <t>56,15</t>
  </si>
  <si>
    <t>44,79</t>
  </si>
  <si>
    <t>9,64</t>
  </si>
  <si>
    <t>107,13</t>
  </si>
  <si>
    <t>117,61</t>
  </si>
  <si>
    <t>131,04</t>
  </si>
  <si>
    <t>164,67</t>
  </si>
  <si>
    <t>220,59</t>
  </si>
  <si>
    <t>35,20</t>
  </si>
  <si>
    <t>39,12</t>
  </si>
  <si>
    <t>14,87</t>
  </si>
  <si>
    <t>12,22</t>
  </si>
  <si>
    <t>10,28</t>
  </si>
  <si>
    <t>10,72</t>
  </si>
  <si>
    <t>577,88</t>
  </si>
  <si>
    <t>61,78</t>
  </si>
  <si>
    <t>40,18</t>
  </si>
  <si>
    <t>45,89</t>
  </si>
  <si>
    <t>59,19</t>
  </si>
  <si>
    <t>83,20</t>
  </si>
  <si>
    <t>72,97</t>
  </si>
  <si>
    <t>66,33</t>
  </si>
  <si>
    <t>26,96</t>
  </si>
  <si>
    <t>9,78</t>
  </si>
  <si>
    <t>14,29</t>
  </si>
  <si>
    <t>565,45</t>
  </si>
  <si>
    <t>26,71</t>
  </si>
  <si>
    <t>36,30</t>
  </si>
  <si>
    <t>20,94</t>
  </si>
  <si>
    <t>15,95</t>
  </si>
  <si>
    <t>47,63</t>
  </si>
  <si>
    <t>59,94</t>
  </si>
  <si>
    <t>34,61</t>
  </si>
  <si>
    <t>47,08</t>
  </si>
  <si>
    <t>64,21</t>
  </si>
  <si>
    <t>55,24</t>
  </si>
  <si>
    <t>74,61</t>
  </si>
  <si>
    <t>22,93</t>
  </si>
  <si>
    <t>9,10</t>
  </si>
  <si>
    <t>247,22</t>
  </si>
  <si>
    <t>217,92</t>
  </si>
  <si>
    <t>422,93</t>
  </si>
  <si>
    <t>146,44</t>
  </si>
  <si>
    <t>148,58</t>
  </si>
  <si>
    <t>125,19</t>
  </si>
  <si>
    <t>70,96</t>
  </si>
  <si>
    <t>86,96</t>
  </si>
  <si>
    <t>94,97</t>
  </si>
  <si>
    <t>112,92</t>
  </si>
  <si>
    <t>1.373,74</t>
  </si>
  <si>
    <t>342,40</t>
  </si>
  <si>
    <t>35,17</t>
  </si>
  <si>
    <t>73,46</t>
  </si>
  <si>
    <t>86,56</t>
  </si>
  <si>
    <t>79,59</t>
  </si>
  <si>
    <t>193,58</t>
  </si>
  <si>
    <t>156,96</t>
  </si>
  <si>
    <t>179,71</t>
  </si>
  <si>
    <t>198,46</t>
  </si>
  <si>
    <t>25,29</t>
  </si>
  <si>
    <t>18,04</t>
  </si>
  <si>
    <t>18,60</t>
  </si>
  <si>
    <t>22,74</t>
  </si>
  <si>
    <t>15,90</t>
  </si>
  <si>
    <t>58,79</t>
  </si>
  <si>
    <t>88,94</t>
  </si>
  <si>
    <t>17,07</t>
  </si>
  <si>
    <t>28,45</t>
  </si>
  <si>
    <t>29,91</t>
  </si>
  <si>
    <t>13,49</t>
  </si>
  <si>
    <t>546,75</t>
  </si>
  <si>
    <t>84,77</t>
  </si>
  <si>
    <t>35,11</t>
  </si>
  <si>
    <t>170,95</t>
  </si>
  <si>
    <t>90,30</t>
  </si>
  <si>
    <t>62,12</t>
  </si>
  <si>
    <t>69,29</t>
  </si>
  <si>
    <t>94,74</t>
  </si>
  <si>
    <t>145,20</t>
  </si>
  <si>
    <t>202,95</t>
  </si>
  <si>
    <t>170,99</t>
  </si>
  <si>
    <t>11,08</t>
  </si>
  <si>
    <t>11,78</t>
  </si>
  <si>
    <t>11,14</t>
  </si>
  <si>
    <t>10,57</t>
  </si>
  <si>
    <t>13,33</t>
  </si>
  <si>
    <t>9,21</t>
  </si>
  <si>
    <t>10,39</t>
  </si>
  <si>
    <t>11,59</t>
  </si>
  <si>
    <t>10,41</t>
  </si>
  <si>
    <t>10,30</t>
  </si>
  <si>
    <t>9,49</t>
  </si>
  <si>
    <t>16,12</t>
  </si>
  <si>
    <t>9,84</t>
  </si>
  <si>
    <t>10,99</t>
  </si>
  <si>
    <t>10,22</t>
  </si>
  <si>
    <t>23,78</t>
  </si>
  <si>
    <t>17,09</t>
  </si>
  <si>
    <t>10,56</t>
  </si>
  <si>
    <t>11,05</t>
  </si>
  <si>
    <t>11,15</t>
  </si>
  <si>
    <t>12,66</t>
  </si>
  <si>
    <t>16,64</t>
  </si>
  <si>
    <t>593,27</t>
  </si>
  <si>
    <t>602,46</t>
  </si>
  <si>
    <t>573,68</t>
  </si>
  <si>
    <t>579,30</t>
  </si>
  <si>
    <t>632,08</t>
  </si>
  <si>
    <t>601,84</t>
  </si>
  <si>
    <t>582,64</t>
  </si>
  <si>
    <t>657,58</t>
  </si>
  <si>
    <t>609,41</t>
  </si>
  <si>
    <t>616,44</t>
  </si>
  <si>
    <t>588,18</t>
  </si>
  <si>
    <t>636,34</t>
  </si>
  <si>
    <t>587,88</t>
  </si>
  <si>
    <t>905,75</t>
  </si>
  <si>
    <t>345,20</t>
  </si>
  <si>
    <t>616,52</t>
  </si>
  <si>
    <t>577,42</t>
  </si>
  <si>
    <t>599,72</t>
  </si>
  <si>
    <t>576,96</t>
  </si>
  <si>
    <t>974,82</t>
  </si>
  <si>
    <t>775,31</t>
  </si>
  <si>
    <t>863,91</t>
  </si>
  <si>
    <t>726,16</t>
  </si>
  <si>
    <t>775,74</t>
  </si>
  <si>
    <t>645,33</t>
  </si>
  <si>
    <t>927,84</t>
  </si>
  <si>
    <t>1.264,06</t>
  </si>
  <si>
    <t>596,83</t>
  </si>
  <si>
    <t>582,21</t>
  </si>
  <si>
    <t>648,49</t>
  </si>
  <si>
    <t>1.051,04</t>
  </si>
  <si>
    <t>767,16</t>
  </si>
  <si>
    <t>118,31</t>
  </si>
  <si>
    <t>53,81</t>
  </si>
  <si>
    <t>65,47</t>
  </si>
  <si>
    <t>100,86</t>
  </si>
  <si>
    <t>47,78</t>
  </si>
  <si>
    <t>98,25</t>
  </si>
  <si>
    <t>70,23</t>
  </si>
  <si>
    <t>141,69</t>
  </si>
  <si>
    <t>19,19</t>
  </si>
  <si>
    <t>19,36</t>
  </si>
  <si>
    <t>23,80</t>
  </si>
  <si>
    <t>17,29</t>
  </si>
  <si>
    <t>586,46</t>
  </si>
  <si>
    <t>33,40</t>
  </si>
  <si>
    <t>47,25</t>
  </si>
  <si>
    <t>35,96</t>
  </si>
  <si>
    <t>12,62</t>
  </si>
  <si>
    <t>15,87</t>
  </si>
  <si>
    <t>16,56</t>
  </si>
  <si>
    <t>20,07</t>
  </si>
  <si>
    <t>8,94</t>
  </si>
  <si>
    <t>8,80</t>
  </si>
  <si>
    <t>13,78</t>
  </si>
  <si>
    <t>17,72</t>
  </si>
  <si>
    <t>15,03</t>
  </si>
  <si>
    <t>14,66</t>
  </si>
  <si>
    <t>25,21</t>
  </si>
  <si>
    <t>22,56</t>
  </si>
  <si>
    <t>26,73</t>
  </si>
  <si>
    <t>24,41</t>
  </si>
  <si>
    <t>35,83</t>
  </si>
  <si>
    <t>63,56</t>
  </si>
  <si>
    <t>65,40</t>
  </si>
  <si>
    <t>3,52</t>
  </si>
  <si>
    <t>4,26</t>
  </si>
  <si>
    <t>14,60</t>
  </si>
  <si>
    <t>8,61</t>
  </si>
  <si>
    <t>39,64</t>
  </si>
  <si>
    <t>48,13</t>
  </si>
  <si>
    <t>18,19</t>
  </si>
  <si>
    <t>38,17</t>
  </si>
  <si>
    <t>45,38</t>
  </si>
  <si>
    <t>53,95</t>
  </si>
  <si>
    <t>57,72</t>
  </si>
  <si>
    <t>29,61</t>
  </si>
  <si>
    <t>47,72</t>
  </si>
  <si>
    <t>19,52</t>
  </si>
  <si>
    <t>47,05</t>
  </si>
  <si>
    <t>31,03</t>
  </si>
  <si>
    <t>40,98</t>
  </si>
  <si>
    <t>42,75</t>
  </si>
  <si>
    <t>87,53</t>
  </si>
  <si>
    <t>1.743,96</t>
  </si>
  <si>
    <t>57,57</t>
  </si>
  <si>
    <t>548,81</t>
  </si>
  <si>
    <t>30,83</t>
  </si>
  <si>
    <t>12,92</t>
  </si>
  <si>
    <t>40,49</t>
  </si>
  <si>
    <t>57,91</t>
  </si>
  <si>
    <t>76,80</t>
  </si>
  <si>
    <t>60,83</t>
  </si>
  <si>
    <t>88,16</t>
  </si>
  <si>
    <t>44,27</t>
  </si>
  <si>
    <t>26,22</t>
  </si>
  <si>
    <t>45,31</t>
  </si>
  <si>
    <t>32,22</t>
  </si>
  <si>
    <t>24,77</t>
  </si>
  <si>
    <t>90,51</t>
  </si>
  <si>
    <t>97,59</t>
  </si>
  <si>
    <t>83,77</t>
  </si>
  <si>
    <t>50,11</t>
  </si>
  <si>
    <t>141,76</t>
  </si>
  <si>
    <t>71,77</t>
  </si>
  <si>
    <t>18,92</t>
  </si>
  <si>
    <t>35,04</t>
  </si>
  <si>
    <t>73,91</t>
  </si>
  <si>
    <t>116,56</t>
  </si>
  <si>
    <t>28,15</t>
  </si>
  <si>
    <t>173,85</t>
  </si>
  <si>
    <t>105,66</t>
  </si>
  <si>
    <t>54,92</t>
  </si>
  <si>
    <t>47,99</t>
  </si>
  <si>
    <t>64,80</t>
  </si>
  <si>
    <t>30,89</t>
  </si>
  <si>
    <t>74,75</t>
  </si>
  <si>
    <t>77,42</t>
  </si>
  <si>
    <t>35,06</t>
  </si>
  <si>
    <t>611,29</t>
  </si>
  <si>
    <t>118,88</t>
  </si>
  <si>
    <t>214,57</t>
  </si>
  <si>
    <t>153,13</t>
  </si>
  <si>
    <t>49,00</t>
  </si>
  <si>
    <t>63,65</t>
  </si>
  <si>
    <t>1.727,04</t>
  </si>
  <si>
    <t>336,38</t>
  </si>
  <si>
    <t>164,82</t>
  </si>
  <si>
    <t>13,55</t>
  </si>
  <si>
    <t>127,37</t>
  </si>
  <si>
    <t>3,10</t>
  </si>
  <si>
    <t>3,75</t>
  </si>
  <si>
    <t>12,68</t>
  </si>
  <si>
    <t>18,94</t>
  </si>
  <si>
    <t>2,77</t>
  </si>
  <si>
    <t>3,04</t>
  </si>
  <si>
    <t>24,49</t>
  </si>
  <si>
    <t>45,54</t>
  </si>
  <si>
    <t>473,07</t>
  </si>
  <si>
    <t>6,51</t>
  </si>
  <si>
    <t>21,12</t>
  </si>
  <si>
    <t>19,31</t>
  </si>
  <si>
    <t>44,30</t>
  </si>
  <si>
    <t>29,68</t>
  </si>
  <si>
    <t>211,75</t>
  </si>
  <si>
    <t>19,77</t>
  </si>
  <si>
    <t>35,62</t>
  </si>
  <si>
    <t>55,21</t>
  </si>
  <si>
    <t>452,82</t>
  </si>
  <si>
    <t>85,47</t>
  </si>
  <si>
    <t>125,57</t>
  </si>
  <si>
    <t>127,90</t>
  </si>
  <si>
    <t>32,11</t>
  </si>
  <si>
    <t>45,28</t>
  </si>
  <si>
    <t>44,44</t>
  </si>
  <si>
    <t>25,60</t>
  </si>
  <si>
    <t>38,77</t>
  </si>
  <si>
    <t>93,74</t>
  </si>
  <si>
    <t>45,73</t>
  </si>
  <si>
    <t>25,57</t>
  </si>
  <si>
    <t>25,59</t>
  </si>
  <si>
    <t>40,77</t>
  </si>
  <si>
    <t>97,95</t>
  </si>
  <si>
    <t>131,23</t>
  </si>
  <si>
    <t>9,93</t>
  </si>
  <si>
    <t>37,07</t>
  </si>
  <si>
    <t>23,00</t>
  </si>
  <si>
    <t>30,09</t>
  </si>
  <si>
    <t>38,59</t>
  </si>
  <si>
    <t>9,47</t>
  </si>
  <si>
    <t>316,22</t>
  </si>
  <si>
    <t>63,95</t>
  </si>
  <si>
    <t>100,69</t>
  </si>
  <si>
    <t>29,94</t>
  </si>
  <si>
    <t>27,94</t>
  </si>
  <si>
    <t>48,85</t>
  </si>
  <si>
    <t>235,99</t>
  </si>
  <si>
    <t>435,05</t>
  </si>
  <si>
    <t>210,63</t>
  </si>
  <si>
    <t>239,53</t>
  </si>
  <si>
    <t>198,54</t>
  </si>
  <si>
    <t>331,17</t>
  </si>
  <si>
    <t>427,32</t>
  </si>
  <si>
    <t>441,95</t>
  </si>
  <si>
    <t>217,53</t>
  </si>
  <si>
    <t>246,43</t>
  </si>
  <si>
    <t>205,44</t>
  </si>
  <si>
    <t>341,53</t>
  </si>
  <si>
    <t>441,14</t>
  </si>
  <si>
    <t>18,50</t>
  </si>
  <si>
    <t>10,82</t>
  </si>
  <si>
    <t>13,17</t>
  </si>
  <si>
    <t>14,67</t>
  </si>
  <si>
    <t>7,94</t>
  </si>
  <si>
    <t>12,80</t>
  </si>
  <si>
    <t>12,48</t>
  </si>
  <si>
    <t>22,53</t>
  </si>
  <si>
    <t>21,97</t>
  </si>
  <si>
    <t>8,87</t>
  </si>
  <si>
    <t>9,89</t>
  </si>
  <si>
    <t>10,66</t>
  </si>
  <si>
    <t>11,64</t>
  </si>
  <si>
    <t>12,69</t>
  </si>
  <si>
    <t>30,54</t>
  </si>
  <si>
    <t>11,77</t>
  </si>
  <si>
    <t>21,76</t>
  </si>
  <si>
    <t>24,92</t>
  </si>
  <si>
    <t>25,96</t>
  </si>
  <si>
    <t>14,06</t>
  </si>
  <si>
    <t>13,50</t>
  </si>
  <si>
    <t>104,51</t>
  </si>
  <si>
    <t>8,82</t>
  </si>
  <si>
    <t>16,42</t>
  </si>
  <si>
    <t>101,99</t>
  </si>
  <si>
    <t>57,68</t>
  </si>
  <si>
    <t>8,98</t>
  </si>
  <si>
    <t>23,04</t>
  </si>
  <si>
    <t>35,89</t>
  </si>
  <si>
    <t>36,39</t>
  </si>
  <si>
    <t>47,16</t>
  </si>
  <si>
    <t>36,18</t>
  </si>
  <si>
    <t>49,97</t>
  </si>
  <si>
    <t>41,06</t>
  </si>
  <si>
    <t>8,29</t>
  </si>
  <si>
    <t>12,72</t>
  </si>
  <si>
    <t>81,61</t>
  </si>
  <si>
    <t>12,33</t>
  </si>
  <si>
    <t>30,26</t>
  </si>
  <si>
    <t>28,64</t>
  </si>
  <si>
    <t>76,36</t>
  </si>
  <si>
    <t>81,01</t>
  </si>
  <si>
    <t>12,67</t>
  </si>
  <si>
    <t>128,82</t>
  </si>
  <si>
    <t>19,27</t>
  </si>
  <si>
    <t>23,28</t>
  </si>
  <si>
    <t>56,44</t>
  </si>
  <si>
    <t>15,39</t>
  </si>
  <si>
    <t>24,67</t>
  </si>
  <si>
    <t>14,74</t>
  </si>
  <si>
    <t>28,42</t>
  </si>
  <si>
    <t>9,80</t>
  </si>
  <si>
    <t>29,48</t>
  </si>
  <si>
    <t>16,83</t>
  </si>
  <si>
    <t>177,22</t>
  </si>
  <si>
    <t>54,56</t>
  </si>
  <si>
    <t>21,64</t>
  </si>
  <si>
    <t>18,21</t>
  </si>
  <si>
    <t>24,60</t>
  </si>
  <si>
    <t>38,10</t>
  </si>
  <si>
    <t>47,59</t>
  </si>
  <si>
    <t>35,05</t>
  </si>
  <si>
    <t>22,41</t>
  </si>
  <si>
    <t>39,88</t>
  </si>
  <si>
    <t>22,27</t>
  </si>
  <si>
    <t>23,79</t>
  </si>
  <si>
    <t>32,84</t>
  </si>
  <si>
    <t>13,72</t>
  </si>
  <si>
    <t>42,13</t>
  </si>
  <si>
    <t>15,11</t>
  </si>
  <si>
    <t>26,80</t>
  </si>
  <si>
    <t>39,48</t>
  </si>
  <si>
    <t>35,45</t>
  </si>
  <si>
    <t>75,75</t>
  </si>
  <si>
    <t>75,72</t>
  </si>
  <si>
    <t>98,78</t>
  </si>
  <si>
    <t>109,56</t>
  </si>
  <si>
    <t>137,56</t>
  </si>
  <si>
    <t>147,15</t>
  </si>
  <si>
    <t>112,81</t>
  </si>
  <si>
    <t>110,41</t>
  </si>
  <si>
    <t>168,99</t>
  </si>
  <si>
    <t>158,45</t>
  </si>
  <si>
    <t>223,01</t>
  </si>
  <si>
    <t>202,69</t>
  </si>
  <si>
    <t>147,13</t>
  </si>
  <si>
    <t>216,54</t>
  </si>
  <si>
    <t>41,54</t>
  </si>
  <si>
    <t>49,92</t>
  </si>
  <si>
    <t>51,72</t>
  </si>
  <si>
    <t>58,75</t>
  </si>
  <si>
    <t>59,10</t>
  </si>
  <si>
    <t>75,69</t>
  </si>
  <si>
    <t>75,66</t>
  </si>
  <si>
    <t>100,81</t>
  </si>
  <si>
    <t>111,59</t>
  </si>
  <si>
    <t>141,73</t>
  </si>
  <si>
    <t>62,94</t>
  </si>
  <si>
    <t>78,64</t>
  </si>
  <si>
    <t>89,96</t>
  </si>
  <si>
    <t>86,43</t>
  </si>
  <si>
    <t>110,28</t>
  </si>
  <si>
    <t>172,09</t>
  </si>
  <si>
    <t>161,55</t>
  </si>
  <si>
    <t>229,27</t>
  </si>
  <si>
    <t>208,95</t>
  </si>
  <si>
    <t>81,42</t>
  </si>
  <si>
    <t>98,66</t>
  </si>
  <si>
    <t>113,83</t>
  </si>
  <si>
    <t>146,95</t>
  </si>
  <si>
    <t>37,10</t>
  </si>
  <si>
    <t>44,50</t>
  </si>
  <si>
    <t>58,88</t>
  </si>
  <si>
    <t>58,85</t>
  </si>
  <si>
    <t>80,66</t>
  </si>
  <si>
    <t>91,44</t>
  </si>
  <si>
    <t>46,01</t>
  </si>
  <si>
    <t>43,44</t>
  </si>
  <si>
    <t>59,45</t>
  </si>
  <si>
    <t>54,33</t>
  </si>
  <si>
    <t>68,09</t>
  </si>
  <si>
    <t>64,56</t>
  </si>
  <si>
    <t>85,13</t>
  </si>
  <si>
    <t>141,92</t>
  </si>
  <si>
    <t>194,15</t>
  </si>
  <si>
    <t>173,83</t>
  </si>
  <si>
    <t>58,83</t>
  </si>
  <si>
    <t>84,67</t>
  </si>
  <si>
    <t>113,39</t>
  </si>
  <si>
    <t>180,41</t>
  </si>
  <si>
    <t>26,11</t>
  </si>
  <si>
    <t>26,54</t>
  </si>
  <si>
    <t>37,61</t>
  </si>
  <si>
    <t>62,29</t>
  </si>
  <si>
    <t>30,72</t>
  </si>
  <si>
    <t>49,71</t>
  </si>
  <si>
    <t>80,53</t>
  </si>
  <si>
    <t>145,68</t>
  </si>
  <si>
    <t>319,51</t>
  </si>
  <si>
    <t>64,30</t>
  </si>
  <si>
    <t>90,42</t>
  </si>
  <si>
    <t>107,67</t>
  </si>
  <si>
    <t>145,62</t>
  </si>
  <si>
    <t>221,08</t>
  </si>
  <si>
    <t>323,68</t>
  </si>
  <si>
    <t>53,03</t>
  </si>
  <si>
    <t>77,60</t>
  </si>
  <si>
    <t>93,07</t>
  </si>
  <si>
    <t>128,81</t>
  </si>
  <si>
    <t>200,93</t>
  </si>
  <si>
    <t>300,26</t>
  </si>
  <si>
    <t>51,61</t>
  </si>
  <si>
    <t>79,79</t>
  </si>
  <si>
    <t>151,66</t>
  </si>
  <si>
    <t>155,09</t>
  </si>
  <si>
    <t>53,16</t>
  </si>
  <si>
    <t>79,73</t>
  </si>
  <si>
    <t>116,14</t>
  </si>
  <si>
    <t>159,26</t>
  </si>
  <si>
    <t>32,32</t>
  </si>
  <si>
    <t>40,33</t>
  </si>
  <si>
    <t>95,99</t>
  </si>
  <si>
    <t>135,84</t>
  </si>
  <si>
    <t>24,52</t>
  </si>
  <si>
    <t>30,82</t>
  </si>
  <si>
    <t>20,57</t>
  </si>
  <si>
    <t>37,76</t>
  </si>
  <si>
    <t>57,93</t>
  </si>
  <si>
    <t>88,26</t>
  </si>
  <si>
    <t>127,72</t>
  </si>
  <si>
    <t>118,13</t>
  </si>
  <si>
    <t>86,17</t>
  </si>
  <si>
    <t>126,66</t>
  </si>
  <si>
    <t>137,20</t>
  </si>
  <si>
    <t>173,59</t>
  </si>
  <si>
    <t>193,91</t>
  </si>
  <si>
    <t>111,43</t>
  </si>
  <si>
    <t>173,94</t>
  </si>
  <si>
    <t>229,26</t>
  </si>
  <si>
    <t>201,88</t>
  </si>
  <si>
    <t>8,05</t>
  </si>
  <si>
    <t>13,20</t>
  </si>
  <si>
    <t>11,68</t>
  </si>
  <si>
    <t>15,28</t>
  </si>
  <si>
    <t>110,78</t>
  </si>
  <si>
    <t>22,52</t>
  </si>
  <si>
    <t>11,19</t>
  </si>
  <si>
    <t>148,45</t>
  </si>
  <si>
    <t>57,79</t>
  </si>
  <si>
    <t>45,52</t>
  </si>
  <si>
    <t>56,42</t>
  </si>
  <si>
    <t>18,05</t>
  </si>
  <si>
    <t>23,82</t>
  </si>
  <si>
    <t>45,69</t>
  </si>
  <si>
    <t>9,86</t>
  </si>
  <si>
    <t>21,73</t>
  </si>
  <si>
    <t>9,83</t>
  </si>
  <si>
    <t>16,09</t>
  </si>
  <si>
    <t>20,85</t>
  </si>
  <si>
    <t>86,54</t>
  </si>
  <si>
    <t>7,19</t>
  </si>
  <si>
    <t>31,56</t>
  </si>
  <si>
    <t>13,51</t>
  </si>
  <si>
    <t>107,18</t>
  </si>
  <si>
    <t>21,83</t>
  </si>
  <si>
    <t>25,75</t>
  </si>
  <si>
    <t>20,50</t>
  </si>
  <si>
    <t>235,64</t>
  </si>
  <si>
    <t>125,05</t>
  </si>
  <si>
    <t>225,97</t>
  </si>
  <si>
    <t>244,20</t>
  </si>
  <si>
    <t>123,56</t>
  </si>
  <si>
    <t>208,60</t>
  </si>
  <si>
    <t>18,31</t>
  </si>
  <si>
    <t>21,07</t>
  </si>
  <si>
    <t>19,16</t>
  </si>
  <si>
    <t>38,14</t>
  </si>
  <si>
    <t>35,35</t>
  </si>
  <si>
    <t>28,53</t>
  </si>
  <si>
    <t>12,57</t>
  </si>
  <si>
    <t>18,48</t>
  </si>
  <si>
    <t>27,81</t>
  </si>
  <si>
    <t>20,43</t>
  </si>
  <si>
    <t>24,97</t>
  </si>
  <si>
    <t>28,54</t>
  </si>
  <si>
    <t>37,43</t>
  </si>
  <si>
    <t>36,22</t>
  </si>
  <si>
    <t>35,79</t>
  </si>
  <si>
    <t>49,28</t>
  </si>
  <si>
    <t>16,00</t>
  </si>
  <si>
    <t>23,12</t>
  </si>
  <si>
    <t>30,13</t>
  </si>
  <si>
    <t>30,78</t>
  </si>
  <si>
    <t>28,94</t>
  </si>
  <si>
    <t>36,41</t>
  </si>
  <si>
    <t>35,41</t>
  </si>
  <si>
    <t>49,03</t>
  </si>
  <si>
    <t>63,41</t>
  </si>
  <si>
    <t>41,52</t>
  </si>
  <si>
    <t>54,88</t>
  </si>
  <si>
    <t>70,70</t>
  </si>
  <si>
    <t>157,26</t>
  </si>
  <si>
    <t>175,99</t>
  </si>
  <si>
    <t>201,76</t>
  </si>
  <si>
    <t>47,47</t>
  </si>
  <si>
    <t>60,69</t>
  </si>
  <si>
    <t>197,55</t>
  </si>
  <si>
    <t>218,35</t>
  </si>
  <si>
    <t>130,85</t>
  </si>
  <si>
    <t>133,62</t>
  </si>
  <si>
    <t>201,93</t>
  </si>
  <si>
    <t>96,01</t>
  </si>
  <si>
    <t>138,40</t>
  </si>
  <si>
    <t>99,37</t>
  </si>
  <si>
    <t>53,64</t>
  </si>
  <si>
    <t>23,61</t>
  </si>
  <si>
    <t>35,01</t>
  </si>
  <si>
    <t>27,59</t>
  </si>
  <si>
    <t>19,57</t>
  </si>
  <si>
    <t>30,79</t>
  </si>
  <si>
    <t>19,07</t>
  </si>
  <si>
    <t>20,35</t>
  </si>
  <si>
    <t>20,51</t>
  </si>
  <si>
    <t>31,98</t>
  </si>
  <si>
    <t>18,40</t>
  </si>
  <si>
    <t>19,68</t>
  </si>
  <si>
    <t>26,76</t>
  </si>
  <si>
    <t>25,77</t>
  </si>
  <si>
    <t>85,84</t>
  </si>
  <si>
    <t>15,45</t>
  </si>
  <si>
    <t>29,43</t>
  </si>
  <si>
    <t>7,44</t>
  </si>
  <si>
    <t>23,97</t>
  </si>
  <si>
    <t>38,70</t>
  </si>
  <si>
    <t>14,27</t>
  </si>
  <si>
    <t>25,38</t>
  </si>
  <si>
    <t>53,77</t>
  </si>
  <si>
    <t>40,76</t>
  </si>
  <si>
    <t>64,48</t>
  </si>
  <si>
    <t>38,72</t>
  </si>
  <si>
    <t>72,41</t>
  </si>
  <si>
    <t>30,30</t>
  </si>
  <si>
    <t>164,41</t>
  </si>
  <si>
    <t>7,60</t>
  </si>
  <si>
    <t>8,16</t>
  </si>
  <si>
    <t>5,71</t>
  </si>
  <si>
    <t>51,08</t>
  </si>
  <si>
    <t>168,36</t>
  </si>
  <si>
    <t>300,47</t>
  </si>
  <si>
    <t>5,10</t>
  </si>
  <si>
    <t>12,15</t>
  </si>
  <si>
    <t>14,01</t>
  </si>
  <si>
    <t>93,04</t>
  </si>
  <si>
    <t>59,01</t>
  </si>
  <si>
    <t>31,04</t>
  </si>
  <si>
    <t>131,85</t>
  </si>
  <si>
    <t>101,78</t>
  </si>
  <si>
    <t>81,65</t>
  </si>
  <si>
    <t>58,76</t>
  </si>
  <si>
    <t>197,82</t>
  </si>
  <si>
    <t>39,57</t>
  </si>
  <si>
    <t>39,33</t>
  </si>
  <si>
    <t>68,16</t>
  </si>
  <si>
    <t>72,83</t>
  </si>
  <si>
    <t>125,66</t>
  </si>
  <si>
    <t>61,69</t>
  </si>
  <si>
    <t>63,87</t>
  </si>
  <si>
    <t>315,32</t>
  </si>
  <si>
    <t>120,56</t>
  </si>
  <si>
    <t>43,61</t>
  </si>
  <si>
    <t>62,50</t>
  </si>
  <si>
    <t>9,18</t>
  </si>
  <si>
    <t>5,73</t>
  </si>
  <si>
    <t>11,94</t>
  </si>
  <si>
    <t>15,83</t>
  </si>
  <si>
    <t>16,26</t>
  </si>
  <si>
    <t>33,93</t>
  </si>
  <si>
    <t>16,70</t>
  </si>
  <si>
    <t>34,36</t>
  </si>
  <si>
    <t>98,53</t>
  </si>
  <si>
    <t>3.325,78</t>
  </si>
  <si>
    <t>10,73</t>
  </si>
  <si>
    <t>5.446,50</t>
  </si>
  <si>
    <t>7.232,64</t>
  </si>
  <si>
    <t>43,53</t>
  </si>
  <si>
    <t>44,93</t>
  </si>
  <si>
    <t>10,67</t>
  </si>
  <si>
    <t>7,98</t>
  </si>
  <si>
    <t>17,46</t>
  </si>
  <si>
    <t>339,37</t>
  </si>
  <si>
    <t>364,75</t>
  </si>
  <si>
    <t>153,37</t>
  </si>
  <si>
    <t>14,09</t>
  </si>
  <si>
    <t>16,67</t>
  </si>
  <si>
    <t>17,28</t>
  </si>
  <si>
    <t>18,10</t>
  </si>
  <si>
    <t>16,79</t>
  </si>
  <si>
    <t>21,96</t>
  </si>
  <si>
    <t>14,77</t>
  </si>
  <si>
    <t>15,61</t>
  </si>
  <si>
    <t>15,49</t>
  </si>
  <si>
    <t>25,28</t>
  </si>
  <si>
    <t>104,04</t>
  </si>
  <si>
    <t>10,07</t>
  </si>
  <si>
    <t>8,02</t>
  </si>
  <si>
    <t>7,12</t>
  </si>
  <si>
    <t>8,01</t>
  </si>
  <si>
    <t>56,28</t>
  </si>
  <si>
    <t>76,78</t>
  </si>
  <si>
    <t>62,46</t>
  </si>
  <si>
    <t>55,37</t>
  </si>
  <si>
    <t>51,22</t>
  </si>
  <si>
    <t>23,76</t>
  </si>
  <si>
    <t>22,23</t>
  </si>
  <si>
    <t>63,08</t>
  </si>
  <si>
    <t>171,84</t>
  </si>
  <si>
    <t>218,28</t>
  </si>
  <si>
    <t>128,09</t>
  </si>
  <si>
    <t>56,45</t>
  </si>
  <si>
    <t>93,92</t>
  </si>
  <si>
    <t>85,05</t>
  </si>
  <si>
    <t>86,64</t>
  </si>
  <si>
    <t>93,69</t>
  </si>
  <si>
    <t>103,62</t>
  </si>
  <si>
    <t>75,93</t>
  </si>
  <si>
    <t>118,55</t>
  </si>
  <si>
    <t>172,01</t>
  </si>
  <si>
    <t>60,91</t>
  </si>
  <si>
    <t>34,63</t>
  </si>
  <si>
    <t>1.010,85</t>
  </si>
  <si>
    <t>46,75</t>
  </si>
  <si>
    <t>69,81</t>
  </si>
  <si>
    <t>53,20</t>
  </si>
  <si>
    <t>203,92</t>
  </si>
  <si>
    <t>27,35</t>
  </si>
  <si>
    <t>86,88</t>
  </si>
  <si>
    <t>76,27</t>
  </si>
  <si>
    <t>27,03</t>
  </si>
  <si>
    <t>33,79</t>
  </si>
  <si>
    <t>33,51</t>
  </si>
  <si>
    <t>38,84</t>
  </si>
  <si>
    <t>34,05</t>
  </si>
  <si>
    <t>39,39</t>
  </si>
  <si>
    <t>35,65</t>
  </si>
  <si>
    <t>1,20</t>
  </si>
  <si>
    <t>103,94</t>
  </si>
  <si>
    <t>165,26</t>
  </si>
  <si>
    <t>87,08</t>
  </si>
  <si>
    <t>69,25</t>
  </si>
  <si>
    <t>84,04</t>
  </si>
  <si>
    <t>138,97</t>
  </si>
  <si>
    <t>1,84</t>
  </si>
  <si>
    <t>55,51</t>
  </si>
  <si>
    <t>17,24</t>
  </si>
  <si>
    <t>111,03</t>
  </si>
  <si>
    <t>3,80</t>
  </si>
  <si>
    <t>37,11</t>
  </si>
  <si>
    <t>27,02</t>
  </si>
  <si>
    <t>17,02</t>
  </si>
  <si>
    <t>31,62</t>
  </si>
  <si>
    <t>29,15</t>
  </si>
  <si>
    <t>26,74</t>
  </si>
  <si>
    <t>28,28</t>
  </si>
  <si>
    <t>29,79</t>
  </si>
  <si>
    <t>13,43</t>
  </si>
  <si>
    <t>30,07</t>
  </si>
  <si>
    <t>13,15</t>
  </si>
  <si>
    <t>36,16</t>
  </si>
  <si>
    <t>30,12</t>
  </si>
  <si>
    <t>67,12</t>
  </si>
  <si>
    <t>64,24</t>
  </si>
  <si>
    <t>60,26</t>
  </si>
  <si>
    <t>168,74</t>
  </si>
  <si>
    <t>572,07</t>
  </si>
  <si>
    <t>66,16</t>
  </si>
  <si>
    <t>584,81</t>
  </si>
  <si>
    <t>68,25</t>
  </si>
  <si>
    <t>54,01</t>
  </si>
  <si>
    <t>71,88</t>
  </si>
  <si>
    <t>96,13</t>
  </si>
  <si>
    <t>130,13</t>
  </si>
  <si>
    <t>45,88</t>
  </si>
  <si>
    <t>125,18</t>
  </si>
  <si>
    <t>143,39</t>
  </si>
  <si>
    <t>155,65</t>
  </si>
  <si>
    <t>42,83</t>
  </si>
  <si>
    <t>85,65</t>
  </si>
  <si>
    <t>109,91</t>
  </si>
  <si>
    <t>107,51</t>
  </si>
  <si>
    <t>54,20</t>
  </si>
  <si>
    <t>62,28</t>
  </si>
  <si>
    <t>34,73</t>
  </si>
  <si>
    <t>34,50</t>
  </si>
  <si>
    <t>87,41</t>
  </si>
  <si>
    <t>6,98</t>
  </si>
  <si>
    <t>17,14</t>
  </si>
  <si>
    <t>11,01</t>
  </si>
  <si>
    <t>22,26</t>
  </si>
  <si>
    <t>26,28</t>
  </si>
  <si>
    <t>39,38</t>
  </si>
  <si>
    <t>30,80</t>
  </si>
  <si>
    <t>40,85</t>
  </si>
  <si>
    <t>45,79</t>
  </si>
  <si>
    <t>36,44</t>
  </si>
  <si>
    <t>28,32</t>
  </si>
  <si>
    <t>31,78</t>
  </si>
  <si>
    <t>27,39</t>
  </si>
  <si>
    <t>60,81</t>
  </si>
  <si>
    <t>100,21</t>
  </si>
  <si>
    <t>59,92</t>
  </si>
  <si>
    <t>81,43</t>
  </si>
  <si>
    <t>114,23</t>
  </si>
  <si>
    <t>143,24</t>
  </si>
  <si>
    <t>183,06</t>
  </si>
  <si>
    <t>203,56</t>
  </si>
  <si>
    <t>151,95</t>
  </si>
  <si>
    <t>220,33</t>
  </si>
  <si>
    <t>144,57</t>
  </si>
  <si>
    <t>168,72</t>
  </si>
  <si>
    <t>37,25</t>
  </si>
  <si>
    <t>42,22</t>
  </si>
  <si>
    <t>108,55</t>
  </si>
  <si>
    <t>56,38</t>
  </si>
  <si>
    <t>65,81</t>
  </si>
  <si>
    <t>60,05</t>
  </si>
  <si>
    <t>236,82</t>
  </si>
  <si>
    <t>282,86</t>
  </si>
  <si>
    <t>71,00</t>
  </si>
  <si>
    <t>76,73</t>
  </si>
  <si>
    <t>75,42</t>
  </si>
  <si>
    <t>81,23</t>
  </si>
  <si>
    <t>78,70</t>
  </si>
  <si>
    <t>335,73</t>
  </si>
  <si>
    <t>402,67</t>
  </si>
  <si>
    <t>72,43</t>
  </si>
  <si>
    <t>59,74</t>
  </si>
  <si>
    <t>67,45</t>
  </si>
  <si>
    <t>73,11</t>
  </si>
  <si>
    <t>96,80</t>
  </si>
  <si>
    <t>74,89</t>
  </si>
  <si>
    <t>82,40</t>
  </si>
  <si>
    <t>233,28</t>
  </si>
  <si>
    <t>335,94</t>
  </si>
  <si>
    <t>244,76</t>
  </si>
  <si>
    <t>347,42</t>
  </si>
  <si>
    <t>22,30</t>
  </si>
  <si>
    <t>139,15</t>
  </si>
  <si>
    <t>49,45</t>
  </si>
  <si>
    <t>6,95</t>
  </si>
  <si>
    <t>2,63</t>
  </si>
  <si>
    <t>8,10</t>
  </si>
  <si>
    <t>25,05</t>
  </si>
  <si>
    <t>368,13</t>
  </si>
  <si>
    <t>1.899,81</t>
  </si>
  <si>
    <t>2.157,63</t>
  </si>
  <si>
    <t>5.382,56</t>
  </si>
  <si>
    <t>3.507,26</t>
  </si>
  <si>
    <t>518,06</t>
  </si>
  <si>
    <t>404,92</t>
  </si>
  <si>
    <t>37,18</t>
  </si>
  <si>
    <t>63,06</t>
  </si>
  <si>
    <t>1,60</t>
  </si>
  <si>
    <t>1.796,46</t>
  </si>
  <si>
    <t>1.298,53</t>
  </si>
  <si>
    <t>5,14</t>
  </si>
  <si>
    <t>4,08</t>
  </si>
  <si>
    <t>4,89</t>
  </si>
  <si>
    <t>32,18</t>
  </si>
  <si>
    <t>48,27</t>
  </si>
  <si>
    <t>16,33</t>
  </si>
  <si>
    <t>10,60</t>
  </si>
  <si>
    <t>2,64</t>
  </si>
  <si>
    <t>48,19</t>
  </si>
  <si>
    <t>102,42</t>
  </si>
  <si>
    <t>2,03</t>
  </si>
  <si>
    <t>76,82</t>
  </si>
  <si>
    <t>1,52</t>
  </si>
  <si>
    <t>40,30</t>
  </si>
  <si>
    <t>191,90</t>
  </si>
  <si>
    <t>31,00</t>
  </si>
  <si>
    <t>4,72</t>
  </si>
  <si>
    <t>4,33</t>
  </si>
  <si>
    <t>1,17</t>
  </si>
  <si>
    <t>2,29</t>
  </si>
  <si>
    <t>2,99</t>
  </si>
  <si>
    <t>1,89</t>
  </si>
  <si>
    <t>139,53</t>
  </si>
  <si>
    <t>68,01</t>
  </si>
  <si>
    <t>208,32</t>
  </si>
  <si>
    <t>127,85</t>
  </si>
  <si>
    <t>336,08</t>
  </si>
  <si>
    <t>3,90</t>
  </si>
  <si>
    <t>18,07</t>
  </si>
  <si>
    <t>3,13</t>
  </si>
  <si>
    <t>5,84</t>
  </si>
  <si>
    <t>96,05</t>
  </si>
  <si>
    <t>217,78</t>
  </si>
  <si>
    <t>128,31</t>
  </si>
  <si>
    <t>32,73</t>
  </si>
  <si>
    <t>14,68</t>
  </si>
  <si>
    <t>1,62</t>
  </si>
  <si>
    <t>165,54</t>
  </si>
  <si>
    <t>2,83</t>
  </si>
  <si>
    <t>0,83</t>
  </si>
  <si>
    <t>11,61</t>
  </si>
  <si>
    <t>2,30</t>
  </si>
  <si>
    <t>4,50</t>
  </si>
  <si>
    <t>6,64</t>
  </si>
  <si>
    <t>7,05</t>
  </si>
  <si>
    <t>20,53</t>
  </si>
  <si>
    <t>195,10</t>
  </si>
  <si>
    <t>149,76</t>
  </si>
  <si>
    <t>66,41</t>
  </si>
  <si>
    <t>66,76</t>
  </si>
  <si>
    <t>61,36</t>
  </si>
  <si>
    <t>74,90</t>
  </si>
  <si>
    <t>2,48</t>
  </si>
  <si>
    <t>5,89</t>
  </si>
  <si>
    <t>20,33</t>
  </si>
  <si>
    <t>6.118,51</t>
  </si>
  <si>
    <t>6.437,55</t>
  </si>
  <si>
    <t>4.847,19</t>
  </si>
  <si>
    <t>5.206,88</t>
  </si>
  <si>
    <t>2.611,95</t>
  </si>
  <si>
    <t>1.243,82</t>
  </si>
  <si>
    <t>144,31</t>
  </si>
  <si>
    <t>26,17</t>
  </si>
  <si>
    <t>26,35</t>
  </si>
  <si>
    <t>28,12</t>
  </si>
  <si>
    <t>27,46</t>
  </si>
  <si>
    <t>32,16</t>
  </si>
  <si>
    <t>26,12</t>
  </si>
  <si>
    <t>43,28</t>
  </si>
  <si>
    <t>30,39</t>
  </si>
  <si>
    <t>25,62</t>
  </si>
  <si>
    <t>30,14</t>
  </si>
  <si>
    <t>37,47</t>
  </si>
  <si>
    <t>31,20</t>
  </si>
  <si>
    <t>30,35</t>
  </si>
  <si>
    <t>38,82</t>
  </si>
  <si>
    <t>28,48</t>
  </si>
  <si>
    <t>29,81</t>
  </si>
  <si>
    <t>37,62</t>
  </si>
  <si>
    <t>32,45</t>
  </si>
  <si>
    <t>27,19</t>
  </si>
  <si>
    <t>30,29</t>
  </si>
  <si>
    <t>32,90</t>
  </si>
  <si>
    <t>38,87</t>
  </si>
  <si>
    <t>33,75</t>
  </si>
  <si>
    <t>32,03</t>
  </si>
  <si>
    <t>24,87</t>
  </si>
  <si>
    <t>48,17</t>
  </si>
  <si>
    <t>26,84</t>
  </si>
  <si>
    <t>26,16</t>
  </si>
  <si>
    <t>50,51</t>
  </si>
  <si>
    <t>32,33</t>
  </si>
  <si>
    <t>82,43</t>
  </si>
  <si>
    <t>116,28</t>
  </si>
  <si>
    <t>153,11</t>
  </si>
  <si>
    <t>41,03</t>
  </si>
  <si>
    <t>35,87</t>
  </si>
  <si>
    <t>47,94</t>
  </si>
  <si>
    <t>111,89</t>
  </si>
  <si>
    <t>127,08</t>
  </si>
  <si>
    <t>173,01</t>
  </si>
  <si>
    <t>61,16</t>
  </si>
  <si>
    <t>112,27</t>
  </si>
  <si>
    <t>5.303,57</t>
  </si>
  <si>
    <t>8.862,68</t>
  </si>
  <si>
    <t>6.299,75</t>
  </si>
  <si>
    <t>8.412,32</t>
  </si>
  <si>
    <t>7.206,01</t>
  </si>
  <si>
    <t>5.411,24</t>
  </si>
  <si>
    <t>5.661,96</t>
  </si>
  <si>
    <t>19.541,97</t>
  </si>
  <si>
    <t>4.696,95</t>
  </si>
  <si>
    <t>22.192,42</t>
  </si>
  <si>
    <t>30.202,69</t>
  </si>
  <si>
    <t>14.429,08</t>
  </si>
  <si>
    <t>20.342,09</t>
  </si>
  <si>
    <t>26.776,67</t>
  </si>
  <si>
    <t>6.735,21</t>
  </si>
  <si>
    <t>10.689,17</t>
  </si>
  <si>
    <t>10.390,62</t>
  </si>
  <si>
    <t>0,23</t>
  </si>
  <si>
    <t>0,78</t>
  </si>
  <si>
    <t>3,81</t>
  </si>
  <si>
    <t>32,19</t>
  </si>
  <si>
    <t>87,01</t>
  </si>
  <si>
    <t>221,03</t>
  </si>
  <si>
    <t>251,58</t>
  </si>
  <si>
    <t>343,90</t>
  </si>
  <si>
    <t>91,80</t>
  </si>
  <si>
    <t>130,39</t>
  </si>
  <si>
    <t>172,39</t>
  </si>
  <si>
    <t>103,18</t>
  </si>
  <si>
    <t>168,32</t>
  </si>
  <si>
    <t>161,50</t>
  </si>
  <si>
    <t>78,14</t>
  </si>
  <si>
    <t>113,12</t>
  </si>
  <si>
    <t>37,20</t>
  </si>
  <si>
    <t>58,90</t>
  </si>
  <si>
    <t>137,75</t>
  </si>
  <si>
    <t>175,21</t>
  </si>
  <si>
    <t>197,67</t>
  </si>
  <si>
    <t>138,84</t>
  </si>
  <si>
    <t>4.515,80</t>
  </si>
  <si>
    <t>28.264,64</t>
  </si>
  <si>
    <t>13.772,92</t>
  </si>
  <si>
    <t>19.772,68</t>
  </si>
  <si>
    <t>22.260,78</t>
  </si>
  <si>
    <t>10.296,07</t>
  </si>
  <si>
    <t>8.357,05</t>
  </si>
  <si>
    <t>111,69</t>
  </si>
  <si>
    <t>2,05</t>
  </si>
  <si>
    <t>29,28</t>
  </si>
  <si>
    <t>121,49</t>
  </si>
  <si>
    <t>24,36</t>
  </si>
  <si>
    <t>44,34</t>
  </si>
  <si>
    <t>32,44</t>
  </si>
  <si>
    <t>42,10</t>
  </si>
  <si>
    <t>37,48</t>
  </si>
  <si>
    <t>120,79</t>
  </si>
  <si>
    <t>46,60</t>
  </si>
  <si>
    <t>29,92</t>
  </si>
  <si>
    <t>147,79</t>
  </si>
  <si>
    <t>137,82</t>
  </si>
  <si>
    <t>270,89</t>
  </si>
  <si>
    <t>502,24</t>
  </si>
  <si>
    <t>73,68</t>
  </si>
  <si>
    <t>65,05</t>
  </si>
  <si>
    <t>14,20</t>
  </si>
  <si>
    <t>109,66</t>
  </si>
  <si>
    <t>48,48</t>
  </si>
  <si>
    <t>22,62</t>
  </si>
  <si>
    <t>42,43</t>
  </si>
  <si>
    <t>30,08</t>
  </si>
  <si>
    <t>36,90</t>
  </si>
  <si>
    <t>49,75</t>
  </si>
  <si>
    <t>54,97</t>
  </si>
  <si>
    <t>36,58</t>
  </si>
  <si>
    <t>53,83</t>
  </si>
  <si>
    <t>42,39</t>
  </si>
  <si>
    <t>52,64</t>
  </si>
  <si>
    <t>46,58</t>
  </si>
  <si>
    <t>173,84</t>
  </si>
  <si>
    <t>4.699,40</t>
  </si>
  <si>
    <t>5.695,69</t>
  </si>
  <si>
    <t>3.928,96</t>
  </si>
  <si>
    <t>4.700,50</t>
  </si>
  <si>
    <t>5.555,46</t>
  </si>
  <si>
    <t>5.015,94</t>
  </si>
  <si>
    <t>5.401,79</t>
  </si>
  <si>
    <t>4.883,27</t>
  </si>
  <si>
    <t>4.707,60</t>
  </si>
  <si>
    <t>4.909,97</t>
  </si>
  <si>
    <t>5.879,04</t>
  </si>
  <si>
    <t>4.456,84</t>
  </si>
  <si>
    <t>4.664,87</t>
  </si>
  <si>
    <t>4.879,75</t>
  </si>
  <si>
    <t>7.592,08</t>
  </si>
  <si>
    <t>5.411,76</t>
  </si>
  <si>
    <t>4.558,54</t>
  </si>
  <si>
    <t>5.401,74</t>
  </si>
  <si>
    <t>4.674,33</t>
  </si>
  <si>
    <t>5.378,49</t>
  </si>
  <si>
    <t>5.368,52</t>
  </si>
  <si>
    <t>3.651,62</t>
  </si>
  <si>
    <t>6.614,51</t>
  </si>
  <si>
    <t>6.266,06</t>
  </si>
  <si>
    <t>7.496,85</t>
  </si>
  <si>
    <t>5.685,94</t>
  </si>
  <si>
    <t>30.371,29</t>
  </si>
  <si>
    <t>19.516,57</t>
  </si>
  <si>
    <t>18.767,52</t>
  </si>
  <si>
    <t>5.431,67</t>
  </si>
  <si>
    <t>5.385,66</t>
  </si>
  <si>
    <t>4.684,13</t>
  </si>
  <si>
    <t>4.637,30</t>
  </si>
  <si>
    <t>6.260,09</t>
  </si>
  <si>
    <t>5.555,17</t>
  </si>
  <si>
    <t>6.856,35</t>
  </si>
  <si>
    <t>6.582,39</t>
  </si>
  <si>
    <t>6.527,07</t>
  </si>
  <si>
    <t>4.544,38</t>
  </si>
  <si>
    <t>6.767,21</t>
  </si>
  <si>
    <t>5.072,40</t>
  </si>
  <si>
    <t>6.670,01</t>
  </si>
  <si>
    <t>4.778,94</t>
  </si>
  <si>
    <t>4.877,56</t>
  </si>
  <si>
    <t>5.028,42</t>
  </si>
  <si>
    <t>6.123,94</t>
  </si>
  <si>
    <t>5.283,43</t>
  </si>
  <si>
    <t>4.912,22</t>
  </si>
  <si>
    <t>4.783,46</t>
  </si>
  <si>
    <t>4.695,83</t>
  </si>
  <si>
    <t>5.761,97</t>
  </si>
  <si>
    <t>6.207,11</t>
  </si>
  <si>
    <t>4.554,37</t>
  </si>
  <si>
    <t>4.834,11</t>
  </si>
  <si>
    <t>5.685,63</t>
  </si>
  <si>
    <t>5.379,99</t>
  </si>
  <si>
    <t>4.640,66</t>
  </si>
  <si>
    <t>5.839,22</t>
  </si>
  <si>
    <t>6.884,67</t>
  </si>
  <si>
    <t>5.319,71</t>
  </si>
  <si>
    <t>5.988,57</t>
  </si>
  <si>
    <t>5.009,59</t>
  </si>
  <si>
    <t>5.682,90</t>
  </si>
  <si>
    <t>5.316,48</t>
  </si>
  <si>
    <t>6.388,52</t>
  </si>
  <si>
    <t>6.024,36</t>
  </si>
  <si>
    <t>4.566,91</t>
  </si>
  <si>
    <t>4.440,56</t>
  </si>
  <si>
    <t>5.508,03</t>
  </si>
  <si>
    <t>4.689,43</t>
  </si>
  <si>
    <t>6.309,62</t>
  </si>
  <si>
    <t>6.674,34</t>
  </si>
  <si>
    <t>8.445,53</t>
  </si>
  <si>
    <t>6.390,39</t>
  </si>
  <si>
    <t>4.707,88</t>
  </si>
  <si>
    <t>4.648,52</t>
  </si>
  <si>
    <t>AREIA GROSSA - POSTO JAZIDA/FORNECEDOR (RETIRADO NA JAZIDA, SEM TRANSPORTE)</t>
  </si>
  <si>
    <t xml:space="preserve">M3    </t>
  </si>
  <si>
    <t>SEM DESONERAÇÃO</t>
  </si>
  <si>
    <r>
      <t xml:space="preserve">BASES DE PREÇO UTILIZADAS
</t>
    </r>
    <r>
      <rPr>
        <sz val="10"/>
        <rFont val="Arial"/>
        <family val="2"/>
      </rPr>
      <t>Preços SEM DESONERAÇÃO</t>
    </r>
  </si>
  <si>
    <t>CRONOGRAMA FÍSICO FINANCEIRO DAS OBRAS</t>
  </si>
  <si>
    <t>SINALIZAÇÃO E SEGURANÇA</t>
  </si>
  <si>
    <t>CBUQ c/Polimero</t>
  </si>
  <si>
    <t>14162</t>
  </si>
  <si>
    <t>POSTE CONICO CONTINUO EM ACO GALVANIZADO, CURVO, BRACO SIMPLES, FLANGEADO,  H = 9 M, DIAMETRO INFERIOR = *135* MM</t>
  </si>
  <si>
    <t>1.973,49</t>
  </si>
  <si>
    <t>M0948</t>
  </si>
  <si>
    <t>Arruela lisa em aço ASTM F436 para parafuso - D = 12,7 mm</t>
  </si>
  <si>
    <t>M1797</t>
  </si>
  <si>
    <t>Fita de espuma EPDM para vedação com adesivo em uma face - E = 4 mm e L = 40 mm</t>
  </si>
  <si>
    <t>destoc /&lt;= 78</t>
  </si>
  <si>
    <t>diam +&gt; 78</t>
  </si>
  <si>
    <t>fragmento</t>
  </si>
  <si>
    <t>Densa c destocamento</t>
  </si>
  <si>
    <t>Limpeza S/ Destocamento</t>
  </si>
  <si>
    <t>destocamento arv =&gt;75</t>
  </si>
  <si>
    <t>6.3.</t>
  </si>
  <si>
    <t>EXPLORAÇÃO DE JAZIDA</t>
  </si>
  <si>
    <t>Esc. Carga e transporte até 400m - LOCAL</t>
  </si>
  <si>
    <t>Obs.: o atenuador de impacto previsto em projeto foi substituido por terminal abatido</t>
  </si>
  <si>
    <t>ESC. JAZIDA</t>
  </si>
  <si>
    <t>ATERRO</t>
  </si>
  <si>
    <t>05.10.010</t>
  </si>
  <si>
    <t>05.10.023</t>
  </si>
  <si>
    <t>COMPANHIA DE DESENVOLVIMENTO HABITACIONAL E URBANO</t>
  </si>
  <si>
    <t>DO ESTADO DE SÃO PAULO</t>
  </si>
  <si>
    <t>Versão 189</t>
  </si>
  <si>
    <t>Data Base:</t>
  </si>
  <si>
    <t>FEVEREIRO/23</t>
  </si>
  <si>
    <t>BDI :</t>
  </si>
  <si>
    <t>L.S.:</t>
  </si>
  <si>
    <t>Referência</t>
  </si>
  <si>
    <t xml:space="preserve"> Descrição</t>
  </si>
  <si>
    <t>Material</t>
  </si>
  <si>
    <t>Mão de Obra</t>
  </si>
  <si>
    <t>Custo Total</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</si>
  <si>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</si>
  <si>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</si>
  <si>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</si>
  <si>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</si>
  <si>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</si>
  <si>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</si>
  <si>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</si>
  <si>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</si>
  <si>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</si>
  <si>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</si>
  <si>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</si>
  <si>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</si>
  <si>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</si>
  <si>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</si>
  <si>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</si>
  <si>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</si>
  <si>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</si>
  <si>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</si>
  <si>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</si>
  <si>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</si>
  <si>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</si>
  <si>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</si>
  <si>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</si>
  <si>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</si>
  <si>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</si>
  <si>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</si>
  <si>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</si>
  <si>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</si>
  <si>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</si>
  <si>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</si>
  <si>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</si>
  <si>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</si>
  <si>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</si>
  <si>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</si>
  <si>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</si>
  <si>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</si>
  <si>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</si>
  <si>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</si>
  <si>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</si>
  <si>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</si>
  <si>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</si>
  <si>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</si>
  <si>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</si>
  <si>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</si>
  <si>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</si>
  <si>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</si>
  <si>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</si>
  <si>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</si>
  <si>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</si>
  <si>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</si>
  <si>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</si>
  <si>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</si>
  <si>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</si>
  <si>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</si>
  <si>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</si>
  <si>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</si>
  <si>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</si>
  <si>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</si>
  <si>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</si>
  <si>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</si>
  <si>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</si>
  <si>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</si>
  <si>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</si>
  <si>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</si>
  <si>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</si>
  <si>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</si>
  <si>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</si>
  <si>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</si>
  <si>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</si>
  <si>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</si>
  <si>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</si>
  <si>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</si>
  <si>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</si>
  <si>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</si>
  <si>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</si>
  <si>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</si>
  <si>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</si>
  <si>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</si>
  <si>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</si>
  <si>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</si>
  <si>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</si>
  <si>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</si>
  <si>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</si>
  <si>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</si>
  <si>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</si>
  <si>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</si>
  <si>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</si>
  <si>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</si>
  <si>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</si>
  <si>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</si>
  <si>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</si>
  <si>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</si>
  <si>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</si>
  <si>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</si>
  <si>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</si>
  <si>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</si>
  <si>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</si>
  <si>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</si>
  <si>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</si>
  <si>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</si>
  <si>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</si>
  <si>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</si>
  <si>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</si>
  <si>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</si>
  <si>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</si>
  <si>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</si>
  <si>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</si>
  <si>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</si>
  <si>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</si>
  <si>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</si>
  <si>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</si>
  <si>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</si>
  <si>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</si>
  <si>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</si>
  <si>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</si>
  <si>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</si>
  <si>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</si>
  <si>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</si>
  <si>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</si>
  <si>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</si>
  <si>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</si>
  <si>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</si>
  <si>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</si>
  <si>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</si>
  <si>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</si>
  <si>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</si>
  <si>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</si>
  <si>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</si>
  <si>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</si>
  <si>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</si>
  <si>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</si>
  <si>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</si>
  <si>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</si>
  <si>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</si>
  <si>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</si>
  <si>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</si>
  <si>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</si>
  <si>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</si>
  <si>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</si>
  <si>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</si>
  <si>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</si>
  <si>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</si>
  <si>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</si>
  <si>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</si>
  <si>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</si>
  <si>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</si>
  <si>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</si>
  <si>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</si>
  <si>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</si>
  <si>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</si>
  <si>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</si>
  <si>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</si>
  <si>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</si>
  <si>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</si>
  <si>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</si>
  <si>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</si>
  <si>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</si>
  <si>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</si>
  <si>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</si>
  <si>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</si>
  <si>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</si>
  <si>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</si>
  <si>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</si>
  <si>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</si>
  <si>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</si>
  <si>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</si>
  <si>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</si>
  <si>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</si>
  <si>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</si>
  <si>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</si>
  <si>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</si>
  <si>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</si>
  <si>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</si>
  <si>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</si>
  <si>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</si>
  <si>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</si>
  <si>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</si>
  <si>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</si>
  <si>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</si>
  <si>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</si>
  <si>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</si>
  <si>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</si>
  <si>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</si>
  <si>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</si>
  <si>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</si>
  <si>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</si>
  <si>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</si>
  <si>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</si>
  <si>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</si>
  <si>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</si>
  <si>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</si>
  <si>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</si>
  <si>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</si>
  <si>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</si>
  <si>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</si>
  <si>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</si>
  <si>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</si>
  <si>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</si>
  <si>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</si>
  <si>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</si>
  <si>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</si>
  <si>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</si>
  <si>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</si>
  <si>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</si>
  <si>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</si>
  <si>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</si>
  <si>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</si>
  <si>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</si>
  <si>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</si>
  <si>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</si>
  <si>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</si>
  <si>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</si>
  <si>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</si>
  <si>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</si>
  <si>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</si>
  <si>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</si>
  <si>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</si>
  <si>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</si>
  <si>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</si>
  <si>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</si>
  <si>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</si>
  <si>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</si>
  <si>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</si>
  <si>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</si>
  <si>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</si>
  <si>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</si>
  <si>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</si>
  <si>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</si>
  <si>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</si>
  <si>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</si>
  <si>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</si>
  <si>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</si>
  <si>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</si>
  <si>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</si>
  <si>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</si>
  <si>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</si>
  <si>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</si>
  <si>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</si>
  <si>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</si>
  <si>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</si>
  <si>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</si>
  <si>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</si>
  <si>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</si>
  <si>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</si>
  <si>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</si>
  <si>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</si>
  <si>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</si>
  <si>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</si>
  <si>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</si>
  <si>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</si>
  <si>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</si>
  <si>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</si>
  <si>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</si>
  <si>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</si>
  <si>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</si>
  <si>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</si>
  <si>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</si>
  <si>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</si>
  <si>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</si>
  <si>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</si>
  <si>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</si>
  <si>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</si>
  <si>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</si>
  <si>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</si>
  <si>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</si>
  <si>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</si>
  <si>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</si>
  <si>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</si>
  <si>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</si>
  <si>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</si>
  <si>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</si>
  <si>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</si>
  <si>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</si>
  <si>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</si>
  <si>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</si>
  <si>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</si>
  <si>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</si>
  <si>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</si>
  <si>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</si>
  <si>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</si>
  <si>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</si>
  <si>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</si>
  <si>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</si>
  <si>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</si>
  <si>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</si>
  <si>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</si>
  <si>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</si>
  <si>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</si>
  <si>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</si>
  <si>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</si>
  <si>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</si>
  <si>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</si>
  <si>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</si>
  <si>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</si>
  <si>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</si>
  <si>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</si>
  <si>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</si>
  <si>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</si>
  <si>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</si>
  <si>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</si>
  <si>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</si>
  <si>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</si>
  <si>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</si>
  <si>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</si>
  <si>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</si>
  <si>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</si>
  <si>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</si>
  <si>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</si>
  <si>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</si>
  <si>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</si>
  <si>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</si>
  <si>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</si>
  <si>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</si>
  <si>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</si>
  <si>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</si>
  <si>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</si>
  <si>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</si>
  <si>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</si>
  <si>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</si>
  <si>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</si>
  <si>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</si>
  <si>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</si>
  <si>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</si>
  <si>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</si>
  <si>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</si>
  <si>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</si>
  <si>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</si>
  <si>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</si>
  <si>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</si>
  <si>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</si>
  <si>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</si>
  <si>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</si>
  <si>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</si>
  <si>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</si>
  <si>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</si>
  <si>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</si>
  <si>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</si>
  <si>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</si>
  <si>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</si>
  <si>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</si>
  <si>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</si>
  <si>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</si>
  <si>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</si>
  <si>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</si>
  <si>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</si>
  <si>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</si>
  <si>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</si>
  <si>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</si>
  <si>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</si>
  <si>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</si>
  <si>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</si>
  <si>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</si>
  <si>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</si>
  <si>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</si>
  <si>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</si>
  <si>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</si>
  <si>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</si>
  <si>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</si>
  <si>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</si>
  <si>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</si>
  <si>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</si>
  <si>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</si>
  <si>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</si>
  <si>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</si>
  <si>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</si>
  <si>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</si>
  <si>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</si>
  <si>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</si>
  <si>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</si>
  <si>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</si>
  <si>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</si>
  <si>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</si>
  <si>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</si>
  <si>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</si>
  <si>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</si>
  <si>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</si>
  <si>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</si>
  <si>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</si>
  <si>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</si>
  <si>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</si>
  <si>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</si>
  <si>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</si>
  <si>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</si>
  <si>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</si>
  <si>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</si>
  <si>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</si>
  <si>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</si>
  <si>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</si>
  <si>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</si>
  <si>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</si>
  <si>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</si>
  <si>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</si>
  <si>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</si>
  <si>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</si>
  <si>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</si>
  <si>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</si>
  <si>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</si>
  <si>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</si>
  <si>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</si>
  <si>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</si>
  <si>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</si>
  <si>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</si>
  <si>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</si>
  <si>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</si>
  <si>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</si>
  <si>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</si>
  <si>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</si>
  <si>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</si>
  <si>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</si>
  <si>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02.09.040</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</si>
  <si>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</si>
  <si>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</si>
  <si>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</si>
  <si>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</si>
  <si>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</si>
  <si>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</si>
  <si>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</si>
  <si>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</si>
  <si>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</si>
  <si>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</si>
  <si>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</si>
  <si>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</si>
  <si>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</si>
  <si>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</si>
  <si>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</si>
  <si>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</si>
  <si>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</si>
  <si>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</si>
  <si>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</si>
  <si>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</si>
  <si>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</si>
  <si>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</si>
  <si>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</si>
  <si>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</si>
  <si>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</si>
  <si>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</si>
  <si>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</si>
  <si>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</si>
  <si>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</si>
  <si>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</si>
  <si>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</si>
  <si>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</si>
  <si>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</si>
  <si>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</si>
  <si>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</si>
  <si>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</si>
  <si>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</si>
  <si>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</si>
  <si>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</si>
  <si>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</si>
  <si>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</si>
  <si>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</si>
  <si>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</si>
  <si>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</si>
  <si>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</si>
  <si>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</si>
  <si>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</si>
  <si>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</si>
  <si>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</si>
  <si>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</si>
  <si>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</si>
  <si>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</si>
  <si>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</si>
  <si>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</si>
  <si>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</si>
  <si>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</si>
  <si>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</si>
  <si>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</si>
  <si>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</si>
  <si>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</si>
  <si>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</si>
  <si>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</si>
  <si>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</si>
  <si>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</si>
  <si>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</si>
  <si>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</si>
  <si>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</si>
  <si>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</si>
  <si>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</si>
  <si>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</si>
  <si>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</si>
  <si>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</si>
  <si>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</si>
  <si>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</si>
  <si>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</si>
  <si>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</si>
  <si>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</si>
  <si>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</si>
  <si>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</si>
  <si>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</si>
  <si>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</si>
  <si>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</si>
  <si>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</si>
  <si>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</si>
  <si>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</si>
  <si>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</si>
  <si>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</si>
  <si>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</si>
  <si>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</si>
  <si>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</si>
  <si>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</si>
  <si>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</si>
  <si>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</si>
  <si>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</si>
  <si>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</si>
  <si>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</si>
  <si>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</si>
  <si>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</si>
  <si>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</si>
  <si>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</si>
  <si>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</si>
  <si>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</si>
  <si>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</si>
  <si>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</si>
  <si>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</si>
  <si>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</si>
  <si>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</si>
  <si>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</si>
  <si>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</si>
  <si>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</si>
  <si>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</si>
  <si>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</si>
  <si>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</si>
  <si>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</si>
  <si>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</si>
  <si>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</si>
  <si>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</si>
  <si>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</si>
  <si>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</si>
  <si>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</si>
  <si>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</si>
  <si>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</si>
  <si>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</si>
  <si>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</si>
  <si>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</si>
  <si>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</si>
  <si>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</si>
  <si>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</si>
  <si>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</si>
  <si>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</si>
  <si>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</si>
  <si>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</si>
  <si>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</si>
  <si>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</si>
  <si>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</si>
  <si>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</si>
  <si>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</si>
  <si>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</si>
  <si>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</si>
  <si>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</si>
  <si>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</si>
  <si>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</si>
  <si>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</si>
  <si>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</si>
  <si>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</si>
  <si>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</si>
  <si>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</si>
  <si>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</si>
  <si>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</si>
  <si>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</si>
  <si>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</si>
  <si>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</si>
  <si>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</si>
  <si>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</si>
  <si>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</si>
  <si>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</si>
  <si>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</si>
  <si>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</si>
  <si>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</si>
  <si>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</si>
  <si>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</si>
  <si>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</si>
  <si>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</si>
  <si>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</si>
  <si>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</si>
  <si>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</si>
  <si>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</si>
  <si>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</si>
  <si>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</si>
  <si>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</si>
  <si>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</si>
  <si>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</si>
  <si>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</si>
  <si>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</si>
  <si>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</si>
  <si>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</si>
  <si>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</si>
  <si>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</si>
  <si>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</si>
  <si>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</si>
  <si>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</si>
  <si>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</si>
  <si>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</si>
  <si>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</si>
  <si>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</si>
  <si>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</si>
  <si>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</si>
  <si>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</si>
  <si>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</si>
  <si>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</si>
  <si>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</si>
  <si>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</si>
  <si>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</si>
  <si>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</si>
  <si>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</si>
  <si>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</si>
  <si>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</si>
  <si>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</si>
  <si>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</si>
  <si>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</si>
  <si>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</si>
  <si>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</si>
  <si>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</si>
  <si>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</si>
  <si>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</si>
  <si>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</si>
  <si>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</si>
  <si>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</si>
  <si>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</si>
  <si>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</si>
  <si>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</si>
  <si>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</si>
  <si>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</si>
  <si>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</si>
  <si>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</si>
  <si>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</si>
  <si>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</si>
  <si>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</si>
  <si>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</si>
  <si>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</si>
  <si>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</si>
  <si>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</si>
  <si>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</si>
  <si>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</si>
  <si>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</si>
  <si>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</si>
  <si>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</si>
  <si>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</si>
  <si>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</si>
  <si>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</si>
  <si>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</si>
  <si>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</si>
  <si>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</si>
  <si>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</si>
  <si>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</si>
  <si>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</si>
  <si>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</si>
  <si>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</si>
  <si>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</si>
  <si>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</si>
  <si>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</si>
  <si>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</si>
  <si>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</si>
  <si>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</si>
  <si>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</si>
  <si>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</si>
  <si>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</si>
  <si>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</si>
  <si>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</si>
  <si>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</si>
  <si>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</si>
  <si>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</si>
  <si>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</si>
  <si>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</si>
  <si>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</si>
  <si>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</si>
  <si>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</si>
  <si>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</si>
  <si>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</si>
  <si>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</si>
  <si>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</si>
  <si>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</si>
  <si>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</si>
  <si>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</si>
  <si>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</si>
  <si>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</si>
  <si>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</si>
  <si>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</si>
  <si>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</si>
  <si>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</si>
  <si>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</si>
  <si>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</si>
  <si>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</si>
  <si>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</si>
  <si>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</si>
  <si>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</si>
  <si>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</si>
  <si>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</si>
  <si>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</si>
  <si>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</si>
  <si>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</si>
  <si>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</si>
  <si>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</si>
  <si>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</si>
  <si>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</si>
  <si>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</si>
  <si>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</si>
  <si>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</si>
  <si>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</si>
  <si>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</si>
  <si>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</si>
  <si>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</si>
  <si>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</si>
  <si>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</si>
  <si>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</si>
  <si>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</si>
  <si>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</si>
  <si>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</si>
  <si>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</si>
  <si>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</si>
  <si>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</si>
  <si>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</si>
  <si>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</si>
  <si>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</si>
  <si>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</si>
  <si>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</si>
  <si>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</si>
  <si>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</si>
  <si>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</si>
  <si>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</si>
  <si>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</si>
  <si>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</si>
  <si>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</si>
  <si>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</si>
  <si>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</si>
  <si>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</si>
  <si>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</si>
  <si>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</si>
  <si>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</si>
  <si>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</si>
  <si>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</si>
  <si>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</si>
  <si>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</si>
  <si>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</si>
  <si>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</si>
  <si>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</si>
  <si>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</si>
  <si>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</si>
  <si>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</si>
  <si>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</si>
  <si>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</si>
  <si>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</si>
  <si>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</si>
  <si>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</si>
  <si>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</si>
  <si>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</si>
  <si>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</si>
  <si>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</si>
  <si>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</si>
  <si>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</si>
  <si>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</si>
  <si>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</si>
  <si>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</si>
  <si>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</si>
  <si>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</si>
  <si>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</si>
  <si>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</si>
  <si>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</si>
  <si>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</si>
  <si>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</si>
  <si>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</si>
  <si>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</si>
  <si>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</si>
  <si>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</si>
  <si>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</si>
  <si>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</si>
  <si>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</si>
  <si>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</si>
  <si>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</si>
  <si>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</si>
  <si>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</si>
  <si>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</si>
  <si>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</si>
  <si>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</si>
  <si>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</si>
  <si>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</si>
  <si>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</si>
  <si>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</si>
  <si>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</si>
  <si>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</si>
  <si>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</si>
  <si>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</si>
  <si>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</si>
  <si>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</si>
  <si>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</si>
  <si>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</si>
  <si>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</si>
  <si>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</si>
  <si>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</si>
  <si>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</si>
  <si>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</si>
  <si>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</si>
  <si>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</si>
  <si>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</si>
  <si>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</si>
  <si>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</si>
  <si>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</si>
  <si>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</si>
  <si>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</si>
  <si>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</si>
  <si>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</si>
  <si>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</si>
  <si>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</si>
  <si>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</si>
  <si>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</si>
  <si>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</si>
  <si>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</si>
  <si>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</si>
  <si>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</si>
  <si>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</si>
  <si>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</si>
  <si>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</si>
  <si>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</si>
  <si>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</si>
  <si>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</si>
  <si>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</si>
  <si>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</si>
  <si>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</si>
  <si>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</si>
  <si>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</si>
  <si>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</si>
  <si>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</si>
  <si>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</si>
  <si>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</si>
  <si>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</si>
  <si>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</si>
  <si>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</si>
  <si>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</si>
  <si>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</si>
  <si>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</si>
  <si>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</si>
  <si>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</si>
  <si>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</si>
  <si>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</si>
  <si>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</si>
  <si>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</si>
  <si>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</si>
  <si>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</si>
  <si>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</si>
  <si>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</si>
  <si>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</si>
  <si>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</si>
  <si>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</si>
  <si>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</si>
  <si>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</si>
  <si>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</si>
  <si>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</si>
  <si>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</si>
  <si>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</si>
  <si>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</si>
  <si>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</si>
  <si>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</si>
  <si>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</si>
  <si>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</si>
  <si>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</si>
  <si>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</si>
  <si>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</si>
  <si>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</si>
  <si>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</si>
  <si>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</si>
  <si>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</si>
  <si>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</si>
  <si>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</si>
  <si>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</si>
  <si>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</si>
  <si>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</si>
  <si>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</si>
  <si>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</si>
  <si>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</si>
  <si>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</si>
  <si>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</si>
  <si>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</si>
  <si>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</si>
  <si>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</si>
  <si>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</si>
  <si>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</si>
  <si>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</si>
  <si>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</si>
  <si>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</si>
  <si>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</si>
  <si>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</si>
  <si>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</si>
  <si>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</si>
  <si>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</si>
  <si>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</si>
  <si>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</si>
  <si>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</si>
  <si>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</si>
  <si>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</si>
  <si>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</si>
  <si>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</si>
  <si>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</si>
  <si>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</si>
  <si>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</si>
  <si>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</si>
  <si>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</si>
  <si>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</si>
  <si>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</si>
  <si>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</si>
  <si>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</si>
  <si>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</si>
  <si>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</si>
  <si>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</si>
  <si>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</si>
  <si>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</si>
  <si>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</si>
  <si>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</si>
  <si>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</si>
  <si>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</si>
  <si>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</si>
  <si>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</si>
  <si>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</si>
  <si>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</si>
  <si>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</si>
  <si>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</si>
  <si>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</si>
  <si>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</si>
  <si>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</si>
  <si>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</si>
  <si>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</si>
  <si>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</si>
  <si>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</si>
  <si>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</si>
  <si>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</si>
  <si>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</si>
  <si>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</si>
  <si>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</si>
  <si>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</si>
  <si>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</si>
  <si>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</si>
  <si>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</si>
  <si>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</si>
  <si>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</si>
  <si>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</si>
  <si>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</si>
  <si>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</si>
  <si>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</si>
  <si>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</si>
  <si>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</si>
  <si>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</si>
  <si>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</si>
  <si>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</si>
  <si>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</si>
  <si>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</si>
  <si>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</si>
  <si>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</si>
  <si>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</si>
  <si>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</si>
  <si>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</si>
  <si>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</si>
  <si>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</si>
  <si>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</si>
  <si>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</si>
  <si>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Transporte e taxa de destinação de resíduo sólido em aterro, tipo telhas cimento amianto</t>
  </si>
  <si>
    <t>05.10</t>
  </si>
  <si>
    <t>Transporte mecanizado de solo</t>
  </si>
  <si>
    <t>Carregamento mecanizado de solo de 1ª e 2ª categoria</t>
  </si>
  <si>
    <t>05.10.020</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</si>
  <si>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</si>
  <si>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</si>
  <si>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</si>
  <si>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</si>
  <si>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</si>
  <si>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</si>
  <si>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</si>
  <si>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</si>
  <si>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</si>
  <si>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</si>
  <si>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</si>
  <si>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</si>
  <si>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</si>
  <si>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</si>
  <si>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</si>
  <si>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</si>
  <si>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</si>
  <si>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</si>
  <si>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</si>
  <si>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</si>
  <si>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</si>
  <si>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</si>
  <si>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</si>
  <si>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</si>
  <si>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</si>
  <si>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</si>
  <si>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</si>
  <si>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</si>
  <si>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</si>
  <si>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</si>
  <si>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</si>
  <si>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</si>
  <si>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</si>
  <si>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</si>
  <si>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</si>
  <si>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</si>
  <si>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</si>
  <si>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</si>
  <si>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</si>
  <si>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</si>
  <si>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</si>
  <si>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</si>
  <si>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</si>
  <si>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</si>
  <si>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</si>
  <si>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</si>
  <si>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</si>
  <si>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</si>
  <si>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</si>
  <si>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</si>
  <si>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</si>
  <si>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</si>
  <si>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</si>
  <si>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</si>
  <si>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</si>
  <si>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</si>
  <si>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07.01.020</t>
  </si>
  <si>
    <t>Escavação e carga mecanizada em solo de 1ª categoria, em campo aberto</t>
  </si>
  <si>
    <t>Escavação e carga mecanizada em solo de 2ª categoria, em campo aberto</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</si>
  <si>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</si>
  <si>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</si>
  <si>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</si>
  <si>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</si>
  <si>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</si>
  <si>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</si>
  <si>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</si>
  <si>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</si>
  <si>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</si>
  <si>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</si>
  <si>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</si>
  <si>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</si>
  <si>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</si>
  <si>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</si>
  <si>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</si>
  <si>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</si>
  <si>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</si>
  <si>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</si>
  <si>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</si>
  <si>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</si>
  <si>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</si>
  <si>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</si>
  <si>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</si>
  <si>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</si>
  <si>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</si>
  <si>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</si>
  <si>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</si>
  <si>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</si>
  <si>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</si>
  <si>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</si>
  <si>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</si>
  <si>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Compactação de aterro mecanizado mínimo de 95% PN, sem fornecimento de solo em áreas fechadas</t>
  </si>
  <si>
    <t>07.12.020</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</si>
  <si>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</si>
  <si>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</si>
  <si>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</si>
  <si>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</si>
  <si>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</si>
  <si>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</si>
  <si>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</si>
  <si>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</si>
  <si>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</si>
  <si>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</si>
  <si>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</si>
  <si>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</si>
  <si>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</si>
  <si>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</si>
  <si>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</si>
  <si>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</si>
  <si>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</si>
  <si>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</si>
  <si>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</si>
  <si>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</si>
  <si>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</si>
  <si>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</si>
  <si>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</si>
  <si>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</si>
  <si>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</si>
  <si>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</si>
  <si>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</si>
  <si>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</si>
  <si>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</si>
  <si>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</si>
  <si>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</si>
  <si>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</si>
  <si>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</si>
  <si>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</si>
  <si>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</si>
  <si>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</si>
  <si>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</si>
  <si>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</si>
  <si>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</si>
  <si>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</si>
  <si>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</si>
  <si>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</si>
  <si>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</si>
  <si>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</si>
  <si>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</si>
  <si>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</si>
  <si>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</si>
  <si>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</si>
  <si>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</si>
  <si>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</si>
  <si>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</si>
  <si>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</si>
  <si>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</si>
  <si>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</si>
  <si>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</si>
  <si>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</si>
  <si>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</si>
  <si>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</si>
  <si>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</si>
  <si>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</si>
  <si>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</si>
  <si>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</si>
  <si>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</si>
  <si>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</si>
  <si>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</si>
  <si>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</si>
  <si>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</si>
  <si>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</si>
  <si>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</si>
  <si>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</si>
  <si>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</si>
  <si>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</si>
  <si>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</si>
  <si>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</si>
  <si>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</si>
  <si>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</si>
  <si>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</si>
  <si>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</si>
  <si>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</si>
  <si>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</si>
  <si>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</si>
  <si>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</si>
  <si>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</si>
  <si>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</si>
  <si>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</si>
  <si>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</si>
  <si>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</si>
  <si>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</si>
  <si>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</si>
  <si>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</si>
  <si>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</si>
  <si>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</si>
  <si>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</si>
  <si>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</si>
  <si>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</si>
  <si>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</si>
  <si>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</si>
  <si>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</si>
  <si>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</si>
  <si>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</si>
  <si>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</si>
  <si>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</si>
  <si>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</si>
  <si>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</si>
  <si>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</si>
  <si>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</si>
  <si>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</si>
  <si>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</si>
  <si>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</si>
  <si>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</si>
  <si>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</si>
  <si>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</si>
  <si>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</si>
  <si>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</si>
  <si>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</si>
  <si>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</si>
  <si>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</si>
  <si>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</si>
  <si>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</si>
  <si>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</si>
  <si>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</si>
  <si>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</si>
  <si>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</si>
  <si>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</si>
  <si>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</si>
  <si>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</si>
  <si>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</si>
  <si>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</si>
  <si>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</si>
  <si>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</si>
  <si>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</si>
  <si>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</si>
  <si>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</si>
  <si>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</si>
  <si>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</si>
  <si>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</si>
  <si>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</si>
  <si>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</si>
  <si>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</si>
  <si>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</si>
  <si>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</si>
  <si>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</si>
  <si>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</si>
  <si>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</si>
  <si>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</si>
  <si>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</si>
  <si>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11.01.100</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</si>
  <si>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</si>
  <si>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</si>
  <si>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</si>
  <si>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</si>
  <si>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</si>
  <si>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</si>
  <si>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</si>
  <si>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</si>
  <si>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</si>
  <si>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</si>
  <si>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</si>
  <si>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</si>
  <si>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</si>
  <si>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</si>
  <si>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</si>
  <si>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</si>
  <si>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</si>
  <si>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</si>
  <si>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</si>
  <si>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</si>
  <si>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</si>
  <si>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</si>
  <si>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</si>
  <si>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</si>
  <si>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</si>
  <si>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</si>
  <si>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</si>
  <si>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</si>
  <si>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</si>
  <si>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</si>
  <si>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</si>
  <si>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</si>
  <si>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</si>
  <si>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</si>
  <si>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</si>
  <si>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</si>
  <si>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</si>
  <si>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</si>
  <si>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</si>
  <si>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</si>
  <si>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</si>
  <si>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</si>
  <si>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</si>
  <si>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</si>
  <si>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</si>
  <si>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</si>
  <si>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</si>
  <si>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</si>
  <si>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</si>
  <si>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</si>
  <si>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</si>
  <si>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</si>
  <si>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</si>
  <si>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</si>
  <si>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</si>
  <si>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</si>
  <si>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</si>
  <si>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</si>
  <si>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</si>
  <si>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</si>
  <si>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</si>
  <si>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</si>
  <si>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</si>
  <si>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</si>
  <si>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</si>
  <si>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</si>
  <si>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</si>
  <si>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</si>
  <si>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</si>
  <si>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</si>
  <si>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</si>
  <si>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</si>
  <si>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</si>
  <si>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</si>
  <si>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</si>
  <si>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11.18.060</t>
  </si>
  <si>
    <t>Lona plástica</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</si>
  <si>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</si>
  <si>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</si>
  <si>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</si>
  <si>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</si>
  <si>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</si>
  <si>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</si>
  <si>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</si>
  <si>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</si>
  <si>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</si>
  <si>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</si>
  <si>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</si>
  <si>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</si>
  <si>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</si>
  <si>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</si>
  <si>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</si>
  <si>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</si>
  <si>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</si>
  <si>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</si>
  <si>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</si>
  <si>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</si>
  <si>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</si>
  <si>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</si>
  <si>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</si>
  <si>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</si>
  <si>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</si>
  <si>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</si>
  <si>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</si>
  <si>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</si>
  <si>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</si>
  <si>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</si>
  <si>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</si>
  <si>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</si>
  <si>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</si>
  <si>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</si>
  <si>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</si>
  <si>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</si>
  <si>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</si>
  <si>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</si>
  <si>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</si>
  <si>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</si>
  <si>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</si>
  <si>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</si>
  <si>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</si>
  <si>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</si>
  <si>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</si>
  <si>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</si>
  <si>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</si>
  <si>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</si>
  <si>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</si>
  <si>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</si>
  <si>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</si>
  <si>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</si>
  <si>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</si>
  <si>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</si>
  <si>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</si>
  <si>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</si>
  <si>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</si>
  <si>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</si>
  <si>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</si>
  <si>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</si>
  <si>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</si>
  <si>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</si>
  <si>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</si>
  <si>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</si>
  <si>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</si>
  <si>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</si>
  <si>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</si>
  <si>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</si>
  <si>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</si>
  <si>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</si>
  <si>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</si>
  <si>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</si>
  <si>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</si>
  <si>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</si>
  <si>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</si>
  <si>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</si>
  <si>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</si>
  <si>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</si>
  <si>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</si>
  <si>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</si>
  <si>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</si>
  <si>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</si>
  <si>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</si>
  <si>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</si>
  <si>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</si>
  <si>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</si>
  <si>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</si>
  <si>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</si>
  <si>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</si>
  <si>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</si>
  <si>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</si>
  <si>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</si>
  <si>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</si>
  <si>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</si>
  <si>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</si>
  <si>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</si>
  <si>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</si>
  <si>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</si>
  <si>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</si>
  <si>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</si>
  <si>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</si>
  <si>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</si>
  <si>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</si>
  <si>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</si>
  <si>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</si>
  <si>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</si>
  <si>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</si>
  <si>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</si>
  <si>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</si>
  <si>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</si>
  <si>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</si>
  <si>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</si>
  <si>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</si>
  <si>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</si>
  <si>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</si>
  <si>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</si>
  <si>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</si>
  <si>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</si>
  <si>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</si>
  <si>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</si>
  <si>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</si>
  <si>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</si>
  <si>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</si>
  <si>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</si>
  <si>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</si>
  <si>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</si>
  <si>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</si>
  <si>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</si>
  <si>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</si>
  <si>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</si>
  <si>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</si>
  <si>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</si>
  <si>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</si>
  <si>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</si>
  <si>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</si>
  <si>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</si>
  <si>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</si>
  <si>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</si>
  <si>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</si>
  <si>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</si>
  <si>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</si>
  <si>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</si>
  <si>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</si>
  <si>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</si>
  <si>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</si>
  <si>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</si>
  <si>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</si>
  <si>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</si>
  <si>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</si>
  <si>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</si>
  <si>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</si>
  <si>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</si>
  <si>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</si>
  <si>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</si>
  <si>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</si>
  <si>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</si>
  <si>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</si>
  <si>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</si>
  <si>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</si>
  <si>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</si>
  <si>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</si>
  <si>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</si>
  <si>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</si>
  <si>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</si>
  <si>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</si>
  <si>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</si>
  <si>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</si>
  <si>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</si>
  <si>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</si>
  <si>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</si>
  <si>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</si>
  <si>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</si>
  <si>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</si>
  <si>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</si>
  <si>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</si>
  <si>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</si>
  <si>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</si>
  <si>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</si>
  <si>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</si>
  <si>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</si>
  <si>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</si>
  <si>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</si>
  <si>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</si>
  <si>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</si>
  <si>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</si>
  <si>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</si>
  <si>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</si>
  <si>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</si>
  <si>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</si>
  <si>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</si>
  <si>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</si>
  <si>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</si>
  <si>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</si>
  <si>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</si>
  <si>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</si>
  <si>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</si>
  <si>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</si>
  <si>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</si>
  <si>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</si>
  <si>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</si>
  <si>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</si>
  <si>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</si>
  <si>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</si>
  <si>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</si>
  <si>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</si>
  <si>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</si>
  <si>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</si>
  <si>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</si>
  <si>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</si>
  <si>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</si>
  <si>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</si>
  <si>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</si>
  <si>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</si>
  <si>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</si>
  <si>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</si>
  <si>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</si>
  <si>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</si>
  <si>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</si>
  <si>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</si>
  <si>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</si>
  <si>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</si>
  <si>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</si>
  <si>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</si>
  <si>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</si>
  <si>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</si>
  <si>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</si>
  <si>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</si>
  <si>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</si>
  <si>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</si>
  <si>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</si>
  <si>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</si>
  <si>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</si>
  <si>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</si>
  <si>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</si>
  <si>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</si>
  <si>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</si>
  <si>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</si>
  <si>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</si>
  <si>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</si>
  <si>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</si>
  <si>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</si>
  <si>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</si>
  <si>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14.04.210</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</si>
  <si>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</si>
  <si>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</si>
  <si>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</si>
  <si>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</si>
  <si>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</si>
  <si>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</si>
  <si>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</si>
  <si>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</si>
  <si>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</si>
  <si>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</si>
  <si>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</si>
  <si>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</si>
  <si>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</si>
  <si>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</si>
  <si>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</si>
  <si>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</si>
  <si>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</si>
  <si>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</si>
  <si>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</si>
  <si>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</si>
  <si>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</si>
  <si>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</si>
  <si>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</si>
  <si>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</si>
  <si>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</si>
  <si>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</si>
  <si>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</si>
  <si>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</si>
  <si>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</si>
  <si>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</si>
  <si>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</si>
  <si>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</si>
  <si>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</si>
  <si>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</si>
  <si>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</si>
  <si>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</si>
  <si>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</si>
  <si>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</si>
  <si>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</si>
  <si>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</si>
  <si>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</si>
  <si>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</si>
  <si>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</si>
  <si>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</si>
  <si>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</si>
  <si>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</si>
  <si>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</si>
  <si>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</si>
  <si>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</si>
  <si>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</si>
  <si>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</si>
  <si>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</si>
  <si>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</si>
  <si>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</si>
  <si>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</si>
  <si>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</si>
  <si>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</si>
  <si>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</si>
  <si>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</si>
  <si>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</si>
  <si>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</si>
  <si>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</si>
  <si>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</si>
  <si>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</si>
  <si>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</si>
  <si>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</si>
  <si>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</si>
  <si>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</si>
  <si>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</si>
  <si>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</si>
  <si>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</si>
  <si>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</si>
  <si>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</si>
  <si>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</si>
  <si>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</si>
  <si>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</si>
  <si>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</si>
  <si>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</si>
  <si>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</si>
  <si>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</si>
  <si>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</si>
  <si>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</si>
  <si>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</si>
  <si>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</si>
  <si>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</si>
  <si>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</si>
  <si>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</si>
  <si>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</si>
  <si>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</si>
  <si>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</si>
  <si>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</si>
  <si>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</si>
  <si>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</si>
  <si>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</si>
  <si>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</si>
  <si>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</si>
  <si>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</si>
  <si>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</si>
  <si>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</si>
  <si>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</si>
  <si>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</si>
  <si>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</si>
  <si>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</si>
  <si>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</si>
  <si>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</si>
  <si>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</si>
  <si>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</si>
  <si>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</si>
  <si>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</si>
  <si>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</si>
  <si>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</si>
  <si>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</si>
  <si>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</si>
  <si>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</si>
  <si>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</si>
  <si>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</si>
  <si>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</si>
  <si>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</si>
  <si>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</si>
  <si>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</si>
  <si>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</si>
  <si>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</si>
  <si>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</si>
  <si>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</si>
  <si>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</si>
  <si>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</si>
  <si>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</si>
  <si>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</si>
  <si>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</si>
  <si>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</si>
  <si>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</si>
  <si>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</si>
  <si>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</si>
  <si>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</si>
  <si>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</si>
  <si>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</si>
  <si>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</si>
  <si>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</si>
  <si>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</si>
  <si>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</si>
  <si>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</si>
  <si>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</si>
  <si>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</si>
  <si>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</si>
  <si>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</si>
  <si>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</si>
  <si>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</si>
  <si>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</si>
  <si>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</si>
  <si>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</si>
  <si>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</si>
  <si>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</si>
  <si>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</si>
  <si>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</si>
  <si>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</si>
  <si>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</si>
  <si>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</si>
  <si>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</si>
  <si>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</si>
  <si>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</si>
  <si>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</si>
  <si>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</si>
  <si>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</si>
  <si>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</si>
  <si>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</si>
  <si>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</si>
  <si>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</si>
  <si>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</si>
  <si>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</si>
  <si>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</si>
  <si>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</si>
  <si>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</si>
  <si>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</si>
  <si>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</si>
  <si>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</si>
  <si>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</si>
  <si>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</si>
  <si>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</si>
  <si>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</si>
  <si>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</si>
  <si>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</si>
  <si>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</si>
  <si>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</si>
  <si>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</si>
  <si>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</si>
  <si>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</si>
  <si>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</si>
  <si>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</si>
  <si>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</si>
  <si>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</si>
  <si>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</si>
  <si>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</si>
  <si>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</si>
  <si>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</si>
  <si>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</si>
  <si>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</si>
  <si>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</si>
  <si>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</si>
  <si>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</si>
  <si>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</si>
  <si>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</si>
  <si>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</si>
  <si>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</si>
  <si>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</si>
  <si>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</si>
  <si>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</si>
  <si>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</si>
  <si>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</si>
  <si>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</si>
  <si>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</si>
  <si>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</si>
  <si>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</si>
  <si>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</si>
  <si>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</si>
  <si>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</si>
  <si>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</si>
  <si>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</si>
  <si>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</si>
  <si>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</si>
  <si>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</si>
  <si>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</si>
  <si>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</si>
  <si>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</si>
  <si>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</si>
  <si>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</si>
  <si>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</si>
  <si>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</si>
  <si>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</si>
  <si>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</si>
  <si>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</si>
  <si>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</si>
  <si>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</si>
  <si>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</si>
  <si>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</si>
  <si>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</si>
  <si>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</si>
  <si>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</si>
  <si>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</si>
  <si>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</si>
  <si>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</si>
  <si>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</si>
  <si>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</si>
  <si>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</si>
  <si>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</si>
  <si>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</si>
  <si>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</si>
  <si>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</si>
  <si>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</si>
  <si>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</si>
  <si>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</si>
  <si>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</si>
  <si>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</si>
  <si>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</si>
  <si>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</si>
  <si>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</si>
  <si>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</si>
  <si>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</si>
  <si>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</si>
  <si>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</si>
  <si>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</si>
  <si>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</si>
  <si>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</si>
  <si>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</si>
  <si>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</si>
  <si>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</si>
  <si>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</si>
  <si>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</si>
  <si>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</si>
  <si>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</si>
  <si>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</si>
  <si>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</si>
  <si>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</si>
  <si>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</si>
  <si>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</si>
  <si>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</si>
  <si>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</si>
  <si>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</si>
  <si>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</si>
  <si>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</si>
  <si>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</si>
  <si>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</si>
  <si>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</si>
  <si>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</si>
  <si>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</si>
  <si>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</si>
  <si>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</si>
  <si>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</si>
  <si>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</si>
  <si>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</si>
  <si>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</si>
  <si>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</si>
  <si>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</si>
  <si>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</si>
  <si>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</si>
  <si>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</si>
  <si>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</si>
  <si>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</si>
  <si>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</si>
  <si>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</si>
  <si>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</si>
  <si>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</si>
  <si>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</si>
  <si>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</si>
  <si>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</si>
  <si>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</si>
  <si>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</si>
  <si>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</si>
  <si>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</si>
  <si>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</si>
  <si>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</si>
  <si>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</si>
  <si>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</si>
  <si>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</si>
  <si>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</si>
  <si>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</si>
  <si>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</si>
  <si>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</si>
  <si>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</si>
  <si>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</si>
  <si>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</si>
  <si>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</si>
  <si>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</si>
  <si>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</si>
  <si>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</si>
  <si>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</si>
  <si>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</si>
  <si>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</si>
  <si>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</si>
  <si>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</si>
  <si>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</si>
  <si>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</si>
  <si>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</si>
  <si>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</si>
  <si>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</si>
  <si>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</si>
  <si>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</si>
  <si>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</si>
  <si>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</si>
  <si>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</si>
  <si>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</si>
  <si>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</si>
  <si>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</si>
  <si>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</si>
  <si>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</si>
  <si>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</si>
  <si>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</si>
  <si>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</si>
  <si>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</si>
  <si>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</si>
  <si>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</si>
  <si>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</si>
  <si>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</si>
  <si>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</si>
  <si>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</si>
  <si>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</si>
  <si>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</si>
  <si>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</si>
  <si>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</si>
  <si>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</si>
  <si>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</si>
  <si>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</si>
  <si>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</si>
  <si>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</si>
  <si>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</si>
  <si>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</si>
  <si>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</si>
  <si>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</si>
  <si>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</si>
  <si>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</si>
  <si>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</si>
  <si>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</si>
  <si>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</si>
  <si>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</si>
  <si>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</si>
  <si>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</si>
  <si>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</si>
  <si>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</si>
  <si>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</si>
  <si>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</si>
  <si>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</si>
  <si>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</si>
  <si>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</si>
  <si>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</si>
  <si>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</si>
  <si>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</si>
  <si>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</si>
  <si>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</si>
  <si>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</si>
  <si>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</si>
  <si>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</si>
  <si>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</si>
  <si>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</si>
  <si>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</si>
  <si>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</si>
  <si>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</si>
  <si>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</si>
  <si>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</si>
  <si>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</si>
  <si>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</si>
  <si>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</si>
  <si>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</si>
  <si>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</si>
  <si>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</si>
  <si>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</si>
  <si>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</si>
  <si>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</si>
  <si>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</si>
  <si>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</si>
  <si>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</si>
  <si>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</si>
  <si>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</si>
  <si>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</si>
  <si>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</si>
  <si>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</si>
  <si>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</si>
  <si>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</si>
  <si>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</si>
  <si>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</si>
  <si>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</si>
  <si>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</si>
  <si>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</si>
  <si>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</si>
  <si>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</si>
  <si>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</si>
  <si>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</si>
  <si>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</si>
  <si>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</si>
  <si>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</si>
  <si>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</si>
  <si>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</si>
  <si>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</si>
  <si>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</si>
  <si>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</si>
  <si>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</si>
  <si>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</si>
  <si>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</si>
  <si>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</si>
  <si>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</si>
  <si>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</si>
  <si>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</si>
  <si>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</si>
  <si>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</si>
  <si>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</si>
  <si>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</si>
  <si>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</si>
  <si>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</si>
  <si>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</si>
  <si>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</si>
  <si>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</si>
  <si>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</si>
  <si>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</si>
  <si>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</si>
  <si>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</si>
  <si>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</si>
  <si>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</si>
  <si>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</si>
  <si>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</si>
  <si>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</si>
  <si>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</si>
  <si>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</si>
  <si>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</si>
  <si>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</si>
  <si>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</si>
  <si>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</si>
  <si>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</si>
  <si>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</si>
  <si>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</si>
  <si>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</si>
  <si>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</si>
  <si>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</si>
  <si>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</si>
  <si>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</si>
  <si>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</si>
  <si>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</si>
  <si>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</si>
  <si>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</si>
  <si>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</si>
  <si>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</si>
  <si>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</si>
  <si>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</si>
  <si>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</si>
  <si>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</si>
  <si>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</si>
  <si>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</si>
  <si>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</si>
  <si>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</si>
  <si>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</si>
  <si>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</si>
  <si>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</si>
  <si>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</si>
  <si>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</si>
  <si>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</si>
  <si>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</si>
  <si>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</si>
  <si>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</si>
  <si>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</si>
  <si>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</si>
  <si>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</si>
  <si>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</si>
  <si>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</si>
  <si>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</si>
  <si>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</si>
  <si>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</si>
  <si>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</si>
  <si>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</si>
  <si>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</si>
  <si>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</si>
  <si>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</si>
  <si>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</si>
  <si>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</si>
  <si>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</si>
  <si>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</si>
  <si>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</si>
  <si>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</si>
  <si>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</si>
  <si>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</si>
  <si>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</si>
  <si>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</si>
  <si>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</si>
  <si>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</si>
  <si>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</si>
  <si>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</si>
  <si>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</si>
  <si>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</si>
  <si>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</si>
  <si>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</si>
  <si>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</si>
  <si>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</si>
  <si>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</si>
  <si>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</si>
  <si>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</si>
  <si>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</si>
  <si>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</si>
  <si>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</si>
  <si>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</si>
  <si>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</si>
  <si>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</si>
  <si>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</si>
  <si>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</si>
  <si>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</si>
  <si>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</si>
  <si>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</si>
  <si>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</si>
  <si>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</si>
  <si>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</si>
  <si>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</si>
  <si>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</si>
  <si>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</si>
  <si>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</si>
  <si>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</si>
  <si>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</si>
  <si>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</si>
  <si>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</si>
  <si>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</si>
  <si>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</si>
  <si>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</si>
  <si>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</si>
  <si>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</si>
  <si>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</si>
  <si>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</si>
  <si>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</si>
  <si>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</si>
  <si>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</si>
  <si>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</si>
  <si>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</si>
  <si>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</si>
  <si>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</si>
  <si>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</si>
  <si>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</si>
  <si>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</si>
  <si>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</si>
  <si>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</si>
  <si>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</si>
  <si>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</si>
  <si>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</si>
  <si>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</si>
  <si>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</si>
  <si>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</si>
  <si>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</si>
  <si>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</si>
  <si>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</si>
  <si>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</si>
  <si>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</si>
  <si>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</si>
  <si>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</si>
  <si>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</si>
  <si>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</si>
  <si>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</si>
  <si>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</si>
  <si>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</si>
  <si>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</si>
  <si>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</si>
  <si>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</si>
  <si>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</si>
  <si>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</si>
  <si>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</si>
  <si>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</si>
  <si>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</si>
  <si>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</si>
  <si>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</si>
  <si>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</si>
  <si>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</si>
  <si>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</si>
  <si>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</si>
  <si>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</si>
  <si>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</si>
  <si>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</si>
  <si>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</si>
  <si>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</si>
  <si>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</si>
  <si>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</si>
  <si>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</si>
  <si>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</si>
  <si>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</si>
  <si>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</si>
  <si>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</si>
  <si>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</si>
  <si>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</si>
  <si>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</si>
  <si>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</si>
  <si>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</si>
  <si>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</si>
  <si>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</si>
  <si>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</si>
  <si>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</si>
  <si>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</si>
  <si>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</si>
  <si>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</si>
  <si>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</si>
  <si>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</si>
  <si>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</si>
  <si>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</si>
  <si>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</si>
  <si>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</si>
  <si>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</si>
  <si>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</si>
  <si>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</si>
  <si>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</si>
  <si>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</si>
  <si>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</si>
  <si>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</si>
  <si>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</si>
  <si>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</si>
  <si>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</si>
  <si>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</si>
  <si>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</si>
  <si>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</si>
  <si>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</si>
  <si>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</si>
  <si>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</si>
  <si>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</si>
  <si>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</si>
  <si>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</si>
  <si>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</si>
  <si>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</si>
  <si>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</si>
  <si>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</si>
  <si>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</si>
  <si>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</si>
  <si>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</si>
  <si>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</si>
  <si>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</si>
  <si>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</si>
  <si>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</si>
  <si>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</si>
  <si>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</si>
  <si>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</si>
  <si>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</si>
  <si>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</si>
  <si>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</si>
  <si>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</si>
  <si>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</si>
  <si>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</si>
  <si>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</si>
  <si>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</si>
  <si>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20.20.220</t>
  </si>
  <si>
    <t>Raspagem com calafetação e aplicação de cera</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</si>
  <si>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</si>
  <si>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</si>
  <si>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</si>
  <si>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</si>
  <si>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</si>
  <si>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</si>
  <si>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</si>
  <si>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</si>
  <si>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</si>
  <si>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</si>
  <si>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</si>
  <si>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</si>
  <si>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</si>
  <si>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</si>
  <si>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</si>
  <si>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</si>
  <si>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</si>
  <si>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</si>
  <si>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</si>
  <si>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</si>
  <si>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</si>
  <si>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</si>
  <si>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</si>
  <si>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</si>
  <si>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</si>
  <si>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</si>
  <si>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</si>
  <si>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</si>
  <si>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</si>
  <si>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</si>
  <si>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</si>
  <si>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</si>
  <si>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</si>
  <si>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</si>
  <si>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</si>
  <si>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</si>
  <si>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</si>
  <si>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</si>
  <si>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</si>
  <si>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</si>
  <si>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</si>
  <si>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</si>
  <si>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</si>
  <si>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</si>
  <si>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</si>
  <si>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</si>
  <si>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</si>
  <si>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</si>
  <si>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</si>
  <si>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</si>
  <si>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</si>
  <si>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</si>
  <si>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</si>
  <si>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</si>
  <si>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</si>
  <si>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</si>
  <si>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</si>
  <si>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</si>
  <si>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</si>
  <si>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</si>
  <si>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</si>
  <si>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</si>
  <si>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</si>
  <si>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</si>
  <si>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</si>
  <si>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</si>
  <si>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</si>
  <si>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</si>
  <si>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</si>
  <si>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</si>
  <si>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</si>
  <si>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</si>
  <si>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</si>
  <si>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</si>
  <si>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</si>
  <si>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</si>
  <si>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</si>
  <si>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</si>
  <si>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</si>
  <si>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</si>
  <si>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</si>
  <si>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</si>
  <si>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</si>
  <si>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</si>
  <si>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</si>
  <si>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</si>
  <si>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</si>
  <si>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</si>
  <si>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</si>
  <si>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</si>
  <si>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</si>
  <si>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</si>
  <si>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</si>
  <si>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</si>
  <si>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</si>
  <si>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</si>
  <si>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</si>
  <si>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</si>
  <si>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</si>
  <si>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</si>
  <si>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</si>
  <si>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</si>
  <si>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</si>
  <si>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</si>
  <si>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</si>
  <si>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</si>
  <si>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</si>
  <si>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</si>
  <si>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</si>
  <si>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</si>
  <si>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</si>
  <si>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</si>
  <si>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</si>
  <si>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</si>
  <si>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</si>
  <si>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</si>
  <si>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</si>
  <si>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</si>
  <si>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</si>
  <si>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</si>
  <si>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</si>
  <si>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</si>
  <si>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</si>
  <si>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</si>
  <si>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</si>
  <si>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</si>
  <si>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</si>
  <si>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</si>
  <si>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</si>
  <si>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</si>
  <si>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</si>
  <si>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</si>
  <si>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</si>
  <si>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</si>
  <si>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</si>
  <si>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</si>
  <si>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</si>
  <si>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</si>
  <si>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</si>
  <si>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</si>
  <si>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</si>
  <si>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</si>
  <si>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</si>
  <si>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</si>
  <si>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</si>
  <si>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</si>
  <si>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</si>
  <si>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</si>
  <si>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</si>
  <si>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</si>
  <si>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22.06.250</t>
  </si>
  <si>
    <t>Brise metálico curvo e móvel termoacústico em chapa lisa aluzinc pré-pintada</t>
  </si>
  <si>
    <t>22.06.300</t>
  </si>
  <si>
    <t>Brise metálico curvo e móvel em chapa microperfurada de alumínio pré-pintada</t>
  </si>
  <si>
    <t>22.06.340</t>
  </si>
  <si>
    <t>Brise metálico fixo em chapa lisa alumínio pré-pintada, formato ogiva, lâmina frontal de 200mm</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</si>
  <si>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</si>
  <si>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</si>
  <si>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</si>
  <si>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</si>
  <si>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</si>
  <si>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</si>
  <si>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</si>
  <si>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</si>
  <si>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</si>
  <si>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</si>
  <si>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</si>
  <si>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</si>
  <si>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</si>
  <si>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</si>
  <si>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</si>
  <si>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</si>
  <si>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</si>
  <si>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</si>
  <si>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</si>
  <si>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</si>
  <si>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</si>
  <si>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</si>
  <si>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</si>
  <si>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</si>
  <si>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</si>
  <si>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</si>
  <si>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</si>
  <si>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</si>
  <si>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</si>
  <si>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</si>
  <si>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</si>
  <si>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</si>
  <si>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</si>
  <si>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</si>
  <si>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</si>
  <si>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</si>
  <si>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</si>
  <si>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</si>
  <si>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</si>
  <si>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</si>
  <si>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</si>
  <si>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</si>
  <si>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</si>
  <si>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</si>
  <si>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</si>
  <si>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</si>
  <si>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</si>
  <si>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</si>
  <si>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</si>
  <si>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</si>
  <si>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</si>
  <si>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</si>
  <si>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</si>
  <si>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</si>
  <si>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</si>
  <si>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</si>
  <si>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</si>
  <si>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</si>
  <si>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</si>
  <si>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</si>
  <si>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</si>
  <si>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</si>
  <si>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</si>
  <si>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</si>
  <si>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</si>
  <si>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</si>
  <si>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</si>
  <si>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</si>
  <si>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</si>
  <si>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</si>
  <si>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</si>
  <si>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</si>
  <si>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</si>
  <si>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</si>
  <si>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</si>
  <si>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</si>
  <si>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</si>
  <si>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</si>
  <si>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</si>
  <si>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</si>
  <si>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</si>
  <si>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</si>
  <si>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</si>
  <si>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</si>
  <si>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</si>
  <si>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</si>
  <si>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</si>
  <si>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</si>
  <si>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</si>
  <si>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</si>
  <si>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</si>
  <si>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</si>
  <si>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</si>
  <si>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</si>
  <si>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</si>
  <si>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</si>
  <si>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</si>
  <si>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</si>
  <si>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</si>
  <si>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</si>
  <si>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</si>
  <si>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</si>
  <si>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</si>
  <si>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</si>
  <si>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</si>
  <si>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</si>
  <si>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</si>
  <si>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</si>
  <si>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</si>
  <si>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</si>
  <si>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</si>
  <si>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</si>
  <si>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</si>
  <si>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</si>
  <si>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</si>
  <si>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</si>
  <si>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</si>
  <si>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</si>
  <si>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</si>
  <si>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</si>
  <si>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</si>
  <si>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</si>
  <si>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</si>
  <si>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</si>
  <si>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</si>
  <si>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</si>
  <si>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</si>
  <si>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</si>
  <si>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</si>
  <si>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</si>
  <si>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</si>
  <si>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</si>
  <si>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</si>
  <si>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</si>
  <si>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</si>
  <si>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</si>
  <si>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</si>
  <si>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</si>
  <si>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</si>
  <si>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</si>
  <si>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</si>
  <si>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</si>
  <si>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</si>
  <si>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</si>
  <si>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</si>
  <si>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</si>
  <si>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</si>
  <si>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</si>
  <si>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</si>
  <si>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</si>
  <si>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</si>
  <si>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</si>
  <si>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</si>
  <si>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</si>
  <si>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</si>
  <si>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</si>
  <si>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</si>
  <si>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</si>
  <si>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</si>
  <si>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</si>
  <si>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</si>
  <si>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</si>
  <si>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</si>
  <si>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</si>
  <si>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</si>
  <si>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</si>
  <si>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</si>
  <si>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</si>
  <si>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</si>
  <si>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</si>
  <si>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</si>
  <si>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</si>
  <si>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</si>
  <si>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</si>
  <si>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</si>
  <si>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</si>
  <si>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</si>
  <si>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</si>
  <si>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</si>
  <si>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</si>
  <si>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</si>
  <si>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</si>
  <si>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</si>
  <si>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</si>
  <si>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</si>
  <si>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</si>
  <si>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</si>
  <si>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</si>
  <si>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</si>
  <si>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</si>
  <si>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</si>
  <si>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</si>
  <si>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</si>
  <si>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</si>
  <si>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</si>
  <si>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</si>
  <si>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</si>
  <si>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</si>
  <si>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</si>
  <si>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</si>
  <si>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</si>
  <si>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</si>
  <si>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</si>
  <si>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</si>
  <si>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</si>
  <si>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</si>
  <si>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</si>
  <si>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</si>
  <si>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</si>
  <si>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</si>
  <si>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</si>
  <si>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</si>
  <si>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</si>
  <si>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</si>
  <si>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</si>
  <si>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</si>
  <si>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</si>
  <si>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</si>
  <si>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</si>
  <si>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</si>
  <si>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</si>
  <si>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</si>
  <si>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</si>
  <si>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</si>
  <si>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</si>
  <si>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</si>
  <si>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</si>
  <si>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</si>
  <si>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</si>
  <si>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</si>
  <si>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</si>
  <si>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</si>
  <si>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</si>
  <si>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</si>
  <si>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</si>
  <si>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</si>
  <si>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</si>
  <si>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</si>
  <si>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</si>
  <si>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</si>
  <si>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</si>
  <si>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</si>
  <si>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</si>
  <si>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</si>
  <si>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</si>
  <si>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</si>
  <si>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</si>
  <si>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</si>
  <si>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</si>
  <si>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</si>
  <si>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</si>
  <si>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</si>
  <si>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</si>
  <si>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</si>
  <si>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</si>
  <si>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</si>
  <si>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</si>
  <si>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</si>
  <si>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</si>
  <si>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</si>
  <si>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</si>
  <si>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</si>
  <si>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</si>
  <si>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</si>
  <si>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</si>
  <si>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</si>
  <si>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</si>
  <si>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</si>
  <si>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</si>
  <si>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</si>
  <si>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</si>
  <si>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</si>
  <si>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</si>
  <si>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</si>
  <si>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</si>
  <si>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</si>
  <si>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</si>
  <si>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</si>
  <si>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</si>
  <si>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</si>
  <si>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</si>
  <si>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</si>
  <si>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</si>
  <si>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</si>
  <si>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</si>
  <si>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</si>
  <si>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</si>
  <si>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</si>
  <si>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</si>
  <si>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</si>
  <si>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</si>
  <si>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</si>
  <si>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</si>
  <si>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</si>
  <si>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</si>
  <si>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</si>
  <si>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</si>
  <si>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</si>
  <si>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</si>
  <si>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</si>
  <si>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</si>
  <si>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</si>
  <si>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</si>
  <si>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</si>
  <si>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</si>
  <si>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</si>
  <si>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</si>
  <si>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</si>
  <si>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</si>
  <si>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</si>
  <si>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</si>
  <si>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</si>
  <si>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</si>
  <si>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</si>
  <si>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</si>
  <si>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</si>
  <si>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</si>
  <si>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</si>
  <si>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</si>
  <si>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</si>
  <si>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</si>
  <si>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</si>
  <si>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</si>
  <si>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</si>
  <si>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</si>
  <si>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</si>
  <si>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</si>
  <si>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</si>
  <si>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</si>
  <si>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</si>
  <si>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</si>
  <si>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</si>
  <si>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</si>
  <si>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</si>
  <si>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</si>
  <si>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</si>
  <si>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</si>
  <si>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</si>
  <si>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</si>
  <si>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</si>
  <si>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</si>
  <si>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</si>
  <si>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</si>
  <si>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</si>
  <si>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</si>
  <si>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</si>
  <si>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</si>
  <si>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</si>
  <si>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</si>
  <si>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</si>
  <si>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</si>
  <si>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</si>
  <si>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</si>
  <si>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</si>
  <si>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</si>
  <si>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</si>
  <si>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</si>
  <si>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</si>
  <si>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</si>
  <si>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</si>
  <si>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</si>
  <si>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</si>
  <si>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</si>
  <si>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</si>
  <si>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</si>
  <si>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</si>
  <si>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</si>
  <si>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</si>
  <si>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</si>
  <si>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</si>
  <si>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</si>
  <si>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</si>
  <si>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</si>
  <si>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</si>
  <si>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</si>
  <si>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</si>
  <si>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</si>
  <si>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</si>
  <si>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</si>
  <si>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</si>
  <si>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</si>
  <si>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</si>
  <si>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</si>
  <si>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</si>
  <si>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</si>
  <si>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</si>
  <si>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</si>
  <si>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</si>
  <si>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</si>
  <si>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</si>
  <si>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</si>
  <si>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</si>
  <si>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</si>
  <si>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</si>
  <si>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</si>
  <si>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</si>
  <si>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</si>
  <si>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</si>
  <si>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</si>
  <si>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</si>
  <si>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</si>
  <si>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</si>
  <si>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</si>
  <si>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</si>
  <si>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</si>
  <si>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</si>
  <si>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</si>
  <si>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</si>
  <si>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</si>
  <si>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</si>
  <si>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</si>
  <si>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</si>
  <si>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</si>
  <si>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</si>
  <si>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</si>
  <si>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</si>
  <si>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</si>
  <si>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</si>
  <si>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</si>
  <si>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</si>
  <si>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</si>
  <si>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</si>
  <si>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</si>
  <si>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</si>
  <si>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</si>
  <si>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</si>
  <si>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</si>
  <si>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</si>
  <si>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</si>
  <si>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</si>
  <si>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</si>
  <si>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</si>
  <si>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</si>
  <si>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</si>
  <si>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</si>
  <si>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</si>
  <si>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</si>
  <si>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</si>
  <si>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</si>
  <si>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</si>
  <si>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</si>
  <si>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</si>
  <si>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</si>
  <si>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</si>
  <si>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</si>
  <si>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</si>
  <si>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</si>
  <si>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</si>
  <si>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</si>
  <si>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</si>
  <si>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</si>
  <si>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</si>
  <si>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</si>
  <si>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</si>
  <si>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</si>
  <si>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</si>
  <si>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</si>
  <si>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</si>
  <si>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</si>
  <si>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</si>
  <si>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</si>
  <si>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</si>
  <si>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</si>
  <si>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</si>
  <si>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</si>
  <si>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</si>
  <si>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</si>
  <si>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</si>
  <si>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</si>
  <si>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</si>
  <si>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</si>
  <si>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</si>
  <si>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</si>
  <si>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</si>
  <si>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</si>
  <si>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</si>
  <si>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</si>
  <si>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</si>
  <si>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</si>
  <si>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</si>
  <si>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</si>
  <si>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</si>
  <si>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</si>
  <si>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</si>
  <si>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</si>
  <si>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</si>
  <si>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</si>
  <si>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</si>
  <si>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</si>
  <si>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</si>
  <si>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</si>
  <si>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</si>
  <si>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</si>
  <si>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</si>
  <si>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</si>
  <si>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</si>
  <si>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</si>
  <si>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</si>
  <si>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</si>
  <si>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</si>
  <si>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</si>
  <si>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</si>
  <si>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</si>
  <si>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</si>
  <si>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</si>
  <si>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</si>
  <si>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</si>
  <si>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</si>
  <si>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</si>
  <si>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</si>
  <si>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</si>
  <si>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</si>
  <si>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</si>
  <si>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</si>
  <si>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</si>
  <si>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</si>
  <si>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</si>
  <si>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</si>
  <si>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</si>
  <si>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</si>
  <si>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</si>
  <si>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</si>
  <si>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</si>
  <si>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</si>
  <si>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</si>
  <si>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</si>
  <si>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</si>
  <si>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</si>
  <si>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</si>
  <si>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</si>
  <si>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</si>
  <si>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</si>
  <si>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</si>
  <si>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</si>
  <si>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</si>
  <si>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</si>
  <si>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</si>
  <si>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</si>
  <si>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</si>
  <si>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</si>
  <si>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</si>
  <si>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</si>
  <si>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26.01.190</t>
  </si>
  <si>
    <t>Vidro liso laminado jateado de 6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</si>
  <si>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</si>
  <si>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</si>
  <si>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</si>
  <si>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</si>
  <si>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</si>
  <si>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</si>
  <si>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</si>
  <si>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</si>
  <si>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</si>
  <si>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</si>
  <si>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</si>
  <si>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</si>
  <si>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</si>
  <si>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</si>
  <si>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</si>
  <si>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</si>
  <si>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</si>
  <si>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</si>
  <si>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</si>
  <si>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</si>
  <si>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</si>
  <si>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</si>
  <si>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</si>
  <si>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</si>
  <si>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</si>
  <si>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</si>
  <si>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</si>
  <si>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</si>
  <si>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</si>
  <si>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</si>
  <si>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</si>
  <si>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</si>
  <si>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26.03.090</t>
  </si>
  <si>
    <t>Vidro laminado temperado jateado de 8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</si>
  <si>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</si>
  <si>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</si>
  <si>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</si>
  <si>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</si>
  <si>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</si>
  <si>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</si>
  <si>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</si>
  <si>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</si>
  <si>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</si>
  <si>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</si>
  <si>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</si>
  <si>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</si>
  <si>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</si>
  <si>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</si>
  <si>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</si>
  <si>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</si>
  <si>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</si>
  <si>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</si>
  <si>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</si>
  <si>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</si>
  <si>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</si>
  <si>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</si>
  <si>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</si>
  <si>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</si>
  <si>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</si>
  <si>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</si>
  <si>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</si>
  <si>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</si>
  <si>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</si>
  <si>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</si>
  <si>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</si>
  <si>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</si>
  <si>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</si>
  <si>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</si>
  <si>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</si>
  <si>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</si>
  <si>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</si>
  <si>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</si>
  <si>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</si>
  <si>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</si>
  <si>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</si>
  <si>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</si>
  <si>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</si>
  <si>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</si>
  <si>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</si>
  <si>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</si>
  <si>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</si>
  <si>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</si>
  <si>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</si>
  <si>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</si>
  <si>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</si>
  <si>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</si>
  <si>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</si>
  <si>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</si>
  <si>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</si>
  <si>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</si>
  <si>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</si>
  <si>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</si>
  <si>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</si>
  <si>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</si>
  <si>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</si>
  <si>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</si>
  <si>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</si>
  <si>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</si>
  <si>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</si>
  <si>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</si>
  <si>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</si>
  <si>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</si>
  <si>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</si>
  <si>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</si>
  <si>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</si>
  <si>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</si>
  <si>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</si>
  <si>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</si>
  <si>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</si>
  <si>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</si>
  <si>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</si>
  <si>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</si>
  <si>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</si>
  <si>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</si>
  <si>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</si>
  <si>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</si>
  <si>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</si>
  <si>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</si>
  <si>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</si>
  <si>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</si>
  <si>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</si>
  <si>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</si>
  <si>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</si>
  <si>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</si>
  <si>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</si>
  <si>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</si>
  <si>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</si>
  <si>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</si>
  <si>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</si>
  <si>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</si>
  <si>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</si>
  <si>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</si>
  <si>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</si>
  <si>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</si>
  <si>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</si>
  <si>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</si>
  <si>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</si>
  <si>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</si>
  <si>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</si>
  <si>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</si>
  <si>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</si>
  <si>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</si>
  <si>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</si>
  <si>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</si>
  <si>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</si>
  <si>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</si>
  <si>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</si>
  <si>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</si>
  <si>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</si>
  <si>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</si>
  <si>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</si>
  <si>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</si>
  <si>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</si>
  <si>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</si>
  <si>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</si>
  <si>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</si>
  <si>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</si>
  <si>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</si>
  <si>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</si>
  <si>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</si>
  <si>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</si>
  <si>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</si>
  <si>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</si>
  <si>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</si>
  <si>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</si>
  <si>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</si>
  <si>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</si>
  <si>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</si>
  <si>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</si>
  <si>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</si>
  <si>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</si>
  <si>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</si>
  <si>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</si>
  <si>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</si>
  <si>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</si>
  <si>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</si>
  <si>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</si>
  <si>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</si>
  <si>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</si>
  <si>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</si>
  <si>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</si>
  <si>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</si>
  <si>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</si>
  <si>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</si>
  <si>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</si>
  <si>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</si>
  <si>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</si>
  <si>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</si>
  <si>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</si>
  <si>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</si>
  <si>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</si>
  <si>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</si>
  <si>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</si>
  <si>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</si>
  <si>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</si>
  <si>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</si>
  <si>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</si>
  <si>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</si>
  <si>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</si>
  <si>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</si>
  <si>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</si>
  <si>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</si>
  <si>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</si>
  <si>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</si>
  <si>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</si>
  <si>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</si>
  <si>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</si>
  <si>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</si>
  <si>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</si>
  <si>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</si>
  <si>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</si>
  <si>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</si>
  <si>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</si>
  <si>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</si>
  <si>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</si>
  <si>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</si>
  <si>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</si>
  <si>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</si>
  <si>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</si>
  <si>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</si>
  <si>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</si>
  <si>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</si>
  <si>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</si>
  <si>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</si>
  <si>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</si>
  <si>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</si>
  <si>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</si>
  <si>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</si>
  <si>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</si>
  <si>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</si>
  <si>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</si>
  <si>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</si>
  <si>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</si>
  <si>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</si>
  <si>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</si>
  <si>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</si>
  <si>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</si>
  <si>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</si>
  <si>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</si>
  <si>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</si>
  <si>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</si>
  <si>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</si>
  <si>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</si>
  <si>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</si>
  <si>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</si>
  <si>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</si>
  <si>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</si>
  <si>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</si>
  <si>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</si>
  <si>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</si>
  <si>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</si>
  <si>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</si>
  <si>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</si>
  <si>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</si>
  <si>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</si>
  <si>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em borracha sintética colorida de 5 mm, para sinalização tátil de alerta / direcional - assentamento argamassado</t>
  </si>
  <si>
    <t>30.04.020</t>
  </si>
  <si>
    <t>Revestimento em borracha sintética colorida de 5 mm, para sinalização tátil de alerta / direcional - colado</t>
  </si>
  <si>
    <t>30.04.030</t>
  </si>
  <si>
    <t>Piso em ladrilho hidráulico podotátil várias cores (25x25cm), assentado com argamassa mista</t>
  </si>
  <si>
    <t>30.04.032</t>
  </si>
  <si>
    <t>Piso em ladrilho hidráulico podotátil várias cores (30x30cm),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</si>
  <si>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</si>
  <si>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</si>
  <si>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</si>
  <si>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</si>
  <si>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</si>
  <si>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</si>
  <si>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</si>
  <si>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</si>
  <si>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</si>
  <si>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alerta / direcional, intertravado,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</si>
  <si>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</si>
  <si>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</si>
  <si>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</si>
  <si>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</si>
  <si>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</si>
  <si>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</si>
  <si>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</si>
  <si>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</si>
  <si>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</si>
  <si>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</si>
  <si>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</si>
  <si>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</si>
  <si>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</si>
  <si>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</si>
  <si>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</si>
  <si>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</si>
  <si>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</si>
  <si>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</si>
  <si>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</si>
  <si>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</si>
  <si>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</si>
  <si>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</si>
  <si>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</si>
  <si>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</si>
  <si>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</si>
  <si>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</si>
  <si>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</si>
  <si>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</si>
  <si>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</si>
  <si>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</si>
  <si>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</si>
  <si>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</si>
  <si>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</si>
  <si>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</si>
  <si>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</si>
  <si>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</si>
  <si>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</si>
  <si>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</si>
  <si>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</si>
  <si>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</si>
  <si>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</si>
  <si>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</si>
  <si>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</si>
  <si>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</si>
  <si>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</si>
  <si>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</si>
  <si>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</si>
  <si>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</si>
  <si>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</si>
  <si>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</si>
  <si>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</si>
  <si>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</si>
  <si>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</si>
  <si>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</si>
  <si>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</si>
  <si>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</si>
  <si>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</si>
  <si>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</si>
  <si>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</si>
  <si>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</si>
  <si>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</si>
  <si>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para aplicação em vidros</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</si>
  <si>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</si>
  <si>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</si>
  <si>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</si>
  <si>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</si>
  <si>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</si>
  <si>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</si>
  <si>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</si>
  <si>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</si>
  <si>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</si>
  <si>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</si>
  <si>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</si>
  <si>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</si>
  <si>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</si>
  <si>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</si>
  <si>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</si>
  <si>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</si>
  <si>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</si>
  <si>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</si>
  <si>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</si>
  <si>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</si>
  <si>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</si>
  <si>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</si>
  <si>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</si>
  <si>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</si>
  <si>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</si>
  <si>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</si>
  <si>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</si>
  <si>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</si>
  <si>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</si>
  <si>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</si>
  <si>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</si>
  <si>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</si>
  <si>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</si>
  <si>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</si>
  <si>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</si>
  <si>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</si>
  <si>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</si>
  <si>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</si>
  <si>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</si>
  <si>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</si>
  <si>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</si>
  <si>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</si>
  <si>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</si>
  <si>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</si>
  <si>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</si>
  <si>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</si>
  <si>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</si>
  <si>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</si>
  <si>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</si>
  <si>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</si>
  <si>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</si>
  <si>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</si>
  <si>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</si>
  <si>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</si>
  <si>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</si>
  <si>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</si>
  <si>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</si>
  <si>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</si>
  <si>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</si>
  <si>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</si>
  <si>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</si>
  <si>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</si>
  <si>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</si>
  <si>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</si>
  <si>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</si>
  <si>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</si>
  <si>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</si>
  <si>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</si>
  <si>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</si>
  <si>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</si>
  <si>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</si>
  <si>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</si>
  <si>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</si>
  <si>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</si>
  <si>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</si>
  <si>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</si>
  <si>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</si>
  <si>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</si>
  <si>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</si>
  <si>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</si>
  <si>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</si>
  <si>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</si>
  <si>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</si>
  <si>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</si>
  <si>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</si>
  <si>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</si>
  <si>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</si>
  <si>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</si>
  <si>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</si>
  <si>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</si>
  <si>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</si>
  <si>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</si>
  <si>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</si>
  <si>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</si>
  <si>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</si>
  <si>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</si>
  <si>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</si>
  <si>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</si>
  <si>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</si>
  <si>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</si>
  <si>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</si>
  <si>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</si>
  <si>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</si>
  <si>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</si>
  <si>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</si>
  <si>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</si>
  <si>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</si>
  <si>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</si>
  <si>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</si>
  <si>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</si>
  <si>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</si>
  <si>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</si>
  <si>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</si>
  <si>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</si>
  <si>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</si>
  <si>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</si>
  <si>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</si>
  <si>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</si>
  <si>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</si>
  <si>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</si>
  <si>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</si>
  <si>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</si>
  <si>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</si>
  <si>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</si>
  <si>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</si>
  <si>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</si>
  <si>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</si>
  <si>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</si>
  <si>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</si>
  <si>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</si>
  <si>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</si>
  <si>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</si>
  <si>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</si>
  <si>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</si>
  <si>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</si>
  <si>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</si>
  <si>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</si>
  <si>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</si>
  <si>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</si>
  <si>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</si>
  <si>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</si>
  <si>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</si>
  <si>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</si>
  <si>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</si>
  <si>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</si>
  <si>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</si>
  <si>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</si>
  <si>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</si>
  <si>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</si>
  <si>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</si>
  <si>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</si>
  <si>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</si>
  <si>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</si>
  <si>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</si>
  <si>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</si>
  <si>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</si>
  <si>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</si>
  <si>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</si>
  <si>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</si>
  <si>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</si>
  <si>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</si>
  <si>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</si>
  <si>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</si>
  <si>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</si>
  <si>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</si>
  <si>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</si>
  <si>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</si>
  <si>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</si>
  <si>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</si>
  <si>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</si>
  <si>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</si>
  <si>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</si>
  <si>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</si>
  <si>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</si>
  <si>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</si>
  <si>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</si>
  <si>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</si>
  <si>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</si>
  <si>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</si>
  <si>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</si>
  <si>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</si>
  <si>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</si>
  <si>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</si>
  <si>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</si>
  <si>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</si>
  <si>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</si>
  <si>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</si>
  <si>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</si>
  <si>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</si>
  <si>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</si>
  <si>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</si>
  <si>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</si>
  <si>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</si>
  <si>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</si>
  <si>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</si>
  <si>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</si>
  <si>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</si>
  <si>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</si>
  <si>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</si>
  <si>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</si>
  <si>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</si>
  <si>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</si>
  <si>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</si>
  <si>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</si>
  <si>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</si>
  <si>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</si>
  <si>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</si>
  <si>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</si>
  <si>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</si>
  <si>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</si>
  <si>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</si>
  <si>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</si>
  <si>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</si>
  <si>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</si>
  <si>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</si>
  <si>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</si>
  <si>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</si>
  <si>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</si>
  <si>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</si>
  <si>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</si>
  <si>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</si>
  <si>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</si>
  <si>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</si>
  <si>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</si>
  <si>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</si>
  <si>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</si>
  <si>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33.07.102</t>
  </si>
  <si>
    <t>Esmalte a base de água em estrutura metálica</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</si>
  <si>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</si>
  <si>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</si>
  <si>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</si>
  <si>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</si>
  <si>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</si>
  <si>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</si>
  <si>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</si>
  <si>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</si>
  <si>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</si>
  <si>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</si>
  <si>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</si>
  <si>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</si>
  <si>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</si>
  <si>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</si>
  <si>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</si>
  <si>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</si>
  <si>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</si>
  <si>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</si>
  <si>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</si>
  <si>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</si>
  <si>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</si>
  <si>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</si>
  <si>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</si>
  <si>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</si>
  <si>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</si>
  <si>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</si>
  <si>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</si>
  <si>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</si>
  <si>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</si>
  <si>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</si>
  <si>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</si>
  <si>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</si>
  <si>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</si>
  <si>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</si>
  <si>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</si>
  <si>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</si>
  <si>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</si>
  <si>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</si>
  <si>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</si>
  <si>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</si>
  <si>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</si>
  <si>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</si>
  <si>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</si>
  <si>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</si>
  <si>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</si>
  <si>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</si>
  <si>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</si>
  <si>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</si>
  <si>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</si>
  <si>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</si>
  <si>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</si>
  <si>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</si>
  <si>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</si>
  <si>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</si>
  <si>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</si>
  <si>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</si>
  <si>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</si>
  <si>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</si>
  <si>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</si>
  <si>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</si>
  <si>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</si>
  <si>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</si>
  <si>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</si>
  <si>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</si>
  <si>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</si>
  <si>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</si>
  <si>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</si>
  <si>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</si>
  <si>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</si>
  <si>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</si>
  <si>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</si>
  <si>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</si>
  <si>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</si>
  <si>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</si>
  <si>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</si>
  <si>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</si>
  <si>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</si>
  <si>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</si>
  <si>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</si>
  <si>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</si>
  <si>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</si>
  <si>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</si>
  <si>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</si>
  <si>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</si>
  <si>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</si>
  <si>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</si>
  <si>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</si>
  <si>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</si>
  <si>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</si>
  <si>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</si>
  <si>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</si>
  <si>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</si>
  <si>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</si>
  <si>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</si>
  <si>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</si>
  <si>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</si>
  <si>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</si>
  <si>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(Tibouchina granulosa)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</si>
  <si>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</si>
  <si>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</si>
  <si>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</si>
  <si>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</si>
  <si>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</si>
  <si>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</si>
  <si>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</si>
  <si>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</si>
  <si>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</si>
  <si>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</si>
  <si>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</si>
  <si>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</si>
  <si>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</si>
  <si>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</si>
  <si>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</si>
  <si>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</si>
  <si>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</si>
  <si>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</si>
  <si>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</si>
  <si>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</si>
  <si>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</si>
  <si>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</si>
  <si>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</si>
  <si>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</si>
  <si>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</si>
  <si>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</si>
  <si>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</si>
  <si>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</si>
  <si>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</si>
  <si>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</si>
  <si>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</si>
  <si>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</si>
  <si>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</si>
  <si>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</si>
  <si>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</si>
  <si>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</si>
  <si>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</si>
  <si>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</si>
  <si>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</si>
  <si>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</si>
  <si>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</si>
  <si>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</si>
  <si>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</si>
  <si>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</si>
  <si>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</si>
  <si>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</si>
  <si>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</si>
  <si>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</si>
  <si>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</si>
  <si>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</si>
  <si>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</si>
  <si>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</si>
  <si>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</si>
  <si>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</si>
  <si>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</si>
  <si>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</si>
  <si>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</si>
  <si>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</si>
  <si>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</si>
  <si>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</si>
  <si>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</si>
  <si>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</si>
  <si>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</si>
  <si>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</si>
  <si>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</si>
  <si>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</si>
  <si>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</si>
  <si>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</si>
  <si>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</si>
  <si>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</si>
  <si>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</si>
  <si>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</si>
  <si>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</si>
  <si>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</si>
  <si>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</si>
  <si>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</si>
  <si>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35.01.160</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</si>
  <si>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</si>
  <si>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</si>
  <si>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</si>
  <si>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</si>
  <si>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</si>
  <si>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</si>
  <si>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</si>
  <si>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</si>
  <si>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</si>
  <si>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</si>
  <si>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</si>
  <si>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</si>
  <si>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</si>
  <si>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</si>
  <si>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</si>
  <si>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</si>
  <si>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</si>
  <si>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</si>
  <si>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</si>
  <si>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</si>
  <si>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</si>
  <si>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</si>
  <si>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</si>
  <si>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</si>
  <si>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</si>
  <si>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</si>
  <si>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</si>
  <si>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</si>
  <si>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</si>
  <si>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</si>
  <si>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</si>
  <si>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</si>
  <si>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</si>
  <si>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</si>
  <si>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</si>
  <si>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</si>
  <si>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</si>
  <si>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</si>
  <si>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</si>
  <si>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</si>
  <si>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</si>
  <si>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</si>
  <si>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</si>
  <si>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</si>
  <si>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</si>
  <si>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</si>
  <si>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</si>
  <si>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</si>
  <si>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</si>
  <si>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</si>
  <si>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</si>
  <si>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</si>
  <si>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</si>
  <si>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</si>
  <si>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</si>
  <si>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</si>
  <si>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</si>
  <si>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</si>
  <si>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</si>
  <si>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</si>
  <si>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</si>
  <si>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</si>
  <si>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</si>
  <si>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</si>
  <si>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</si>
  <si>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</si>
  <si>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</si>
  <si>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</si>
  <si>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</si>
  <si>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</si>
  <si>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</si>
  <si>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</si>
  <si>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</si>
  <si>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</si>
  <si>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</si>
  <si>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</si>
  <si>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</si>
  <si>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</si>
  <si>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</si>
  <si>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</si>
  <si>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</si>
  <si>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</si>
  <si>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</si>
  <si>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</si>
  <si>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</si>
  <si>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</si>
  <si>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</si>
  <si>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</si>
  <si>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</si>
  <si>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</si>
  <si>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</si>
  <si>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</si>
  <si>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</si>
  <si>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</si>
  <si>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</si>
  <si>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</si>
  <si>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</si>
  <si>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</si>
  <si>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</si>
  <si>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</si>
  <si>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</si>
  <si>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</si>
  <si>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</si>
  <si>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</si>
  <si>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</si>
  <si>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</si>
  <si>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</si>
  <si>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</si>
  <si>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</si>
  <si>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</si>
  <si>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</si>
  <si>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</si>
  <si>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</si>
  <si>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</si>
  <si>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</si>
  <si>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</si>
  <si>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</si>
  <si>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</si>
  <si>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</si>
  <si>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</si>
  <si>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</si>
  <si>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</si>
  <si>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</si>
  <si>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</si>
  <si>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</si>
  <si>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</si>
  <si>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</si>
  <si>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</si>
  <si>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</si>
  <si>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</si>
  <si>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</si>
  <si>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</si>
  <si>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</si>
  <si>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</si>
  <si>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</si>
  <si>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</si>
  <si>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</si>
  <si>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</si>
  <si>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</si>
  <si>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</si>
  <si>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</si>
  <si>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</si>
  <si>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</si>
  <si>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</si>
  <si>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</si>
  <si>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</si>
  <si>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</si>
  <si>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</si>
  <si>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</si>
  <si>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</si>
  <si>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</si>
  <si>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</si>
  <si>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</si>
  <si>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</si>
  <si>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</si>
  <si>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</si>
  <si>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</si>
  <si>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</si>
  <si>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</si>
  <si>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</si>
  <si>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</si>
  <si>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</si>
  <si>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</si>
  <si>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</si>
  <si>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</si>
  <si>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</si>
  <si>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</si>
  <si>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</si>
  <si>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</si>
  <si>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</si>
  <si>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</si>
  <si>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</si>
  <si>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</si>
  <si>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</si>
  <si>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</si>
  <si>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</si>
  <si>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</si>
  <si>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</si>
  <si>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</si>
  <si>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</si>
  <si>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</si>
  <si>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</si>
  <si>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</si>
  <si>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</si>
  <si>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</si>
  <si>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</si>
  <si>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</si>
  <si>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</si>
  <si>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</si>
  <si>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</si>
  <si>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</si>
  <si>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</si>
  <si>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</si>
  <si>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</si>
  <si>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</si>
  <si>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</si>
  <si>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</si>
  <si>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</si>
  <si>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</si>
  <si>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</si>
  <si>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</si>
  <si>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</si>
  <si>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</si>
  <si>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</si>
  <si>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</si>
  <si>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</si>
  <si>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</si>
  <si>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</si>
  <si>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</si>
  <si>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</si>
  <si>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</si>
  <si>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</si>
  <si>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</si>
  <si>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</si>
  <si>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</si>
  <si>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</si>
  <si>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</si>
  <si>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</si>
  <si>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</si>
  <si>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</si>
  <si>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</si>
  <si>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</si>
  <si>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</si>
  <si>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</si>
  <si>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</si>
  <si>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</si>
  <si>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</si>
  <si>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</si>
  <si>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</si>
  <si>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</si>
  <si>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</si>
  <si>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</si>
  <si>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</si>
  <si>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</si>
  <si>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</si>
  <si>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</si>
  <si>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</si>
  <si>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</si>
  <si>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</si>
  <si>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</si>
  <si>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</si>
  <si>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</si>
  <si>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</si>
  <si>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</si>
  <si>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</si>
  <si>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</si>
  <si>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</si>
  <si>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</si>
  <si>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</si>
  <si>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</si>
  <si>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</si>
  <si>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</si>
  <si>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</si>
  <si>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</si>
  <si>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</si>
  <si>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</si>
  <si>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</si>
  <si>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</si>
  <si>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</si>
  <si>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</si>
  <si>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</si>
  <si>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</si>
  <si>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</si>
  <si>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</si>
  <si>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</si>
  <si>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</si>
  <si>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</si>
  <si>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</si>
  <si>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</si>
  <si>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</si>
  <si>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</si>
  <si>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</si>
  <si>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</si>
  <si>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</si>
  <si>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</si>
  <si>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</si>
  <si>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</si>
  <si>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</si>
  <si>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</si>
  <si>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</si>
  <si>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</si>
  <si>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</si>
  <si>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</si>
  <si>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</si>
  <si>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</si>
  <si>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</si>
  <si>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</si>
  <si>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</si>
  <si>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</si>
  <si>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</si>
  <si>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</si>
  <si>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</si>
  <si>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</si>
  <si>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</si>
  <si>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</si>
  <si>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</si>
  <si>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</si>
  <si>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</si>
  <si>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</si>
  <si>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</si>
  <si>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</si>
  <si>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</si>
  <si>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</si>
  <si>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</si>
  <si>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</si>
  <si>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</si>
  <si>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</si>
  <si>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</si>
  <si>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</si>
  <si>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</si>
  <si>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</si>
  <si>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</si>
  <si>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</si>
  <si>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</si>
  <si>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</si>
  <si>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</si>
  <si>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</si>
  <si>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</si>
  <si>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</si>
  <si>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</si>
  <si>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</si>
  <si>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</si>
  <si>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</si>
  <si>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</si>
  <si>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</si>
  <si>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</si>
  <si>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</si>
  <si>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</si>
  <si>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</si>
  <si>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</si>
  <si>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</si>
  <si>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</si>
  <si>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</si>
  <si>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</si>
  <si>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</si>
  <si>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</si>
  <si>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</si>
  <si>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</si>
  <si>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</si>
  <si>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</si>
  <si>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</si>
  <si>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</si>
  <si>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</si>
  <si>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</si>
  <si>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</si>
  <si>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</si>
  <si>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</si>
  <si>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</si>
  <si>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</si>
  <si>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</si>
  <si>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</si>
  <si>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</si>
  <si>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</si>
  <si>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</si>
  <si>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</si>
  <si>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</si>
  <si>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</si>
  <si>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</si>
  <si>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</si>
  <si>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</si>
  <si>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</si>
  <si>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</si>
  <si>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</si>
  <si>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</si>
  <si>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</si>
  <si>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</si>
  <si>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</si>
  <si>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</si>
  <si>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</si>
  <si>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</si>
  <si>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</si>
  <si>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</si>
  <si>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</si>
  <si>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</si>
  <si>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</si>
  <si>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</si>
  <si>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</si>
  <si>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</si>
  <si>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</si>
  <si>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</si>
  <si>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</si>
  <si>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</si>
  <si>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</si>
  <si>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</si>
  <si>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</si>
  <si>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</si>
  <si>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</si>
  <si>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</si>
  <si>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</si>
  <si>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</si>
  <si>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</si>
  <si>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</si>
  <si>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</si>
  <si>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</si>
  <si>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</si>
  <si>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</si>
  <si>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</si>
  <si>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</si>
  <si>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</si>
  <si>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</si>
  <si>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</si>
  <si>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</si>
  <si>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</si>
  <si>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</si>
  <si>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</si>
  <si>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</si>
  <si>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</si>
  <si>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</si>
  <si>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</si>
  <si>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</si>
  <si>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</si>
  <si>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</si>
  <si>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</si>
  <si>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</si>
  <si>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</si>
  <si>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</si>
  <si>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</si>
  <si>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</si>
  <si>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</si>
  <si>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</si>
  <si>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</si>
  <si>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</si>
  <si>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</si>
  <si>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</si>
  <si>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</si>
  <si>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</si>
  <si>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</si>
  <si>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</si>
  <si>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</si>
  <si>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</si>
  <si>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</si>
  <si>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</si>
  <si>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</si>
  <si>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</si>
  <si>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</si>
  <si>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</si>
  <si>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</si>
  <si>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</si>
  <si>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</si>
  <si>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</si>
  <si>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</si>
  <si>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</si>
  <si>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</si>
  <si>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</si>
  <si>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</si>
  <si>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</si>
  <si>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</si>
  <si>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</si>
  <si>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</si>
  <si>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</si>
  <si>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</si>
  <si>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</si>
  <si>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</si>
  <si>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</si>
  <si>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</si>
  <si>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</si>
  <si>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</si>
  <si>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</si>
  <si>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</si>
  <si>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</si>
  <si>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</si>
  <si>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</si>
  <si>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</si>
  <si>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</si>
  <si>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</si>
  <si>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</si>
  <si>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</si>
  <si>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</si>
  <si>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</si>
  <si>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</si>
  <si>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</si>
  <si>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</si>
  <si>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</si>
  <si>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</si>
  <si>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</si>
  <si>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</si>
  <si>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</si>
  <si>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</si>
  <si>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</si>
  <si>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</si>
  <si>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</si>
  <si>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</si>
  <si>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</si>
  <si>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</si>
  <si>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</si>
  <si>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</si>
  <si>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</si>
  <si>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</si>
  <si>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</si>
  <si>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</si>
  <si>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</si>
  <si>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</si>
  <si>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</si>
  <si>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</si>
  <si>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</si>
  <si>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</si>
  <si>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</si>
  <si>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</si>
  <si>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</si>
  <si>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</si>
  <si>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</si>
  <si>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</si>
  <si>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</si>
  <si>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</si>
  <si>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</si>
  <si>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</si>
  <si>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</si>
  <si>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</si>
  <si>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</si>
  <si>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</si>
  <si>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</si>
  <si>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</si>
  <si>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</si>
  <si>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</si>
  <si>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</si>
  <si>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</si>
  <si>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</si>
  <si>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</si>
  <si>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</si>
  <si>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</si>
  <si>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</si>
  <si>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</si>
  <si>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</si>
  <si>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</si>
  <si>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</si>
  <si>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</si>
  <si>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</si>
  <si>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</si>
  <si>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</si>
  <si>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</si>
  <si>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</si>
  <si>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</si>
  <si>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</si>
  <si>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</si>
  <si>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</si>
  <si>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</si>
  <si>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</si>
  <si>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</si>
  <si>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</si>
  <si>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</si>
  <si>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</si>
  <si>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</si>
  <si>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</si>
  <si>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</si>
  <si>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</si>
  <si>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</si>
  <si>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</si>
  <si>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</si>
  <si>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</si>
  <si>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</si>
  <si>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</si>
  <si>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</si>
  <si>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</si>
  <si>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</si>
  <si>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</si>
  <si>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</si>
  <si>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</si>
  <si>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</si>
  <si>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</si>
  <si>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</si>
  <si>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</si>
  <si>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</si>
  <si>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</si>
  <si>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</si>
  <si>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</si>
  <si>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</si>
  <si>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</si>
  <si>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</si>
  <si>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</si>
  <si>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</si>
  <si>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</si>
  <si>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</si>
  <si>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</si>
  <si>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</si>
  <si>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</si>
  <si>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</si>
  <si>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</si>
  <si>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</si>
  <si>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</si>
  <si>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</si>
  <si>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</si>
  <si>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</si>
  <si>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</si>
  <si>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</si>
  <si>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</si>
  <si>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</si>
  <si>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</si>
  <si>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</si>
  <si>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</si>
  <si>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</si>
  <si>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</si>
  <si>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</si>
  <si>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</si>
  <si>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</si>
  <si>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</si>
  <si>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</si>
  <si>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</si>
  <si>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</si>
  <si>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</si>
  <si>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</si>
  <si>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</si>
  <si>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</si>
  <si>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</si>
  <si>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</si>
  <si>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</si>
  <si>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</si>
  <si>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</si>
  <si>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</si>
  <si>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</si>
  <si>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</si>
  <si>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</si>
  <si>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</si>
  <si>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</si>
  <si>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</si>
  <si>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</si>
  <si>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</si>
  <si>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</si>
  <si>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</si>
  <si>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</si>
  <si>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</si>
  <si>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</si>
  <si>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</si>
  <si>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</si>
  <si>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</si>
  <si>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</si>
  <si>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</si>
  <si>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</si>
  <si>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</si>
  <si>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</si>
  <si>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</si>
  <si>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</si>
  <si>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</si>
  <si>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</si>
  <si>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</si>
  <si>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</si>
  <si>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</si>
  <si>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</si>
  <si>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</si>
  <si>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</si>
  <si>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</si>
  <si>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</si>
  <si>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</si>
  <si>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</si>
  <si>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</si>
  <si>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</si>
  <si>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</si>
  <si>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</si>
  <si>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</si>
  <si>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</si>
  <si>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</si>
  <si>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</si>
  <si>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</si>
  <si>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</si>
  <si>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</si>
  <si>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</si>
  <si>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</si>
  <si>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</si>
  <si>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</si>
  <si>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</si>
  <si>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</si>
  <si>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</si>
  <si>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</si>
  <si>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</si>
  <si>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</si>
  <si>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</si>
  <si>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</si>
  <si>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</si>
  <si>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</si>
  <si>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</si>
  <si>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</si>
  <si>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</si>
  <si>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</si>
  <si>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</si>
  <si>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</si>
  <si>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</si>
  <si>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</si>
  <si>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</si>
  <si>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</si>
  <si>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</si>
  <si>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</si>
  <si>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</si>
  <si>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</si>
  <si>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</si>
  <si>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</si>
  <si>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</si>
  <si>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</si>
  <si>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</si>
  <si>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</si>
  <si>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</si>
  <si>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</si>
  <si>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</si>
  <si>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</si>
  <si>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</si>
  <si>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</si>
  <si>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</si>
  <si>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</si>
  <si>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</si>
  <si>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</si>
  <si>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</si>
  <si>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</si>
  <si>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</si>
  <si>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</si>
  <si>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</si>
  <si>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</si>
  <si>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</si>
  <si>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</si>
  <si>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</si>
  <si>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</si>
  <si>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</si>
  <si>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</si>
  <si>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</si>
  <si>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</si>
  <si>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</si>
  <si>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</si>
  <si>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</si>
  <si>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</si>
  <si>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</si>
  <si>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</si>
  <si>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</si>
  <si>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</si>
  <si>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</si>
  <si>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</si>
  <si>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</si>
  <si>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</si>
  <si>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</si>
  <si>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</si>
  <si>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</si>
  <si>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</si>
  <si>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</si>
  <si>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</si>
  <si>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</si>
  <si>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</si>
  <si>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</si>
  <si>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</si>
  <si>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</si>
  <si>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</si>
  <si>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</si>
  <si>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</si>
  <si>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</si>
  <si>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</si>
  <si>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</si>
  <si>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</si>
  <si>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</si>
  <si>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</si>
  <si>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</si>
  <si>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</si>
  <si>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</si>
  <si>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</si>
  <si>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</si>
  <si>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</si>
  <si>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</si>
  <si>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</si>
  <si>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</si>
  <si>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</si>
  <si>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</si>
  <si>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</si>
  <si>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</si>
  <si>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</si>
  <si>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</si>
  <si>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</si>
  <si>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</si>
  <si>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</si>
  <si>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</si>
  <si>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</si>
  <si>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</si>
  <si>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</si>
  <si>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</si>
  <si>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</si>
  <si>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</si>
  <si>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</si>
  <si>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</si>
  <si>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</si>
  <si>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</si>
  <si>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</si>
  <si>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</si>
  <si>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</si>
  <si>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</si>
  <si>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</si>
  <si>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</si>
  <si>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</si>
  <si>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</si>
  <si>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</si>
  <si>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</si>
  <si>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</si>
  <si>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</si>
  <si>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</si>
  <si>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</si>
  <si>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</si>
  <si>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</si>
  <si>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</si>
  <si>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</si>
  <si>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</si>
  <si>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</si>
  <si>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</si>
  <si>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</si>
  <si>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</si>
  <si>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</si>
  <si>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</si>
  <si>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</si>
  <si>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</si>
  <si>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</si>
  <si>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</si>
  <si>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</si>
  <si>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</si>
  <si>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</si>
  <si>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</si>
  <si>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</si>
  <si>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</si>
  <si>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</si>
  <si>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</si>
  <si>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</si>
  <si>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</si>
  <si>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</si>
  <si>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</si>
  <si>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</si>
  <si>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</si>
  <si>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</si>
  <si>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</si>
  <si>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</si>
  <si>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</si>
  <si>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</si>
  <si>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</si>
  <si>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</si>
  <si>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</si>
  <si>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</si>
  <si>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</si>
  <si>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</si>
  <si>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</si>
  <si>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</si>
  <si>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</si>
  <si>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</si>
  <si>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</si>
  <si>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</si>
  <si>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</si>
  <si>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</si>
  <si>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</si>
  <si>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</si>
  <si>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</si>
  <si>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</si>
  <si>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</si>
  <si>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</si>
  <si>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</si>
  <si>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</si>
  <si>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</si>
  <si>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</si>
  <si>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</si>
  <si>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</si>
  <si>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</si>
  <si>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</si>
  <si>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</si>
  <si>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</si>
  <si>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</si>
  <si>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</si>
  <si>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</si>
  <si>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</si>
  <si>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</si>
  <si>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</si>
  <si>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</si>
  <si>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</si>
  <si>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</si>
  <si>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</si>
  <si>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</si>
  <si>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</si>
  <si>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</si>
  <si>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</si>
  <si>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</si>
  <si>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</si>
  <si>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</si>
  <si>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</si>
  <si>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</si>
  <si>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</si>
  <si>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</si>
  <si>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</si>
  <si>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</si>
  <si>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</si>
  <si>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</si>
  <si>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</si>
  <si>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</si>
  <si>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</si>
  <si>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</si>
  <si>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</si>
  <si>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</si>
  <si>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</si>
  <si>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</si>
  <si>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</si>
  <si>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</si>
  <si>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</si>
  <si>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</si>
  <si>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</si>
  <si>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</si>
  <si>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</si>
  <si>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</si>
  <si>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</si>
  <si>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</si>
  <si>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</si>
  <si>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</si>
  <si>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</si>
  <si>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</si>
  <si>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</si>
  <si>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</si>
  <si>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</si>
  <si>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</si>
  <si>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</si>
  <si>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</si>
  <si>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</si>
  <si>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</si>
  <si>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</si>
  <si>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</si>
  <si>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</si>
  <si>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</si>
  <si>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</si>
  <si>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</si>
  <si>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</si>
  <si>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</si>
  <si>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</si>
  <si>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</si>
  <si>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</si>
  <si>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</si>
  <si>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</si>
  <si>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</si>
  <si>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</si>
  <si>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</si>
  <si>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</si>
  <si>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</si>
  <si>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</si>
  <si>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</si>
  <si>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</si>
  <si>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</si>
  <si>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</si>
  <si>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</si>
  <si>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</si>
  <si>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</si>
  <si>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</si>
  <si>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</si>
  <si>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</si>
  <si>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</si>
  <si>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</si>
  <si>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</si>
  <si>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</si>
  <si>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</si>
  <si>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</si>
  <si>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</si>
  <si>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</si>
  <si>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</si>
  <si>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</si>
  <si>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</si>
  <si>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</si>
  <si>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</si>
  <si>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</si>
  <si>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</si>
  <si>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</si>
  <si>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</si>
  <si>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</si>
  <si>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</si>
  <si>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</si>
  <si>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</si>
  <si>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</si>
  <si>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</si>
  <si>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</si>
  <si>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</si>
  <si>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</si>
  <si>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</si>
  <si>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</si>
  <si>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</si>
  <si>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</si>
  <si>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</si>
  <si>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</si>
  <si>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</si>
  <si>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</si>
  <si>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</si>
  <si>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</si>
  <si>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</si>
  <si>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</si>
  <si>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</si>
  <si>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</si>
  <si>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</si>
  <si>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</si>
  <si>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</si>
  <si>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</si>
  <si>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</si>
  <si>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</si>
  <si>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</si>
  <si>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</si>
  <si>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</si>
  <si>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</si>
  <si>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</si>
  <si>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</si>
  <si>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</si>
  <si>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</si>
  <si>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</si>
  <si>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</si>
  <si>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</si>
  <si>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</si>
  <si>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</si>
  <si>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</si>
  <si>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</si>
  <si>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</si>
  <si>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</si>
  <si>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</si>
  <si>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</si>
  <si>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</si>
  <si>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</si>
  <si>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</si>
  <si>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</si>
  <si>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</si>
  <si>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</si>
  <si>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</si>
  <si>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</si>
  <si>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</si>
  <si>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</si>
  <si>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</si>
  <si>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</si>
  <si>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</si>
  <si>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</si>
  <si>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</si>
  <si>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</si>
  <si>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</si>
  <si>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</si>
  <si>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</si>
  <si>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</si>
  <si>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</si>
  <si>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</si>
  <si>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</si>
  <si>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</si>
  <si>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</si>
  <si>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</si>
  <si>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</si>
  <si>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</si>
  <si>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</si>
  <si>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</si>
  <si>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</si>
  <si>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</si>
  <si>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</si>
  <si>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</si>
  <si>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</si>
  <si>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</si>
  <si>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</si>
  <si>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</si>
  <si>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</si>
  <si>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</si>
  <si>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</si>
  <si>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</si>
  <si>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</si>
  <si>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</si>
  <si>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</si>
  <si>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</si>
  <si>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</si>
  <si>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</si>
  <si>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</si>
  <si>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</si>
  <si>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</si>
  <si>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</si>
  <si>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</si>
  <si>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</si>
  <si>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</si>
  <si>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</si>
  <si>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</si>
  <si>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</si>
  <si>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</si>
  <si>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</si>
  <si>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</si>
  <si>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</si>
  <si>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</si>
  <si>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</si>
  <si>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</si>
  <si>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</si>
  <si>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</si>
  <si>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</si>
  <si>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</si>
  <si>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</si>
  <si>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</si>
  <si>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</si>
  <si>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</si>
  <si>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</si>
  <si>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</si>
  <si>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</si>
  <si>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</si>
  <si>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</si>
  <si>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</si>
  <si>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</si>
  <si>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</si>
  <si>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</si>
  <si>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</si>
  <si>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</si>
  <si>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</si>
  <si>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</si>
  <si>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</si>
  <si>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</si>
  <si>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</si>
  <si>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</si>
  <si>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</si>
  <si>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</si>
  <si>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</si>
  <si>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</si>
  <si>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</si>
  <si>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</si>
  <si>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</si>
  <si>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</si>
  <si>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</si>
  <si>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</si>
  <si>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</si>
  <si>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</si>
  <si>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</si>
  <si>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</si>
  <si>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</si>
  <si>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</si>
  <si>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</si>
  <si>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</si>
  <si>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</si>
  <si>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</si>
  <si>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</si>
  <si>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</si>
  <si>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</si>
  <si>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</si>
  <si>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</si>
  <si>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</si>
  <si>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</si>
  <si>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</si>
  <si>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</si>
  <si>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</si>
  <si>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</si>
  <si>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</si>
  <si>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</si>
  <si>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</si>
  <si>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</si>
  <si>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</si>
  <si>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</si>
  <si>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</si>
  <si>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</si>
  <si>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</si>
  <si>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</si>
  <si>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</si>
  <si>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</si>
  <si>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</si>
  <si>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</si>
  <si>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</si>
  <si>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</si>
  <si>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</si>
  <si>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</si>
  <si>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</si>
  <si>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</si>
  <si>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</si>
  <si>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</si>
  <si>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</si>
  <si>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</si>
  <si>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</si>
  <si>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</si>
  <si>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</si>
  <si>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</si>
  <si>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</si>
  <si>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</si>
  <si>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</si>
  <si>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</si>
  <si>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</si>
  <si>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</si>
  <si>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</si>
  <si>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</si>
  <si>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</si>
  <si>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</si>
  <si>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</si>
  <si>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</si>
  <si>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</si>
  <si>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</si>
  <si>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</si>
  <si>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</si>
  <si>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</si>
  <si>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</si>
  <si>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</si>
  <si>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</si>
  <si>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</si>
  <si>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</si>
  <si>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</si>
  <si>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</si>
  <si>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</si>
  <si>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</si>
  <si>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</si>
  <si>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</si>
  <si>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</si>
  <si>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</si>
  <si>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</si>
  <si>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</si>
  <si>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</si>
  <si>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</si>
  <si>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</si>
  <si>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</si>
  <si>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</si>
  <si>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</si>
  <si>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</si>
  <si>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</si>
  <si>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</si>
  <si>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</si>
  <si>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</si>
  <si>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</si>
  <si>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</si>
  <si>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</si>
  <si>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</si>
  <si>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</si>
  <si>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</si>
  <si>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</si>
  <si>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</si>
  <si>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</si>
  <si>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</si>
  <si>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</si>
  <si>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</si>
  <si>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</si>
  <si>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</si>
  <si>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</si>
  <si>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</si>
  <si>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</si>
  <si>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</si>
  <si>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</si>
  <si>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</si>
  <si>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</si>
  <si>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</si>
  <si>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</si>
  <si>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</si>
  <si>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</si>
  <si>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</si>
  <si>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</si>
  <si>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</si>
  <si>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</si>
  <si>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</si>
  <si>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</si>
  <si>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</si>
  <si>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</si>
  <si>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</si>
  <si>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</si>
  <si>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</si>
  <si>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</si>
  <si>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</si>
  <si>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</si>
  <si>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</si>
  <si>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</si>
  <si>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</si>
  <si>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</si>
  <si>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</si>
  <si>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</si>
  <si>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</si>
  <si>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</si>
  <si>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</si>
  <si>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</si>
  <si>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</si>
  <si>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</si>
  <si>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</si>
  <si>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</si>
  <si>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</si>
  <si>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</si>
  <si>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</si>
  <si>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</si>
  <si>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</si>
  <si>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</si>
  <si>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</si>
  <si>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</si>
  <si>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</si>
  <si>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</si>
  <si>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</si>
  <si>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</si>
  <si>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</si>
  <si>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</si>
  <si>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</si>
  <si>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</si>
  <si>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</si>
  <si>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</si>
  <si>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</si>
  <si>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</si>
  <si>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</si>
  <si>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</si>
  <si>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</si>
  <si>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</si>
  <si>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</si>
  <si>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</si>
  <si>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</si>
  <si>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</si>
  <si>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</si>
  <si>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</si>
  <si>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</si>
  <si>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</si>
  <si>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</si>
  <si>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</si>
  <si>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</si>
  <si>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</si>
  <si>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</si>
  <si>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</si>
  <si>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</si>
  <si>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</si>
  <si>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</si>
  <si>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</si>
  <si>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</si>
  <si>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</si>
  <si>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</si>
  <si>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</si>
  <si>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</si>
  <si>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</si>
  <si>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</si>
  <si>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</si>
  <si>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</si>
  <si>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</si>
  <si>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</si>
  <si>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</si>
  <si>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</si>
  <si>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</si>
  <si>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</si>
  <si>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</si>
  <si>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</si>
  <si>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</si>
  <si>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</si>
  <si>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</si>
  <si>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</si>
  <si>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</si>
  <si>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</si>
  <si>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</si>
  <si>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</si>
  <si>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</si>
  <si>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</si>
  <si>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</si>
  <si>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</si>
  <si>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</si>
  <si>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</si>
  <si>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</si>
  <si>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</si>
  <si>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</si>
  <si>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</si>
  <si>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</si>
  <si>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</si>
  <si>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</si>
  <si>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</si>
  <si>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</si>
  <si>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</si>
  <si>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</si>
  <si>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</si>
  <si>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</si>
  <si>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</si>
  <si>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</si>
  <si>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</si>
  <si>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</si>
  <si>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</si>
  <si>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</si>
  <si>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</si>
  <si>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</si>
  <si>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</si>
  <si>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</si>
  <si>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</si>
  <si>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</si>
  <si>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</si>
  <si>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</si>
  <si>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</si>
  <si>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</si>
  <si>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</si>
  <si>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</si>
  <si>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</si>
  <si>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</si>
  <si>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</si>
  <si>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</si>
  <si>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</si>
  <si>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</si>
  <si>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</si>
  <si>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</si>
  <si>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</si>
  <si>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</si>
  <si>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</si>
  <si>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</si>
  <si>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</si>
  <si>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</si>
  <si>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</si>
  <si>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</si>
  <si>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</si>
  <si>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</si>
  <si>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</si>
  <si>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</si>
  <si>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</si>
  <si>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</si>
  <si>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</si>
  <si>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</si>
  <si>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</si>
  <si>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</si>
  <si>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</si>
  <si>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</si>
  <si>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</si>
  <si>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</si>
  <si>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</si>
  <si>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</si>
  <si>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</si>
  <si>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</si>
  <si>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</si>
  <si>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</si>
  <si>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</si>
  <si>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</si>
  <si>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</si>
  <si>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</si>
  <si>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</si>
  <si>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</si>
  <si>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</si>
  <si>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</si>
  <si>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</si>
  <si>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</si>
  <si>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</si>
  <si>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</si>
  <si>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</si>
  <si>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</si>
  <si>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</si>
  <si>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</si>
  <si>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</si>
  <si>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</si>
  <si>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</si>
  <si>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</si>
  <si>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</si>
  <si>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</si>
  <si>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</si>
  <si>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</si>
  <si>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</si>
  <si>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</si>
  <si>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</si>
  <si>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</si>
  <si>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</si>
  <si>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</si>
  <si>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</si>
  <si>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</si>
  <si>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</si>
  <si>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</si>
  <si>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</si>
  <si>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</si>
  <si>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</si>
  <si>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</si>
  <si>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</si>
  <si>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</si>
  <si>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</si>
  <si>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</si>
  <si>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</si>
  <si>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</si>
  <si>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</si>
  <si>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</si>
  <si>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</si>
  <si>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</si>
  <si>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</si>
  <si>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</si>
  <si>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</si>
  <si>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</si>
  <si>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</si>
  <si>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</si>
  <si>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</si>
  <si>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</si>
  <si>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</si>
  <si>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</si>
  <si>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</si>
  <si>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</si>
  <si>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</si>
  <si>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</si>
  <si>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</si>
  <si>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</si>
  <si>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</si>
  <si>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</si>
  <si>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</si>
  <si>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</si>
  <si>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</si>
  <si>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</si>
  <si>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</si>
  <si>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</si>
  <si>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</si>
  <si>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</si>
  <si>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</si>
  <si>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</si>
  <si>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</si>
  <si>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</si>
  <si>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</si>
  <si>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</si>
  <si>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</si>
  <si>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</si>
  <si>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</si>
  <si>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</si>
  <si>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</si>
  <si>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</si>
  <si>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</si>
  <si>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</si>
  <si>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</si>
  <si>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</si>
  <si>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</si>
  <si>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</si>
  <si>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</si>
  <si>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</si>
  <si>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</si>
  <si>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</si>
  <si>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</si>
  <si>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</si>
  <si>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</si>
  <si>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</si>
  <si>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</si>
  <si>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</si>
  <si>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</si>
  <si>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</si>
  <si>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</si>
  <si>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</si>
  <si>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</si>
  <si>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</si>
  <si>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</si>
  <si>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</si>
  <si>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</si>
  <si>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</si>
  <si>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</si>
  <si>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</si>
  <si>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</si>
  <si>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</si>
  <si>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</si>
  <si>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</si>
  <si>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</si>
  <si>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</si>
  <si>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</si>
  <si>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</si>
  <si>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</si>
  <si>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</si>
  <si>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</si>
  <si>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</si>
  <si>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</si>
  <si>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</si>
  <si>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</si>
  <si>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</si>
  <si>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</si>
  <si>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</si>
  <si>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</si>
  <si>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</si>
  <si>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</si>
  <si>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</si>
  <si>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</si>
  <si>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</si>
  <si>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</si>
  <si>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</si>
  <si>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</si>
  <si>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</si>
  <si>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</si>
  <si>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</si>
  <si>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</si>
  <si>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</si>
  <si>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</si>
  <si>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</si>
  <si>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</si>
  <si>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</si>
  <si>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</si>
  <si>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</si>
  <si>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</si>
  <si>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</si>
  <si>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</si>
  <si>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</si>
  <si>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</si>
  <si>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</si>
  <si>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</si>
  <si>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</si>
  <si>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</si>
  <si>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</si>
  <si>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</si>
  <si>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</si>
  <si>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</si>
  <si>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</si>
  <si>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</si>
  <si>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</si>
  <si>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</si>
  <si>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</si>
  <si>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</si>
  <si>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</si>
  <si>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</si>
  <si>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</si>
  <si>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</si>
  <si>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</si>
  <si>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</si>
  <si>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</si>
  <si>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</si>
  <si>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</si>
  <si>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</si>
  <si>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</si>
  <si>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</si>
  <si>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</si>
  <si>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</si>
  <si>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</si>
  <si>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</si>
  <si>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</si>
  <si>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</si>
  <si>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</si>
  <si>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</si>
  <si>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</si>
  <si>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</si>
  <si>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</si>
  <si>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</si>
  <si>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</si>
  <si>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</si>
  <si>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</si>
  <si>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</si>
  <si>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</si>
  <si>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</si>
  <si>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</si>
  <si>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</si>
  <si>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</si>
  <si>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</si>
  <si>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</si>
  <si>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</si>
  <si>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</si>
  <si>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</si>
  <si>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</si>
  <si>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</si>
  <si>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</si>
  <si>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</si>
  <si>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</si>
  <si>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</si>
  <si>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</si>
  <si>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</si>
  <si>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</si>
  <si>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</si>
  <si>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</si>
  <si>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</si>
  <si>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</si>
  <si>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</si>
  <si>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</si>
  <si>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</si>
  <si>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</si>
  <si>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</si>
  <si>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</si>
  <si>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</si>
  <si>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</si>
  <si>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</si>
  <si>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</si>
  <si>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</si>
  <si>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</si>
  <si>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</si>
  <si>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41.13.030</t>
  </si>
  <si>
    <t>Luminária blindada retangular de embutir, para lâmpada de 160 W</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</si>
  <si>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</si>
  <si>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</si>
  <si>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</si>
  <si>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</si>
  <si>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</si>
  <si>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</si>
  <si>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</si>
  <si>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</si>
  <si>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</si>
  <si>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</si>
  <si>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</si>
  <si>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</si>
  <si>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</si>
  <si>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</si>
  <si>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</si>
  <si>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</si>
  <si>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</si>
  <si>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</si>
  <si>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</si>
  <si>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</si>
  <si>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</si>
  <si>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</si>
  <si>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</si>
  <si>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</si>
  <si>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</si>
  <si>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</si>
  <si>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</si>
  <si>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</si>
  <si>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</si>
  <si>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</si>
  <si>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</si>
  <si>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</si>
  <si>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</si>
  <si>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</si>
  <si>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</si>
  <si>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</si>
  <si>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</si>
  <si>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</si>
  <si>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</si>
  <si>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</si>
  <si>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</si>
  <si>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</si>
  <si>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</si>
  <si>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</si>
  <si>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</si>
  <si>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</si>
  <si>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</si>
  <si>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retangular de sobrepor tipo calha fechada, com difusor plano, para 4 lâmpadas fluorescentes tubulares de 14 W/16 W/18 W</t>
  </si>
  <si>
    <t>41.14.790</t>
  </si>
  <si>
    <t>Luminária retangular de embutir tipo calha aberta com refletor assimétrico em alumínio de alto brilho para 2 lâmpadas fluorescentes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</si>
  <si>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</si>
  <si>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</si>
  <si>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</si>
  <si>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</si>
  <si>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</si>
  <si>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</si>
  <si>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</si>
  <si>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</si>
  <si>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</si>
  <si>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</si>
  <si>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</si>
  <si>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</si>
  <si>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</si>
  <si>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</si>
  <si>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</si>
  <si>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</si>
  <si>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</si>
  <si>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</si>
  <si>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</si>
  <si>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38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</si>
  <si>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</si>
  <si>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</si>
  <si>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</si>
  <si>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</si>
  <si>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</si>
  <si>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</si>
  <si>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41.31.100</t>
  </si>
  <si>
    <t>Projetor LED verde retangular, foco orientável, para fixação em parede ou piso, potência de 7,5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</si>
  <si>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</si>
  <si>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</si>
  <si>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</si>
  <si>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</si>
  <si>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</si>
  <si>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</si>
  <si>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</si>
  <si>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</si>
  <si>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</si>
  <si>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</si>
  <si>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</si>
  <si>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</si>
  <si>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</si>
  <si>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</si>
  <si>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</si>
  <si>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</si>
  <si>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</si>
  <si>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</si>
  <si>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</si>
  <si>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</si>
  <si>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</si>
  <si>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</si>
  <si>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</si>
  <si>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</si>
  <si>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</si>
  <si>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</si>
  <si>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</si>
  <si>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</si>
  <si>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</si>
  <si>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</si>
  <si>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</si>
  <si>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</si>
  <si>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</si>
  <si>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</si>
  <si>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</si>
  <si>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</si>
  <si>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</si>
  <si>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</si>
  <si>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</si>
  <si>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</si>
  <si>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</si>
  <si>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</si>
  <si>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</si>
  <si>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</si>
  <si>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</si>
  <si>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</si>
  <si>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</si>
  <si>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</si>
  <si>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</si>
  <si>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</si>
  <si>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</si>
  <si>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</si>
  <si>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</si>
  <si>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</si>
  <si>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</si>
  <si>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</si>
  <si>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</si>
  <si>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</si>
  <si>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</si>
  <si>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</si>
  <si>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</si>
  <si>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</si>
  <si>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</si>
  <si>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</si>
  <si>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</si>
  <si>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</si>
  <si>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</si>
  <si>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</si>
  <si>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</si>
  <si>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</si>
  <si>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</si>
  <si>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</si>
  <si>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</si>
  <si>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</si>
  <si>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</si>
  <si>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</si>
  <si>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</si>
  <si>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</si>
  <si>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</si>
  <si>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</si>
  <si>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</si>
  <si>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</si>
  <si>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</si>
  <si>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</si>
  <si>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</si>
  <si>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</si>
  <si>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</si>
  <si>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</si>
  <si>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</si>
  <si>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</si>
  <si>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</si>
  <si>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</si>
  <si>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</si>
  <si>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</si>
  <si>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</si>
  <si>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</si>
  <si>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</si>
  <si>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</si>
  <si>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</si>
  <si>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</si>
  <si>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</si>
  <si>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</si>
  <si>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</si>
  <si>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</si>
  <si>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</si>
  <si>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</si>
  <si>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</si>
  <si>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</si>
  <si>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</si>
  <si>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</si>
  <si>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</si>
  <si>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</si>
  <si>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</si>
  <si>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</si>
  <si>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</si>
  <si>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</si>
  <si>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</si>
  <si>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</si>
  <si>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</si>
  <si>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</si>
  <si>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</si>
  <si>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</si>
  <si>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</si>
  <si>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</si>
  <si>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</si>
  <si>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</si>
  <si>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</si>
  <si>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</si>
  <si>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</si>
  <si>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</si>
  <si>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</si>
  <si>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</si>
  <si>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</si>
  <si>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</si>
  <si>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</si>
  <si>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</si>
  <si>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</si>
  <si>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</si>
  <si>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</si>
  <si>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</si>
  <si>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</si>
  <si>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</si>
  <si>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</si>
  <si>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</si>
  <si>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</si>
  <si>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</si>
  <si>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</si>
  <si>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</si>
  <si>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</si>
  <si>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</si>
  <si>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</si>
  <si>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</si>
  <si>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</si>
  <si>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</si>
  <si>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</si>
  <si>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</si>
  <si>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</si>
  <si>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</si>
  <si>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</si>
  <si>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</si>
  <si>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</si>
  <si>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</si>
  <si>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</si>
  <si>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</si>
  <si>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</si>
  <si>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</si>
  <si>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</si>
  <si>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</si>
  <si>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</si>
  <si>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</si>
  <si>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</si>
  <si>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</si>
  <si>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</si>
  <si>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</si>
  <si>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</si>
  <si>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</si>
  <si>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</si>
  <si>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</si>
  <si>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</si>
  <si>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</si>
  <si>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</si>
  <si>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</si>
  <si>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</si>
  <si>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</si>
  <si>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</si>
  <si>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</si>
  <si>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</si>
  <si>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</si>
  <si>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</si>
  <si>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</si>
  <si>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</si>
  <si>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</si>
  <si>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</si>
  <si>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</si>
  <si>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</si>
  <si>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</si>
  <si>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</si>
  <si>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</si>
  <si>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</si>
  <si>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</si>
  <si>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</si>
  <si>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</si>
  <si>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</si>
  <si>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</si>
  <si>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</si>
  <si>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</si>
  <si>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</si>
  <si>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</si>
  <si>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</si>
  <si>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</si>
  <si>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</si>
  <si>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</si>
  <si>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</si>
  <si>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</si>
  <si>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</si>
  <si>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</si>
  <si>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</si>
  <si>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</si>
  <si>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</si>
  <si>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</si>
  <si>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</si>
  <si>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</si>
  <si>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</si>
  <si>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</si>
  <si>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</si>
  <si>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</si>
  <si>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</si>
  <si>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</si>
  <si>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</si>
  <si>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</si>
  <si>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</si>
  <si>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</si>
  <si>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</si>
  <si>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</si>
  <si>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</si>
  <si>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</si>
  <si>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</si>
  <si>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</si>
  <si>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</si>
  <si>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</si>
  <si>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</si>
  <si>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</si>
  <si>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</si>
  <si>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</si>
  <si>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</si>
  <si>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</si>
  <si>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</si>
  <si>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</si>
  <si>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</si>
  <si>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</si>
  <si>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</si>
  <si>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</si>
  <si>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</si>
  <si>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</si>
  <si>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</si>
  <si>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</si>
  <si>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</si>
  <si>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</si>
  <si>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</si>
  <si>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</si>
  <si>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</si>
  <si>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</si>
  <si>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</si>
  <si>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</si>
  <si>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</si>
  <si>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</si>
  <si>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</si>
  <si>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</si>
  <si>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</si>
  <si>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</si>
  <si>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</si>
  <si>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</si>
  <si>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</si>
  <si>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</si>
  <si>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</si>
  <si>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</si>
  <si>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</si>
  <si>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</si>
  <si>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</si>
  <si>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</si>
  <si>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</si>
  <si>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</si>
  <si>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</si>
  <si>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</si>
  <si>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</si>
  <si>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</si>
  <si>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</si>
  <si>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</si>
  <si>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</si>
  <si>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</si>
  <si>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</si>
  <si>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</si>
  <si>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</si>
  <si>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</si>
  <si>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</si>
  <si>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</si>
  <si>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</si>
  <si>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</si>
  <si>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</si>
  <si>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</si>
  <si>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</si>
  <si>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</si>
  <si>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</si>
  <si>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</si>
  <si>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</si>
  <si>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</si>
  <si>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</si>
  <si>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</si>
  <si>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</si>
  <si>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</si>
  <si>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</si>
  <si>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</si>
  <si>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</si>
  <si>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</si>
  <si>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</si>
  <si>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</si>
  <si>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</si>
  <si>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</si>
  <si>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</si>
  <si>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</si>
  <si>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</si>
  <si>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</si>
  <si>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</si>
  <si>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</si>
  <si>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</si>
  <si>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</si>
  <si>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</si>
  <si>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</si>
  <si>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</si>
  <si>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</si>
  <si>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</si>
  <si>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</si>
  <si>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</si>
  <si>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</si>
  <si>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</si>
  <si>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</si>
  <si>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</si>
  <si>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</si>
  <si>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</si>
  <si>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</si>
  <si>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</si>
  <si>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</si>
  <si>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</si>
  <si>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</si>
  <si>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</si>
  <si>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</si>
  <si>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</si>
  <si>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</si>
  <si>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</si>
  <si>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</si>
  <si>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</si>
  <si>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</si>
  <si>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</si>
  <si>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</si>
  <si>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</si>
  <si>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</si>
  <si>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</si>
  <si>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</si>
  <si>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</si>
  <si>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</si>
  <si>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</si>
  <si>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</si>
  <si>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</si>
  <si>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</si>
  <si>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</si>
  <si>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</si>
  <si>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</si>
  <si>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</si>
  <si>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</si>
  <si>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</si>
  <si>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</si>
  <si>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</si>
  <si>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</si>
  <si>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</si>
  <si>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</si>
  <si>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</si>
  <si>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</si>
  <si>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</si>
  <si>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</si>
  <si>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</si>
  <si>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</si>
  <si>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</si>
  <si>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</si>
  <si>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</si>
  <si>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</si>
  <si>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</si>
  <si>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</si>
  <si>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</si>
  <si>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</si>
  <si>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</si>
  <si>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</si>
  <si>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</si>
  <si>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</si>
  <si>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</si>
  <si>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</si>
  <si>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</si>
  <si>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</si>
  <si>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</si>
  <si>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</si>
  <si>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</si>
  <si>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</si>
  <si>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</si>
  <si>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</si>
  <si>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</si>
  <si>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</si>
  <si>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</si>
  <si>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</si>
  <si>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</si>
  <si>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</si>
  <si>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</si>
  <si>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</si>
  <si>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</si>
  <si>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</si>
  <si>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</si>
  <si>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</si>
  <si>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</si>
  <si>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</si>
  <si>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</si>
  <si>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</si>
  <si>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</si>
  <si>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</si>
  <si>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</si>
  <si>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</si>
  <si>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</si>
  <si>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</si>
  <si>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</si>
  <si>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</si>
  <si>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</si>
  <si>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</si>
  <si>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</si>
  <si>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</si>
  <si>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</si>
  <si>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</si>
  <si>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</si>
  <si>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</si>
  <si>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</si>
  <si>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</si>
  <si>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</si>
  <si>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</si>
  <si>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</si>
  <si>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</si>
  <si>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</si>
  <si>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</si>
  <si>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</si>
  <si>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</si>
  <si>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</si>
  <si>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</si>
  <si>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</si>
  <si>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</si>
  <si>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</si>
  <si>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</si>
  <si>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</si>
  <si>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</si>
  <si>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</si>
  <si>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</si>
  <si>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</si>
  <si>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</si>
  <si>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</si>
  <si>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</si>
  <si>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</si>
  <si>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</si>
  <si>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</si>
  <si>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</si>
  <si>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</si>
  <si>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</si>
  <si>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</si>
  <si>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</si>
  <si>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</si>
  <si>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</si>
  <si>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</si>
  <si>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</si>
  <si>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</si>
  <si>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</si>
  <si>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</si>
  <si>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</si>
  <si>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</si>
  <si>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</si>
  <si>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</si>
  <si>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</si>
  <si>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</si>
  <si>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</si>
  <si>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</si>
  <si>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</si>
  <si>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</si>
  <si>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</si>
  <si>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</si>
  <si>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</si>
  <si>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</si>
  <si>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</si>
  <si>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</si>
  <si>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</si>
  <si>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</si>
  <si>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</si>
  <si>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</si>
  <si>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</si>
  <si>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</si>
  <si>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</si>
  <si>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</si>
  <si>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</si>
  <si>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</si>
  <si>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</si>
  <si>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</si>
  <si>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</si>
  <si>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</si>
  <si>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</si>
  <si>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</si>
  <si>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</si>
  <si>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</si>
  <si>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</si>
  <si>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</si>
  <si>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</si>
  <si>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</si>
  <si>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</si>
  <si>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</si>
  <si>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</si>
  <si>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</si>
  <si>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</si>
  <si>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</si>
  <si>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</si>
  <si>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</si>
  <si>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</si>
  <si>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</si>
  <si>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</si>
  <si>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</si>
  <si>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</si>
  <si>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</si>
  <si>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</si>
  <si>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</si>
  <si>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</si>
  <si>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</si>
  <si>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</si>
  <si>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</si>
  <si>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</si>
  <si>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</si>
  <si>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</si>
  <si>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</si>
  <si>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</si>
  <si>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</si>
  <si>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</si>
  <si>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</si>
  <si>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</si>
  <si>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</si>
  <si>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</si>
  <si>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</si>
  <si>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</si>
  <si>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</si>
  <si>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</si>
  <si>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</si>
  <si>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</si>
  <si>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</si>
  <si>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</si>
  <si>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</si>
  <si>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</si>
  <si>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</si>
  <si>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</si>
  <si>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</si>
  <si>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</si>
  <si>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</si>
  <si>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</si>
  <si>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</si>
  <si>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</si>
  <si>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</si>
  <si>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</si>
  <si>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</si>
  <si>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</si>
  <si>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</si>
  <si>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</si>
  <si>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</si>
  <si>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</si>
  <si>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</si>
  <si>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</si>
  <si>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</si>
  <si>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</si>
  <si>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</si>
  <si>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</si>
  <si>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</si>
  <si>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</si>
  <si>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</si>
  <si>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</si>
  <si>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</si>
  <si>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</si>
  <si>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</si>
  <si>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</si>
  <si>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</si>
  <si>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</si>
  <si>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</si>
  <si>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</si>
  <si>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</si>
  <si>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</si>
  <si>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</si>
  <si>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</si>
  <si>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</si>
  <si>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</si>
  <si>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</si>
  <si>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</si>
  <si>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</si>
  <si>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</si>
  <si>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</si>
  <si>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</si>
  <si>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</si>
  <si>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</si>
  <si>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</si>
  <si>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</si>
  <si>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</si>
  <si>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</si>
  <si>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</si>
  <si>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</si>
  <si>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</si>
  <si>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</si>
  <si>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</si>
  <si>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</si>
  <si>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</si>
  <si>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</si>
  <si>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</si>
  <si>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</si>
  <si>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</si>
  <si>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</si>
  <si>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</si>
  <si>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</si>
  <si>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</si>
  <si>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</si>
  <si>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</si>
  <si>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</si>
  <si>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</si>
  <si>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</si>
  <si>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</si>
  <si>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</si>
  <si>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</si>
  <si>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</si>
  <si>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</si>
  <si>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</si>
  <si>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</si>
  <si>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</si>
  <si>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</si>
  <si>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</si>
  <si>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</si>
  <si>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</si>
  <si>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</si>
  <si>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</si>
  <si>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</si>
  <si>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</si>
  <si>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</si>
  <si>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</si>
  <si>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</si>
  <si>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</si>
  <si>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</si>
  <si>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</si>
  <si>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</si>
  <si>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</si>
  <si>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</si>
  <si>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</si>
  <si>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</si>
  <si>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</si>
  <si>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</si>
  <si>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</si>
  <si>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</si>
  <si>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</si>
  <si>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</si>
  <si>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</si>
  <si>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</si>
  <si>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</si>
  <si>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</si>
  <si>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</si>
  <si>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</si>
  <si>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</si>
  <si>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</si>
  <si>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</si>
  <si>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</si>
  <si>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</si>
  <si>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</si>
  <si>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</si>
  <si>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</si>
  <si>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</si>
  <si>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</si>
  <si>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</si>
  <si>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</si>
  <si>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</si>
  <si>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</si>
  <si>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</si>
  <si>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</si>
  <si>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</si>
  <si>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</si>
  <si>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</si>
  <si>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</si>
  <si>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</si>
  <si>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</si>
  <si>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</si>
  <si>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</si>
  <si>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</si>
  <si>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</si>
  <si>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</si>
  <si>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</si>
  <si>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</si>
  <si>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</si>
  <si>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</si>
  <si>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</si>
  <si>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</si>
  <si>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</si>
  <si>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</si>
  <si>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</si>
  <si>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</si>
  <si>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</si>
  <si>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</si>
  <si>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</si>
  <si>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</si>
  <si>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</si>
  <si>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</si>
  <si>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</si>
  <si>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</si>
  <si>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</si>
  <si>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</si>
  <si>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</si>
  <si>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</si>
  <si>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</si>
  <si>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</si>
  <si>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</si>
  <si>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</si>
  <si>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</si>
  <si>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</si>
  <si>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</si>
  <si>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</si>
  <si>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</si>
  <si>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</si>
  <si>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</si>
  <si>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</si>
  <si>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</si>
  <si>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</si>
  <si>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</si>
  <si>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</si>
  <si>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</si>
  <si>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</si>
  <si>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</si>
  <si>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</si>
  <si>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</si>
  <si>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</si>
  <si>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</si>
  <si>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</si>
  <si>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</si>
  <si>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</si>
  <si>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</si>
  <si>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</si>
  <si>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</si>
  <si>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</si>
  <si>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</si>
  <si>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</si>
  <si>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</si>
  <si>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</si>
  <si>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</si>
  <si>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</si>
  <si>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</si>
  <si>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</si>
  <si>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</si>
  <si>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</si>
  <si>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</si>
  <si>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</si>
  <si>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</si>
  <si>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</si>
  <si>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</si>
  <si>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</si>
  <si>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</si>
  <si>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</si>
  <si>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</si>
  <si>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</si>
  <si>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</si>
  <si>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</si>
  <si>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</si>
  <si>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</si>
  <si>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</si>
  <si>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</si>
  <si>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</si>
  <si>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</si>
  <si>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</si>
  <si>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</si>
  <si>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</si>
  <si>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</si>
  <si>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</si>
  <si>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</si>
  <si>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</si>
  <si>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</si>
  <si>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</si>
  <si>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</si>
  <si>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</si>
  <si>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</si>
  <si>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</si>
  <si>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</si>
  <si>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</si>
  <si>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</si>
  <si>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</si>
  <si>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</si>
  <si>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</si>
  <si>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</si>
  <si>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</si>
  <si>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</si>
  <si>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</si>
  <si>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</si>
  <si>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</si>
  <si>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</si>
  <si>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</si>
  <si>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</si>
  <si>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</si>
  <si>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</si>
  <si>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</si>
  <si>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</si>
  <si>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</si>
  <si>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</si>
  <si>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</si>
  <si>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</si>
  <si>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</si>
  <si>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</si>
  <si>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</si>
  <si>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</si>
  <si>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</si>
  <si>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</si>
  <si>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</si>
  <si>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</si>
  <si>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</si>
  <si>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</si>
  <si>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</si>
  <si>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</si>
  <si>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</si>
  <si>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</si>
  <si>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</si>
  <si>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</si>
  <si>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</si>
  <si>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</si>
  <si>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</si>
  <si>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</si>
  <si>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</si>
  <si>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</si>
  <si>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</si>
  <si>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</si>
  <si>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</si>
  <si>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</si>
  <si>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</si>
  <si>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</si>
  <si>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</si>
  <si>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</si>
  <si>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</si>
  <si>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</si>
  <si>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</si>
  <si>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</si>
  <si>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</si>
  <si>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</si>
  <si>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</si>
  <si>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</si>
  <si>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</si>
  <si>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</si>
  <si>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</si>
  <si>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</si>
  <si>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</si>
  <si>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</si>
  <si>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</si>
  <si>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</si>
  <si>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</si>
  <si>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</si>
  <si>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</si>
  <si>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</si>
  <si>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</si>
  <si>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</si>
  <si>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</si>
  <si>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</si>
  <si>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</si>
  <si>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</si>
  <si>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</si>
  <si>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</si>
  <si>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</si>
  <si>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</si>
  <si>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</si>
  <si>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</si>
  <si>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</si>
  <si>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</si>
  <si>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</si>
  <si>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</si>
  <si>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</si>
  <si>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</si>
  <si>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</si>
  <si>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</si>
  <si>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</si>
  <si>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</si>
  <si>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</si>
  <si>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</si>
  <si>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</si>
  <si>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</si>
  <si>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</si>
  <si>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</si>
  <si>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</si>
  <si>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</si>
  <si>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</si>
  <si>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</si>
  <si>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</si>
  <si>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</si>
  <si>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</si>
  <si>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</si>
  <si>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</si>
  <si>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</si>
  <si>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</si>
  <si>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</si>
  <si>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</si>
  <si>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</si>
  <si>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</si>
  <si>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</si>
  <si>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</si>
  <si>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</si>
  <si>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</si>
  <si>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</si>
  <si>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</si>
  <si>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</si>
  <si>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</si>
  <si>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</si>
  <si>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</si>
  <si>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</si>
  <si>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</si>
  <si>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</si>
  <si>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</si>
  <si>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</si>
  <si>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</si>
  <si>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</si>
  <si>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</si>
  <si>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</si>
  <si>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</si>
  <si>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</si>
  <si>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</si>
  <si>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</si>
  <si>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</si>
  <si>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</si>
  <si>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</si>
  <si>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</si>
  <si>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</si>
  <si>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</si>
  <si>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</si>
  <si>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</si>
  <si>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</si>
  <si>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</si>
  <si>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</si>
  <si>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</si>
  <si>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</si>
  <si>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</si>
  <si>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</si>
  <si>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</si>
  <si>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</si>
  <si>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</si>
  <si>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</si>
  <si>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</si>
  <si>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</si>
  <si>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</si>
  <si>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</si>
  <si>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</si>
  <si>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</si>
  <si>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</si>
  <si>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</si>
  <si>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</si>
  <si>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</si>
  <si>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</si>
  <si>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</si>
  <si>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</si>
  <si>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</si>
  <si>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</si>
  <si>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</si>
  <si>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</si>
  <si>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</si>
  <si>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</si>
  <si>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</si>
  <si>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</si>
  <si>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</si>
  <si>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</si>
  <si>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</si>
  <si>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</si>
  <si>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</si>
  <si>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</si>
  <si>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</si>
  <si>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</si>
  <si>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</si>
  <si>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</si>
  <si>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</si>
  <si>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</si>
  <si>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</si>
  <si>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</si>
  <si>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</si>
  <si>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</si>
  <si>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</si>
  <si>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</si>
  <si>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</si>
  <si>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</si>
  <si>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</si>
  <si>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</si>
  <si>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</si>
  <si>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</si>
  <si>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</si>
  <si>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</si>
  <si>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</si>
  <si>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</si>
  <si>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</si>
  <si>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</si>
  <si>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</si>
  <si>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</si>
  <si>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</si>
  <si>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</si>
  <si>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</si>
  <si>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</si>
  <si>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</si>
  <si>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</si>
  <si>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</si>
  <si>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</si>
  <si>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</si>
  <si>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</si>
  <si>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</si>
  <si>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</si>
  <si>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</si>
  <si>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</si>
  <si>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</si>
  <si>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</si>
  <si>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</si>
  <si>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</si>
  <si>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</si>
  <si>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</si>
  <si>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</si>
  <si>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</si>
  <si>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</si>
  <si>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</si>
  <si>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</si>
  <si>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</si>
  <si>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</si>
  <si>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</si>
  <si>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</si>
  <si>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</si>
  <si>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</si>
  <si>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</si>
  <si>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</si>
  <si>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</si>
  <si>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</si>
  <si>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</si>
  <si>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</si>
  <si>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</si>
  <si>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</si>
  <si>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</si>
  <si>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</si>
  <si>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</si>
  <si>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</si>
  <si>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</si>
  <si>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</si>
  <si>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</si>
  <si>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</si>
  <si>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</si>
  <si>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</si>
  <si>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</si>
  <si>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</si>
  <si>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</si>
  <si>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</si>
  <si>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</si>
  <si>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</si>
  <si>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</si>
  <si>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</si>
  <si>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</si>
  <si>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</si>
  <si>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</si>
  <si>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</si>
  <si>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</si>
  <si>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</si>
  <si>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</si>
  <si>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</si>
  <si>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</si>
  <si>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</si>
  <si>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</si>
  <si>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</si>
  <si>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</si>
  <si>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</si>
  <si>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</si>
  <si>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</si>
  <si>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</si>
  <si>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</si>
  <si>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</si>
  <si>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</si>
  <si>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</si>
  <si>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</si>
  <si>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</si>
  <si>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</si>
  <si>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</si>
  <si>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</si>
  <si>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</si>
  <si>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</si>
  <si>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</si>
  <si>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</si>
  <si>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</si>
  <si>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</si>
  <si>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</si>
  <si>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</si>
  <si>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</si>
  <si>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</si>
  <si>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</si>
  <si>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</si>
  <si>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</si>
  <si>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</si>
  <si>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</si>
  <si>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</si>
  <si>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</si>
  <si>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</si>
  <si>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</si>
  <si>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</si>
  <si>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</si>
  <si>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</si>
  <si>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</si>
  <si>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</si>
  <si>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</si>
  <si>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</si>
  <si>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</si>
  <si>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</si>
  <si>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</si>
  <si>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</si>
  <si>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</si>
  <si>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</si>
  <si>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</si>
  <si>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</si>
  <si>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</si>
  <si>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</si>
  <si>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</si>
  <si>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</si>
  <si>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</si>
  <si>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</si>
  <si>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</si>
  <si>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</si>
  <si>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</si>
  <si>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</si>
  <si>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</si>
  <si>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</si>
  <si>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</si>
  <si>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</si>
  <si>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</si>
  <si>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</si>
  <si>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</si>
  <si>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</si>
  <si>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</si>
  <si>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</si>
  <si>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</si>
  <si>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</si>
  <si>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</si>
  <si>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</si>
  <si>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</si>
  <si>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</si>
  <si>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</si>
  <si>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</si>
  <si>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</si>
  <si>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</si>
  <si>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</si>
  <si>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</si>
  <si>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</si>
  <si>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</si>
  <si>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</si>
  <si>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</si>
  <si>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</si>
  <si>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</si>
  <si>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</si>
  <si>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</si>
  <si>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</si>
  <si>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</si>
  <si>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</si>
  <si>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</si>
  <si>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</si>
  <si>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</si>
  <si>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</si>
  <si>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</si>
  <si>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</si>
  <si>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</si>
  <si>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</si>
  <si>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</si>
  <si>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</si>
  <si>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</si>
  <si>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</si>
  <si>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</si>
  <si>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</si>
  <si>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</si>
  <si>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</si>
  <si>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</si>
  <si>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</si>
  <si>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</si>
  <si>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</si>
  <si>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</si>
  <si>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</si>
  <si>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</si>
  <si>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</si>
  <si>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</si>
  <si>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</si>
  <si>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</si>
  <si>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</si>
  <si>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</si>
  <si>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</si>
  <si>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</si>
  <si>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</si>
  <si>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</si>
  <si>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</si>
  <si>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</si>
  <si>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</si>
  <si>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</si>
  <si>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</si>
  <si>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</si>
  <si>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</si>
  <si>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</si>
  <si>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</si>
  <si>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</si>
  <si>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</si>
  <si>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</si>
  <si>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</si>
  <si>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</si>
  <si>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</si>
  <si>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</si>
  <si>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</si>
  <si>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</si>
  <si>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</si>
  <si>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</si>
  <si>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</si>
  <si>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</si>
  <si>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</si>
  <si>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</si>
  <si>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</si>
  <si>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</si>
  <si>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</si>
  <si>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</si>
  <si>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</si>
  <si>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</si>
  <si>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</si>
  <si>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</si>
  <si>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</si>
  <si>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</si>
  <si>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</si>
  <si>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</si>
  <si>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</si>
  <si>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</si>
  <si>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</si>
  <si>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</si>
  <si>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</si>
  <si>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</si>
  <si>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</si>
  <si>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</si>
  <si>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</si>
  <si>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</si>
  <si>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</si>
  <si>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</si>
  <si>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</si>
  <si>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</si>
  <si>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</si>
  <si>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</si>
  <si>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</si>
  <si>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</si>
  <si>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</si>
  <si>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</si>
  <si>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</si>
  <si>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</si>
  <si>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</si>
  <si>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</si>
  <si>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</si>
  <si>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</si>
  <si>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</si>
  <si>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</si>
  <si>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</si>
  <si>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</si>
  <si>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</si>
  <si>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</si>
  <si>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</si>
  <si>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</si>
  <si>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</si>
  <si>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</si>
  <si>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</si>
  <si>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</si>
  <si>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</si>
  <si>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</si>
  <si>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</si>
  <si>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</si>
  <si>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</si>
  <si>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</si>
  <si>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</si>
  <si>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</si>
  <si>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</si>
  <si>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</si>
  <si>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</si>
  <si>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</si>
  <si>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</si>
  <si>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</si>
  <si>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</si>
  <si>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</si>
  <si>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</si>
  <si>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</si>
  <si>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</si>
  <si>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</si>
  <si>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</si>
  <si>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</si>
  <si>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</si>
  <si>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</si>
  <si>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</si>
  <si>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</si>
  <si>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</si>
  <si>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</si>
  <si>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</si>
  <si>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</si>
  <si>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</si>
  <si>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</si>
  <si>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</si>
  <si>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</si>
  <si>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</si>
  <si>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</si>
  <si>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</si>
  <si>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</si>
  <si>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</si>
  <si>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</si>
  <si>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</si>
  <si>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</si>
  <si>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</si>
  <si>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</si>
  <si>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</si>
  <si>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</si>
  <si>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</si>
  <si>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</si>
  <si>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</si>
  <si>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</si>
  <si>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</si>
  <si>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</si>
  <si>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</si>
  <si>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</si>
  <si>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</si>
  <si>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</si>
  <si>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</si>
  <si>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</si>
  <si>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</si>
  <si>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</si>
  <si>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</si>
  <si>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</si>
  <si>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</si>
  <si>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</si>
  <si>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</si>
  <si>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</si>
  <si>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</si>
  <si>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</si>
  <si>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</si>
  <si>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</si>
  <si>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</si>
  <si>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</si>
  <si>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</si>
  <si>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</si>
  <si>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</si>
  <si>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</si>
  <si>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</si>
  <si>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</si>
  <si>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</si>
  <si>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</si>
  <si>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</si>
  <si>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</si>
  <si>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</si>
  <si>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</si>
  <si>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</si>
  <si>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</si>
  <si>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</si>
  <si>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</si>
  <si>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</si>
  <si>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</si>
  <si>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</si>
  <si>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</si>
  <si>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</si>
  <si>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</si>
  <si>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</si>
  <si>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</si>
  <si>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</si>
  <si>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</si>
  <si>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</si>
  <si>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</si>
  <si>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</si>
  <si>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</si>
  <si>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</si>
  <si>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</si>
  <si>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</si>
  <si>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</si>
  <si>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</si>
  <si>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</si>
  <si>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</si>
  <si>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</si>
  <si>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</si>
  <si>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</si>
  <si>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</si>
  <si>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</si>
  <si>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</si>
  <si>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</si>
  <si>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</si>
  <si>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</si>
  <si>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</si>
  <si>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</si>
  <si>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</si>
  <si>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</si>
  <si>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</si>
  <si>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</si>
  <si>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</si>
  <si>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</si>
  <si>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</si>
  <si>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</si>
  <si>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</si>
  <si>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</si>
  <si>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</si>
  <si>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</si>
  <si>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</si>
  <si>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</si>
  <si>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</si>
  <si>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</si>
  <si>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</si>
  <si>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</si>
  <si>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</si>
  <si>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</si>
  <si>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</si>
  <si>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</si>
  <si>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</si>
  <si>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</si>
  <si>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</si>
  <si>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</si>
  <si>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</si>
  <si>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</si>
  <si>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</si>
  <si>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</si>
  <si>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</si>
  <si>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</si>
  <si>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</si>
  <si>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</si>
  <si>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</si>
  <si>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</si>
  <si>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</si>
  <si>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</si>
  <si>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</si>
  <si>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</si>
  <si>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</si>
  <si>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</si>
  <si>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</si>
  <si>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</si>
  <si>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</si>
  <si>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</si>
  <si>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</si>
  <si>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</si>
  <si>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</si>
  <si>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</si>
  <si>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</si>
  <si>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</si>
  <si>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</si>
  <si>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</si>
  <si>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</si>
  <si>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</si>
  <si>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</si>
  <si>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</si>
  <si>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</si>
  <si>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</si>
  <si>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</si>
  <si>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</si>
  <si>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</si>
  <si>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</si>
  <si>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</si>
  <si>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</si>
  <si>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</si>
  <si>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</si>
  <si>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</si>
  <si>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</si>
  <si>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</si>
  <si>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</si>
  <si>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</si>
  <si>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</si>
  <si>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</si>
  <si>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</si>
  <si>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</si>
  <si>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</si>
  <si>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</si>
  <si>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</si>
  <si>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</si>
  <si>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</si>
  <si>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</si>
  <si>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</si>
  <si>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</si>
  <si>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</si>
  <si>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</si>
  <si>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</si>
  <si>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</si>
  <si>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</si>
  <si>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</si>
  <si>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</si>
  <si>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</si>
  <si>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</si>
  <si>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</si>
  <si>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</si>
  <si>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</si>
  <si>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</si>
  <si>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</si>
  <si>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</si>
  <si>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</si>
  <si>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</si>
  <si>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</si>
  <si>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</si>
  <si>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</si>
  <si>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</si>
  <si>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</si>
  <si>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</si>
  <si>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</si>
  <si>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</si>
  <si>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</si>
  <si>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</si>
  <si>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</si>
  <si>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</si>
  <si>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</si>
  <si>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</si>
  <si>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</si>
  <si>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</si>
  <si>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</si>
  <si>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</si>
  <si>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</si>
  <si>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</si>
  <si>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</si>
  <si>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</si>
  <si>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</si>
  <si>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</si>
  <si>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</si>
  <si>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</si>
  <si>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</si>
  <si>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</si>
  <si>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</si>
  <si>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</si>
  <si>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</si>
  <si>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</si>
  <si>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</si>
  <si>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</si>
  <si>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</si>
  <si>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</si>
  <si>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</si>
  <si>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</si>
  <si>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</si>
  <si>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</si>
  <si>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</si>
  <si>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</si>
  <si>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</si>
  <si>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</si>
  <si>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</si>
  <si>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</si>
  <si>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</si>
  <si>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</si>
  <si>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</si>
  <si>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</si>
  <si>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</si>
  <si>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</si>
  <si>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</si>
  <si>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</si>
  <si>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</si>
  <si>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</si>
  <si>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</si>
  <si>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</si>
  <si>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</si>
  <si>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</si>
  <si>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</si>
  <si>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</si>
  <si>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</si>
  <si>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</si>
  <si>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</si>
  <si>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</si>
  <si>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</si>
  <si>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</si>
  <si>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</si>
  <si>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</si>
  <si>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</si>
  <si>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</si>
  <si>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</si>
  <si>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</si>
  <si>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</si>
  <si>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</si>
  <si>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</si>
  <si>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</si>
  <si>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</si>
  <si>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</si>
  <si>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</si>
  <si>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</si>
  <si>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</si>
  <si>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</si>
  <si>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</si>
  <si>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</si>
  <si>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</si>
  <si>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</si>
  <si>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</si>
  <si>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</si>
  <si>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</si>
  <si>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</si>
  <si>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</si>
  <si>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</si>
  <si>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</si>
  <si>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</si>
  <si>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</si>
  <si>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</si>
  <si>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</si>
  <si>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</si>
  <si>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</si>
  <si>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</si>
  <si>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</si>
  <si>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</si>
  <si>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</si>
  <si>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</si>
  <si>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</si>
  <si>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</si>
  <si>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</si>
  <si>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</si>
  <si>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</si>
  <si>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</si>
  <si>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</si>
  <si>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</si>
  <si>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</si>
  <si>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</si>
  <si>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</si>
  <si>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</si>
  <si>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</si>
  <si>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</si>
  <si>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</si>
  <si>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classe 150 libras para vapor e classe 600 libras para água, óleo e gás, DN= 1/2´</t>
  </si>
  <si>
    <t>47.07.020</t>
  </si>
  <si>
    <t>Válvula de esfera em aço carbono fundido, passagem plena, classe 150 libras para vapor e classe 600 libras para água, óleo e gás, DN= 3/4´</t>
  </si>
  <si>
    <t>47.07.030</t>
  </si>
  <si>
    <t>Válvula de esfera em aço carbono fundido, passagem plena, classe 150 libras para vapor e classe 600 libras para água, óleo e gás, DN= 1´</t>
  </si>
  <si>
    <t>47.07.031</t>
  </si>
  <si>
    <t>Válvula de esfera em aço carbono fundido, passagem plena, classe 150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</si>
  <si>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</si>
  <si>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</si>
  <si>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</si>
  <si>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</si>
  <si>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</si>
  <si>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</si>
  <si>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</si>
  <si>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</si>
  <si>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</si>
  <si>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</si>
  <si>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</si>
  <si>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</si>
  <si>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</si>
  <si>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</si>
  <si>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</si>
  <si>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</si>
  <si>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</si>
  <si>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</si>
  <si>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</si>
  <si>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</si>
  <si>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</si>
  <si>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</si>
  <si>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</si>
  <si>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</si>
  <si>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</si>
  <si>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</si>
  <si>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</si>
  <si>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</si>
  <si>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</si>
  <si>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</si>
  <si>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</si>
  <si>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</si>
  <si>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</si>
  <si>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</si>
  <si>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</si>
  <si>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</si>
  <si>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</si>
  <si>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</si>
  <si>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</si>
  <si>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</si>
  <si>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</si>
  <si>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</si>
  <si>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</si>
  <si>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</si>
  <si>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</si>
  <si>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</si>
  <si>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</si>
  <si>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</si>
  <si>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</si>
  <si>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</si>
  <si>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</si>
  <si>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</si>
  <si>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</si>
  <si>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</si>
  <si>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</si>
  <si>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</si>
  <si>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</si>
  <si>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</si>
  <si>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</si>
  <si>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</si>
  <si>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</si>
  <si>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</si>
  <si>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</si>
  <si>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</si>
  <si>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</si>
  <si>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</si>
  <si>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</si>
  <si>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</si>
  <si>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</si>
  <si>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</si>
  <si>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</si>
  <si>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</si>
  <si>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</si>
  <si>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</si>
  <si>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</si>
  <si>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</si>
  <si>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</si>
  <si>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</si>
  <si>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</si>
  <si>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</si>
  <si>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</si>
  <si>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</si>
  <si>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</si>
  <si>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</si>
  <si>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</si>
  <si>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</si>
  <si>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</si>
  <si>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</si>
  <si>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</si>
  <si>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</si>
  <si>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</si>
  <si>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</si>
  <si>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</si>
  <si>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</si>
  <si>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</si>
  <si>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</si>
  <si>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</si>
  <si>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</si>
  <si>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</si>
  <si>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</si>
  <si>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</si>
  <si>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</si>
  <si>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</si>
  <si>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</si>
  <si>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</si>
  <si>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</si>
  <si>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</si>
  <si>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</si>
  <si>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</si>
  <si>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</si>
  <si>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</si>
  <si>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</si>
  <si>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</si>
  <si>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</si>
  <si>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</si>
  <si>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</si>
  <si>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</si>
  <si>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</si>
  <si>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</si>
  <si>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</si>
  <si>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</si>
  <si>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</si>
  <si>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</si>
  <si>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</si>
  <si>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</si>
  <si>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</si>
  <si>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</si>
  <si>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</si>
  <si>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</si>
  <si>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</si>
  <si>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</si>
  <si>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</si>
  <si>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</si>
  <si>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</si>
  <si>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</si>
  <si>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</si>
  <si>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</si>
  <si>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</si>
  <si>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</si>
  <si>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</si>
  <si>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</si>
  <si>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</si>
  <si>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</si>
  <si>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</si>
  <si>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</si>
  <si>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</si>
  <si>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</si>
  <si>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</si>
  <si>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</si>
  <si>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</si>
  <si>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</si>
  <si>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</si>
  <si>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</si>
  <si>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</si>
  <si>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</si>
  <si>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</si>
  <si>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</si>
  <si>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</si>
  <si>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</si>
  <si>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</si>
  <si>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</si>
  <si>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</si>
  <si>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</si>
  <si>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</si>
  <si>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</si>
  <si>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</si>
  <si>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</si>
  <si>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</si>
  <si>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</si>
  <si>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</si>
  <si>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</si>
  <si>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</si>
  <si>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</si>
  <si>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</si>
  <si>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</si>
  <si>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</si>
  <si>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</si>
  <si>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</si>
  <si>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</si>
  <si>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</si>
  <si>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</si>
  <si>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</si>
  <si>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</si>
  <si>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</si>
  <si>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</si>
  <si>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</si>
  <si>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</si>
  <si>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</si>
  <si>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</si>
  <si>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</si>
  <si>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</si>
  <si>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</si>
  <si>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</si>
  <si>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</si>
  <si>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</si>
  <si>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</si>
  <si>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</si>
  <si>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</si>
  <si>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</si>
  <si>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</si>
  <si>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</si>
  <si>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</si>
  <si>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</si>
  <si>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</si>
  <si>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</si>
  <si>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</si>
  <si>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</si>
  <si>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</si>
  <si>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</si>
  <si>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</si>
  <si>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</si>
  <si>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</si>
  <si>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</si>
  <si>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</si>
  <si>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</si>
  <si>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</si>
  <si>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</si>
  <si>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</si>
  <si>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</si>
  <si>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</si>
  <si>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</si>
  <si>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</si>
  <si>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</si>
  <si>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</si>
  <si>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</si>
  <si>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</si>
  <si>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</si>
  <si>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</si>
  <si>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</si>
  <si>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</si>
  <si>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</si>
  <si>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</si>
  <si>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</si>
  <si>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</si>
  <si>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</si>
  <si>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</si>
  <si>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</si>
  <si>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</si>
  <si>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</si>
  <si>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</si>
  <si>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</si>
  <si>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</si>
  <si>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</si>
  <si>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</si>
  <si>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</si>
  <si>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</si>
  <si>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</si>
  <si>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</si>
  <si>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</si>
  <si>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</si>
  <si>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</si>
  <si>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</si>
  <si>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</si>
  <si>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</si>
  <si>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</si>
  <si>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</si>
  <si>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</si>
  <si>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</si>
  <si>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</si>
  <si>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</si>
  <si>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</si>
  <si>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</si>
  <si>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</si>
  <si>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</si>
  <si>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</si>
  <si>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</si>
  <si>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</si>
  <si>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</si>
  <si>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</si>
  <si>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</si>
  <si>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</si>
  <si>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</si>
  <si>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</si>
  <si>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</si>
  <si>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</si>
  <si>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</si>
  <si>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</si>
  <si>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</si>
  <si>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</si>
  <si>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</si>
  <si>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</si>
  <si>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</si>
  <si>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</si>
  <si>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</si>
  <si>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</si>
  <si>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</si>
  <si>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</si>
  <si>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</si>
  <si>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</si>
  <si>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</si>
  <si>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</si>
  <si>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</si>
  <si>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</si>
  <si>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</si>
  <si>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</si>
  <si>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</si>
  <si>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</si>
  <si>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</si>
  <si>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</si>
  <si>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</si>
  <si>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</si>
  <si>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</si>
  <si>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</si>
  <si>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</si>
  <si>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</si>
  <si>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</si>
  <si>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</si>
  <si>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</si>
  <si>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</si>
  <si>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</si>
  <si>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</si>
  <si>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</si>
  <si>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</si>
  <si>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</si>
  <si>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</si>
  <si>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</si>
  <si>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</si>
  <si>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</si>
  <si>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</si>
  <si>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</si>
  <si>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</si>
  <si>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</si>
  <si>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</si>
  <si>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</si>
  <si>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</si>
  <si>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</si>
  <si>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</si>
  <si>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</si>
  <si>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</si>
  <si>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</si>
  <si>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</si>
  <si>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</si>
  <si>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</si>
  <si>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</si>
  <si>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</si>
  <si>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</si>
  <si>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</si>
  <si>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</si>
  <si>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</si>
  <si>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</si>
  <si>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</si>
  <si>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</si>
  <si>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</si>
  <si>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</si>
  <si>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</si>
  <si>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</si>
  <si>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</si>
  <si>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</si>
  <si>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</si>
  <si>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</si>
  <si>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</si>
  <si>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</si>
  <si>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</si>
  <si>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</si>
  <si>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</si>
  <si>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</si>
  <si>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</si>
  <si>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</si>
  <si>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</si>
  <si>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</si>
  <si>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</si>
  <si>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</si>
  <si>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</si>
  <si>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</si>
  <si>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</si>
  <si>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</si>
  <si>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</si>
  <si>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</si>
  <si>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</si>
  <si>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</si>
  <si>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</si>
  <si>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</si>
  <si>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</si>
  <si>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</si>
  <si>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</si>
  <si>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</si>
  <si>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</si>
  <si>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</si>
  <si>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</si>
  <si>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</si>
  <si>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</si>
  <si>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</si>
  <si>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</si>
  <si>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</si>
  <si>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</si>
  <si>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</si>
  <si>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</si>
  <si>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</si>
  <si>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</si>
  <si>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</si>
  <si>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</si>
  <si>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</si>
  <si>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</si>
  <si>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</si>
  <si>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</si>
  <si>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</si>
  <si>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</si>
  <si>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</si>
  <si>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</si>
  <si>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</si>
  <si>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</si>
  <si>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</si>
  <si>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</si>
  <si>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</si>
  <si>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</si>
  <si>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</si>
  <si>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</si>
  <si>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</si>
  <si>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</si>
  <si>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</si>
  <si>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</si>
  <si>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</si>
  <si>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</si>
  <si>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</si>
  <si>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</si>
  <si>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</si>
  <si>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</si>
  <si>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</si>
  <si>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</si>
  <si>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</si>
  <si>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</si>
  <si>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</si>
  <si>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</si>
  <si>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</si>
  <si>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</si>
  <si>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</si>
  <si>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</si>
  <si>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</si>
  <si>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</si>
  <si>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</si>
  <si>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</si>
  <si>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</si>
  <si>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Abertura e preparo de caixa até 40 cm, compactação do subleito mínimo de 95% do PN e transporte até o raio de 1 km</t>
  </si>
  <si>
    <t>54.01.200</t>
  </si>
  <si>
    <t>Base de macadame hidráulico</t>
  </si>
  <si>
    <t>54.01.210</t>
  </si>
  <si>
    <t>Pavimento de concreto rolado (concreto pobre) para base de pavimento rígido</t>
  </si>
  <si>
    <t>Abertura de caixa até 25 cm, inclui escavação, compactação, transporte e preparo do sub-leito</t>
  </si>
  <si>
    <t>54.02</t>
  </si>
  <si>
    <t>Pavimentacao com pedrisco e revestimento primario</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</si>
  <si>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</si>
  <si>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</si>
  <si>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</si>
  <si>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</si>
  <si>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</si>
  <si>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</si>
  <si>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</si>
  <si>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</si>
  <si>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Restauração de pavimento asfáltico com concreto betuminoso usinado quente - CBUQ</t>
  </si>
  <si>
    <t>54.03.230</t>
  </si>
  <si>
    <t>54.03.240</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</si>
  <si>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</si>
  <si>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</si>
  <si>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</si>
  <si>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</si>
  <si>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</si>
  <si>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</si>
  <si>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</si>
  <si>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</si>
  <si>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</si>
  <si>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</si>
  <si>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</si>
  <si>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</si>
  <si>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</si>
  <si>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</si>
  <si>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</si>
  <si>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</si>
  <si>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</si>
  <si>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</si>
  <si>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</si>
  <si>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</si>
  <si>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</si>
  <si>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</si>
  <si>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</si>
  <si>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</si>
  <si>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</si>
  <si>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</si>
  <si>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Guia pré-moldada reta tipo PMSP 100 - fck 25 MPa</t>
  </si>
  <si>
    <t>Base em concreto com fck de 20 MPa, para guias, sarjetas ou sarjetões</t>
  </si>
  <si>
    <t>54.06.110</t>
  </si>
  <si>
    <t>Base em concreto com fck de 25 MPa, para guias, sarjetas ou sarjetões</t>
  </si>
  <si>
    <t>54.06.151</t>
  </si>
  <si>
    <t>Execução de perfil extrusado no local, sem concreto</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</si>
  <si>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</si>
  <si>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</si>
  <si>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</si>
  <si>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</si>
  <si>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</si>
  <si>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</si>
  <si>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</si>
  <si>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</si>
  <si>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20 x 20 cm,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</si>
  <si>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</si>
  <si>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</si>
  <si>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</si>
  <si>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</si>
  <si>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</si>
  <si>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</si>
  <si>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</si>
  <si>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</si>
  <si>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</si>
  <si>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</si>
  <si>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</si>
  <si>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</si>
  <si>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</si>
  <si>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</si>
  <si>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</si>
  <si>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</si>
  <si>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</si>
  <si>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</si>
  <si>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</si>
  <si>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</si>
  <si>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</si>
  <si>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</si>
  <si>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</si>
  <si>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</si>
  <si>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</si>
  <si>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</si>
  <si>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</si>
  <si>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</si>
  <si>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</si>
  <si>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</si>
  <si>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</si>
  <si>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</si>
  <si>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</si>
  <si>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</si>
  <si>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</si>
  <si>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</si>
  <si>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</si>
  <si>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</si>
  <si>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</si>
  <si>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</si>
  <si>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</si>
  <si>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</si>
  <si>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</si>
  <si>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</si>
  <si>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</si>
  <si>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</si>
  <si>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</si>
  <si>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</si>
  <si>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</si>
  <si>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</si>
  <si>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</si>
  <si>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</si>
  <si>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</si>
  <si>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</si>
  <si>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</si>
  <si>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</si>
  <si>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</si>
  <si>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</si>
  <si>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</si>
  <si>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</si>
  <si>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</si>
  <si>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</si>
  <si>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</si>
  <si>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</si>
  <si>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</si>
  <si>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</si>
  <si>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</si>
  <si>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</si>
  <si>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</si>
  <si>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</si>
  <si>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</si>
  <si>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</si>
  <si>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</si>
  <si>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</si>
  <si>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</si>
  <si>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</si>
  <si>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</si>
  <si>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</si>
  <si>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</si>
  <si>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</si>
  <si>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</si>
  <si>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</si>
  <si>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</si>
  <si>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</si>
  <si>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</si>
  <si>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</si>
  <si>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</si>
  <si>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</si>
  <si>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</si>
  <si>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</si>
  <si>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</si>
  <si>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</si>
  <si>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</si>
  <si>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</si>
  <si>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</si>
  <si>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</si>
  <si>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</si>
  <si>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</si>
  <si>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</si>
  <si>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</si>
  <si>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</si>
  <si>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</si>
  <si>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</si>
  <si>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</si>
  <si>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</si>
  <si>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</si>
  <si>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</si>
  <si>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</si>
  <si>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</si>
  <si>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</si>
  <si>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</si>
  <si>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</si>
  <si>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</si>
  <si>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</si>
  <si>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</si>
  <si>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</si>
  <si>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</si>
  <si>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</si>
  <si>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</si>
  <si>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</si>
  <si>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</si>
  <si>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</si>
  <si>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</si>
  <si>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</si>
  <si>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</si>
  <si>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</si>
  <si>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</si>
  <si>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</si>
  <si>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</si>
  <si>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</si>
  <si>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</si>
  <si>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</si>
  <si>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</si>
  <si>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</si>
  <si>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</si>
  <si>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</si>
  <si>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</si>
  <si>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</si>
  <si>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</si>
  <si>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</si>
  <si>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</si>
  <si>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</si>
  <si>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</si>
  <si>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</si>
  <si>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</si>
  <si>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</si>
  <si>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</si>
  <si>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</si>
  <si>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</si>
  <si>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</si>
  <si>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</si>
  <si>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</si>
  <si>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</si>
  <si>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</si>
  <si>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</si>
  <si>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</si>
  <si>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</si>
  <si>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</si>
  <si>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</si>
  <si>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</si>
  <si>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</si>
  <si>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</si>
  <si>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</si>
  <si>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</si>
  <si>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</si>
  <si>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</si>
  <si>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</si>
  <si>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</si>
  <si>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</si>
  <si>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</si>
  <si>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</si>
  <si>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</si>
  <si>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</si>
  <si>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</si>
  <si>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</si>
  <si>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</si>
  <si>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</si>
  <si>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</si>
  <si>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</si>
  <si>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</si>
  <si>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</si>
  <si>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</si>
  <si>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</si>
  <si>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</si>
  <si>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</si>
  <si>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</si>
  <si>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</si>
  <si>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</si>
  <si>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</si>
  <si>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</si>
  <si>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</si>
  <si>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</si>
  <si>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</si>
  <si>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</si>
  <si>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</si>
  <si>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</si>
  <si>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</si>
  <si>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</si>
  <si>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</si>
  <si>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</si>
  <si>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</si>
  <si>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</si>
  <si>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</si>
  <si>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</si>
  <si>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</si>
  <si>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</si>
  <si>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</si>
  <si>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</si>
  <si>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</si>
  <si>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</si>
  <si>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</si>
  <si>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</si>
  <si>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</si>
  <si>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</si>
  <si>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</si>
  <si>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</si>
  <si>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</si>
  <si>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</si>
  <si>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</si>
  <si>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</si>
  <si>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</si>
  <si>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</si>
  <si>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</si>
  <si>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</si>
  <si>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</si>
  <si>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</si>
  <si>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</si>
  <si>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</si>
  <si>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</si>
  <si>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</si>
  <si>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</si>
  <si>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</si>
  <si>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</si>
  <si>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</si>
  <si>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</si>
  <si>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</si>
  <si>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</si>
  <si>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</si>
  <si>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</si>
  <si>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</si>
  <si>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</si>
  <si>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</si>
  <si>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</si>
  <si>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</si>
  <si>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</si>
  <si>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</si>
  <si>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</si>
  <si>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</si>
  <si>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</si>
  <si>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</si>
  <si>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</si>
  <si>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</si>
  <si>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</si>
  <si>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</si>
  <si>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</si>
  <si>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</si>
  <si>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</si>
  <si>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</si>
  <si>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</si>
  <si>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</si>
  <si>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</si>
  <si>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</si>
  <si>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</si>
  <si>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</si>
  <si>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</si>
  <si>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</si>
  <si>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</si>
  <si>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</si>
  <si>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</si>
  <si>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</si>
  <si>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</si>
  <si>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</si>
  <si>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</si>
  <si>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</si>
  <si>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</si>
  <si>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</si>
  <si>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</si>
  <si>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</si>
  <si>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</si>
  <si>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</si>
  <si>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</si>
  <si>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</si>
  <si>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</si>
  <si>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</si>
  <si>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</si>
  <si>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</si>
  <si>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</si>
  <si>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</si>
  <si>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</si>
  <si>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</si>
  <si>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</si>
  <si>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</si>
  <si>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</si>
  <si>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</si>
  <si>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</si>
  <si>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</si>
  <si>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</si>
  <si>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</si>
  <si>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</si>
  <si>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</si>
  <si>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</si>
  <si>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</si>
  <si>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</si>
  <si>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</si>
  <si>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</si>
  <si>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</si>
  <si>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</si>
  <si>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</si>
  <si>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</si>
  <si>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</si>
  <si>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</si>
  <si>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</si>
  <si>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</si>
  <si>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</si>
  <si>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</si>
  <si>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</si>
  <si>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</si>
  <si>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</si>
  <si>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</si>
  <si>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</si>
  <si>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</si>
  <si>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</si>
  <si>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</si>
  <si>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</si>
  <si>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</si>
  <si>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</si>
  <si>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</si>
  <si>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</si>
  <si>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</si>
  <si>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</si>
  <si>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</si>
  <si>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</si>
  <si>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</si>
  <si>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</si>
  <si>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</si>
  <si>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</si>
  <si>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</si>
  <si>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</si>
  <si>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</si>
  <si>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</si>
  <si>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</si>
  <si>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</si>
  <si>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</si>
  <si>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</si>
  <si>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</si>
  <si>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</si>
  <si>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</si>
  <si>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</si>
  <si>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</si>
  <si>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</si>
  <si>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</si>
  <si>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</si>
  <si>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</si>
  <si>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</si>
  <si>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</si>
  <si>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</si>
  <si>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</si>
  <si>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</si>
  <si>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</si>
  <si>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</si>
  <si>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</si>
  <si>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</si>
  <si>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</si>
  <si>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</si>
  <si>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</si>
  <si>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</si>
  <si>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</si>
  <si>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</si>
  <si>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</si>
  <si>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</si>
  <si>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</si>
  <si>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</si>
  <si>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</si>
  <si>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</si>
  <si>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</si>
  <si>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</si>
  <si>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</si>
  <si>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</si>
  <si>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</si>
  <si>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</si>
  <si>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</si>
  <si>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</si>
  <si>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</si>
  <si>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</si>
  <si>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</si>
  <si>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</si>
  <si>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</si>
  <si>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</si>
  <si>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</si>
  <si>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</si>
  <si>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</si>
  <si>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</si>
  <si>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</si>
  <si>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</si>
  <si>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</si>
  <si>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</si>
  <si>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</si>
  <si>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</si>
  <si>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</si>
  <si>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</si>
  <si>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</si>
  <si>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</si>
  <si>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</si>
  <si>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</si>
  <si>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</si>
  <si>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</si>
  <si>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</si>
  <si>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</si>
  <si>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</si>
  <si>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</si>
  <si>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</si>
  <si>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</si>
  <si>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</si>
  <si>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</si>
  <si>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</si>
  <si>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</si>
  <si>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</si>
  <si>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</si>
  <si>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</si>
  <si>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</si>
  <si>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</si>
  <si>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</si>
  <si>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</si>
  <si>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</si>
  <si>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</si>
  <si>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</si>
  <si>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</si>
  <si>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</si>
  <si>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</si>
  <si>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</si>
  <si>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</si>
  <si>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</si>
  <si>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</si>
  <si>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</si>
  <si>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</si>
  <si>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</si>
  <si>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</si>
  <si>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</si>
  <si>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</si>
  <si>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</si>
  <si>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</si>
  <si>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</si>
  <si>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</si>
  <si>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</si>
  <si>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</si>
  <si>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</si>
  <si>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</si>
  <si>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</si>
  <si>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</si>
  <si>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</si>
  <si>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</si>
  <si>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</si>
  <si>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</si>
  <si>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</si>
  <si>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</si>
  <si>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</si>
  <si>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</si>
  <si>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</si>
  <si>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</si>
  <si>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</si>
  <si>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</si>
  <si>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</si>
  <si>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</si>
  <si>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</si>
  <si>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</si>
  <si>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</si>
  <si>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</si>
  <si>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</si>
  <si>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</si>
  <si>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</si>
  <si>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</si>
  <si>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</si>
  <si>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</si>
  <si>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</si>
  <si>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</si>
  <si>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</si>
  <si>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</si>
  <si>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</si>
  <si>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</si>
  <si>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</si>
  <si>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</si>
  <si>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</si>
  <si>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</si>
  <si>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</si>
  <si>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</si>
  <si>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</si>
  <si>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</si>
  <si>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</si>
  <si>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</si>
  <si>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</si>
  <si>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</si>
  <si>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</si>
  <si>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</si>
  <si>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</si>
  <si>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</si>
  <si>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</si>
  <si>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</si>
  <si>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</si>
  <si>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</si>
  <si>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</si>
  <si>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</si>
  <si>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</si>
  <si>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</si>
  <si>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</si>
  <si>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</si>
  <si>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</si>
  <si>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</si>
  <si>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</si>
  <si>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</si>
  <si>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</si>
  <si>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</si>
  <si>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</si>
  <si>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</si>
  <si>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</si>
  <si>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</si>
  <si>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</si>
  <si>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</si>
  <si>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</si>
  <si>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</si>
  <si>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</si>
  <si>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</si>
  <si>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</si>
  <si>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</si>
  <si>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</si>
  <si>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</si>
  <si>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</si>
  <si>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</si>
  <si>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</si>
  <si>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</si>
  <si>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</si>
  <si>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</si>
  <si>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</si>
  <si>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</si>
  <si>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</si>
  <si>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</si>
  <si>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</si>
  <si>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</si>
  <si>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</si>
  <si>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</si>
  <si>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</si>
  <si>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</si>
  <si>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 xml:space="preserve">Amplificador de potência para VHF e CATV-50 dB, frequência 54 a 750 MHz  </t>
  </si>
  <si>
    <t>69.10.140</t>
  </si>
  <si>
    <t>Antena parabólica com captador de sinais e modulador de áudio e vídeo</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</si>
  <si>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</si>
  <si>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</si>
  <si>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</si>
  <si>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</si>
  <si>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</si>
  <si>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</si>
  <si>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</si>
  <si>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</si>
  <si>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</si>
  <si>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</si>
  <si>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</si>
  <si>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</si>
  <si>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</si>
  <si>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</si>
  <si>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</si>
  <si>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</si>
  <si>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</si>
  <si>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</si>
  <si>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</si>
  <si>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</si>
  <si>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</si>
  <si>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</si>
  <si>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</si>
  <si>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</si>
  <si>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</si>
  <si>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</si>
  <si>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</si>
  <si>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</si>
  <si>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</si>
  <si>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</si>
  <si>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</si>
  <si>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</si>
  <si>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</si>
  <si>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</si>
  <si>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</si>
  <si>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</si>
  <si>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</si>
  <si>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</si>
  <si>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</si>
  <si>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</si>
  <si>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</si>
  <si>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</si>
  <si>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</si>
  <si>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</si>
  <si>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</si>
  <si>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</si>
  <si>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</si>
  <si>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</si>
  <si>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</si>
  <si>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</si>
  <si>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</si>
  <si>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</si>
  <si>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</si>
  <si>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</si>
  <si>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</si>
  <si>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</si>
  <si>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</si>
  <si>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</si>
  <si>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</si>
  <si>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</si>
  <si>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</si>
  <si>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</si>
  <si>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</si>
  <si>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70.02</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</si>
  <si>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</si>
  <si>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</si>
  <si>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</si>
  <si>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</si>
  <si>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</si>
  <si>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</si>
  <si>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</si>
  <si>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</si>
  <si>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</si>
  <si>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</si>
  <si>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</si>
  <si>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</si>
  <si>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</si>
  <si>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</si>
  <si>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</si>
  <si>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</si>
  <si>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</si>
  <si>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</si>
  <si>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</si>
  <si>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</si>
  <si>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</si>
  <si>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</si>
  <si>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</si>
  <si>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</si>
  <si>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</si>
  <si>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</si>
  <si>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</si>
  <si>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</si>
  <si>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</si>
  <si>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</si>
  <si>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</si>
  <si>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</si>
  <si>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</si>
  <si>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</si>
  <si>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</si>
  <si>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</si>
  <si>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</si>
  <si>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</si>
  <si>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</si>
  <si>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Coluna simples (PP), diâmetro de 2 1/2´ e comprimento de 3,6 m</t>
  </si>
  <si>
    <t>Coluna dupla (PP), diâmetro de 2 x 2 1/2´ e comprimento de 3,6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</si>
  <si>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</si>
  <si>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</si>
  <si>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</si>
  <si>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</si>
  <si>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</si>
  <si>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</si>
  <si>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</si>
  <si>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</si>
  <si>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</si>
  <si>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</si>
  <si>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</si>
  <si>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</si>
  <si>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</si>
  <si>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</si>
  <si>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</si>
  <si>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</si>
  <si>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</si>
  <si>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</si>
  <si>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</si>
  <si>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70.06.012</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</si>
  <si>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</si>
  <si>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</si>
  <si>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</si>
  <si>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</si>
  <si>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</si>
  <si>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</si>
  <si>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</si>
  <si>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</si>
  <si>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</si>
  <si>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</si>
  <si>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</si>
  <si>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</si>
  <si>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</si>
  <si>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</si>
  <si>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</si>
  <si>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</si>
  <si>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</si>
  <si>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</si>
  <si>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</si>
  <si>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</si>
  <si>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</si>
  <si>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</si>
  <si>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</si>
  <si>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</si>
  <si>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</si>
  <si>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</si>
  <si>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</si>
  <si>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</si>
  <si>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</si>
  <si>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</si>
  <si>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</si>
  <si>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</si>
  <si>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</si>
  <si>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</si>
  <si>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</si>
  <si>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</si>
  <si>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</si>
  <si>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</si>
  <si>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</si>
  <si>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</si>
  <si>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</si>
  <si>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</si>
  <si>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</si>
  <si>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</si>
  <si>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</si>
  <si>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</si>
  <si>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</si>
  <si>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</si>
  <si>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</si>
  <si>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</si>
  <si>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</si>
  <si>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</si>
  <si>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</si>
  <si>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</si>
  <si>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</si>
  <si>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</si>
  <si>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</si>
  <si>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</si>
  <si>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</si>
  <si>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</si>
  <si>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</si>
  <si>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</si>
  <si>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</si>
  <si>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</si>
  <si>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</si>
  <si>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</si>
  <si>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</si>
  <si>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</si>
  <si>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</si>
  <si>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</si>
  <si>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</si>
  <si>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</si>
  <si>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</si>
  <si>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</si>
  <si>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</si>
  <si>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</si>
  <si>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</si>
  <si>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CDHU 186</t>
  </si>
  <si>
    <t>CDHU / fev23</t>
  </si>
  <si>
    <t>SINAPI fev23</t>
  </si>
  <si>
    <t>Meio Fio / Sarjeta de Concreto</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</si>
  <si>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</si>
  <si>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</si>
  <si>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</si>
  <si>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</si>
  <si>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</si>
  <si>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</si>
  <si>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</si>
  <si>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</si>
  <si>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</si>
  <si>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</si>
  <si>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</si>
  <si>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</si>
  <si>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</si>
  <si>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</si>
  <si>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</si>
  <si>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</si>
  <si>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</si>
  <si>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</si>
  <si>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</si>
  <si>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</si>
  <si>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</si>
  <si>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</si>
  <si>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</si>
  <si>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</si>
  <si>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</si>
  <si>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</si>
  <si>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</si>
  <si>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</si>
  <si>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</si>
  <si>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</si>
  <si>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</si>
  <si>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</si>
  <si>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</si>
  <si>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</si>
  <si>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</si>
  <si>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</si>
  <si>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</si>
  <si>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</si>
  <si>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</si>
  <si>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</si>
  <si>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</si>
  <si>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</si>
  <si>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</si>
  <si>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</si>
  <si>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</si>
  <si>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</si>
  <si>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</si>
  <si>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</si>
  <si>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</si>
  <si>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</si>
  <si>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</si>
  <si>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</si>
  <si>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</si>
  <si>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</si>
  <si>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</si>
  <si>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</si>
  <si>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</si>
  <si>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</si>
  <si>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</si>
  <si>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</si>
  <si>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</si>
  <si>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</si>
  <si>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</si>
  <si>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</si>
  <si>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</si>
  <si>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</si>
  <si>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</si>
  <si>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</si>
  <si>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</si>
  <si>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</si>
  <si>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</si>
  <si>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</si>
  <si>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</si>
  <si>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</si>
  <si>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</si>
  <si>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</si>
  <si>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</si>
  <si>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</si>
  <si>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</si>
  <si>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</si>
  <si>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</si>
  <si>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</si>
  <si>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</si>
  <si>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</si>
  <si>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</si>
  <si>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</si>
  <si>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</si>
  <si>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</si>
  <si>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</si>
  <si>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</si>
  <si>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</si>
  <si>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</si>
  <si>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</si>
  <si>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</si>
  <si>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</si>
  <si>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</si>
  <si>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</si>
  <si>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</si>
  <si>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</si>
  <si>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</si>
  <si>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</si>
  <si>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</si>
  <si>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</si>
  <si>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</si>
  <si>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</si>
  <si>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</si>
  <si>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</si>
  <si>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</si>
  <si>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</si>
  <si>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</si>
  <si>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</si>
  <si>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</si>
  <si>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</si>
  <si>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</si>
  <si>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</si>
  <si>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</si>
  <si>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</si>
  <si>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</si>
  <si>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</si>
  <si>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</si>
  <si>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</si>
  <si>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</si>
  <si>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</si>
  <si>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</si>
  <si>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</si>
  <si>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</si>
  <si>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</si>
  <si>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</si>
  <si>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</si>
  <si>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</si>
  <si>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</si>
  <si>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</si>
  <si>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</si>
  <si>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</si>
  <si>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</si>
  <si>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</si>
  <si>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</si>
  <si>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</si>
  <si>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</si>
  <si>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</si>
  <si>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</si>
  <si>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</si>
  <si>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</si>
  <si>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</si>
  <si>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</si>
  <si>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</si>
  <si>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</si>
  <si>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</si>
  <si>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</si>
  <si>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</si>
  <si>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</si>
  <si>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</si>
  <si>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</si>
  <si>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</si>
  <si>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</si>
  <si>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</si>
  <si>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</si>
  <si>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</si>
  <si>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</si>
  <si>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</si>
  <si>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</si>
  <si>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</si>
  <si>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</si>
  <si>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</si>
  <si>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</si>
  <si>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</si>
  <si>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</si>
  <si>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</si>
  <si>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</si>
  <si>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</si>
  <si>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</si>
  <si>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</si>
  <si>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</si>
  <si>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</si>
  <si>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</si>
  <si>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</si>
  <si>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</si>
  <si>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</si>
  <si>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</si>
  <si>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</si>
  <si>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</si>
  <si>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</si>
  <si>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</si>
  <si>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</si>
  <si>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</si>
  <si>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</si>
  <si>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</si>
  <si>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</si>
  <si>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</si>
  <si>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</si>
  <si>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</si>
  <si>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</si>
  <si>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</si>
  <si>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</si>
  <si>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</si>
  <si>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</si>
  <si>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</si>
  <si>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</si>
  <si>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</si>
  <si>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</si>
  <si>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</si>
  <si>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</si>
  <si>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</si>
  <si>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</si>
  <si>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</si>
  <si>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</si>
  <si>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</si>
  <si>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</si>
  <si>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</si>
  <si>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</si>
  <si>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</si>
  <si>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</si>
  <si>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</si>
  <si>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</si>
  <si>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</si>
  <si>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</si>
  <si>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</si>
  <si>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</si>
  <si>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</si>
  <si>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</si>
  <si>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</si>
  <si>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</si>
  <si>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</si>
  <si>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</si>
  <si>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</si>
  <si>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</si>
  <si>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</si>
  <si>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</si>
  <si>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</si>
  <si>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</si>
  <si>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</si>
  <si>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</si>
  <si>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</si>
  <si>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</si>
  <si>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</si>
  <si>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</si>
  <si>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</si>
  <si>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</si>
  <si>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</si>
  <si>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</si>
  <si>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</si>
  <si>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</si>
  <si>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</si>
  <si>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</si>
  <si>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</si>
  <si>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</si>
  <si>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</si>
  <si>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</si>
  <si>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</si>
  <si>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</si>
  <si>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</si>
  <si>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</si>
  <si>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</si>
  <si>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16,13</t>
  </si>
  <si>
    <t>24,40</t>
  </si>
  <si>
    <t>27,15</t>
  </si>
  <si>
    <t>48,92</t>
  </si>
  <si>
    <t>54,96</t>
  </si>
  <si>
    <t>61,05</t>
  </si>
  <si>
    <t>79,68</t>
  </si>
  <si>
    <t>9,74</t>
  </si>
  <si>
    <t>11,44</t>
  </si>
  <si>
    <t>13,10</t>
  </si>
  <si>
    <t>14,79</t>
  </si>
  <si>
    <t>22,40</t>
  </si>
  <si>
    <t>26,15</t>
  </si>
  <si>
    <t>29,70</t>
  </si>
  <si>
    <t>33,37</t>
  </si>
  <si>
    <t>40,79</t>
  </si>
  <si>
    <t>48,58</t>
  </si>
  <si>
    <t>50,47</t>
  </si>
  <si>
    <t>77,94</t>
  </si>
  <si>
    <t>91,66</t>
  </si>
  <si>
    <t>105,39</t>
  </si>
  <si>
    <t>137,25</t>
  </si>
  <si>
    <t>151,45</t>
  </si>
  <si>
    <t>41,70</t>
  </si>
  <si>
    <t>47,46</t>
  </si>
  <si>
    <t>53,21</t>
  </si>
  <si>
    <t>64,71</t>
  </si>
  <si>
    <t>76,20</t>
  </si>
  <si>
    <t>87,69</t>
  </si>
  <si>
    <t>99,19</t>
  </si>
  <si>
    <t>113,95</t>
  </si>
  <si>
    <t>125,80</t>
  </si>
  <si>
    <t>52,04</t>
  </si>
  <si>
    <t>98,79</t>
  </si>
  <si>
    <t>164,98</t>
  </si>
  <si>
    <t>255,91</t>
  </si>
  <si>
    <t>391,11</t>
  </si>
  <si>
    <t>550,42</t>
  </si>
  <si>
    <t>642,01</t>
  </si>
  <si>
    <t>77,36</t>
  </si>
  <si>
    <t>128,02</t>
  </si>
  <si>
    <t>200,06</t>
  </si>
  <si>
    <t>296,41</t>
  </si>
  <si>
    <t>388,83</t>
  </si>
  <si>
    <t>514,36</t>
  </si>
  <si>
    <t>761,45</t>
  </si>
  <si>
    <t>28,38</t>
  </si>
  <si>
    <t>41,43</t>
  </si>
  <si>
    <t>47,92</t>
  </si>
  <si>
    <t>54,41</t>
  </si>
  <si>
    <t>60,90</t>
  </si>
  <si>
    <t>67,41</t>
  </si>
  <si>
    <t>73,89</t>
  </si>
  <si>
    <t>93,37</t>
  </si>
  <si>
    <t>1,94</t>
  </si>
  <si>
    <t>209,87</t>
  </si>
  <si>
    <t>1.236,27</t>
  </si>
  <si>
    <t>29,87</t>
  </si>
  <si>
    <t>1.902,75</t>
  </si>
  <si>
    <t>2.620,13</t>
  </si>
  <si>
    <t>51,64</t>
  </si>
  <si>
    <t>66,53</t>
  </si>
  <si>
    <t>1,85</t>
  </si>
  <si>
    <t>22,51</t>
  </si>
  <si>
    <t>119,33</t>
  </si>
  <si>
    <t>132,32</t>
  </si>
  <si>
    <t>151,86</t>
  </si>
  <si>
    <t>171,34</t>
  </si>
  <si>
    <t>210,29</t>
  </si>
  <si>
    <t>10,08</t>
  </si>
  <si>
    <t>206,88</t>
  </si>
  <si>
    <t>12,88</t>
  </si>
  <si>
    <t>366,32</t>
  </si>
  <si>
    <t>15,46</t>
  </si>
  <si>
    <t>448,22</t>
  </si>
  <si>
    <t>583,45</t>
  </si>
  <si>
    <t>603,70</t>
  </si>
  <si>
    <t>23,77</t>
  </si>
  <si>
    <t>895,30</t>
  </si>
  <si>
    <t>918,65</t>
  </si>
  <si>
    <t>206,54</t>
  </si>
  <si>
    <t>218,09</t>
  </si>
  <si>
    <t>24,09</t>
  </si>
  <si>
    <t>380,19</t>
  </si>
  <si>
    <t>29,33</t>
  </si>
  <si>
    <t>464,49</t>
  </si>
  <si>
    <t>34,58</t>
  </si>
  <si>
    <t>602,10</t>
  </si>
  <si>
    <t>624,85</t>
  </si>
  <si>
    <t>44,92</t>
  </si>
  <si>
    <t>919,08</t>
  </si>
  <si>
    <t>944,80</t>
  </si>
  <si>
    <t>169,81</t>
  </si>
  <si>
    <t>204,17</t>
  </si>
  <si>
    <t>300,20</t>
  </si>
  <si>
    <t>391,83</t>
  </si>
  <si>
    <t>471,99</t>
  </si>
  <si>
    <t>541,31</t>
  </si>
  <si>
    <t>567,21</t>
  </si>
  <si>
    <t>181,02</t>
  </si>
  <si>
    <t>218,05</t>
  </si>
  <si>
    <t>316,46</t>
  </si>
  <si>
    <t>410,74</t>
  </si>
  <si>
    <t>493,15</t>
  </si>
  <si>
    <t>564,81</t>
  </si>
  <si>
    <t>593,48</t>
  </si>
  <si>
    <t>58,04</t>
  </si>
  <si>
    <t>70,58</t>
  </si>
  <si>
    <t>83,90</t>
  </si>
  <si>
    <t>112,10</t>
  </si>
  <si>
    <t>127,80</t>
  </si>
  <si>
    <t>145,52</t>
  </si>
  <si>
    <t>811,91</t>
  </si>
  <si>
    <t>182,10</t>
  </si>
  <si>
    <t>1.157,56</t>
  </si>
  <si>
    <t>245,11</t>
  </si>
  <si>
    <t>54,08</t>
  </si>
  <si>
    <t>84,46</t>
  </si>
  <si>
    <t>100,16</t>
  </si>
  <si>
    <t>115,93</t>
  </si>
  <si>
    <t>133,26</t>
  </si>
  <si>
    <t>151,30</t>
  </si>
  <si>
    <t>171,79</t>
  </si>
  <si>
    <t>842,92</t>
  </si>
  <si>
    <t>213,11</t>
  </si>
  <si>
    <t>1.195,73</t>
  </si>
  <si>
    <t>283,28</t>
  </si>
  <si>
    <t>144,36</t>
  </si>
  <si>
    <t>107,11</t>
  </si>
  <si>
    <t>131,06</t>
  </si>
  <si>
    <t>115,88</t>
  </si>
  <si>
    <t>142,27</t>
  </si>
  <si>
    <t>193,14</t>
  </si>
  <si>
    <t>5,97</t>
  </si>
  <si>
    <t>14,44</t>
  </si>
  <si>
    <t>19,82</t>
  </si>
  <si>
    <t>2,66</t>
  </si>
  <si>
    <t>5,82</t>
  </si>
  <si>
    <t>7,16</t>
  </si>
  <si>
    <t>8,51</t>
  </si>
  <si>
    <t>11,16</t>
  </si>
  <si>
    <t>14,30</t>
  </si>
  <si>
    <t>45,80</t>
  </si>
  <si>
    <t>59,58</t>
  </si>
  <si>
    <t>65,50</t>
  </si>
  <si>
    <t>85,19</t>
  </si>
  <si>
    <t>96,97</t>
  </si>
  <si>
    <t>103,55</t>
  </si>
  <si>
    <t>114,10</t>
  </si>
  <si>
    <t>141,96</t>
  </si>
  <si>
    <t>48,74</t>
  </si>
  <si>
    <t>58,51</t>
  </si>
  <si>
    <t>82,93</t>
  </si>
  <si>
    <t>107,34</t>
  </si>
  <si>
    <t>177,63</t>
  </si>
  <si>
    <t>202,04</t>
  </si>
  <si>
    <t>272,33</t>
  </si>
  <si>
    <t>296,74</t>
  </si>
  <si>
    <t>367,02</t>
  </si>
  <si>
    <t>391,43</t>
  </si>
  <si>
    <t>440,25</t>
  </si>
  <si>
    <t>534,96</t>
  </si>
  <si>
    <t>583,80</t>
  </si>
  <si>
    <t>678,48</t>
  </si>
  <si>
    <t>727,31</t>
  </si>
  <si>
    <t>870,84</t>
  </si>
  <si>
    <t>79,20</t>
  </si>
  <si>
    <t>115,83</t>
  </si>
  <si>
    <t>152,43</t>
  </si>
  <si>
    <t>257,89</t>
  </si>
  <si>
    <t>294,49</t>
  </si>
  <si>
    <t>399,93</t>
  </si>
  <si>
    <t>436,53</t>
  </si>
  <si>
    <t>541,98</t>
  </si>
  <si>
    <t>578,57</t>
  </si>
  <si>
    <t>651,83</t>
  </si>
  <si>
    <t>793,86</t>
  </si>
  <si>
    <t>867,11</t>
  </si>
  <si>
    <t>1.009,14</t>
  </si>
  <si>
    <t>1.082,40</t>
  </si>
  <si>
    <t>1.297,68</t>
  </si>
  <si>
    <t>32,96</t>
  </si>
  <si>
    <t>37,83</t>
  </si>
  <si>
    <t>50,06</t>
  </si>
  <si>
    <t>62,25</t>
  </si>
  <si>
    <t>97,40</t>
  </si>
  <si>
    <t>109,59</t>
  </si>
  <si>
    <t>144,74</t>
  </si>
  <si>
    <t>156,94</t>
  </si>
  <si>
    <t>192,10</t>
  </si>
  <si>
    <t>204,30</t>
  </si>
  <si>
    <t>228,70</t>
  </si>
  <si>
    <t>276,06</t>
  </si>
  <si>
    <t>347,76</t>
  </si>
  <si>
    <t>372,22</t>
  </si>
  <si>
    <t>443,99</t>
  </si>
  <si>
    <t>1.113,71</t>
  </si>
  <si>
    <t>1.795,59</t>
  </si>
  <si>
    <t>3.150,21</t>
  </si>
  <si>
    <t>4.684,90</t>
  </si>
  <si>
    <t>3.085,11</t>
  </si>
  <si>
    <t>5.043,55</t>
  </si>
  <si>
    <t>5.562,69</t>
  </si>
  <si>
    <t>4.121,32</t>
  </si>
  <si>
    <t>2.048,72</t>
  </si>
  <si>
    <t>1.383,69</t>
  </si>
  <si>
    <t>1.250,40</t>
  </si>
  <si>
    <t>1.254,84</t>
  </si>
  <si>
    <t>997,78</t>
  </si>
  <si>
    <t>652,50</t>
  </si>
  <si>
    <t>641,30</t>
  </si>
  <si>
    <t>1.091,38</t>
  </si>
  <si>
    <t>1.097,92</t>
  </si>
  <si>
    <t>6.800,71</t>
  </si>
  <si>
    <t>10.481,82</t>
  </si>
  <si>
    <t>297,23</t>
  </si>
  <si>
    <t>479,99</t>
  </si>
  <si>
    <t>991,21</t>
  </si>
  <si>
    <t>1.354,23</t>
  </si>
  <si>
    <t>162,22</t>
  </si>
  <si>
    <t>165,98</t>
  </si>
  <si>
    <t>140,46</t>
  </si>
  <si>
    <t>143,14</t>
  </si>
  <si>
    <t>198,27</t>
  </si>
  <si>
    <t>258,28</t>
  </si>
  <si>
    <t>167,95</t>
  </si>
  <si>
    <t>214,66</t>
  </si>
  <si>
    <t>203,96</t>
  </si>
  <si>
    <t>173,46</t>
  </si>
  <si>
    <t>176,78</t>
  </si>
  <si>
    <t>240,93</t>
  </si>
  <si>
    <t>316,63</t>
  </si>
  <si>
    <t>207,36</t>
  </si>
  <si>
    <t>268,68</t>
  </si>
  <si>
    <t>155,86</t>
  </si>
  <si>
    <t>183,17</t>
  </si>
  <si>
    <t>5.943,49</t>
  </si>
  <si>
    <t>8.932,58</t>
  </si>
  <si>
    <t>209,63</t>
  </si>
  <si>
    <t>149,24</t>
  </si>
  <si>
    <t>137,02</t>
  </si>
  <si>
    <t>159,08</t>
  </si>
  <si>
    <t>29,24</t>
  </si>
  <si>
    <t>198,21</t>
  </si>
  <si>
    <t>224,99</t>
  </si>
  <si>
    <t>212,09</t>
  </si>
  <si>
    <t>394,70</t>
  </si>
  <si>
    <t>170,55</t>
  </si>
  <si>
    <t>255,86</t>
  </si>
  <si>
    <t>244,40</t>
  </si>
  <si>
    <t>639,58</t>
  </si>
  <si>
    <t>160,33</t>
  </si>
  <si>
    <t>137,92</t>
  </si>
  <si>
    <t>142,53</t>
  </si>
  <si>
    <t>117,62</t>
  </si>
  <si>
    <t>199,89</t>
  </si>
  <si>
    <t>208,03</t>
  </si>
  <si>
    <t>311,60</t>
  </si>
  <si>
    <t>37,35</t>
  </si>
  <si>
    <t>5,36</t>
  </si>
  <si>
    <t>266,29</t>
  </si>
  <si>
    <t>249,34</t>
  </si>
  <si>
    <t>180,88</t>
  </si>
  <si>
    <t>219,01</t>
  </si>
  <si>
    <t>251,57</t>
  </si>
  <si>
    <t>208,51</t>
  </si>
  <si>
    <t>262,58</t>
  </si>
  <si>
    <t>22,65</t>
  </si>
  <si>
    <t>219,48</t>
  </si>
  <si>
    <t>181,37</t>
  </si>
  <si>
    <t>187,21</t>
  </si>
  <si>
    <t>243,46</t>
  </si>
  <si>
    <t>19,15</t>
  </si>
  <si>
    <t>258,05</t>
  </si>
  <si>
    <t>5,27</t>
  </si>
  <si>
    <t>205,87</t>
  </si>
  <si>
    <t>247,09</t>
  </si>
  <si>
    <t>2,10</t>
  </si>
  <si>
    <t>176,82</t>
  </si>
  <si>
    <t>186,21</t>
  </si>
  <si>
    <t>5,19</t>
  </si>
  <si>
    <t>600,36</t>
  </si>
  <si>
    <t>1.407,68</t>
  </si>
  <si>
    <t>1.220,48</t>
  </si>
  <si>
    <t>341,09</t>
  </si>
  <si>
    <t>210,65</t>
  </si>
  <si>
    <t>349,79</t>
  </si>
  <si>
    <t>6,62</t>
  </si>
  <si>
    <t>145,23</t>
  </si>
  <si>
    <t>14,98</t>
  </si>
  <si>
    <t>14,81</t>
  </si>
  <si>
    <t>15,53</t>
  </si>
  <si>
    <t>669,90</t>
  </si>
  <si>
    <t>404,91</t>
  </si>
  <si>
    <t>120,54</t>
  </si>
  <si>
    <t>31,67</t>
  </si>
  <si>
    <t>203,94</t>
  </si>
  <si>
    <t>100,66</t>
  </si>
  <si>
    <t>253,94</t>
  </si>
  <si>
    <t>9,55</t>
  </si>
  <si>
    <t>260,00</t>
  </si>
  <si>
    <t>225,78</t>
  </si>
  <si>
    <t>458,86</t>
  </si>
  <si>
    <t>31,45</t>
  </si>
  <si>
    <t>340,14</t>
  </si>
  <si>
    <t>93,27</t>
  </si>
  <si>
    <t>74,53</t>
  </si>
  <si>
    <t>399,64</t>
  </si>
  <si>
    <t>18,51</t>
  </si>
  <si>
    <t>995,81</t>
  </si>
  <si>
    <t>26,78</t>
  </si>
  <si>
    <t>320,50</t>
  </si>
  <si>
    <t>260,75</t>
  </si>
  <si>
    <t>74,66</t>
  </si>
  <si>
    <t>169,48</t>
  </si>
  <si>
    <t>2.540,81</t>
  </si>
  <si>
    <t>260,63</t>
  </si>
  <si>
    <t>312,95</t>
  </si>
  <si>
    <t>210,84</t>
  </si>
  <si>
    <t>167,46</t>
  </si>
  <si>
    <t>149,62</t>
  </si>
  <si>
    <t>28,88</t>
  </si>
  <si>
    <t>8,78</t>
  </si>
  <si>
    <t>2,82</t>
  </si>
  <si>
    <t>28,37</t>
  </si>
  <si>
    <t>227,73</t>
  </si>
  <si>
    <t>42,12</t>
  </si>
  <si>
    <t>142,46</t>
  </si>
  <si>
    <t>253,79</t>
  </si>
  <si>
    <t>248,91</t>
  </si>
  <si>
    <t>287,35</t>
  </si>
  <si>
    <t>179,18</t>
  </si>
  <si>
    <t>138,76</t>
  </si>
  <si>
    <t>268,92</t>
  </si>
  <si>
    <t>139,29</t>
  </si>
  <si>
    <t>135,02</t>
  </si>
  <si>
    <t>107,79</t>
  </si>
  <si>
    <t>215,17</t>
  </si>
  <si>
    <t>3,65</t>
  </si>
  <si>
    <t>4.607,26</t>
  </si>
  <si>
    <t>6.169,39</t>
  </si>
  <si>
    <t>65,69</t>
  </si>
  <si>
    <t>4,25</t>
  </si>
  <si>
    <t>72,12</t>
  </si>
  <si>
    <t>64,61</t>
  </si>
  <si>
    <t>77,07</t>
  </si>
  <si>
    <t>70,52</t>
  </si>
  <si>
    <t>93,38</t>
  </si>
  <si>
    <t>71,27</t>
  </si>
  <si>
    <t>87,25</t>
  </si>
  <si>
    <t>27,55</t>
  </si>
  <si>
    <t>84,11</t>
  </si>
  <si>
    <t>5,96</t>
  </si>
  <si>
    <t>77,79</t>
  </si>
  <si>
    <t>0,56</t>
  </si>
  <si>
    <t>6,76</t>
  </si>
  <si>
    <t>192,62</t>
  </si>
  <si>
    <t>404,88</t>
  </si>
  <si>
    <t>356,24</t>
  </si>
  <si>
    <t>78,84</t>
  </si>
  <si>
    <t>82,10</t>
  </si>
  <si>
    <t>2,02</t>
  </si>
  <si>
    <t>5,41</t>
  </si>
  <si>
    <t>8,18</t>
  </si>
  <si>
    <t>8,13</t>
  </si>
  <si>
    <t>8,15</t>
  </si>
  <si>
    <t>20,71</t>
  </si>
  <si>
    <t>9,68</t>
  </si>
  <si>
    <t>0,82</t>
  </si>
  <si>
    <t>31,14</t>
  </si>
  <si>
    <t>92,65</t>
  </si>
  <si>
    <t>0,29</t>
  </si>
  <si>
    <t>43,06</t>
  </si>
  <si>
    <t>32,75</t>
  </si>
  <si>
    <t>77,71</t>
  </si>
  <si>
    <t>65,38</t>
  </si>
  <si>
    <t>40,94</t>
  </si>
  <si>
    <t>81,72</t>
  </si>
  <si>
    <t>34,77</t>
  </si>
  <si>
    <t>59,22</t>
  </si>
  <si>
    <t>58,95</t>
  </si>
  <si>
    <t>52,93</t>
  </si>
  <si>
    <t>60,93</t>
  </si>
  <si>
    <t>87,56</t>
  </si>
  <si>
    <t>40,92</t>
  </si>
  <si>
    <t>62,89</t>
  </si>
  <si>
    <t>2,59</t>
  </si>
  <si>
    <t>30,00</t>
  </si>
  <si>
    <t>44,73</t>
  </si>
  <si>
    <t>39,36</t>
  </si>
  <si>
    <t>158,05</t>
  </si>
  <si>
    <t>86,89</t>
  </si>
  <si>
    <t>65,75</t>
  </si>
  <si>
    <t>103,71</t>
  </si>
  <si>
    <t>91,51</t>
  </si>
  <si>
    <t>211,64</t>
  </si>
  <si>
    <t>48,33</t>
  </si>
  <si>
    <t>32,55</t>
  </si>
  <si>
    <t>42,97</t>
  </si>
  <si>
    <t>26,92</t>
  </si>
  <si>
    <t>154,35</t>
  </si>
  <si>
    <t>53,27</t>
  </si>
  <si>
    <t>74,26</t>
  </si>
  <si>
    <t>68,67</t>
  </si>
  <si>
    <t>5,06</t>
  </si>
  <si>
    <t>250,30</t>
  </si>
  <si>
    <t>49,15</t>
  </si>
  <si>
    <t>61,51</t>
  </si>
  <si>
    <t>43,60</t>
  </si>
  <si>
    <t>6,05</t>
  </si>
  <si>
    <t>87,13</t>
  </si>
  <si>
    <t>79,54</t>
  </si>
  <si>
    <t>94,37</t>
  </si>
  <si>
    <t>49,81</t>
  </si>
  <si>
    <t>55,77</t>
  </si>
  <si>
    <t>98,87</t>
  </si>
  <si>
    <t>113,70</t>
  </si>
  <si>
    <t>5,39</t>
  </si>
  <si>
    <t>111,31</t>
  </si>
  <si>
    <t>187,81</t>
  </si>
  <si>
    <t>2,92</t>
  </si>
  <si>
    <t>81,70</t>
  </si>
  <si>
    <t>65,00</t>
  </si>
  <si>
    <t>44,61</t>
  </si>
  <si>
    <t>63,09</t>
  </si>
  <si>
    <t>32,70</t>
  </si>
  <si>
    <t>151,08</t>
  </si>
  <si>
    <t>48,99</t>
  </si>
  <si>
    <t>2,34</t>
  </si>
  <si>
    <t>1,28</t>
  </si>
  <si>
    <t>3,51</t>
  </si>
  <si>
    <t>1,41</t>
  </si>
  <si>
    <t>7,56</t>
  </si>
  <si>
    <t>10,02</t>
  </si>
  <si>
    <t>3,73</t>
  </si>
  <si>
    <t>0,52</t>
  </si>
  <si>
    <t>26,99</t>
  </si>
  <si>
    <t>87,77</t>
  </si>
  <si>
    <t>4,31</t>
  </si>
  <si>
    <t>4,11</t>
  </si>
  <si>
    <t>166,84</t>
  </si>
  <si>
    <t>36,40</t>
  </si>
  <si>
    <t>4,36</t>
  </si>
  <si>
    <t>90,63</t>
  </si>
  <si>
    <t>1,65</t>
  </si>
  <si>
    <t>1,87</t>
  </si>
  <si>
    <t>46,20</t>
  </si>
  <si>
    <t>137,14</t>
  </si>
  <si>
    <t>244,63</t>
  </si>
  <si>
    <t>163,11</t>
  </si>
  <si>
    <t>320,37</t>
  </si>
  <si>
    <t>50,76</t>
  </si>
  <si>
    <t>571,46</t>
  </si>
  <si>
    <t>431,34</t>
  </si>
  <si>
    <t>98,32</t>
  </si>
  <si>
    <t>17,69</t>
  </si>
  <si>
    <t>278,38</t>
  </si>
  <si>
    <t>44,11</t>
  </si>
  <si>
    <t>496,56</t>
  </si>
  <si>
    <t>367,68</t>
  </si>
  <si>
    <t>80,57</t>
  </si>
  <si>
    <t>129,52</t>
  </si>
  <si>
    <t>82,75</t>
  </si>
  <si>
    <t>8,17</t>
  </si>
  <si>
    <t>38,62</t>
  </si>
  <si>
    <t>38,08</t>
  </si>
  <si>
    <t>65,28</t>
  </si>
  <si>
    <t>172,10</t>
  </si>
  <si>
    <t>40,71</t>
  </si>
  <si>
    <t>7,20</t>
  </si>
  <si>
    <t>69,13</t>
  </si>
  <si>
    <t>198,56</t>
  </si>
  <si>
    <t>1,81</t>
  </si>
  <si>
    <t>4,69</t>
  </si>
  <si>
    <t>12,26</t>
  </si>
  <si>
    <t>7,32</t>
  </si>
  <si>
    <t>4,82</t>
  </si>
  <si>
    <t>8,99</t>
  </si>
  <si>
    <t>116,74</t>
  </si>
  <si>
    <t>89,52</t>
  </si>
  <si>
    <t>55,53</t>
  </si>
  <si>
    <t>38,89</t>
  </si>
  <si>
    <t>5,35</t>
  </si>
  <si>
    <t>59,15</t>
  </si>
  <si>
    <t>2,52</t>
  </si>
  <si>
    <t>22,77</t>
  </si>
  <si>
    <t>153,47</t>
  </si>
  <si>
    <t>10,63</t>
  </si>
  <si>
    <t>80,35</t>
  </si>
  <si>
    <t>143,19</t>
  </si>
  <si>
    <t>7,80</t>
  </si>
  <si>
    <t>21,74</t>
  </si>
  <si>
    <t>3,34</t>
  </si>
  <si>
    <t>30,11</t>
  </si>
  <si>
    <t>4,68</t>
  </si>
  <si>
    <t>5,54</t>
  </si>
  <si>
    <t>130,64</t>
  </si>
  <si>
    <t>6,55</t>
  </si>
  <si>
    <t>72,23</t>
  </si>
  <si>
    <t>293,98</t>
  </si>
  <si>
    <t>1,02</t>
  </si>
  <si>
    <t>1,08</t>
  </si>
  <si>
    <t>1,36</t>
  </si>
  <si>
    <t>2,00</t>
  </si>
  <si>
    <t>15,82</t>
  </si>
  <si>
    <t>34,39</t>
  </si>
  <si>
    <t>35,99</t>
  </si>
  <si>
    <t>6,00</t>
  </si>
  <si>
    <t>4,76</t>
  </si>
  <si>
    <t>52,42</t>
  </si>
  <si>
    <t>269,51</t>
  </si>
  <si>
    <t>80,32</t>
  </si>
  <si>
    <t>152,48</t>
  </si>
  <si>
    <t>4,14</t>
  </si>
  <si>
    <t>1,31</t>
  </si>
  <si>
    <t>7,01</t>
  </si>
  <si>
    <t>9,75</t>
  </si>
  <si>
    <t>7,88</t>
  </si>
  <si>
    <t>65,46</t>
  </si>
  <si>
    <t>156,45</t>
  </si>
  <si>
    <t>2.102,40</t>
  </si>
  <si>
    <t>109,61</t>
  </si>
  <si>
    <t>47,81</t>
  </si>
  <si>
    <t>143,72</t>
  </si>
  <si>
    <t>31,47</t>
  </si>
  <si>
    <t>4,19</t>
  </si>
  <si>
    <t>5,01</t>
  </si>
  <si>
    <t>266,53</t>
  </si>
  <si>
    <t>23,88</t>
  </si>
  <si>
    <t>3,31</t>
  </si>
  <si>
    <t>3,27</t>
  </si>
  <si>
    <t>25,86</t>
  </si>
  <si>
    <t>18,36</t>
  </si>
  <si>
    <t>2,54</t>
  </si>
  <si>
    <t>18,59</t>
  </si>
  <si>
    <t>28,16</t>
  </si>
  <si>
    <t>20,34</t>
  </si>
  <si>
    <t>2,84</t>
  </si>
  <si>
    <t>65,30</t>
  </si>
  <si>
    <t>7,24</t>
  </si>
  <si>
    <t>52,18</t>
  </si>
  <si>
    <t>3,44</t>
  </si>
  <si>
    <t>4.204,80</t>
  </si>
  <si>
    <t>5.256,00</t>
  </si>
  <si>
    <t>6,37</t>
  </si>
  <si>
    <t>131,40</t>
  </si>
  <si>
    <t>175,20</t>
  </si>
  <si>
    <t>73,31</t>
  </si>
  <si>
    <t>34,22</t>
  </si>
  <si>
    <t>56,64</t>
  </si>
  <si>
    <t>150,32</t>
  </si>
  <si>
    <t>524,66</t>
  </si>
  <si>
    <t>596,98</t>
  </si>
  <si>
    <t>667,08</t>
  </si>
  <si>
    <t>779,97</t>
  </si>
  <si>
    <t>1.166,45</t>
  </si>
  <si>
    <t>1.436,52</t>
  </si>
  <si>
    <t>1.520,60</t>
  </si>
  <si>
    <t>1.693,74</t>
  </si>
  <si>
    <t>2.120,30</t>
  </si>
  <si>
    <t>2.563,98</t>
  </si>
  <si>
    <t>2.672,41</t>
  </si>
  <si>
    <t>2.910,48</t>
  </si>
  <si>
    <t>3.346,63</t>
  </si>
  <si>
    <t>3.471,06</t>
  </si>
  <si>
    <t>1.149,70</t>
  </si>
  <si>
    <t>1.407,17</t>
  </si>
  <si>
    <t>1.491,24</t>
  </si>
  <si>
    <t>1.676,99</t>
  </si>
  <si>
    <t>2.089,11</t>
  </si>
  <si>
    <t>2.521,51</t>
  </si>
  <si>
    <t>2.631,09</t>
  </si>
  <si>
    <t>2.839,81</t>
  </si>
  <si>
    <t>3.264,00</t>
  </si>
  <si>
    <t>3.369,85</t>
  </si>
  <si>
    <t>39,54</t>
  </si>
  <si>
    <t>42,59</t>
  </si>
  <si>
    <t>58,49</t>
  </si>
  <si>
    <t>76,89</t>
  </si>
  <si>
    <t>83,75</t>
  </si>
  <si>
    <t>28,69</t>
  </si>
  <si>
    <t>3,22</t>
  </si>
  <si>
    <t>45,94</t>
  </si>
  <si>
    <t>48,77</t>
  </si>
  <si>
    <t>112,82</t>
  </si>
  <si>
    <t>83,17</t>
  </si>
  <si>
    <t>237,09</t>
  </si>
  <si>
    <t>40,99</t>
  </si>
  <si>
    <t>55,42</t>
  </si>
  <si>
    <t>33,03</t>
  </si>
  <si>
    <t>79,30</t>
  </si>
  <si>
    <t>87,80</t>
  </si>
  <si>
    <t>59,93</t>
  </si>
  <si>
    <t>18,78</t>
  </si>
  <si>
    <t>22,82</t>
  </si>
  <si>
    <t>25,46</t>
  </si>
  <si>
    <t>170,28</t>
  </si>
  <si>
    <t>52,87</t>
  </si>
  <si>
    <t>90,57</t>
  </si>
  <si>
    <t>194,21</t>
  </si>
  <si>
    <t>241,31</t>
  </si>
  <si>
    <t>288,03</t>
  </si>
  <si>
    <t>363,17</t>
  </si>
  <si>
    <t>155,13</t>
  </si>
  <si>
    <t>55,64</t>
  </si>
  <si>
    <t>164,46</t>
  </si>
  <si>
    <t>99,44</t>
  </si>
  <si>
    <t>157,64</t>
  </si>
  <si>
    <t>43,89</t>
  </si>
  <si>
    <t>167,55</t>
  </si>
  <si>
    <t>47,04</t>
  </si>
  <si>
    <t>61,43</t>
  </si>
  <si>
    <t>834,41</t>
  </si>
  <si>
    <t>985,24</t>
  </si>
  <si>
    <t>1.136,06</t>
  </si>
  <si>
    <t>1.438,55</t>
  </si>
  <si>
    <t>1.589,37</t>
  </si>
  <si>
    <t>1.786,92</t>
  </si>
  <si>
    <t>13,57</t>
  </si>
  <si>
    <t>2.080,46</t>
  </si>
  <si>
    <t>2.312,90</t>
  </si>
  <si>
    <t>2.463,72</t>
  </si>
  <si>
    <t>2.652,73</t>
  </si>
  <si>
    <t>947,07</t>
  </si>
  <si>
    <t>1.097,89</t>
  </si>
  <si>
    <t>1.362,20</t>
  </si>
  <si>
    <t>1.513,02</t>
  </si>
  <si>
    <t>1.710,58</t>
  </si>
  <si>
    <t>1.927,76</t>
  </si>
  <si>
    <t>2.198,38</t>
  </si>
  <si>
    <t>2.349,20</t>
  </si>
  <si>
    <t>2.500,03</t>
  </si>
  <si>
    <t>1.214,43</t>
  </si>
  <si>
    <t>1.647,33</t>
  </si>
  <si>
    <t>1.733,58</t>
  </si>
  <si>
    <t>1.924,50</t>
  </si>
  <si>
    <t>2.394,52</t>
  </si>
  <si>
    <t>3.097,91</t>
  </si>
  <si>
    <t>3.202,17</t>
  </si>
  <si>
    <t>3.484,52</t>
  </si>
  <si>
    <t>4.017,54</t>
  </si>
  <si>
    <t>4.301,48</t>
  </si>
  <si>
    <t>1.180,93</t>
  </si>
  <si>
    <t>1.606,01</t>
  </si>
  <si>
    <t>1.692,27</t>
  </si>
  <si>
    <t>2.011,21</t>
  </si>
  <si>
    <t>2.284,34</t>
  </si>
  <si>
    <t>2.909,10</t>
  </si>
  <si>
    <t>3.013,72</t>
  </si>
  <si>
    <t>3.237,22</t>
  </si>
  <si>
    <t>3.648,01</t>
  </si>
  <si>
    <t>3.565,41</t>
  </si>
  <si>
    <t>14,04</t>
  </si>
  <si>
    <t>38,23</t>
  </si>
  <si>
    <t>92,23</t>
  </si>
  <si>
    <t>44,78</t>
  </si>
  <si>
    <t>56,16</t>
  </si>
  <si>
    <t>118,53</t>
  </si>
  <si>
    <t>85,87</t>
  </si>
  <si>
    <t>81,33</t>
  </si>
  <si>
    <t>158,63</t>
  </si>
  <si>
    <t>140,24</t>
  </si>
  <si>
    <t>83,71</t>
  </si>
  <si>
    <t>149,77</t>
  </si>
  <si>
    <t>120,10</t>
  </si>
  <si>
    <t>124,02</t>
  </si>
  <si>
    <t>136,74</t>
  </si>
  <si>
    <t>202,79</t>
  </si>
  <si>
    <t>177,13</t>
  </si>
  <si>
    <t>141,00</t>
  </si>
  <si>
    <t>207,08</t>
  </si>
  <si>
    <t>177,15</t>
  </si>
  <si>
    <t>97,85</t>
  </si>
  <si>
    <t>63,13</t>
  </si>
  <si>
    <t>122,56</t>
  </si>
  <si>
    <t>121,76</t>
  </si>
  <si>
    <t>100,43</t>
  </si>
  <si>
    <t>159,74</t>
  </si>
  <si>
    <t>69,95</t>
  </si>
  <si>
    <t>69,04</t>
  </si>
  <si>
    <t>89,29</t>
  </si>
  <si>
    <t>103,52</t>
  </si>
  <si>
    <t>31,74</t>
  </si>
  <si>
    <t>618,04</t>
  </si>
  <si>
    <t>564,92</t>
  </si>
  <si>
    <t>768,02</t>
  </si>
  <si>
    <t>678,66</t>
  </si>
  <si>
    <t>853,20</t>
  </si>
  <si>
    <t>743,70</t>
  </si>
  <si>
    <t>870,97</t>
  </si>
  <si>
    <t>1.489,79</t>
  </si>
  <si>
    <t>1.848,46</t>
  </si>
  <si>
    <t>2.205,36</t>
  </si>
  <si>
    <t>604,40</t>
  </si>
  <si>
    <t>551,19</t>
  </si>
  <si>
    <t>229,03</t>
  </si>
  <si>
    <t>260,03</t>
  </si>
  <si>
    <t>297,59</t>
  </si>
  <si>
    <t>668,04</t>
  </si>
  <si>
    <t>121,91</t>
  </si>
  <si>
    <t>163,79</t>
  </si>
  <si>
    <t>174,89</t>
  </si>
  <si>
    <t>129,09</t>
  </si>
  <si>
    <t>142,14</t>
  </si>
  <si>
    <t>197,93</t>
  </si>
  <si>
    <t>137,09</t>
  </si>
  <si>
    <t>160,43</t>
  </si>
  <si>
    <t>144,37</t>
  </si>
  <si>
    <t>167,41</t>
  </si>
  <si>
    <t>157,65</t>
  </si>
  <si>
    <t>182,65</t>
  </si>
  <si>
    <t>170,40</t>
  </si>
  <si>
    <t>195,06</t>
  </si>
  <si>
    <t>124,71</t>
  </si>
  <si>
    <t>136,27</t>
  </si>
  <si>
    <t>179,49</t>
  </si>
  <si>
    <t>191,21</t>
  </si>
  <si>
    <t>140,32</t>
  </si>
  <si>
    <t>154,02</t>
  </si>
  <si>
    <t>197,27</t>
  </si>
  <si>
    <t>211,34</t>
  </si>
  <si>
    <t>145,70</t>
  </si>
  <si>
    <t>169,56</t>
  </si>
  <si>
    <t>149,03</t>
  </si>
  <si>
    <t>172,66</t>
  </si>
  <si>
    <t>166,03</t>
  </si>
  <si>
    <t>175,90</t>
  </si>
  <si>
    <t>236,23</t>
  </si>
  <si>
    <t>207,53</t>
  </si>
  <si>
    <t>199,92</t>
  </si>
  <si>
    <t>249,70</t>
  </si>
  <si>
    <t>230,73</t>
  </si>
  <si>
    <t>211,54</t>
  </si>
  <si>
    <t>205,36</t>
  </si>
  <si>
    <t>223,33</t>
  </si>
  <si>
    <t>205,43</t>
  </si>
  <si>
    <t>194,74</t>
  </si>
  <si>
    <t>184,15</t>
  </si>
  <si>
    <t>181,24</t>
  </si>
  <si>
    <t>236,83</t>
  </si>
  <si>
    <t>217,91</t>
  </si>
  <si>
    <t>206,69</t>
  </si>
  <si>
    <t>198,85</t>
  </si>
  <si>
    <t>186,34</t>
  </si>
  <si>
    <t>1.015,58</t>
  </si>
  <si>
    <t>611,95</t>
  </si>
  <si>
    <t>796,89</t>
  </si>
  <si>
    <t>494,17</t>
  </si>
  <si>
    <t>13,71</t>
  </si>
  <si>
    <t>9,60</t>
  </si>
  <si>
    <t>47,75</t>
  </si>
  <si>
    <t>61,75</t>
  </si>
  <si>
    <t>89,63</t>
  </si>
  <si>
    <t>116,87</t>
  </si>
  <si>
    <t>196,43</t>
  </si>
  <si>
    <t>48,87</t>
  </si>
  <si>
    <t>68,92</t>
  </si>
  <si>
    <t>90,66</t>
  </si>
  <si>
    <t>110,59</t>
  </si>
  <si>
    <t>213,65</t>
  </si>
  <si>
    <t>264,90</t>
  </si>
  <si>
    <t>367,46</t>
  </si>
  <si>
    <t>576,78</t>
  </si>
  <si>
    <t>788,56</t>
  </si>
  <si>
    <t>1.038,86</t>
  </si>
  <si>
    <t>997,47</t>
  </si>
  <si>
    <t>2.271,12</t>
  </si>
  <si>
    <t>837,46</t>
  </si>
  <si>
    <t>1.979,98</t>
  </si>
  <si>
    <t>1.754,66</t>
  </si>
  <si>
    <t>3.226,29</t>
  </si>
  <si>
    <t>1.790,11</t>
  </si>
  <si>
    <t>3.145,44</t>
  </si>
  <si>
    <t>2.836,21</t>
  </si>
  <si>
    <t>4.891,74</t>
  </si>
  <si>
    <t>1.339,16</t>
  </si>
  <si>
    <t>2.849,24</t>
  </si>
  <si>
    <t>1.440,93</t>
  </si>
  <si>
    <t>2.583,15</t>
  </si>
  <si>
    <t>2.328,48</t>
  </si>
  <si>
    <t>4.324,41</t>
  </si>
  <si>
    <t>474,34</t>
  </si>
  <si>
    <t>612,44</t>
  </si>
  <si>
    <t>1.135,45</t>
  </si>
  <si>
    <t>1.627,29</t>
  </si>
  <si>
    <t>940,21</t>
  </si>
  <si>
    <t>2.087,68</t>
  </si>
  <si>
    <t>1.221,51</t>
  </si>
  <si>
    <t>486,29</t>
  </si>
  <si>
    <t>1.476,46</t>
  </si>
  <si>
    <t>645,44</t>
  </si>
  <si>
    <t>3.043,19</t>
  </si>
  <si>
    <t>1.731,38</t>
  </si>
  <si>
    <t>883,44</t>
  </si>
  <si>
    <t>3.882,80</t>
  </si>
  <si>
    <t>2.113,83</t>
  </si>
  <si>
    <t>2.597,79</t>
  </si>
  <si>
    <t>1.352,46</t>
  </si>
  <si>
    <t>3.281,99</t>
  </si>
  <si>
    <t>1.617,56</t>
  </si>
  <si>
    <t>1.882,75</t>
  </si>
  <si>
    <t>2.147,88</t>
  </si>
  <si>
    <t>5.366,07</t>
  </si>
  <si>
    <t>2.413,07</t>
  </si>
  <si>
    <t>2.678,24</t>
  </si>
  <si>
    <t>6.742,36</t>
  </si>
  <si>
    <t>2.943,35</t>
  </si>
  <si>
    <t>4.048,57</t>
  </si>
  <si>
    <t>4.933,49</t>
  </si>
  <si>
    <t>5.793,43</t>
  </si>
  <si>
    <t>6.653,27</t>
  </si>
  <si>
    <t>7.513,26</t>
  </si>
  <si>
    <t>8.373,18</t>
  </si>
  <si>
    <t>3.231,62</t>
  </si>
  <si>
    <t>5.955,63</t>
  </si>
  <si>
    <t>2.436,19</t>
  </si>
  <si>
    <t>6.975,36</t>
  </si>
  <si>
    <t>2.701,30</t>
  </si>
  <si>
    <t>8.050,39</t>
  </si>
  <si>
    <t>2.966,49</t>
  </si>
  <si>
    <t>9.077,13</t>
  </si>
  <si>
    <t>10.103,87</t>
  </si>
  <si>
    <t>3.501,53</t>
  </si>
  <si>
    <t>8.222,93</t>
  </si>
  <si>
    <t>2.971,30</t>
  </si>
  <si>
    <t>9.456,99</t>
  </si>
  <si>
    <t>3.236,43</t>
  </si>
  <si>
    <t>10.691,03</t>
  </si>
  <si>
    <t>11.925,06</t>
  </si>
  <si>
    <t>3.771,47</t>
  </si>
  <si>
    <t>10.914,13</t>
  </si>
  <si>
    <t>3.506,35</t>
  </si>
  <si>
    <t>12.330,30</t>
  </si>
  <si>
    <t>13.746,50</t>
  </si>
  <si>
    <t>4.041,48</t>
  </si>
  <si>
    <t>13.969,68</t>
  </si>
  <si>
    <t>15.567,89</t>
  </si>
  <si>
    <t>4.311,43</t>
  </si>
  <si>
    <t>17.389,35</t>
  </si>
  <si>
    <t>4.534,27</t>
  </si>
  <si>
    <t>268,79</t>
  </si>
  <si>
    <t>974,09</t>
  </si>
  <si>
    <t>2.567,09</t>
  </si>
  <si>
    <t>6.054,16</t>
  </si>
  <si>
    <t>3.966,13</t>
  </si>
  <si>
    <t>4.650,35</t>
  </si>
  <si>
    <t>369,29</t>
  </si>
  <si>
    <t>1.198,22</t>
  </si>
  <si>
    <t>641,73</t>
  </si>
  <si>
    <t>1.804,85</t>
  </si>
  <si>
    <t>2.937,26</t>
  </si>
  <si>
    <t>1.631,06</t>
  </si>
  <si>
    <t>4.806,22</t>
  </si>
  <si>
    <t>878,37</t>
  </si>
  <si>
    <t>2.058,53</t>
  </si>
  <si>
    <t>3.754,96</t>
  </si>
  <si>
    <t>1.997,89</t>
  </si>
  <si>
    <t>2.531,45</t>
  </si>
  <si>
    <t>1.297,46</t>
  </si>
  <si>
    <t>5.643,22</t>
  </si>
  <si>
    <t>3.197,34</t>
  </si>
  <si>
    <t>1.551,12</t>
  </si>
  <si>
    <t>2.312,26</t>
  </si>
  <si>
    <t>3.863,18</t>
  </si>
  <si>
    <t>4.529,09</t>
  </si>
  <si>
    <t>469,60</t>
  </si>
  <si>
    <t>606,90</t>
  </si>
  <si>
    <t>6.480,10</t>
  </si>
  <si>
    <t>1.087,77</t>
  </si>
  <si>
    <t>1.542,77</t>
  </si>
  <si>
    <t>5.226,51</t>
  </si>
  <si>
    <t>930,91</t>
  </si>
  <si>
    <t>2.565,96</t>
  </si>
  <si>
    <t>367,04</t>
  </si>
  <si>
    <t>5.896,28</t>
  </si>
  <si>
    <t>2.004,14</t>
  </si>
  <si>
    <t>2.843,41</t>
  </si>
  <si>
    <t>1.141,99</t>
  </si>
  <si>
    <t>7.317,13</t>
  </si>
  <si>
    <t>1.252,67</t>
  </si>
  <si>
    <t>6.566,18</t>
  </si>
  <si>
    <t>9.207,38</t>
  </si>
  <si>
    <t>483,33</t>
  </si>
  <si>
    <t>2.819,64</t>
  </si>
  <si>
    <t>3.944,26</t>
  </si>
  <si>
    <t>2.471,84</t>
  </si>
  <si>
    <t>1.386,54</t>
  </si>
  <si>
    <t>8.154,11</t>
  </si>
  <si>
    <t>3.097,10</t>
  </si>
  <si>
    <t>3.093,00</t>
  </si>
  <si>
    <t>10.407,88</t>
  </si>
  <si>
    <t>3.350,73</t>
  </si>
  <si>
    <t>11.608,37</t>
  </si>
  <si>
    <t>5.800,59</t>
  </si>
  <si>
    <t>3.608,51</t>
  </si>
  <si>
    <t>10.624,57</t>
  </si>
  <si>
    <t>3.354,84</t>
  </si>
  <si>
    <t>12.002,31</t>
  </si>
  <si>
    <t>2.331,93</t>
  </si>
  <si>
    <t>13.380,08</t>
  </si>
  <si>
    <t>3.866,33</t>
  </si>
  <si>
    <t>13.596,83</t>
  </si>
  <si>
    <t>6.793,29</t>
  </si>
  <si>
    <t>15.151,74</t>
  </si>
  <si>
    <t>4.124,12</t>
  </si>
  <si>
    <t>16.923,49</t>
  </si>
  <si>
    <t>2.585,59</t>
  </si>
  <si>
    <t>267,77</t>
  </si>
  <si>
    <t>907,57</t>
  </si>
  <si>
    <t>7.841,28</t>
  </si>
  <si>
    <t>2.839,32</t>
  </si>
  <si>
    <t>8.840,99</t>
  </si>
  <si>
    <t>9.840,68</t>
  </si>
  <si>
    <t>8.006,86</t>
  </si>
  <si>
    <t>4.341,80</t>
  </si>
  <si>
    <t>1.456,56</t>
  </si>
  <si>
    <t>1.029,53</t>
  </si>
  <si>
    <t>559,16</t>
  </si>
  <si>
    <t>510,30</t>
  </si>
  <si>
    <t>506,09</t>
  </si>
  <si>
    <t>2.893,29</t>
  </si>
  <si>
    <t>1.640,47</t>
  </si>
  <si>
    <t>2.520,42</t>
  </si>
  <si>
    <t>2.478,39</t>
  </si>
  <si>
    <t>1.570,46</t>
  </si>
  <si>
    <t>35,75</t>
  </si>
  <si>
    <t>40,15</t>
  </si>
  <si>
    <t>45,86</t>
  </si>
  <si>
    <t>50,88</t>
  </si>
  <si>
    <t>53,63</t>
  </si>
  <si>
    <t>83,15</t>
  </si>
  <si>
    <t>91,94</t>
  </si>
  <si>
    <t>102,22</t>
  </si>
  <si>
    <t>58,89</t>
  </si>
  <si>
    <t>48,65</t>
  </si>
  <si>
    <t>53,71</t>
  </si>
  <si>
    <t>72,98</t>
  </si>
  <si>
    <t>72,48</t>
  </si>
  <si>
    <t>87,87</t>
  </si>
  <si>
    <t>102,03</t>
  </si>
  <si>
    <t>69,75</t>
  </si>
  <si>
    <t>66,34</t>
  </si>
  <si>
    <t>79,81</t>
  </si>
  <si>
    <t>169,20</t>
  </si>
  <si>
    <t>3.620,98</t>
  </si>
  <si>
    <t>4.526,80</t>
  </si>
  <si>
    <t>6.110,37</t>
  </si>
  <si>
    <t>7.319,36</t>
  </si>
  <si>
    <t>96,59</t>
  </si>
  <si>
    <t>10,42</t>
  </si>
  <si>
    <t>10,74</t>
  </si>
  <si>
    <t>13,16</t>
  </si>
  <si>
    <t>1.046,66</t>
  </si>
  <si>
    <t>2.142,66</t>
  </si>
  <si>
    <t>3.591,20</t>
  </si>
  <si>
    <t>5.384,38</t>
  </si>
  <si>
    <t>7.558,08</t>
  </si>
  <si>
    <t>13.085,73</t>
  </si>
  <si>
    <t>4.341,09</t>
  </si>
  <si>
    <t>6.506,12</t>
  </si>
  <si>
    <t>9.146,38</t>
  </si>
  <si>
    <t>15.854,59</t>
  </si>
  <si>
    <t>8.068,17</t>
  </si>
  <si>
    <t>11.293,56</t>
  </si>
  <si>
    <t>19.386,60</t>
  </si>
  <si>
    <t>2.612,81</t>
  </si>
  <si>
    <t>4.544,24</t>
  </si>
  <si>
    <t>7.244,70</t>
  </si>
  <si>
    <t>10.731,46</t>
  </si>
  <si>
    <t>20.392,29</t>
  </si>
  <si>
    <t>10.110,25</t>
  </si>
  <si>
    <t>15.025,15</t>
  </si>
  <si>
    <t>27.939,28</t>
  </si>
  <si>
    <t>12.990,12</t>
  </si>
  <si>
    <t>19.340,59</t>
  </si>
  <si>
    <t>35.633,07</t>
  </si>
  <si>
    <t>12.474,13</t>
  </si>
  <si>
    <t>19.215,42</t>
  </si>
  <si>
    <t>26.695,51</t>
  </si>
  <si>
    <t>37.585,71</t>
  </si>
  <si>
    <t>15.490,72</t>
  </si>
  <si>
    <t>23.275,45</t>
  </si>
  <si>
    <t>32.555,01</t>
  </si>
  <si>
    <t>45.421,42</t>
  </si>
  <si>
    <t>17.876,50</t>
  </si>
  <si>
    <t>27.388,37</t>
  </si>
  <si>
    <t>38.285,11</t>
  </si>
  <si>
    <t>53.809,63</t>
  </si>
  <si>
    <t>7.544,62</t>
  </si>
  <si>
    <t>11.252,86</t>
  </si>
  <si>
    <t>17.026,26</t>
  </si>
  <si>
    <t>24.999,02</t>
  </si>
  <si>
    <t>8.682,72</t>
  </si>
  <si>
    <t>12.854,49</t>
  </si>
  <si>
    <t>14.243,64</t>
  </si>
  <si>
    <t>18.878,94</t>
  </si>
  <si>
    <t>28.985,40</t>
  </si>
  <si>
    <t>9.608,34</t>
  </si>
  <si>
    <t>15.592,95</t>
  </si>
  <si>
    <t>20.492,58</t>
  </si>
  <si>
    <t>33.635,78</t>
  </si>
  <si>
    <t>27.340,92</t>
  </si>
  <si>
    <t>44.342,93</t>
  </si>
  <si>
    <t>59.514,50</t>
  </si>
  <si>
    <t>85.134,59</t>
  </si>
  <si>
    <t>29.183,56</t>
  </si>
  <si>
    <t>46.908,41</t>
  </si>
  <si>
    <t>66.434,45</t>
  </si>
  <si>
    <t>81.228,27</t>
  </si>
  <si>
    <t>29.801,60</t>
  </si>
  <si>
    <t>51.509,08</t>
  </si>
  <si>
    <t>72.013,86</t>
  </si>
  <si>
    <t>86.310,96</t>
  </si>
  <si>
    <t>145,82</t>
  </si>
  <si>
    <t>75,94</t>
  </si>
  <si>
    <t>121,55</t>
  </si>
  <si>
    <t>53,52</t>
  </si>
  <si>
    <t>99,27</t>
  </si>
  <si>
    <t>18,72</t>
  </si>
  <si>
    <t>13,88</t>
  </si>
  <si>
    <t>22,87</t>
  </si>
  <si>
    <t>9,08</t>
  </si>
  <si>
    <t>907,09</t>
  </si>
  <si>
    <t>909,18</t>
  </si>
  <si>
    <t>937,89</t>
  </si>
  <si>
    <t>1.099,74</t>
  </si>
  <si>
    <t>1.162,37</t>
  </si>
  <si>
    <t>785,67</t>
  </si>
  <si>
    <t>794,26</t>
  </si>
  <si>
    <t>802,84</t>
  </si>
  <si>
    <t>811,42</t>
  </si>
  <si>
    <t>1.174,14</t>
  </si>
  <si>
    <t>1.212,35</t>
  </si>
  <si>
    <t>399,10</t>
  </si>
  <si>
    <t>501,15</t>
  </si>
  <si>
    <t>394,31</t>
  </si>
  <si>
    <t>402,05</t>
  </si>
  <si>
    <t>428,51</t>
  </si>
  <si>
    <t>516,59</t>
  </si>
  <si>
    <t>720,47</t>
  </si>
  <si>
    <t>797,60</t>
  </si>
  <si>
    <t>1.256,13</t>
  </si>
  <si>
    <t>1.266,84</t>
  </si>
  <si>
    <t>1.325,58</t>
  </si>
  <si>
    <t>1.416,63</t>
  </si>
  <si>
    <t>1.617,54</t>
  </si>
  <si>
    <t>1.697,64</t>
  </si>
  <si>
    <t>1.038,21</t>
  </si>
  <si>
    <t>1.048,92</t>
  </si>
  <si>
    <t>1.078,36</t>
  </si>
  <si>
    <t>1.169,41</t>
  </si>
  <si>
    <t>1.370,32</t>
  </si>
  <si>
    <t>1.450,42</t>
  </si>
  <si>
    <t>406,64</t>
  </si>
  <si>
    <t>414,97</t>
  </si>
  <si>
    <t>478,58</t>
  </si>
  <si>
    <t>527,52</t>
  </si>
  <si>
    <t>1.050,54</t>
  </si>
  <si>
    <t>1.061,84</t>
  </si>
  <si>
    <t>1.128,43</t>
  </si>
  <si>
    <t>1.180,34</t>
  </si>
  <si>
    <t>292,99</t>
  </si>
  <si>
    <t>395,04</t>
  </si>
  <si>
    <t>417,32</t>
  </si>
  <si>
    <t>444,80</t>
  </si>
  <si>
    <t>485,70</t>
  </si>
  <si>
    <t>944,43</t>
  </si>
  <si>
    <t>1.304,94</t>
  </si>
  <si>
    <t>1.034,79</t>
  </si>
  <si>
    <t>1.021,16</t>
  </si>
  <si>
    <t>1.070,89</t>
  </si>
  <si>
    <t>1.160,98</t>
  </si>
  <si>
    <t>1.362,85</t>
  </si>
  <si>
    <t>1.441,99</t>
  </si>
  <si>
    <t>886,21</t>
  </si>
  <si>
    <t>895,97</t>
  </si>
  <si>
    <t>924,45</t>
  </si>
  <si>
    <t>1.014,54</t>
  </si>
  <si>
    <t>1.216,41</t>
  </si>
  <si>
    <t>1.295,55</t>
  </si>
  <si>
    <t>898,54</t>
  </si>
  <si>
    <t>908,89</t>
  </si>
  <si>
    <t>974,52</t>
  </si>
  <si>
    <t>1.025,47</t>
  </si>
  <si>
    <t>1.061,22</t>
  </si>
  <si>
    <t>909,22</t>
  </si>
  <si>
    <t>1.091,67</t>
  </si>
  <si>
    <t>938,72</t>
  </si>
  <si>
    <t>1.135,55</t>
  </si>
  <si>
    <t>981,64</t>
  </si>
  <si>
    <t>1.594,28</t>
  </si>
  <si>
    <t>1.440,37</t>
  </si>
  <si>
    <t>1.954,79</t>
  </si>
  <si>
    <t>1.800,88</t>
  </si>
  <si>
    <t>1.035,07</t>
  </si>
  <si>
    <t>242,64</t>
  </si>
  <si>
    <t>1.268,46</t>
  </si>
  <si>
    <t>1.047,12</t>
  </si>
  <si>
    <t>1.279,76</t>
  </si>
  <si>
    <t>1.309,59</t>
  </si>
  <si>
    <t>1.063,91</t>
  </si>
  <si>
    <t>1.375,65</t>
  </si>
  <si>
    <t>1.120,96</t>
  </si>
  <si>
    <t>1.427,56</t>
  </si>
  <si>
    <t>1.171,91</t>
  </si>
  <si>
    <t>1.279,14</t>
  </si>
  <si>
    <t>1.057,80</t>
  </si>
  <si>
    <t>1.382,77</t>
  </si>
  <si>
    <t>1.128,08</t>
  </si>
  <si>
    <t>1.841,50</t>
  </si>
  <si>
    <t>1.586,81</t>
  </si>
  <si>
    <t>2.202,01</t>
  </si>
  <si>
    <t>1.947,32</t>
  </si>
  <si>
    <t>998,86</t>
  </si>
  <si>
    <t>1.034,08</t>
  </si>
  <si>
    <t>1.013,55</t>
  </si>
  <si>
    <t>805,13</t>
  </si>
  <si>
    <t>1.308,20</t>
  </si>
  <si>
    <t>1.598,94</t>
  </si>
  <si>
    <t>954,64</t>
  </si>
  <si>
    <t>1.268,43</t>
  </si>
  <si>
    <t>1.568,12</t>
  </si>
  <si>
    <t>1.021,66</t>
  </si>
  <si>
    <t>724,04</t>
  </si>
  <si>
    <t>712,55</t>
  </si>
  <si>
    <t>648,90</t>
  </si>
  <si>
    <t>77,62</t>
  </si>
  <si>
    <t>68,31</t>
  </si>
  <si>
    <t>655,43</t>
  </si>
  <si>
    <t>533,12</t>
  </si>
  <si>
    <t>1.115,24</t>
  </si>
  <si>
    <t>120,69</t>
  </si>
  <si>
    <t>100,17</t>
  </si>
  <si>
    <t>671,99</t>
  </si>
  <si>
    <t>648,22</t>
  </si>
  <si>
    <t>1.822,20</t>
  </si>
  <si>
    <t>848,73</t>
  </si>
  <si>
    <t>659,99</t>
  </si>
  <si>
    <t>855,08</t>
  </si>
  <si>
    <t>847,45</t>
  </si>
  <si>
    <t>772,28</t>
  </si>
  <si>
    <t>470,62</t>
  </si>
  <si>
    <t>61,02</t>
  </si>
  <si>
    <t>165,87</t>
  </si>
  <si>
    <t>198,16</t>
  </si>
  <si>
    <t>248,15</t>
  </si>
  <si>
    <t>213,73</t>
  </si>
  <si>
    <t>254,62</t>
  </si>
  <si>
    <t>242,19</t>
  </si>
  <si>
    <t>329,69</t>
  </si>
  <si>
    <t>332,06</t>
  </si>
  <si>
    <t>394,30</t>
  </si>
  <si>
    <t>173,15</t>
  </si>
  <si>
    <t>277,57</t>
  </si>
  <si>
    <t>296,32</t>
  </si>
  <si>
    <t>346,31</t>
  </si>
  <si>
    <t>293,82</t>
  </si>
  <si>
    <t>334,71</t>
  </si>
  <si>
    <t>304,20</t>
  </si>
  <si>
    <t>391,70</t>
  </si>
  <si>
    <t>378,00</t>
  </si>
  <si>
    <t>434,32</t>
  </si>
  <si>
    <t>271,31</t>
  </si>
  <si>
    <t>493,82</t>
  </si>
  <si>
    <t>479,19</t>
  </si>
  <si>
    <t>893,90</t>
  </si>
  <si>
    <t>1.781,41</t>
  </si>
  <si>
    <t>2.041,37</t>
  </si>
  <si>
    <t>398,98</t>
  </si>
  <si>
    <t>466,79</t>
  </si>
  <si>
    <t>557,41</t>
  </si>
  <si>
    <t>1.234,84</t>
  </si>
  <si>
    <t>2.483,21</t>
  </si>
  <si>
    <t>2.583,39</t>
  </si>
  <si>
    <t>5.179,95</t>
  </si>
  <si>
    <t>661,09</t>
  </si>
  <si>
    <t>339,10</t>
  </si>
  <si>
    <t>481,87</t>
  </si>
  <si>
    <t>395,43</t>
  </si>
  <si>
    <t>539,49</t>
  </si>
  <si>
    <t>700,13</t>
  </si>
  <si>
    <t>1.214,44</t>
  </si>
  <si>
    <t>1.143,05</t>
  </si>
  <si>
    <t>1.051,45</t>
  </si>
  <si>
    <t>957,60</t>
  </si>
  <si>
    <t>841,82</t>
  </si>
  <si>
    <t>820,46</t>
  </si>
  <si>
    <t>797,81</t>
  </si>
  <si>
    <t>748,75</t>
  </si>
  <si>
    <t>1.247,32</t>
  </si>
  <si>
    <t>1.175,67</t>
  </si>
  <si>
    <t>1.084,21</t>
  </si>
  <si>
    <t>989,79</t>
  </si>
  <si>
    <t>868,64</t>
  </si>
  <si>
    <t>847,34</t>
  </si>
  <si>
    <t>825,52</t>
  </si>
  <si>
    <t>776,58</t>
  </si>
  <si>
    <t>835,58</t>
  </si>
  <si>
    <t>874,37</t>
  </si>
  <si>
    <t>53,38</t>
  </si>
  <si>
    <t>82,84</t>
  </si>
  <si>
    <t>152,11</t>
  </si>
  <si>
    <t>34,49</t>
  </si>
  <si>
    <t>43,73</t>
  </si>
  <si>
    <t>129,00</t>
  </si>
  <si>
    <t>242,11</t>
  </si>
  <si>
    <t>399,29</t>
  </si>
  <si>
    <t>537,49</t>
  </si>
  <si>
    <t>620,41</t>
  </si>
  <si>
    <t>111,93</t>
  </si>
  <si>
    <t>143,90</t>
  </si>
  <si>
    <t>329,58</t>
  </si>
  <si>
    <t>16,49</t>
  </si>
  <si>
    <t>15,68</t>
  </si>
  <si>
    <t>15,54</t>
  </si>
  <si>
    <t>58,71</t>
  </si>
  <si>
    <t>111,49</t>
  </si>
  <si>
    <t>211,08</t>
  </si>
  <si>
    <t>88,85</t>
  </si>
  <si>
    <t>242,84</t>
  </si>
  <si>
    <t>61,48</t>
  </si>
  <si>
    <t>118,49</t>
  </si>
  <si>
    <t>147,43</t>
  </si>
  <si>
    <t>125,48</t>
  </si>
  <si>
    <t>184,08</t>
  </si>
  <si>
    <t>242,69</t>
  </si>
  <si>
    <t>16,93</t>
  </si>
  <si>
    <t>28,22</t>
  </si>
  <si>
    <t>593,93</t>
  </si>
  <si>
    <t>564,71</t>
  </si>
  <si>
    <t>212,89</t>
  </si>
  <si>
    <t>126,91</t>
  </si>
  <si>
    <t>192,90</t>
  </si>
  <si>
    <t>119,86</t>
  </si>
  <si>
    <t>3,89</t>
  </si>
  <si>
    <t>145,33</t>
  </si>
  <si>
    <t>16,40</t>
  </si>
  <si>
    <t>14,18</t>
  </si>
  <si>
    <t>13,69</t>
  </si>
  <si>
    <t>12,79</t>
  </si>
  <si>
    <t>41,34</t>
  </si>
  <si>
    <t>160,31</t>
  </si>
  <si>
    <t>201,07</t>
  </si>
  <si>
    <t>238,36</t>
  </si>
  <si>
    <t>115,08</t>
  </si>
  <si>
    <t>108,22</t>
  </si>
  <si>
    <t>119,65</t>
  </si>
  <si>
    <t>282,30</t>
  </si>
  <si>
    <t>341,99</t>
  </si>
  <si>
    <t>198,30</t>
  </si>
  <si>
    <t>138,03</t>
  </si>
  <si>
    <t>216,09</t>
  </si>
  <si>
    <t>260,02</t>
  </si>
  <si>
    <t>319,71</t>
  </si>
  <si>
    <t>199,56</t>
  </si>
  <si>
    <t>115,60</t>
  </si>
  <si>
    <t>151,51</t>
  </si>
  <si>
    <t>256,20</t>
  </si>
  <si>
    <t>195,74</t>
  </si>
  <si>
    <t>367,58</t>
  </si>
  <si>
    <t>229,64</t>
  </si>
  <si>
    <t>142,78</t>
  </si>
  <si>
    <t>139,00</t>
  </si>
  <si>
    <t>88,65</t>
  </si>
  <si>
    <t>108,13</t>
  </si>
  <si>
    <t>89,78</t>
  </si>
  <si>
    <t>64,83</t>
  </si>
  <si>
    <t>80,54</t>
  </si>
  <si>
    <t>75,82</t>
  </si>
  <si>
    <t>72,32</t>
  </si>
  <si>
    <t>55,76</t>
  </si>
  <si>
    <t>51,20</t>
  </si>
  <si>
    <t>64,75</t>
  </si>
  <si>
    <t>332,98</t>
  </si>
  <si>
    <t>229,73</t>
  </si>
  <si>
    <t>177,37</t>
  </si>
  <si>
    <t>273,81</t>
  </si>
  <si>
    <t>356,41</t>
  </si>
  <si>
    <t>186,28</t>
  </si>
  <si>
    <t>170,02</t>
  </si>
  <si>
    <t>234,61</t>
  </si>
  <si>
    <t>326,28</t>
  </si>
  <si>
    <t>153,08</t>
  </si>
  <si>
    <t>139,85</t>
  </si>
  <si>
    <t>204,52</t>
  </si>
  <si>
    <t>306,98</t>
  </si>
  <si>
    <t>130,57</t>
  </si>
  <si>
    <t>114,78</t>
  </si>
  <si>
    <t>188,91</t>
  </si>
  <si>
    <t>294,59</t>
  </si>
  <si>
    <t>109,26</t>
  </si>
  <si>
    <t>151,91</t>
  </si>
  <si>
    <t>98,31</t>
  </si>
  <si>
    <t>102,58</t>
  </si>
  <si>
    <t>138,62</t>
  </si>
  <si>
    <t>280,24</t>
  </si>
  <si>
    <t>89,82</t>
  </si>
  <si>
    <t>96,41</t>
  </si>
  <si>
    <t>274,07</t>
  </si>
  <si>
    <t>82,89</t>
  </si>
  <si>
    <t>91,15</t>
  </si>
  <si>
    <t>104,83</t>
  </si>
  <si>
    <t>261,99</t>
  </si>
  <si>
    <t>68,19</t>
  </si>
  <si>
    <t>80,71</t>
  </si>
  <si>
    <t>375,27</t>
  </si>
  <si>
    <t>257,01</t>
  </si>
  <si>
    <t>181,97</t>
  </si>
  <si>
    <t>130,47</t>
  </si>
  <si>
    <t>79,13</t>
  </si>
  <si>
    <t>124,62</t>
  </si>
  <si>
    <t>74,49</t>
  </si>
  <si>
    <t>119,69</t>
  </si>
  <si>
    <t>70,59</t>
  </si>
  <si>
    <t>115,64</t>
  </si>
  <si>
    <t>67,55</t>
  </si>
  <si>
    <t>61,95</t>
  </si>
  <si>
    <t>121,60</t>
  </si>
  <si>
    <t>107,02</t>
  </si>
  <si>
    <t>54,87</t>
  </si>
  <si>
    <t>99,46</t>
  </si>
  <si>
    <t>48,56</t>
  </si>
  <si>
    <t>94,36</t>
  </si>
  <si>
    <t>44,58</t>
  </si>
  <si>
    <t>93,45</t>
  </si>
  <si>
    <t>90,00</t>
  </si>
  <si>
    <t>42,26</t>
  </si>
  <si>
    <t>87,00</t>
  </si>
  <si>
    <t>81,27</t>
  </si>
  <si>
    <t>251,00</t>
  </si>
  <si>
    <t>211,68</t>
  </si>
  <si>
    <t>198,14</t>
  </si>
  <si>
    <t>238,68</t>
  </si>
  <si>
    <t>386,84</t>
  </si>
  <si>
    <t>212,46</t>
  </si>
  <si>
    <t>147,21</t>
  </si>
  <si>
    <t>244,85</t>
  </si>
  <si>
    <t>130,63</t>
  </si>
  <si>
    <t>101,96</t>
  </si>
  <si>
    <t>170,92</t>
  </si>
  <si>
    <t>88,04</t>
  </si>
  <si>
    <t>205,63</t>
  </si>
  <si>
    <t>287,69</t>
  </si>
  <si>
    <t>129,67</t>
  </si>
  <si>
    <t>144,60</t>
  </si>
  <si>
    <t>206,35</t>
  </si>
  <si>
    <t>99,06</t>
  </si>
  <si>
    <t>18,88</t>
  </si>
  <si>
    <t>221,34</t>
  </si>
  <si>
    <t>24,46</t>
  </si>
  <si>
    <t>17,62</t>
  </si>
  <si>
    <t>179,23</t>
  </si>
  <si>
    <t>238,39</t>
  </si>
  <si>
    <t>537,09</t>
  </si>
  <si>
    <t>456,22</t>
  </si>
  <si>
    <t>300,85</t>
  </si>
  <si>
    <t>268,95</t>
  </si>
  <si>
    <t>229,62</t>
  </si>
  <si>
    <t>203,86</t>
  </si>
  <si>
    <t>187,43</t>
  </si>
  <si>
    <t>139,72</t>
  </si>
  <si>
    <t>282,74</t>
  </si>
  <si>
    <t>187,27</t>
  </si>
  <si>
    <t>150,20</t>
  </si>
  <si>
    <t>256,67</t>
  </si>
  <si>
    <t>188,86</t>
  </si>
  <si>
    <t>332,53</t>
  </si>
  <si>
    <t>197,62</t>
  </si>
  <si>
    <t>156,02</t>
  </si>
  <si>
    <t>276,17</t>
  </si>
  <si>
    <t>188,43</t>
  </si>
  <si>
    <t>141,78</t>
  </si>
  <si>
    <t>356,59</t>
  </si>
  <si>
    <t>555,40</t>
  </si>
  <si>
    <t>478,23</t>
  </si>
  <si>
    <t>297,42</t>
  </si>
  <si>
    <t>266,33</t>
  </si>
  <si>
    <t>231,53</t>
  </si>
  <si>
    <t>204,87</t>
  </si>
  <si>
    <t>188,10</t>
  </si>
  <si>
    <t>534,26</t>
  </si>
  <si>
    <t>445,84</t>
  </si>
  <si>
    <t>304,37</t>
  </si>
  <si>
    <t>270,27</t>
  </si>
  <si>
    <t>228,55</t>
  </si>
  <si>
    <t>201,90</t>
  </si>
  <si>
    <t>187,01</t>
  </si>
  <si>
    <t>605,30</t>
  </si>
  <si>
    <t>506,71</t>
  </si>
  <si>
    <t>264,40</t>
  </si>
  <si>
    <t>227,65</t>
  </si>
  <si>
    <t>200,82</t>
  </si>
  <si>
    <t>185,84</t>
  </si>
  <si>
    <t>558,25</t>
  </si>
  <si>
    <t>464,32</t>
  </si>
  <si>
    <t>305,26</t>
  </si>
  <si>
    <t>268,89</t>
  </si>
  <si>
    <t>228,43</t>
  </si>
  <si>
    <t>202,62</t>
  </si>
  <si>
    <t>187,11</t>
  </si>
  <si>
    <t>618,76</t>
  </si>
  <si>
    <t>527,44</t>
  </si>
  <si>
    <t>292,05</t>
  </si>
  <si>
    <t>221,95</t>
  </si>
  <si>
    <t>195,17</t>
  </si>
  <si>
    <t>180,22</t>
  </si>
  <si>
    <t>520,08</t>
  </si>
  <si>
    <t>279,61</t>
  </si>
  <si>
    <t>251,40</t>
  </si>
  <si>
    <t>212,42</t>
  </si>
  <si>
    <t>186,44</t>
  </si>
  <si>
    <t>547,70</t>
  </si>
  <si>
    <t>469,03</t>
  </si>
  <si>
    <t>263,83</t>
  </si>
  <si>
    <t>236,91</t>
  </si>
  <si>
    <t>204,38</t>
  </si>
  <si>
    <t>179,64</t>
  </si>
  <si>
    <t>169,97</t>
  </si>
  <si>
    <t>3.554,24</t>
  </si>
  <si>
    <t>4.261,66</t>
  </si>
  <si>
    <t>4.463,58</t>
  </si>
  <si>
    <t>4.554,54</t>
  </si>
  <si>
    <t>5.065,87</t>
  </si>
  <si>
    <t>5.118,86</t>
  </si>
  <si>
    <t>4.939,45</t>
  </si>
  <si>
    <t>4.315,75</t>
  </si>
  <si>
    <t>189,86</t>
  </si>
  <si>
    <t>150,95</t>
  </si>
  <si>
    <t>256,81</t>
  </si>
  <si>
    <t>178,63</t>
  </si>
  <si>
    <t>134,49</t>
  </si>
  <si>
    <t>301,08</t>
  </si>
  <si>
    <t>123,39</t>
  </si>
  <si>
    <t>83,11</t>
  </si>
  <si>
    <t>62,81</t>
  </si>
  <si>
    <t>9,02</t>
  </si>
  <si>
    <t>17,31</t>
  </si>
  <si>
    <t>10,31</t>
  </si>
  <si>
    <t>8,11</t>
  </si>
  <si>
    <t>11,73</t>
  </si>
  <si>
    <t>14,86</t>
  </si>
  <si>
    <t>13,84</t>
  </si>
  <si>
    <t>9,25</t>
  </si>
  <si>
    <t>10,51</t>
  </si>
  <si>
    <t>12,36</t>
  </si>
  <si>
    <t>10,33</t>
  </si>
  <si>
    <t>11,55</t>
  </si>
  <si>
    <t>10,35</t>
  </si>
  <si>
    <t>9,43</t>
  </si>
  <si>
    <t>7,99</t>
  </si>
  <si>
    <t>9,53</t>
  </si>
  <si>
    <t>10,11</t>
  </si>
  <si>
    <t>12,02</t>
  </si>
  <si>
    <t>16,05</t>
  </si>
  <si>
    <t>12,54</t>
  </si>
  <si>
    <t>9,79</t>
  </si>
  <si>
    <t>11,07</t>
  </si>
  <si>
    <t>9,19</t>
  </si>
  <si>
    <t>14,70</t>
  </si>
  <si>
    <t>21,32</t>
  </si>
  <si>
    <t>16,97</t>
  </si>
  <si>
    <t>10,15</t>
  </si>
  <si>
    <t>13,54</t>
  </si>
  <si>
    <t>11,18</t>
  </si>
  <si>
    <t>10,53</t>
  </si>
  <si>
    <t>11,28</t>
  </si>
  <si>
    <t>13,40</t>
  </si>
  <si>
    <t>16,58</t>
  </si>
  <si>
    <t>19,03</t>
  </si>
  <si>
    <t>965,49</t>
  </si>
  <si>
    <t>799,63</t>
  </si>
  <si>
    <t>923,07</t>
  </si>
  <si>
    <t>423,02</t>
  </si>
  <si>
    <t>471,02</t>
  </si>
  <si>
    <t>523,01</t>
  </si>
  <si>
    <t>608,18</t>
  </si>
  <si>
    <t>414,44</t>
  </si>
  <si>
    <t>463,01</t>
  </si>
  <si>
    <t>518,76</t>
  </si>
  <si>
    <t>324,05</t>
  </si>
  <si>
    <t>359,89</t>
  </si>
  <si>
    <t>397,66</t>
  </si>
  <si>
    <t>410,97</t>
  </si>
  <si>
    <t>425,20</t>
  </si>
  <si>
    <t>488,35</t>
  </si>
  <si>
    <t>318,30</t>
  </si>
  <si>
    <t>350,75</t>
  </si>
  <si>
    <t>380,17</t>
  </si>
  <si>
    <t>401,21</t>
  </si>
  <si>
    <t>415,50</t>
  </si>
  <si>
    <t>475,96</t>
  </si>
  <si>
    <t>393,58</t>
  </si>
  <si>
    <t>425,39</t>
  </si>
  <si>
    <t>615,94</t>
  </si>
  <si>
    <t>715,45</t>
  </si>
  <si>
    <t>426,04</t>
  </si>
  <si>
    <t>459,90</t>
  </si>
  <si>
    <t>502,53</t>
  </si>
  <si>
    <t>513,75</t>
  </si>
  <si>
    <t>547,31</t>
  </si>
  <si>
    <t>590,14</t>
  </si>
  <si>
    <t>420,53</t>
  </si>
  <si>
    <t>451,10</t>
  </si>
  <si>
    <t>485,13</t>
  </si>
  <si>
    <t>508,27</t>
  </si>
  <si>
    <t>535,90</t>
  </si>
  <si>
    <t>587,23</t>
  </si>
  <si>
    <t>497,07</t>
  </si>
  <si>
    <t>525,64</t>
  </si>
  <si>
    <t>541,13</t>
  </si>
  <si>
    <t>182,15</t>
  </si>
  <si>
    <t>170,74</t>
  </si>
  <si>
    <t>973,16</t>
  </si>
  <si>
    <t>664,32</t>
  </si>
  <si>
    <t>117,08</t>
  </si>
  <si>
    <t>24,47</t>
  </si>
  <si>
    <t>53,57</t>
  </si>
  <si>
    <t>52,61</t>
  </si>
  <si>
    <t>66,42</t>
  </si>
  <si>
    <t>65,32</t>
  </si>
  <si>
    <t>114,26</t>
  </si>
  <si>
    <t>93,95</t>
  </si>
  <si>
    <t>115,03</t>
  </si>
  <si>
    <t>47,37</t>
  </si>
  <si>
    <t>52,43</t>
  </si>
  <si>
    <t>49,79</t>
  </si>
  <si>
    <t>51,44</t>
  </si>
  <si>
    <t>62,62</t>
  </si>
  <si>
    <t>98,19</t>
  </si>
  <si>
    <t>109,57</t>
  </si>
  <si>
    <t>40,07</t>
  </si>
  <si>
    <t>3,08</t>
  </si>
  <si>
    <t>6,90</t>
  </si>
  <si>
    <t>16,66</t>
  </si>
  <si>
    <t>70,14</t>
  </si>
  <si>
    <t>38,92</t>
  </si>
  <si>
    <t>3.550,76</t>
  </si>
  <si>
    <t>3.107,35</t>
  </si>
  <si>
    <t>2.514,70</t>
  </si>
  <si>
    <t>1.477,71</t>
  </si>
  <si>
    <t>3.312,56</t>
  </si>
  <si>
    <t>5.119,32</t>
  </si>
  <si>
    <t>2.932,97</t>
  </si>
  <si>
    <t>2.037,58</t>
  </si>
  <si>
    <t>140,56</t>
  </si>
  <si>
    <t>108,07</t>
  </si>
  <si>
    <t>98,97</t>
  </si>
  <si>
    <t>136,36</t>
  </si>
  <si>
    <t>122,60</t>
  </si>
  <si>
    <t>115,67</t>
  </si>
  <si>
    <t>152,61</t>
  </si>
  <si>
    <t>141,56</t>
  </si>
  <si>
    <t>135,95</t>
  </si>
  <si>
    <t>161,44</t>
  </si>
  <si>
    <t>156,65</t>
  </si>
  <si>
    <t>623,23</t>
  </si>
  <si>
    <t>632,95</t>
  </si>
  <si>
    <t>642,66</t>
  </si>
  <si>
    <t>652,38</t>
  </si>
  <si>
    <t>671,80</t>
  </si>
  <si>
    <t>80,02</t>
  </si>
  <si>
    <t>94,71</t>
  </si>
  <si>
    <t>112,42</t>
  </si>
  <si>
    <t>158,58</t>
  </si>
  <si>
    <t>214,03</t>
  </si>
  <si>
    <t>282,89</t>
  </si>
  <si>
    <t>18,90</t>
  </si>
  <si>
    <t>18,45</t>
  </si>
  <si>
    <t>18,80</t>
  </si>
  <si>
    <t>18,63</t>
  </si>
  <si>
    <t>24,28</t>
  </si>
  <si>
    <t>19,64</t>
  </si>
  <si>
    <t>22,44</t>
  </si>
  <si>
    <t>84,50</t>
  </si>
  <si>
    <t>56,23</t>
  </si>
  <si>
    <t>376,44</t>
  </si>
  <si>
    <t>468,44</t>
  </si>
  <si>
    <t>573,40</t>
  </si>
  <si>
    <t>1.650,34</t>
  </si>
  <si>
    <t>1.319,78</t>
  </si>
  <si>
    <t>1.135,76</t>
  </si>
  <si>
    <t>699,14</t>
  </si>
  <si>
    <t>509,66</t>
  </si>
  <si>
    <t>481,91</t>
  </si>
  <si>
    <t>1.476,50</t>
  </si>
  <si>
    <t>43,45</t>
  </si>
  <si>
    <t>58,56</t>
  </si>
  <si>
    <t>61,50</t>
  </si>
  <si>
    <t>34,48</t>
  </si>
  <si>
    <t>30,22</t>
  </si>
  <si>
    <t>44,74</t>
  </si>
  <si>
    <t>2.171,27</t>
  </si>
  <si>
    <t>3.804,52</t>
  </si>
  <si>
    <t>2.936,97</t>
  </si>
  <si>
    <t>3.190,90</t>
  </si>
  <si>
    <t>2.551,46</t>
  </si>
  <si>
    <t>2.448,04</t>
  </si>
  <si>
    <t>3.873,56</t>
  </si>
  <si>
    <t>2.383,03</t>
  </si>
  <si>
    <t>50,97</t>
  </si>
  <si>
    <t>44,39</t>
  </si>
  <si>
    <t>30,75</t>
  </si>
  <si>
    <t>57,53</t>
  </si>
  <si>
    <t>216,98</t>
  </si>
  <si>
    <t>147,64</t>
  </si>
  <si>
    <t>35,68</t>
  </si>
  <si>
    <t>52,98</t>
  </si>
  <si>
    <t>51,57</t>
  </si>
  <si>
    <t>68,87</t>
  </si>
  <si>
    <t>84,03</t>
  </si>
  <si>
    <t>82,63</t>
  </si>
  <si>
    <t>99,96</t>
  </si>
  <si>
    <t>70,36</t>
  </si>
  <si>
    <t>11,80</t>
  </si>
  <si>
    <t>12,76</t>
  </si>
  <si>
    <t>6,67</t>
  </si>
  <si>
    <t>7,58</t>
  </si>
  <si>
    <t>8,95</t>
  </si>
  <si>
    <t>10,84</t>
  </si>
  <si>
    <t>12,99</t>
  </si>
  <si>
    <t>14,48</t>
  </si>
  <si>
    <t>17,43</t>
  </si>
  <si>
    <t>15,78</t>
  </si>
  <si>
    <t>10,98</t>
  </si>
  <si>
    <t>16,82</t>
  </si>
  <si>
    <t>20,80</t>
  </si>
  <si>
    <t>15,02</t>
  </si>
  <si>
    <t>16,89</t>
  </si>
  <si>
    <t>20,86</t>
  </si>
  <si>
    <t>19,14</t>
  </si>
  <si>
    <t>27,49</t>
  </si>
  <si>
    <t>37,74</t>
  </si>
  <si>
    <t>68,24</t>
  </si>
  <si>
    <t>10,49</t>
  </si>
  <si>
    <t>9,91</t>
  </si>
  <si>
    <t>14,10</t>
  </si>
  <si>
    <t>21,05</t>
  </si>
  <si>
    <t>10,90</t>
  </si>
  <si>
    <t>13,04</t>
  </si>
  <si>
    <t>15,91</t>
  </si>
  <si>
    <t>8,88</t>
  </si>
  <si>
    <t>17,15</t>
  </si>
  <si>
    <t>19,95</t>
  </si>
  <si>
    <t>19,75</t>
  </si>
  <si>
    <t>21,49</t>
  </si>
  <si>
    <t>24,75</t>
  </si>
  <si>
    <t>27,21</t>
  </si>
  <si>
    <t>12,38</t>
  </si>
  <si>
    <t>16,69</t>
  </si>
  <si>
    <t>20,73</t>
  </si>
  <si>
    <t>21,75</t>
  </si>
  <si>
    <t>24,21</t>
  </si>
  <si>
    <t>22,05</t>
  </si>
  <si>
    <t>21,71</t>
  </si>
  <si>
    <t>25,95</t>
  </si>
  <si>
    <t>27,62</t>
  </si>
  <si>
    <t>33,26</t>
  </si>
  <si>
    <t>23,86</t>
  </si>
  <si>
    <t>34,60</t>
  </si>
  <si>
    <t>41,45</t>
  </si>
  <si>
    <t>60,67</t>
  </si>
  <si>
    <t>37,56</t>
  </si>
  <si>
    <t>62,87</t>
  </si>
  <si>
    <t>23,44</t>
  </si>
  <si>
    <t>4,81</t>
  </si>
  <si>
    <t>6,60</t>
  </si>
  <si>
    <t>9,12</t>
  </si>
  <si>
    <t>15,86</t>
  </si>
  <si>
    <t>23,03</t>
  </si>
  <si>
    <t>9,36</t>
  </si>
  <si>
    <t>48,08</t>
  </si>
  <si>
    <t>85,34</t>
  </si>
  <si>
    <t>110,51</t>
  </si>
  <si>
    <t>133,57</t>
  </si>
  <si>
    <t>163,49</t>
  </si>
  <si>
    <t>216,00</t>
  </si>
  <si>
    <t>278,74</t>
  </si>
  <si>
    <t>12,96</t>
  </si>
  <si>
    <t>13,74</t>
  </si>
  <si>
    <t>21,34</t>
  </si>
  <si>
    <t>22,49</t>
  </si>
  <si>
    <t>41,53</t>
  </si>
  <si>
    <t>17,88</t>
  </si>
  <si>
    <t>22,28</t>
  </si>
  <si>
    <t>43,49</t>
  </si>
  <si>
    <t>24,83</t>
  </si>
  <si>
    <t>15,64</t>
  </si>
  <si>
    <t>28,00</t>
  </si>
  <si>
    <t>35,43</t>
  </si>
  <si>
    <t>40,73</t>
  </si>
  <si>
    <t>44,42</t>
  </si>
  <si>
    <t>34,32</t>
  </si>
  <si>
    <t>46,37</t>
  </si>
  <si>
    <t>63,98</t>
  </si>
  <si>
    <t>54,50</t>
  </si>
  <si>
    <t>75,00</t>
  </si>
  <si>
    <t>46,51</t>
  </si>
  <si>
    <t>31,50</t>
  </si>
  <si>
    <t>31,80</t>
  </si>
  <si>
    <t>37,00</t>
  </si>
  <si>
    <t>46,35</t>
  </si>
  <si>
    <t>28,50</t>
  </si>
  <si>
    <t>42,64</t>
  </si>
  <si>
    <t>38,49</t>
  </si>
  <si>
    <t>46,65</t>
  </si>
  <si>
    <t>64,78</t>
  </si>
  <si>
    <t>127,63</t>
  </si>
  <si>
    <t>200,92</t>
  </si>
  <si>
    <t>387,49</t>
  </si>
  <si>
    <t>757,73</t>
  </si>
  <si>
    <t>1.162,85</t>
  </si>
  <si>
    <t>269,53</t>
  </si>
  <si>
    <t>518,47</t>
  </si>
  <si>
    <t>702,79</t>
  </si>
  <si>
    <t>789,16</t>
  </si>
  <si>
    <t>208,77</t>
  </si>
  <si>
    <t>390,00</t>
  </si>
  <si>
    <t>538,94</t>
  </si>
  <si>
    <t>590,61</t>
  </si>
  <si>
    <t>32,17</t>
  </si>
  <si>
    <t>35,59</t>
  </si>
  <si>
    <t>45,74</t>
  </si>
  <si>
    <t>31,95</t>
  </si>
  <si>
    <t>39,67</t>
  </si>
  <si>
    <t>41,50</t>
  </si>
  <si>
    <t>56,10</t>
  </si>
  <si>
    <t>12,46</t>
  </si>
  <si>
    <t>24,45</t>
  </si>
  <si>
    <t>28,52</t>
  </si>
  <si>
    <t>58,65</t>
  </si>
  <si>
    <t>60,38</t>
  </si>
  <si>
    <t>63,58</t>
  </si>
  <si>
    <t>67,53</t>
  </si>
  <si>
    <t>73,13</t>
  </si>
  <si>
    <t>81,26</t>
  </si>
  <si>
    <t>73,75</t>
  </si>
  <si>
    <t>76,35</t>
  </si>
  <si>
    <t>81,14</t>
  </si>
  <si>
    <t>87,06</t>
  </si>
  <si>
    <t>96,66</t>
  </si>
  <si>
    <t>108,87</t>
  </si>
  <si>
    <t>3.319,55</t>
  </si>
  <si>
    <t>6.358,47</t>
  </si>
  <si>
    <t>8.477,95</t>
  </si>
  <si>
    <t>382,18</t>
  </si>
  <si>
    <t>80,89</t>
  </si>
  <si>
    <t>57,50</t>
  </si>
  <si>
    <t>548,97</t>
  </si>
  <si>
    <t>632,66</t>
  </si>
  <si>
    <t>902,26</t>
  </si>
  <si>
    <t>1.273,57</t>
  </si>
  <si>
    <t>523,91</t>
  </si>
  <si>
    <t>30,68</t>
  </si>
  <si>
    <t>74,77</t>
  </si>
  <si>
    <t>96,24</t>
  </si>
  <si>
    <t>173,32</t>
  </si>
  <si>
    <t>454,18</t>
  </si>
  <si>
    <t>667,63</t>
  </si>
  <si>
    <t>1.049,32</t>
  </si>
  <si>
    <t>1.394,06</t>
  </si>
  <si>
    <t>2.214,05</t>
  </si>
  <si>
    <t>4.589,13</t>
  </si>
  <si>
    <t>160,04</t>
  </si>
  <si>
    <t>198,11</t>
  </si>
  <si>
    <t>413,27</t>
  </si>
  <si>
    <t>1.508,29</t>
  </si>
  <si>
    <t>107,55</t>
  </si>
  <si>
    <t>19,00</t>
  </si>
  <si>
    <t>23,17</t>
  </si>
  <si>
    <t>49,99</t>
  </si>
  <si>
    <t>63,40</t>
  </si>
  <si>
    <t>55,43</t>
  </si>
  <si>
    <t>58,10</t>
  </si>
  <si>
    <t>71,51</t>
  </si>
  <si>
    <t>68,85</t>
  </si>
  <si>
    <t>82,26</t>
  </si>
  <si>
    <t>60,88</t>
  </si>
  <si>
    <t>84,93</t>
  </si>
  <si>
    <t>98,34</t>
  </si>
  <si>
    <t>88,19</t>
  </si>
  <si>
    <t>107,19</t>
  </si>
  <si>
    <t>96,30</t>
  </si>
  <si>
    <t>115,30</t>
  </si>
  <si>
    <t>80,15</t>
  </si>
  <si>
    <t>99,15</t>
  </si>
  <si>
    <t>117,94</t>
  </si>
  <si>
    <t>136,94</t>
  </si>
  <si>
    <t>47,40</t>
  </si>
  <si>
    <t>46,17</t>
  </si>
  <si>
    <t>94,31</t>
  </si>
  <si>
    <t>107,72</t>
  </si>
  <si>
    <t>22,03</t>
  </si>
  <si>
    <t>35,44</t>
  </si>
  <si>
    <t>43,94</t>
  </si>
  <si>
    <t>39,58</t>
  </si>
  <si>
    <t>43,56</t>
  </si>
  <si>
    <t>56,97</t>
  </si>
  <si>
    <t>59,20</t>
  </si>
  <si>
    <t>43,46</t>
  </si>
  <si>
    <t>38,24</t>
  </si>
  <si>
    <t>55,80</t>
  </si>
  <si>
    <t>69,21</t>
  </si>
  <si>
    <t>73,67</t>
  </si>
  <si>
    <t>49,74</t>
  </si>
  <si>
    <t>58,69</t>
  </si>
  <si>
    <t>63,15</t>
  </si>
  <si>
    <t>81,48</t>
  </si>
  <si>
    <t>88,17</t>
  </si>
  <si>
    <t>94,89</t>
  </si>
  <si>
    <t>101,58</t>
  </si>
  <si>
    <t>65,74</t>
  </si>
  <si>
    <t>79,15</t>
  </si>
  <si>
    <t>105,96</t>
  </si>
  <si>
    <t>128,22</t>
  </si>
  <si>
    <t>147,22</t>
  </si>
  <si>
    <t>48,84</t>
  </si>
  <si>
    <t>74,59</t>
  </si>
  <si>
    <t>88,00</t>
  </si>
  <si>
    <t>67,70</t>
  </si>
  <si>
    <t>81,11</t>
  </si>
  <si>
    <t>56,95</t>
  </si>
  <si>
    <t>96,04</t>
  </si>
  <si>
    <t>83,78</t>
  </si>
  <si>
    <t>97,19</t>
  </si>
  <si>
    <t>89,15</t>
  </si>
  <si>
    <t>88,47</t>
  </si>
  <si>
    <t>121,72</t>
  </si>
  <si>
    <t>117,99</t>
  </si>
  <si>
    <t>158,15</t>
  </si>
  <si>
    <t>282,94</t>
  </si>
  <si>
    <t>49,88</t>
  </si>
  <si>
    <t>105,36</t>
  </si>
  <si>
    <t>139,19</t>
  </si>
  <si>
    <t>146,66</t>
  </si>
  <si>
    <t>138,25</t>
  </si>
  <si>
    <t>107,25</t>
  </si>
  <si>
    <t>77,28</t>
  </si>
  <si>
    <t>73,79</t>
  </si>
  <si>
    <t>69,96</t>
  </si>
  <si>
    <t>28,79</t>
  </si>
  <si>
    <t>19,63</t>
  </si>
  <si>
    <t>37,66</t>
  </si>
  <si>
    <t>64,82</t>
  </si>
  <si>
    <t>316,31</t>
  </si>
  <si>
    <t>73,70</t>
  </si>
  <si>
    <t>123,80</t>
  </si>
  <si>
    <t>74,10</t>
  </si>
  <si>
    <t>52,89</t>
  </si>
  <si>
    <t>60,06</t>
  </si>
  <si>
    <t>43,74</t>
  </si>
  <si>
    <t>1.495,56</t>
  </si>
  <si>
    <t>1.590,05</t>
  </si>
  <si>
    <t>1.595,77</t>
  </si>
  <si>
    <t>1.727,63</t>
  </si>
  <si>
    <t>1.472,61</t>
  </si>
  <si>
    <t>1.567,10</t>
  </si>
  <si>
    <t>1.572,82</t>
  </si>
  <si>
    <t>1.704,68</t>
  </si>
  <si>
    <t>1.737,66</t>
  </si>
  <si>
    <t>1.880,69</t>
  </si>
  <si>
    <t>1.889,34</t>
  </si>
  <si>
    <t>2.072,00</t>
  </si>
  <si>
    <t>1.722,71</t>
  </si>
  <si>
    <t>1.865,74</t>
  </si>
  <si>
    <t>1.874,39</t>
  </si>
  <si>
    <t>2.057,05</t>
  </si>
  <si>
    <t>1.850,63</t>
  </si>
  <si>
    <t>2.041,33</t>
  </si>
  <si>
    <t>2.052,87</t>
  </si>
  <si>
    <t>2.285,42</t>
  </si>
  <si>
    <t>1.915,71</t>
  </si>
  <si>
    <t>2.106,41</t>
  </si>
  <si>
    <t>2.117,95</t>
  </si>
  <si>
    <t>2.350,50</t>
  </si>
  <si>
    <t>824,86</t>
  </si>
  <si>
    <t>938,25</t>
  </si>
  <si>
    <t>945,11</t>
  </si>
  <si>
    <t>1.063,78</t>
  </si>
  <si>
    <t>801,91</t>
  </si>
  <si>
    <t>915,30</t>
  </si>
  <si>
    <t>922,16</t>
  </si>
  <si>
    <t>1.040,83</t>
  </si>
  <si>
    <t>1.081,58</t>
  </si>
  <si>
    <t>1.251,66</t>
  </si>
  <si>
    <t>1.261,96</t>
  </si>
  <si>
    <t>1.439,96</t>
  </si>
  <si>
    <t>1.066,63</t>
  </si>
  <si>
    <t>1.236,71</t>
  </si>
  <si>
    <t>1.247,01</t>
  </si>
  <si>
    <t>1.425,01</t>
  </si>
  <si>
    <t>1.210,70</t>
  </si>
  <si>
    <t>1.437,47</t>
  </si>
  <si>
    <t>1.451,20</t>
  </si>
  <si>
    <t>1.688,54</t>
  </si>
  <si>
    <t>1.275,78</t>
  </si>
  <si>
    <t>1.502,55</t>
  </si>
  <si>
    <t>1.516,28</t>
  </si>
  <si>
    <t>1.753,62</t>
  </si>
  <si>
    <t>141,22</t>
  </si>
  <si>
    <t>52,16</t>
  </si>
  <si>
    <t>87,62</t>
  </si>
  <si>
    <t>146,29</t>
  </si>
  <si>
    <t>191,14</t>
  </si>
  <si>
    <t>39,84</t>
  </si>
  <si>
    <t>71,60</t>
  </si>
  <si>
    <t>163,97</t>
  </si>
  <si>
    <t>29,53</t>
  </si>
  <si>
    <t>90,74</t>
  </si>
  <si>
    <t>23,62</t>
  </si>
  <si>
    <t>18,39</t>
  </si>
  <si>
    <t>13,65</t>
  </si>
  <si>
    <t>8,64</t>
  </si>
  <si>
    <t>8,49</t>
  </si>
  <si>
    <t>13,46</t>
  </si>
  <si>
    <t>78,75</t>
  </si>
  <si>
    <t>102,96</t>
  </si>
  <si>
    <t>168,31</t>
  </si>
  <si>
    <t>259,23</t>
  </si>
  <si>
    <t>126,25</t>
  </si>
  <si>
    <t>147,91</t>
  </si>
  <si>
    <t>82,91</t>
  </si>
  <si>
    <t>42,69</t>
  </si>
  <si>
    <t>36,88</t>
  </si>
  <si>
    <t>101,63</t>
  </si>
  <si>
    <t>160,55</t>
  </si>
  <si>
    <t>156,15</t>
  </si>
  <si>
    <t>67,64</t>
  </si>
  <si>
    <t>511,21</t>
  </si>
  <si>
    <t>300,91</t>
  </si>
  <si>
    <t>282,03</t>
  </si>
  <si>
    <t>452,59</t>
  </si>
  <si>
    <t>492,42</t>
  </si>
  <si>
    <t>577,24</t>
  </si>
  <si>
    <t>751,67</t>
  </si>
  <si>
    <t>860,15</t>
  </si>
  <si>
    <t>1.372,27</t>
  </si>
  <si>
    <t>136,60</t>
  </si>
  <si>
    <t>707,14</t>
  </si>
  <si>
    <t>407,94</t>
  </si>
  <si>
    <t>486,80</t>
  </si>
  <si>
    <t>532,21</t>
  </si>
  <si>
    <t>597,35</t>
  </si>
  <si>
    <t>554,67</t>
  </si>
  <si>
    <t>672,22</t>
  </si>
  <si>
    <t>579,20</t>
  </si>
  <si>
    <t>649,79</t>
  </si>
  <si>
    <t>626,52</t>
  </si>
  <si>
    <t>738,90</t>
  </si>
  <si>
    <t>676,09</t>
  </si>
  <si>
    <t>763,42</t>
  </si>
  <si>
    <t>761,79</t>
  </si>
  <si>
    <t>848,38</t>
  </si>
  <si>
    <t>748,40</t>
  </si>
  <si>
    <t>820,10</t>
  </si>
  <si>
    <t>801,86</t>
  </si>
  <si>
    <t>923,20</t>
  </si>
  <si>
    <t>962,39</t>
  </si>
  <si>
    <t>1.125,87</t>
  </si>
  <si>
    <t>1.125,06</t>
  </si>
  <si>
    <t>1.259,84</t>
  </si>
  <si>
    <t>485,45</t>
  </si>
  <si>
    <t>587,10</t>
  </si>
  <si>
    <t>752,35</t>
  </si>
  <si>
    <t>958,56</t>
  </si>
  <si>
    <t>1.491,33</t>
  </si>
  <si>
    <t>622,45</t>
  </si>
  <si>
    <t>1.006,09</t>
  </si>
  <si>
    <t>1.554,77</t>
  </si>
  <si>
    <t>639,27</t>
  </si>
  <si>
    <t>1.029,50</t>
  </si>
  <si>
    <t>1.589,01</t>
  </si>
  <si>
    <t>655,91</t>
  </si>
  <si>
    <t>831,97</t>
  </si>
  <si>
    <t>1.052,46</t>
  </si>
  <si>
    <t>1.622,55</t>
  </si>
  <si>
    <t>1.098,08</t>
  </si>
  <si>
    <t>1.693,61</t>
  </si>
  <si>
    <t>1.143,65</t>
  </si>
  <si>
    <t>1.766,58</t>
  </si>
  <si>
    <t>3.563,49</t>
  </si>
  <si>
    <t>4.036,25</t>
  </si>
  <si>
    <t>2.505,65</t>
  </si>
  <si>
    <t>2.701,04</t>
  </si>
  <si>
    <t>359,60</t>
  </si>
  <si>
    <t>96,32</t>
  </si>
  <si>
    <t>105,59</t>
  </si>
  <si>
    <t>115,87</t>
  </si>
  <si>
    <t>125,14</t>
  </si>
  <si>
    <t>10.385,44</t>
  </si>
  <si>
    <t>11.539,94</t>
  </si>
  <si>
    <t>14.755,53</t>
  </si>
  <si>
    <t>18.096,43</t>
  </si>
  <si>
    <t>22.652,14</t>
  </si>
  <si>
    <t>31.540,38</t>
  </si>
  <si>
    <t>36.701,00</t>
  </si>
  <si>
    <t>71,31</t>
  </si>
  <si>
    <t>207,18</t>
  </si>
  <si>
    <t>59.281,79</t>
  </si>
  <si>
    <t>81.168,87</t>
  </si>
  <si>
    <t>113.426,74</t>
  </si>
  <si>
    <t>192,45</t>
  </si>
  <si>
    <t>407,51</t>
  </si>
  <si>
    <t>161,24</t>
  </si>
  <si>
    <t>206,95</t>
  </si>
  <si>
    <t>161,42</t>
  </si>
  <si>
    <t>352,56</t>
  </si>
  <si>
    <t>139,14</t>
  </si>
  <si>
    <t>158,61</t>
  </si>
  <si>
    <t>359,49</t>
  </si>
  <si>
    <t>49,90</t>
  </si>
  <si>
    <t>64,97</t>
  </si>
  <si>
    <t>83,67</t>
  </si>
  <si>
    <t>103,13</t>
  </si>
  <si>
    <t>134,03</t>
  </si>
  <si>
    <t>50,48</t>
  </si>
  <si>
    <t>144,66</t>
  </si>
  <si>
    <t>131,47</t>
  </si>
  <si>
    <t>166,40</t>
  </si>
  <si>
    <t>30,18</t>
  </si>
  <si>
    <t>3.320,08</t>
  </si>
  <si>
    <t>877,61</t>
  </si>
  <si>
    <t>212,37</t>
  </si>
  <si>
    <t>610,15</t>
  </si>
  <si>
    <t>658,62</t>
  </si>
  <si>
    <t>206,31</t>
  </si>
  <si>
    <t>238,62</t>
  </si>
  <si>
    <t>279,00</t>
  </si>
  <si>
    <t>319,38</t>
  </si>
  <si>
    <t>2.103,73</t>
  </si>
  <si>
    <t>377,08</t>
  </si>
  <si>
    <t>478,83</t>
  </si>
  <si>
    <t>3.630,94</t>
  </si>
  <si>
    <t>6,31</t>
  </si>
  <si>
    <t>8,00</t>
  </si>
  <si>
    <t>8,90</t>
  </si>
  <si>
    <t>21,04</t>
  </si>
  <si>
    <t>41,48</t>
  </si>
  <si>
    <t>57,48</t>
  </si>
  <si>
    <t>129,13</t>
  </si>
  <si>
    <t>4,70</t>
  </si>
  <si>
    <t>16,85</t>
  </si>
  <si>
    <t>23,95</t>
  </si>
  <si>
    <t>37,28</t>
  </si>
  <si>
    <t>11,70</t>
  </si>
  <si>
    <t>2,80</t>
  </si>
  <si>
    <t>28,72</t>
  </si>
  <si>
    <t>122,31</t>
  </si>
  <si>
    <t>205,19</t>
  </si>
  <si>
    <t>305,01</t>
  </si>
  <si>
    <t>428,88</t>
  </si>
  <si>
    <t>580,09</t>
  </si>
  <si>
    <t>333,08</t>
  </si>
  <si>
    <t>797,47</t>
  </si>
  <si>
    <t>14,57</t>
  </si>
  <si>
    <t>2.250,73</t>
  </si>
  <si>
    <t>1.785,66</t>
  </si>
  <si>
    <t>1.942,94</t>
  </si>
  <si>
    <t>2.492,63</t>
  </si>
  <si>
    <t>2.045,93</t>
  </si>
  <si>
    <t>2.194,36</t>
  </si>
  <si>
    <t>3.601,28</t>
  </si>
  <si>
    <t>2.855,21</t>
  </si>
  <si>
    <t>3.156,08</t>
  </si>
  <si>
    <t>4.891,88</t>
  </si>
  <si>
    <t>3.672,15</t>
  </si>
  <si>
    <t>4.102,50</t>
  </si>
  <si>
    <t>9.060,19</t>
  </si>
  <si>
    <t>5.209,06</t>
  </si>
  <si>
    <t>10.121,61</t>
  </si>
  <si>
    <t>5.490,50</t>
  </si>
  <si>
    <t>5.637,88</t>
  </si>
  <si>
    <t>11.414,46</t>
  </si>
  <si>
    <t>7.194,90</t>
  </si>
  <si>
    <t>15.798,39</t>
  </si>
  <si>
    <t>8.889,76</t>
  </si>
  <si>
    <t>19.032,19</t>
  </si>
  <si>
    <t>9.920,28</t>
  </si>
  <si>
    <t>5.690,02</t>
  </si>
  <si>
    <t>6.739,71</t>
  </si>
  <si>
    <t>6.978,33</t>
  </si>
  <si>
    <t>7.240,56</t>
  </si>
  <si>
    <t>10.235,02</t>
  </si>
  <si>
    <t>10.568,49</t>
  </si>
  <si>
    <t>10.851,12</t>
  </si>
  <si>
    <t>12.419,45</t>
  </si>
  <si>
    <t>12.355,43</t>
  </si>
  <si>
    <t>12.962,01</t>
  </si>
  <si>
    <t>23.866,45</t>
  </si>
  <si>
    <t>30.533,90</t>
  </si>
  <si>
    <t>20,87</t>
  </si>
  <si>
    <t>33,38</t>
  </si>
  <si>
    <t>54,07</t>
  </si>
  <si>
    <t>66,54</t>
  </si>
  <si>
    <t>80,06</t>
  </si>
  <si>
    <t>8.483,59</t>
  </si>
  <si>
    <t>15.754,37</t>
  </si>
  <si>
    <t>7,59</t>
  </si>
  <si>
    <t>6,61</t>
  </si>
  <si>
    <t>26,64</t>
  </si>
  <si>
    <t>755,43</t>
  </si>
  <si>
    <t>1.298,59</t>
  </si>
  <si>
    <t>3.913,27</t>
  </si>
  <si>
    <t>2.705,48</t>
  </si>
  <si>
    <t>76,12</t>
  </si>
  <si>
    <t>50,87</t>
  </si>
  <si>
    <t>2.805,75</t>
  </si>
  <si>
    <t>29,04</t>
  </si>
  <si>
    <t>1.365,91</t>
  </si>
  <si>
    <t>27,42</t>
  </si>
  <si>
    <t>37,08</t>
  </si>
  <si>
    <t>12,24</t>
  </si>
  <si>
    <t>49,01</t>
  </si>
  <si>
    <t>67,36</t>
  </si>
  <si>
    <t>26,36</t>
  </si>
  <si>
    <t>44,81</t>
  </si>
  <si>
    <t>56,96</t>
  </si>
  <si>
    <t>30,19</t>
  </si>
  <si>
    <t>37,53</t>
  </si>
  <si>
    <t>77,55</t>
  </si>
  <si>
    <t>39,16</t>
  </si>
  <si>
    <t>56,17</t>
  </si>
  <si>
    <t>44,36</t>
  </si>
  <si>
    <t>27,05</t>
  </si>
  <si>
    <t>41,88</t>
  </si>
  <si>
    <t>57,12</t>
  </si>
  <si>
    <t>133,91</t>
  </si>
  <si>
    <t>209,13</t>
  </si>
  <si>
    <t>65,17</t>
  </si>
  <si>
    <t>19,79</t>
  </si>
  <si>
    <t>53,84</t>
  </si>
  <si>
    <t>52,55</t>
  </si>
  <si>
    <t>55,88</t>
  </si>
  <si>
    <t>66,02</t>
  </si>
  <si>
    <t>84,42</t>
  </si>
  <si>
    <t>74,13</t>
  </si>
  <si>
    <t>108,86</t>
  </si>
  <si>
    <t>50,77</t>
  </si>
  <si>
    <t>79,87</t>
  </si>
  <si>
    <t>82,01</t>
  </si>
  <si>
    <t>54,63</t>
  </si>
  <si>
    <t>69,40</t>
  </si>
  <si>
    <t>100,15</t>
  </si>
  <si>
    <t>134,62</t>
  </si>
  <si>
    <t>194,45</t>
  </si>
  <si>
    <t>272,74</t>
  </si>
  <si>
    <t>165,20</t>
  </si>
  <si>
    <t>221,19</t>
  </si>
  <si>
    <t>272,59</t>
  </si>
  <si>
    <t>359,32</t>
  </si>
  <si>
    <t>439,93</t>
  </si>
  <si>
    <t>38,33</t>
  </si>
  <si>
    <t>76,43</t>
  </si>
  <si>
    <t>61,31</t>
  </si>
  <si>
    <t>156,75</t>
  </si>
  <si>
    <t>175,58</t>
  </si>
  <si>
    <t>52,15</t>
  </si>
  <si>
    <t>85,15</t>
  </si>
  <si>
    <t>108,78</t>
  </si>
  <si>
    <t>71,81</t>
  </si>
  <si>
    <t>204,62</t>
  </si>
  <si>
    <t>102,38</t>
  </si>
  <si>
    <t>165,18</t>
  </si>
  <si>
    <t>162,46</t>
  </si>
  <si>
    <t>244,83</t>
  </si>
  <si>
    <t>115,04</t>
  </si>
  <si>
    <t>138,42</t>
  </si>
  <si>
    <t>178,07</t>
  </si>
  <si>
    <t>75,35</t>
  </si>
  <si>
    <t>136,02</t>
  </si>
  <si>
    <t>217,35</t>
  </si>
  <si>
    <t>62,27</t>
  </si>
  <si>
    <t>71,58</t>
  </si>
  <si>
    <t>122,03</t>
  </si>
  <si>
    <t>161,01</t>
  </si>
  <si>
    <t>80,10</t>
  </si>
  <si>
    <t>105,45</t>
  </si>
  <si>
    <t>115,46</t>
  </si>
  <si>
    <t>140,77</t>
  </si>
  <si>
    <t>222,11</t>
  </si>
  <si>
    <t>77,43</t>
  </si>
  <si>
    <t>105,21</t>
  </si>
  <si>
    <t>127,99</t>
  </si>
  <si>
    <t>166,98</t>
  </si>
  <si>
    <t>32,13</t>
  </si>
  <si>
    <t>56,82</t>
  </si>
  <si>
    <t>81,36</t>
  </si>
  <si>
    <t>106,92</t>
  </si>
  <si>
    <t>114,39</t>
  </si>
  <si>
    <t>187,78</t>
  </si>
  <si>
    <t>215,49</t>
  </si>
  <si>
    <t>286,97</t>
  </si>
  <si>
    <t>554,05</t>
  </si>
  <si>
    <t>12,43</t>
  </si>
  <si>
    <t>44,57</t>
  </si>
  <si>
    <t>61,81</t>
  </si>
  <si>
    <t>89,64</t>
  </si>
  <si>
    <t>122,12</t>
  </si>
  <si>
    <t>25,37</t>
  </si>
  <si>
    <t>38,37</t>
  </si>
  <si>
    <t>49,70</t>
  </si>
  <si>
    <t>63,22</t>
  </si>
  <si>
    <t>92,76</t>
  </si>
  <si>
    <t>139,57</t>
  </si>
  <si>
    <t>242,26</t>
  </si>
  <si>
    <t>430,11</t>
  </si>
  <si>
    <t>110,71</t>
  </si>
  <si>
    <t>24,31</t>
  </si>
  <si>
    <t>21,70</t>
  </si>
  <si>
    <t>18,56</t>
  </si>
  <si>
    <t>24,02</t>
  </si>
  <si>
    <t>35,98</t>
  </si>
  <si>
    <t>54,35</t>
  </si>
  <si>
    <t>68,37</t>
  </si>
  <si>
    <t>109,58</t>
  </si>
  <si>
    <t>158,65</t>
  </si>
  <si>
    <t>30,67</t>
  </si>
  <si>
    <t>41,99</t>
  </si>
  <si>
    <t>136,50</t>
  </si>
  <si>
    <t>223,81</t>
  </si>
  <si>
    <t>306,60</t>
  </si>
  <si>
    <t>21,33</t>
  </si>
  <si>
    <t>20,11</t>
  </si>
  <si>
    <t>53,34</t>
  </si>
  <si>
    <t>153,93</t>
  </si>
  <si>
    <t>19,49</t>
  </si>
  <si>
    <t>39,91</t>
  </si>
  <si>
    <t>62,07</t>
  </si>
  <si>
    <t>96,58</t>
  </si>
  <si>
    <t>134,88</t>
  </si>
  <si>
    <t>212,13</t>
  </si>
  <si>
    <t>281,49</t>
  </si>
  <si>
    <t>16,72</t>
  </si>
  <si>
    <t>25,41</t>
  </si>
  <si>
    <t>49,42</t>
  </si>
  <si>
    <t>75,24</t>
  </si>
  <si>
    <t>29,21</t>
  </si>
  <si>
    <t>62,37</t>
  </si>
  <si>
    <t>75,89</t>
  </si>
  <si>
    <t>78,37</t>
  </si>
  <si>
    <t>99,76</t>
  </si>
  <si>
    <t>149,84</t>
  </si>
  <si>
    <t>180,29</t>
  </si>
  <si>
    <t>195,97</t>
  </si>
  <si>
    <t>94,35</t>
  </si>
  <si>
    <t>130,18</t>
  </si>
  <si>
    <t>187,39</t>
  </si>
  <si>
    <t>227,46</t>
  </si>
  <si>
    <t>314,35</t>
  </si>
  <si>
    <t>407,19</t>
  </si>
  <si>
    <t>63,61</t>
  </si>
  <si>
    <t>100,14</t>
  </si>
  <si>
    <t>136,38</t>
  </si>
  <si>
    <t>76,31</t>
  </si>
  <si>
    <t>121,96</t>
  </si>
  <si>
    <t>166,13</t>
  </si>
  <si>
    <t>50,68</t>
  </si>
  <si>
    <t>56,46</t>
  </si>
  <si>
    <t>69,76</t>
  </si>
  <si>
    <t>676,07</t>
  </si>
  <si>
    <t>20,64</t>
  </si>
  <si>
    <t>29,65</t>
  </si>
  <si>
    <t>39,00</t>
  </si>
  <si>
    <t>52,24</t>
  </si>
  <si>
    <t>21,22</t>
  </si>
  <si>
    <t>30,23</t>
  </si>
  <si>
    <t>39,59</t>
  </si>
  <si>
    <t>52,82</t>
  </si>
  <si>
    <t>19,44</t>
  </si>
  <si>
    <t>28,23</t>
  </si>
  <si>
    <t>37,30</t>
  </si>
  <si>
    <t>28,02</t>
  </si>
  <si>
    <t>38,30</t>
  </si>
  <si>
    <t>49,24</t>
  </si>
  <si>
    <t>236,16</t>
  </si>
  <si>
    <t>218,12</t>
  </si>
  <si>
    <t>70,43</t>
  </si>
  <si>
    <t>84,44</t>
  </si>
  <si>
    <t>64,17</t>
  </si>
  <si>
    <t>98,86</t>
  </si>
  <si>
    <t>124,44</t>
  </si>
  <si>
    <t>52,90</t>
  </si>
  <si>
    <t>78,78</t>
  </si>
  <si>
    <t>72,42</t>
  </si>
  <si>
    <t>170,71</t>
  </si>
  <si>
    <t>192,00</t>
  </si>
  <si>
    <t>28,80</t>
  </si>
  <si>
    <t>69,24</t>
  </si>
  <si>
    <t>84,68</t>
  </si>
  <si>
    <t>23,92</t>
  </si>
  <si>
    <t>18,53</t>
  </si>
  <si>
    <t>9,15</t>
  </si>
  <si>
    <t>9,71</t>
  </si>
  <si>
    <t>12,83</t>
  </si>
  <si>
    <t>6,36</t>
  </si>
  <si>
    <t>19,90</t>
  </si>
  <si>
    <t>15,36</t>
  </si>
  <si>
    <t>7,40</t>
  </si>
  <si>
    <t>10,62</t>
  </si>
  <si>
    <t>31,38</t>
  </si>
  <si>
    <t>22,57</t>
  </si>
  <si>
    <t>25,74</t>
  </si>
  <si>
    <t>20,22</t>
  </si>
  <si>
    <t>22,13</t>
  </si>
  <si>
    <t>10,91</t>
  </si>
  <si>
    <t>15,29</t>
  </si>
  <si>
    <t>15,63</t>
  </si>
  <si>
    <t>6,16</t>
  </si>
  <si>
    <t>14,71</t>
  </si>
  <si>
    <t>13,35</t>
  </si>
  <si>
    <t>30,60</t>
  </si>
  <si>
    <t>21,79</t>
  </si>
  <si>
    <t>24,96</t>
  </si>
  <si>
    <t>13,01</t>
  </si>
  <si>
    <t>25,98</t>
  </si>
  <si>
    <t>8,24</t>
  </si>
  <si>
    <t>19,62</t>
  </si>
  <si>
    <t>42,31</t>
  </si>
  <si>
    <t>47,68</t>
  </si>
  <si>
    <t>27,74</t>
  </si>
  <si>
    <t>104,73</t>
  </si>
  <si>
    <t>70,30</t>
  </si>
  <si>
    <t>15,70</t>
  </si>
  <si>
    <t>16,51</t>
  </si>
  <si>
    <t>124,65</t>
  </si>
  <si>
    <t>31,44</t>
  </si>
  <si>
    <t>102,15</t>
  </si>
  <si>
    <t>31,96</t>
  </si>
  <si>
    <t>41,49</t>
  </si>
  <si>
    <t>57,63</t>
  </si>
  <si>
    <t>38,88</t>
  </si>
  <si>
    <t>40,04</t>
  </si>
  <si>
    <t>45,03</t>
  </si>
  <si>
    <t>12,05</t>
  </si>
  <si>
    <t>6,77</t>
  </si>
  <si>
    <t>27,53</t>
  </si>
  <si>
    <t>19,66</t>
  </si>
  <si>
    <t>43,79</t>
  </si>
  <si>
    <t>42,09</t>
  </si>
  <si>
    <t>33,29</t>
  </si>
  <si>
    <t>10,16</t>
  </si>
  <si>
    <t>71,62</t>
  </si>
  <si>
    <t>35,25</t>
  </si>
  <si>
    <t>36,57</t>
  </si>
  <si>
    <t>59,47</t>
  </si>
  <si>
    <t>85,46</t>
  </si>
  <si>
    <t>100,45</t>
  </si>
  <si>
    <t>11,83</t>
  </si>
  <si>
    <t>73,66</t>
  </si>
  <si>
    <t>166,66</t>
  </si>
  <si>
    <t>11,97</t>
  </si>
  <si>
    <t>36,70</t>
  </si>
  <si>
    <t>46,23</t>
  </si>
  <si>
    <t>48,63</t>
  </si>
  <si>
    <t>53,62</t>
  </si>
  <si>
    <t>138,59</t>
  </si>
  <si>
    <t>169,83</t>
  </si>
  <si>
    <t>25,23</t>
  </si>
  <si>
    <t>50,04</t>
  </si>
  <si>
    <t>21,02</t>
  </si>
  <si>
    <t>84,07</t>
  </si>
  <si>
    <t>32,37</t>
  </si>
  <si>
    <t>194,35</t>
  </si>
  <si>
    <t>31,05</t>
  </si>
  <si>
    <t>48,94</t>
  </si>
  <si>
    <t>106,74</t>
  </si>
  <si>
    <t>123,61</t>
  </si>
  <si>
    <t>11,37</t>
  </si>
  <si>
    <t>12,81</t>
  </si>
  <si>
    <t>14,63</t>
  </si>
  <si>
    <t>16,11</t>
  </si>
  <si>
    <t>23,30</t>
  </si>
  <si>
    <t>31,97</t>
  </si>
  <si>
    <t>21,42</t>
  </si>
  <si>
    <t>25,43</t>
  </si>
  <si>
    <t>29,31</t>
  </si>
  <si>
    <t>23,22</t>
  </si>
  <si>
    <t>28,99</t>
  </si>
  <si>
    <t>7,96</t>
  </si>
  <si>
    <t>46,97</t>
  </si>
  <si>
    <t>23,40</t>
  </si>
  <si>
    <t>77,35</t>
  </si>
  <si>
    <t>35,52</t>
  </si>
  <si>
    <t>81,59</t>
  </si>
  <si>
    <t>130,25</t>
  </si>
  <si>
    <t>95,36</t>
  </si>
  <si>
    <t>305,45</t>
  </si>
  <si>
    <t>96,90</t>
  </si>
  <si>
    <t>110,20</t>
  </si>
  <si>
    <t>85,10</t>
  </si>
  <si>
    <t>20,74</t>
  </si>
  <si>
    <t>91,11</t>
  </si>
  <si>
    <t>284,66</t>
  </si>
  <si>
    <t>215,04</t>
  </si>
  <si>
    <t>208,92</t>
  </si>
  <si>
    <t>46,76</t>
  </si>
  <si>
    <t>161,65</t>
  </si>
  <si>
    <t>53,41</t>
  </si>
  <si>
    <t>15,22</t>
  </si>
  <si>
    <t>11,47</t>
  </si>
  <si>
    <t>24,39</t>
  </si>
  <si>
    <t>25,54</t>
  </si>
  <si>
    <t>28,09</t>
  </si>
  <si>
    <t>28,01</t>
  </si>
  <si>
    <t>46,16</t>
  </si>
  <si>
    <t>16,52</t>
  </si>
  <si>
    <t>85,79</t>
  </si>
  <si>
    <t>22,71</t>
  </si>
  <si>
    <t>29,10</t>
  </si>
  <si>
    <t>21,77</t>
  </si>
  <si>
    <t>42,03</t>
  </si>
  <si>
    <t>52,99</t>
  </si>
  <si>
    <t>35,64</t>
  </si>
  <si>
    <t>17,89</t>
  </si>
  <si>
    <t>16,88</t>
  </si>
  <si>
    <t>27,08</t>
  </si>
  <si>
    <t>19,01</t>
  </si>
  <si>
    <t>36,81</t>
  </si>
  <si>
    <t>28,58</t>
  </si>
  <si>
    <t>34,52</t>
  </si>
  <si>
    <t>148,09</t>
  </si>
  <si>
    <t>143,09</t>
  </si>
  <si>
    <t>174,83</t>
  </si>
  <si>
    <t>205,93</t>
  </si>
  <si>
    <t>43,84</t>
  </si>
  <si>
    <t>45,82</t>
  </si>
  <si>
    <t>54,91</t>
  </si>
  <si>
    <t>26,93</t>
  </si>
  <si>
    <t>38,86</t>
  </si>
  <si>
    <t>25,51</t>
  </si>
  <si>
    <t>20,00</t>
  </si>
  <si>
    <t>36,47</t>
  </si>
  <si>
    <t>17,67</t>
  </si>
  <si>
    <t>117,69</t>
  </si>
  <si>
    <t>38,36</t>
  </si>
  <si>
    <t>39,60</t>
  </si>
  <si>
    <t>56,87</t>
  </si>
  <si>
    <t>41,44</t>
  </si>
  <si>
    <t>184,90</t>
  </si>
  <si>
    <t>124,25</t>
  </si>
  <si>
    <t>142,51</t>
  </si>
  <si>
    <t>161,47</t>
  </si>
  <si>
    <t>167,71</t>
  </si>
  <si>
    <t>244,61</t>
  </si>
  <si>
    <t>60,08</t>
  </si>
  <si>
    <t>93,75</t>
  </si>
  <si>
    <t>199,18</t>
  </si>
  <si>
    <t>237,43</t>
  </si>
  <si>
    <t>34,21</t>
  </si>
  <si>
    <t>35,15</t>
  </si>
  <si>
    <t>90,85</t>
  </si>
  <si>
    <t>113,35</t>
  </si>
  <si>
    <t>119,24</t>
  </si>
  <si>
    <t>22,39</t>
  </si>
  <si>
    <t>52,56</t>
  </si>
  <si>
    <t>61,65</t>
  </si>
  <si>
    <t>25,89</t>
  </si>
  <si>
    <t>24,01</t>
  </si>
  <si>
    <t>49,10</t>
  </si>
  <si>
    <t>73,87</t>
  </si>
  <si>
    <t>113,94</t>
  </si>
  <si>
    <t>348,00</t>
  </si>
  <si>
    <t>17,20</t>
  </si>
  <si>
    <t>31,88</t>
  </si>
  <si>
    <t>64,99</t>
  </si>
  <si>
    <t>179,80</t>
  </si>
  <si>
    <t>23,72</t>
  </si>
  <si>
    <t>69,59</t>
  </si>
  <si>
    <t>91,69</t>
  </si>
  <si>
    <t>166,82</t>
  </si>
  <si>
    <t>428,26</t>
  </si>
  <si>
    <t>13,70</t>
  </si>
  <si>
    <t>20,31</t>
  </si>
  <si>
    <t>20,04</t>
  </si>
  <si>
    <t>30,42</t>
  </si>
  <si>
    <t>42,01</t>
  </si>
  <si>
    <t>26,75</t>
  </si>
  <si>
    <t>16,20</t>
  </si>
  <si>
    <t>24,76</t>
  </si>
  <si>
    <t>35,40</t>
  </si>
  <si>
    <t>268,24</t>
  </si>
  <si>
    <t>276,59</t>
  </si>
  <si>
    <t>501,96</t>
  </si>
  <si>
    <t>22,64</t>
  </si>
  <si>
    <t>44,09</t>
  </si>
  <si>
    <t>14,36</t>
  </si>
  <si>
    <t>552,36</t>
  </si>
  <si>
    <t>76,91</t>
  </si>
  <si>
    <t>32,00</t>
  </si>
  <si>
    <t>633,07</t>
  </si>
  <si>
    <t>43,78</t>
  </si>
  <si>
    <t>794,42</t>
  </si>
  <si>
    <t>61,45</t>
  </si>
  <si>
    <t>1.101,05</t>
  </si>
  <si>
    <t>1.452,93</t>
  </si>
  <si>
    <t>22,75</t>
  </si>
  <si>
    <t>28,36</t>
  </si>
  <si>
    <t>18,95</t>
  </si>
  <si>
    <t>24,44</t>
  </si>
  <si>
    <t>435,28</t>
  </si>
  <si>
    <t>505,32</t>
  </si>
  <si>
    <t>24,62</t>
  </si>
  <si>
    <t>47,45</t>
  </si>
  <si>
    <t>17,59</t>
  </si>
  <si>
    <t>555,47</t>
  </si>
  <si>
    <t>33,83</t>
  </si>
  <si>
    <t>37,67</t>
  </si>
  <si>
    <t>24,66</t>
  </si>
  <si>
    <t>435,50</t>
  </si>
  <si>
    <t>17,47</t>
  </si>
  <si>
    <t>507,82</t>
  </si>
  <si>
    <t>21,16</t>
  </si>
  <si>
    <t>49,95</t>
  </si>
  <si>
    <t>559,92</t>
  </si>
  <si>
    <t>85,14</t>
  </si>
  <si>
    <t>17,73</t>
  </si>
  <si>
    <t>29,46</t>
  </si>
  <si>
    <t>26,38</t>
  </si>
  <si>
    <t>57,47</t>
  </si>
  <si>
    <t>89,60</t>
  </si>
  <si>
    <t>131,36</t>
  </si>
  <si>
    <t>287,44</t>
  </si>
  <si>
    <t>21,08</t>
  </si>
  <si>
    <t>82,44</t>
  </si>
  <si>
    <t>193,41</t>
  </si>
  <si>
    <t>284,80</t>
  </si>
  <si>
    <t>396,82</t>
  </si>
  <si>
    <t>138,23</t>
  </si>
  <si>
    <t>367,17</t>
  </si>
  <si>
    <t>306,61</t>
  </si>
  <si>
    <t>361,59</t>
  </si>
  <si>
    <t>814,65</t>
  </si>
  <si>
    <t>201,01</t>
  </si>
  <si>
    <t>455,67</t>
  </si>
  <si>
    <t>687,94</t>
  </si>
  <si>
    <t>1.416,64</t>
  </si>
  <si>
    <t>6,99</t>
  </si>
  <si>
    <t>8,22</t>
  </si>
  <si>
    <t>13,13</t>
  </si>
  <si>
    <t>13,82</t>
  </si>
  <si>
    <t>28,10</t>
  </si>
  <si>
    <t>30,38</t>
  </si>
  <si>
    <t>57,45</t>
  </si>
  <si>
    <t>107,15</t>
  </si>
  <si>
    <t>15,26</t>
  </si>
  <si>
    <t>52,14</t>
  </si>
  <si>
    <t>57,51</t>
  </si>
  <si>
    <t>110,97</t>
  </si>
  <si>
    <t>76,54</t>
  </si>
  <si>
    <t>145,64</t>
  </si>
  <si>
    <t>109,15</t>
  </si>
  <si>
    <t>254,85</t>
  </si>
  <si>
    <t>230,63</t>
  </si>
  <si>
    <t>12,77</t>
  </si>
  <si>
    <t>15,93</t>
  </si>
  <si>
    <t>18,49</t>
  </si>
  <si>
    <t>62,56</t>
  </si>
  <si>
    <t>90,16</t>
  </si>
  <si>
    <t>74,70</t>
  </si>
  <si>
    <t>135,45</t>
  </si>
  <si>
    <t>228,86</t>
  </si>
  <si>
    <t>202,49</t>
  </si>
  <si>
    <t>28,98</t>
  </si>
  <si>
    <t>45,06</t>
  </si>
  <si>
    <t>65,49</t>
  </si>
  <si>
    <t>247,99</t>
  </si>
  <si>
    <t>343,67</t>
  </si>
  <si>
    <t>303,84</t>
  </si>
  <si>
    <t>49,09</t>
  </si>
  <si>
    <t>17,65</t>
  </si>
  <si>
    <t>58,62</t>
  </si>
  <si>
    <t>21,88</t>
  </si>
  <si>
    <t>338,26</t>
  </si>
  <si>
    <t>496,89</t>
  </si>
  <si>
    <t>169,54</t>
  </si>
  <si>
    <t>1.478,02</t>
  </si>
  <si>
    <t>193,56</t>
  </si>
  <si>
    <t>33,24</t>
  </si>
  <si>
    <t>77,01</t>
  </si>
  <si>
    <t>146,74</t>
  </si>
  <si>
    <t>182,70</t>
  </si>
  <si>
    <t>241,94</t>
  </si>
  <si>
    <t>18,61</t>
  </si>
  <si>
    <t>47,34</t>
  </si>
  <si>
    <t>57,19</t>
  </si>
  <si>
    <t>96,16</t>
  </si>
  <si>
    <t>196,41</t>
  </si>
  <si>
    <t>246,26</t>
  </si>
  <si>
    <t>296,78</t>
  </si>
  <si>
    <t>35,88</t>
  </si>
  <si>
    <t>38,75</t>
  </si>
  <si>
    <t>42,56</t>
  </si>
  <si>
    <t>61,87</t>
  </si>
  <si>
    <t>69,37</t>
  </si>
  <si>
    <t>95,11</t>
  </si>
  <si>
    <t>45,13</t>
  </si>
  <si>
    <t>103,57</t>
  </si>
  <si>
    <t>21,47</t>
  </si>
  <si>
    <t>237,17</t>
  </si>
  <si>
    <t>325,51</t>
  </si>
  <si>
    <t>427,88</t>
  </si>
  <si>
    <t>139,68</t>
  </si>
  <si>
    <t>57,08</t>
  </si>
  <si>
    <t>65,67</t>
  </si>
  <si>
    <t>33,50</t>
  </si>
  <si>
    <t>12,59</t>
  </si>
  <si>
    <t>23,96</t>
  </si>
  <si>
    <t>47,15</t>
  </si>
  <si>
    <t>15,01</t>
  </si>
  <si>
    <t>22,37</t>
  </si>
  <si>
    <t>15,79</t>
  </si>
  <si>
    <t>32,78</t>
  </si>
  <si>
    <t>32,48</t>
  </si>
  <si>
    <t>18,18</t>
  </si>
  <si>
    <t>25,15</t>
  </si>
  <si>
    <t>23,99</t>
  </si>
  <si>
    <t>46,22</t>
  </si>
  <si>
    <t>61,44</t>
  </si>
  <si>
    <t>94,76</t>
  </si>
  <si>
    <t>118,05</t>
  </si>
  <si>
    <t>341,20</t>
  </si>
  <si>
    <t>17,76</t>
  </si>
  <si>
    <t>12,34</t>
  </si>
  <si>
    <t>12,64</t>
  </si>
  <si>
    <t>21,26</t>
  </si>
  <si>
    <t>21,43</t>
  </si>
  <si>
    <t>59,71</t>
  </si>
  <si>
    <t>89,65</t>
  </si>
  <si>
    <t>114,19</t>
  </si>
  <si>
    <t>24,65</t>
  </si>
  <si>
    <t>51,92</t>
  </si>
  <si>
    <t>127,41</t>
  </si>
  <si>
    <t>165,29</t>
  </si>
  <si>
    <t>312,88</t>
  </si>
  <si>
    <t>10,44</t>
  </si>
  <si>
    <t>34,23</t>
  </si>
  <si>
    <t>32,59</t>
  </si>
  <si>
    <t>58,36</t>
  </si>
  <si>
    <t>85,02</t>
  </si>
  <si>
    <t>114,54</t>
  </si>
  <si>
    <t>29,40</t>
  </si>
  <si>
    <t>38,39</t>
  </si>
  <si>
    <t>92,70</t>
  </si>
  <si>
    <t>111,09</t>
  </si>
  <si>
    <t>341,73</t>
  </si>
  <si>
    <t>22,38</t>
  </si>
  <si>
    <t>26,49</t>
  </si>
  <si>
    <t>27,22</t>
  </si>
  <si>
    <t>47,14</t>
  </si>
  <si>
    <t>62,68</t>
  </si>
  <si>
    <t>155,96</t>
  </si>
  <si>
    <t>48,21</t>
  </si>
  <si>
    <t>60,68</t>
  </si>
  <si>
    <t>111,17</t>
  </si>
  <si>
    <t>131,51</t>
  </si>
  <si>
    <t>146,00</t>
  </si>
  <si>
    <t>150,15</t>
  </si>
  <si>
    <t>164,87</t>
  </si>
  <si>
    <t>197,52</t>
  </si>
  <si>
    <t>218,33</t>
  </si>
  <si>
    <t>123,31</t>
  </si>
  <si>
    <t>144,04</t>
  </si>
  <si>
    <t>245,36</t>
  </si>
  <si>
    <t>261,62</t>
  </si>
  <si>
    <t>318,06</t>
  </si>
  <si>
    <t>213,71</t>
  </si>
  <si>
    <t>338,05</t>
  </si>
  <si>
    <t>356,97</t>
  </si>
  <si>
    <t>753,35</t>
  </si>
  <si>
    <t>668,46</t>
  </si>
  <si>
    <t>316,74</t>
  </si>
  <si>
    <t>535,77</t>
  </si>
  <si>
    <t>817,27</t>
  </si>
  <si>
    <t>55,52</t>
  </si>
  <si>
    <t>65,76</t>
  </si>
  <si>
    <t>70,40</t>
  </si>
  <si>
    <t>83,51</t>
  </si>
  <si>
    <t>103,26</t>
  </si>
  <si>
    <t>123,99</t>
  </si>
  <si>
    <t>186,83</t>
  </si>
  <si>
    <t>228,73</t>
  </si>
  <si>
    <t>248,41</t>
  </si>
  <si>
    <t>304,85</t>
  </si>
  <si>
    <t>62,26</t>
  </si>
  <si>
    <t>89,72</t>
  </si>
  <si>
    <t>183,67</t>
  </si>
  <si>
    <t>313,15</t>
  </si>
  <si>
    <t>332,07</t>
  </si>
  <si>
    <t>733,47</t>
  </si>
  <si>
    <t>648,58</t>
  </si>
  <si>
    <t>95,53</t>
  </si>
  <si>
    <t>139,43</t>
  </si>
  <si>
    <t>179,58</t>
  </si>
  <si>
    <t>276,64</t>
  </si>
  <si>
    <t>502,50</t>
  </si>
  <si>
    <t>790,85</t>
  </si>
  <si>
    <t>35,54</t>
  </si>
  <si>
    <t>49,52</t>
  </si>
  <si>
    <t>61,94</t>
  </si>
  <si>
    <t>75,05</t>
  </si>
  <si>
    <t>91,27</t>
  </si>
  <si>
    <t>112,00</t>
  </si>
  <si>
    <t>169,62</t>
  </si>
  <si>
    <t>211,52</t>
  </si>
  <si>
    <t>225,77</t>
  </si>
  <si>
    <t>282,21</t>
  </si>
  <si>
    <t>57,40</t>
  </si>
  <si>
    <t>81,15</t>
  </si>
  <si>
    <t>112,32</t>
  </si>
  <si>
    <t>153,87</t>
  </si>
  <si>
    <t>165,70</t>
  </si>
  <si>
    <t>287,19</t>
  </si>
  <si>
    <t>306,11</t>
  </si>
  <si>
    <t>699,63</t>
  </si>
  <si>
    <t>614,74</t>
  </si>
  <si>
    <t>89,16</t>
  </si>
  <si>
    <t>162,56</t>
  </si>
  <si>
    <t>252,67</t>
  </si>
  <si>
    <t>473,02</t>
  </si>
  <si>
    <t>745,68</t>
  </si>
  <si>
    <t>36,84</t>
  </si>
  <si>
    <t>60,74</t>
  </si>
  <si>
    <t>54,66</t>
  </si>
  <si>
    <t>37,92</t>
  </si>
  <si>
    <t>56,72</t>
  </si>
  <si>
    <t>95,25</t>
  </si>
  <si>
    <t>54,94</t>
  </si>
  <si>
    <t>80,01</t>
  </si>
  <si>
    <t>139,64</t>
  </si>
  <si>
    <t>18,22</t>
  </si>
  <si>
    <t>20,47</t>
  </si>
  <si>
    <t>37,52</t>
  </si>
  <si>
    <t>39,35</t>
  </si>
  <si>
    <t>55,30</t>
  </si>
  <si>
    <t>53,59</t>
  </si>
  <si>
    <t>28,24</t>
  </si>
  <si>
    <t>439,08</t>
  </si>
  <si>
    <t>24,90</t>
  </si>
  <si>
    <t>515,25</t>
  </si>
  <si>
    <t>57,38</t>
  </si>
  <si>
    <t>24,86</t>
  </si>
  <si>
    <t>94,72</t>
  </si>
  <si>
    <t>570,17</t>
  </si>
  <si>
    <t>38,03</t>
  </si>
  <si>
    <t>50,15</t>
  </si>
  <si>
    <t>72,16</t>
  </si>
  <si>
    <t>41,77</t>
  </si>
  <si>
    <t>27,66</t>
  </si>
  <si>
    <t>438,50</t>
  </si>
  <si>
    <t>510,69</t>
  </si>
  <si>
    <t>22,59</t>
  </si>
  <si>
    <t>87,24</t>
  </si>
  <si>
    <t>562,69</t>
  </si>
  <si>
    <t>34,29</t>
  </si>
  <si>
    <t>24,05</t>
  </si>
  <si>
    <t>41,11</t>
  </si>
  <si>
    <t>23,21</t>
  </si>
  <si>
    <t>30,04</t>
  </si>
  <si>
    <t>31,87</t>
  </si>
  <si>
    <t>35,47</t>
  </si>
  <si>
    <t>28,26</t>
  </si>
  <si>
    <t>439,10</t>
  </si>
  <si>
    <t>18,38</t>
  </si>
  <si>
    <t>510,00</t>
  </si>
  <si>
    <t>17,74</t>
  </si>
  <si>
    <t>22,24</t>
  </si>
  <si>
    <t>25,72</t>
  </si>
  <si>
    <t>85,43</t>
  </si>
  <si>
    <t>560,88</t>
  </si>
  <si>
    <t>27,67</t>
  </si>
  <si>
    <t>39,77</t>
  </si>
  <si>
    <t>52,83</t>
  </si>
  <si>
    <t>7,09</t>
  </si>
  <si>
    <t>8,77</t>
  </si>
  <si>
    <t>11,23</t>
  </si>
  <si>
    <t>9,99</t>
  </si>
  <si>
    <t>12,00</t>
  </si>
  <si>
    <t>25,47</t>
  </si>
  <si>
    <t>29,39</t>
  </si>
  <si>
    <t>18,58</t>
  </si>
  <si>
    <t>7,38</t>
  </si>
  <si>
    <t>18,75</t>
  </si>
  <si>
    <t>21,35</t>
  </si>
  <si>
    <t>25,81</t>
  </si>
  <si>
    <t>36,26</t>
  </si>
  <si>
    <t>12,37</t>
  </si>
  <si>
    <t>40,39</t>
  </si>
  <si>
    <t>18,44</t>
  </si>
  <si>
    <t>26,98</t>
  </si>
  <si>
    <t>33,82</t>
  </si>
  <si>
    <t>17,54</t>
  </si>
  <si>
    <t>23,25</t>
  </si>
  <si>
    <t>45,02</t>
  </si>
  <si>
    <t>43,52</t>
  </si>
  <si>
    <t>67,24</t>
  </si>
  <si>
    <t>40,27</t>
  </si>
  <si>
    <t>39,90</t>
  </si>
  <si>
    <t>40,06</t>
  </si>
  <si>
    <t>60,03</t>
  </si>
  <si>
    <t>121,07</t>
  </si>
  <si>
    <t>63,64</t>
  </si>
  <si>
    <t>59,77</t>
  </si>
  <si>
    <t>38,81</t>
  </si>
  <si>
    <t>129,55</t>
  </si>
  <si>
    <t>126,00</t>
  </si>
  <si>
    <t>157,24</t>
  </si>
  <si>
    <t>72,95</t>
  </si>
  <si>
    <t>104,36</t>
  </si>
  <si>
    <t>297,05</t>
  </si>
  <si>
    <t>89,61</t>
  </si>
  <si>
    <t>201,78</t>
  </si>
  <si>
    <t>148,39</t>
  </si>
  <si>
    <t>267,87</t>
  </si>
  <si>
    <t>192,13</t>
  </si>
  <si>
    <t>89,19</t>
  </si>
  <si>
    <t>11,45</t>
  </si>
  <si>
    <t>170,70</t>
  </si>
  <si>
    <t>8,69</t>
  </si>
  <si>
    <t>12,35</t>
  </si>
  <si>
    <t>5,69</t>
  </si>
  <si>
    <t>10,54</t>
  </si>
  <si>
    <t>15,18</t>
  </si>
  <si>
    <t>36,38</t>
  </si>
  <si>
    <t>48,14</t>
  </si>
  <si>
    <t>51,16</t>
  </si>
  <si>
    <t>31,54</t>
  </si>
  <si>
    <t>48,40</t>
  </si>
  <si>
    <t>51,42</t>
  </si>
  <si>
    <t>33,10</t>
  </si>
  <si>
    <t>20,58</t>
  </si>
  <si>
    <t>312,79</t>
  </si>
  <si>
    <t>406,47</t>
  </si>
  <si>
    <t>799,59</t>
  </si>
  <si>
    <t>190,62</t>
  </si>
  <si>
    <t>299,17</t>
  </si>
  <si>
    <t>578,46</t>
  </si>
  <si>
    <t>803,41</t>
  </si>
  <si>
    <t>937,24</t>
  </si>
  <si>
    <t>245,16</t>
  </si>
  <si>
    <t>452,75</t>
  </si>
  <si>
    <t>643,01</t>
  </si>
  <si>
    <t>747,44</t>
  </si>
  <si>
    <t>160,53</t>
  </si>
  <si>
    <t>377,68</t>
  </si>
  <si>
    <t>657,64</t>
  </si>
  <si>
    <t>1.084,07</t>
  </si>
  <si>
    <t>280,36</t>
  </si>
  <si>
    <t>500,52</t>
  </si>
  <si>
    <t>185,72</t>
  </si>
  <si>
    <t>290,75</t>
  </si>
  <si>
    <t>559,56</t>
  </si>
  <si>
    <t>777,49</t>
  </si>
  <si>
    <t>903,72</t>
  </si>
  <si>
    <t>239,81</t>
  </si>
  <si>
    <t>440,85</t>
  </si>
  <si>
    <t>626,02</t>
  </si>
  <si>
    <t>724,48</t>
  </si>
  <si>
    <t>260,23</t>
  </si>
  <si>
    <t>400,55</t>
  </si>
  <si>
    <t>428,94</t>
  </si>
  <si>
    <t>981,28</t>
  </si>
  <si>
    <t>1.115,54</t>
  </si>
  <si>
    <t>1.915,63</t>
  </si>
  <si>
    <t>431,56</t>
  </si>
  <si>
    <t>619,09</t>
  </si>
  <si>
    <t>600,52</t>
  </si>
  <si>
    <t>922,86</t>
  </si>
  <si>
    <t>1.158,18</t>
  </si>
  <si>
    <t>1.713,94</t>
  </si>
  <si>
    <t>3.152,38</t>
  </si>
  <si>
    <t>3.793,66</t>
  </si>
  <si>
    <t>5.094,68</t>
  </si>
  <si>
    <t>7.404,28</t>
  </si>
  <si>
    <t>11.384,33</t>
  </si>
  <si>
    <t>671,37</t>
  </si>
  <si>
    <t>903,61</t>
  </si>
  <si>
    <t>54,36</t>
  </si>
  <si>
    <t>113,77</t>
  </si>
  <si>
    <t>78,57</t>
  </si>
  <si>
    <t>88,61</t>
  </si>
  <si>
    <t>695,00</t>
  </si>
  <si>
    <t>481,96</t>
  </si>
  <si>
    <t>552,21</t>
  </si>
  <si>
    <t>63,46</t>
  </si>
  <si>
    <t>176,09</t>
  </si>
  <si>
    <t>13,96</t>
  </si>
  <si>
    <t>12,53</t>
  </si>
  <si>
    <t>14,19</t>
  </si>
  <si>
    <t>44,02</t>
  </si>
  <si>
    <t>468,11</t>
  </si>
  <si>
    <t>813,36</t>
  </si>
  <si>
    <t>673,17</t>
  </si>
  <si>
    <t>324,45</t>
  </si>
  <si>
    <t>398,86</t>
  </si>
  <si>
    <t>346,28</t>
  </si>
  <si>
    <t>200,37</t>
  </si>
  <si>
    <t>147,53</t>
  </si>
  <si>
    <t>308,44</t>
  </si>
  <si>
    <t>352,20</t>
  </si>
  <si>
    <t>143,66</t>
  </si>
  <si>
    <t>414,87</t>
  </si>
  <si>
    <t>494,40</t>
  </si>
  <si>
    <t>133,41</t>
  </si>
  <si>
    <t>130,98</t>
  </si>
  <si>
    <t>89,92</t>
  </si>
  <si>
    <t>56,88</t>
  </si>
  <si>
    <t>101,12</t>
  </si>
  <si>
    <t>146,40</t>
  </si>
  <si>
    <t>869,09</t>
  </si>
  <si>
    <t>777,04</t>
  </si>
  <si>
    <t>746,46</t>
  </si>
  <si>
    <t>818,18</t>
  </si>
  <si>
    <t>575,76</t>
  </si>
  <si>
    <t>545,18</t>
  </si>
  <si>
    <t>634,25</t>
  </si>
  <si>
    <t>603,67</t>
  </si>
  <si>
    <t>410,47</t>
  </si>
  <si>
    <t>379,89</t>
  </si>
  <si>
    <t>398,71</t>
  </si>
  <si>
    <t>482,30</t>
  </si>
  <si>
    <t>515,70</t>
  </si>
  <si>
    <t>470,41</t>
  </si>
  <si>
    <t>458,65</t>
  </si>
  <si>
    <t>277,79</t>
  </si>
  <si>
    <t>439,92</t>
  </si>
  <si>
    <t>220,50</t>
  </si>
  <si>
    <t>382,63</t>
  </si>
  <si>
    <t>1.097,35</t>
  </si>
  <si>
    <t>781,29</t>
  </si>
  <si>
    <t>269,91</t>
  </si>
  <si>
    <t>258,15</t>
  </si>
  <si>
    <t>1.238,96</t>
  </si>
  <si>
    <t>708,69</t>
  </si>
  <si>
    <t>1.193,60</t>
  </si>
  <si>
    <t>1.259,03</t>
  </si>
  <si>
    <t>298,63</t>
  </si>
  <si>
    <t>731,04</t>
  </si>
  <si>
    <t>741,63</t>
  </si>
  <si>
    <t>523,99</t>
  </si>
  <si>
    <t>47,52</t>
  </si>
  <si>
    <t>94,14</t>
  </si>
  <si>
    <t>219,24</t>
  </si>
  <si>
    <t>353,08</t>
  </si>
  <si>
    <t>1.827,77</t>
  </si>
  <si>
    <t>536,82</t>
  </si>
  <si>
    <t>670,08</t>
  </si>
  <si>
    <t>965,14</t>
  </si>
  <si>
    <t>42,87</t>
  </si>
  <si>
    <t>47,30</t>
  </si>
  <si>
    <t>613,58</t>
  </si>
  <si>
    <t>672,07</t>
  </si>
  <si>
    <t>588,48</t>
  </si>
  <si>
    <t>319,36</t>
  </si>
  <si>
    <t>338,65</t>
  </si>
  <si>
    <t>351,48</t>
  </si>
  <si>
    <t>361,32</t>
  </si>
  <si>
    <t>314,21</t>
  </si>
  <si>
    <t>339,03</t>
  </si>
  <si>
    <t>354,88</t>
  </si>
  <si>
    <t>364,78</t>
  </si>
  <si>
    <t>1.087,57</t>
  </si>
  <si>
    <t>629,01</t>
  </si>
  <si>
    <t>1.915,90</t>
  </si>
  <si>
    <t>2.628,12</t>
  </si>
  <si>
    <t>4.224,12</t>
  </si>
  <si>
    <t>5.737,20</t>
  </si>
  <si>
    <t>6.691,90</t>
  </si>
  <si>
    <t>7.961,41</t>
  </si>
  <si>
    <t>1.641,76</t>
  </si>
  <si>
    <t>3.465,94</t>
  </si>
  <si>
    <t>4.829,12</t>
  </si>
  <si>
    <t>6.723,41</t>
  </si>
  <si>
    <t>2.813,35</t>
  </si>
  <si>
    <t>4.288,54</t>
  </si>
  <si>
    <t>4.954,42</t>
  </si>
  <si>
    <t>6.872,44</t>
  </si>
  <si>
    <t>4.574,59</t>
  </si>
  <si>
    <t>6.095,09</t>
  </si>
  <si>
    <t>8.607,78</t>
  </si>
  <si>
    <t>11.580,45</t>
  </si>
  <si>
    <t>13.223,64</t>
  </si>
  <si>
    <t>14.411,74</t>
  </si>
  <si>
    <t>3.861,03</t>
  </si>
  <si>
    <t>6.048,82</t>
  </si>
  <si>
    <t>9.401,20</t>
  </si>
  <si>
    <t>12.227,49</t>
  </si>
  <si>
    <t>14.097,65</t>
  </si>
  <si>
    <t>16.598,93</t>
  </si>
  <si>
    <t>4.251,67</t>
  </si>
  <si>
    <t>7.438,58</t>
  </si>
  <si>
    <t>9.553,91</t>
  </si>
  <si>
    <t>14.145,19</t>
  </si>
  <si>
    <t>3.621,06</t>
  </si>
  <si>
    <t>4.777,44</t>
  </si>
  <si>
    <t>6.701,56</t>
  </si>
  <si>
    <t>9.089,79</t>
  </si>
  <si>
    <t>10.261,44</t>
  </si>
  <si>
    <t>10.952,40</t>
  </si>
  <si>
    <t>3.123,19</t>
  </si>
  <si>
    <t>4.933,25</t>
  </si>
  <si>
    <t>7.739,51</t>
  </si>
  <si>
    <t>10.103,60</t>
  </si>
  <si>
    <t>11.729,02</t>
  </si>
  <si>
    <t>13.840,59</t>
  </si>
  <si>
    <t>2.617,88</t>
  </si>
  <si>
    <t>4.466,42</t>
  </si>
  <si>
    <t>5.838,13</t>
  </si>
  <si>
    <t>8.622,81</t>
  </si>
  <si>
    <t>811,93</t>
  </si>
  <si>
    <t>430,00</t>
  </si>
  <si>
    <t>106,67</t>
  </si>
  <si>
    <t>616,01</t>
  </si>
  <si>
    <t>171,00</t>
  </si>
  <si>
    <t>266,39</t>
  </si>
  <si>
    <t>21,94</t>
  </si>
  <si>
    <t>29,18</t>
  </si>
  <si>
    <t>559,96</t>
  </si>
  <si>
    <t>39,19</t>
  </si>
  <si>
    <t>43,11</t>
  </si>
  <si>
    <t>41,90</t>
  </si>
  <si>
    <t>47,64</t>
  </si>
  <si>
    <t>780,00</t>
  </si>
  <si>
    <t>293,84</t>
  </si>
  <si>
    <t>73,54</t>
  </si>
  <si>
    <t>67,63</t>
  </si>
  <si>
    <t>77,18</t>
  </si>
  <si>
    <t>35,53</t>
  </si>
  <si>
    <t>52,84</t>
  </si>
  <si>
    <t>73,82</t>
  </si>
  <si>
    <t>134,74</t>
  </si>
  <si>
    <t>50,30</t>
  </si>
  <si>
    <t>68,54</t>
  </si>
  <si>
    <t>119,56</t>
  </si>
  <si>
    <t>232,91</t>
  </si>
  <si>
    <t>283,12</t>
  </si>
  <si>
    <t>562,03</t>
  </si>
  <si>
    <t>93,82</t>
  </si>
  <si>
    <t>127,59</t>
  </si>
  <si>
    <t>136,25</t>
  </si>
  <si>
    <t>67,18</t>
  </si>
  <si>
    <t>75,90</t>
  </si>
  <si>
    <t>160,49</t>
  </si>
  <si>
    <t>268,06</t>
  </si>
  <si>
    <t>328,47</t>
  </si>
  <si>
    <t>421,67</t>
  </si>
  <si>
    <t>41,58</t>
  </si>
  <si>
    <t>49,62</t>
  </si>
  <si>
    <t>66,97</t>
  </si>
  <si>
    <t>98,67</t>
  </si>
  <si>
    <t>120,06</t>
  </si>
  <si>
    <t>181,15</t>
  </si>
  <si>
    <t>162,42</t>
  </si>
  <si>
    <t>241,93</t>
  </si>
  <si>
    <t>272,60</t>
  </si>
  <si>
    <t>541,76</t>
  </si>
  <si>
    <t>744,77</t>
  </si>
  <si>
    <t>1.145,48</t>
  </si>
  <si>
    <t>72,17</t>
  </si>
  <si>
    <t>79,03</t>
  </si>
  <si>
    <t>88,03</t>
  </si>
  <si>
    <t>130,82</t>
  </si>
  <si>
    <t>152,53</t>
  </si>
  <si>
    <t>219,60</t>
  </si>
  <si>
    <t>470,06</t>
  </si>
  <si>
    <t>799,83</t>
  </si>
  <si>
    <t>340,18</t>
  </si>
  <si>
    <t>97,52</t>
  </si>
  <si>
    <t>346,48</t>
  </si>
  <si>
    <t>73,96</t>
  </si>
  <si>
    <t>82,58</t>
  </si>
  <si>
    <t>130,08</t>
  </si>
  <si>
    <t>210,67</t>
  </si>
  <si>
    <t>371,89</t>
  </si>
  <si>
    <t>508,19</t>
  </si>
  <si>
    <t>885,99</t>
  </si>
  <si>
    <t>278,76</t>
  </si>
  <si>
    <t>56,32</t>
  </si>
  <si>
    <t>75,44</t>
  </si>
  <si>
    <t>82,27</t>
  </si>
  <si>
    <t>122,11</t>
  </si>
  <si>
    <t>23,85</t>
  </si>
  <si>
    <t>27,51</t>
  </si>
  <si>
    <t>11,84</t>
  </si>
  <si>
    <t>28,04</t>
  </si>
  <si>
    <t>29,00</t>
  </si>
  <si>
    <t>241,50</t>
  </si>
  <si>
    <t>257,38</t>
  </si>
  <si>
    <t>396,43</t>
  </si>
  <si>
    <t>623,60</t>
  </si>
  <si>
    <t>754,19</t>
  </si>
  <si>
    <t>948,34</t>
  </si>
  <si>
    <t>312,45</t>
  </si>
  <si>
    <t>461,90</t>
  </si>
  <si>
    <t>603,72</t>
  </si>
  <si>
    <t>225,07</t>
  </si>
  <si>
    <t>409,90</t>
  </si>
  <si>
    <t>610,74</t>
  </si>
  <si>
    <t>800,03</t>
  </si>
  <si>
    <t>525,76</t>
  </si>
  <si>
    <t>902,56</t>
  </si>
  <si>
    <t>1.318,05</t>
  </si>
  <si>
    <t>1.710,40</t>
  </si>
  <si>
    <t>649,59</t>
  </si>
  <si>
    <t>1.148,45</t>
  </si>
  <si>
    <t>1.691,28</t>
  </si>
  <si>
    <t>2.204,55</t>
  </si>
  <si>
    <t>266,83</t>
  </si>
  <si>
    <t>501,08</t>
  </si>
  <si>
    <t>706,08</t>
  </si>
  <si>
    <t>1.000,36</t>
  </si>
  <si>
    <t>339,15</t>
  </si>
  <si>
    <t>647,69</t>
  </si>
  <si>
    <t>978,90</t>
  </si>
  <si>
    <t>1.288,67</t>
  </si>
  <si>
    <t>279,75</t>
  </si>
  <si>
    <t>532,10</t>
  </si>
  <si>
    <t>796,70</t>
  </si>
  <si>
    <t>1.044,60</t>
  </si>
  <si>
    <t>363,82</t>
  </si>
  <si>
    <t>676,70</t>
  </si>
  <si>
    <t>1.017,43</t>
  </si>
  <si>
    <t>1.358,56</t>
  </si>
  <si>
    <t>119,21</t>
  </si>
  <si>
    <t>125,97</t>
  </si>
  <si>
    <t>153,25</t>
  </si>
  <si>
    <t>175,82</t>
  </si>
  <si>
    <t>75,50</t>
  </si>
  <si>
    <t>120,91</t>
  </si>
  <si>
    <t>154,45</t>
  </si>
  <si>
    <t>32,41</t>
  </si>
  <si>
    <t>34,59</t>
  </si>
  <si>
    <t>23,66</t>
  </si>
  <si>
    <t>1,70</t>
  </si>
  <si>
    <t>15,80</t>
  </si>
  <si>
    <t>24,95</t>
  </si>
  <si>
    <t>3,84</t>
  </si>
  <si>
    <t>8,67</t>
  </si>
  <si>
    <t>2.962,65</t>
  </si>
  <si>
    <t>2.123,67</t>
  </si>
  <si>
    <t>1.697,17</t>
  </si>
  <si>
    <t>1.441,76</t>
  </si>
  <si>
    <t>14,92</t>
  </si>
  <si>
    <t>1.768,08</t>
  </si>
  <si>
    <t>1.690,22</t>
  </si>
  <si>
    <t>1.091,27</t>
  </si>
  <si>
    <t>1.363,05</t>
  </si>
  <si>
    <t>1.733,44</t>
  </si>
  <si>
    <t>1.280,48</t>
  </si>
  <si>
    <t>174,00</t>
  </si>
  <si>
    <t>2.043,45</t>
  </si>
  <si>
    <t>178,29</t>
  </si>
  <si>
    <t>3.566,34</t>
  </si>
  <si>
    <t>2.182,95</t>
  </si>
  <si>
    <t>183,50</t>
  </si>
  <si>
    <t>2.977,86</t>
  </si>
  <si>
    <t>188,00</t>
  </si>
  <si>
    <t>234,94</t>
  </si>
  <si>
    <t>10.087,75</t>
  </si>
  <si>
    <t>248,31</t>
  </si>
  <si>
    <t>87,95</t>
  </si>
  <si>
    <t>270,08</t>
  </si>
  <si>
    <t>7.302,92</t>
  </si>
  <si>
    <t>10.980,10</t>
  </si>
  <si>
    <t>34,96</t>
  </si>
  <si>
    <t>42,53</t>
  </si>
  <si>
    <t>43,91</t>
  </si>
  <si>
    <t>80,56</t>
  </si>
  <si>
    <t>9,38</t>
  </si>
  <si>
    <t>19,12</t>
  </si>
  <si>
    <t>175,67</t>
  </si>
  <si>
    <t>258,45</t>
  </si>
  <si>
    <t>341,22</t>
  </si>
  <si>
    <t>477,49</t>
  </si>
  <si>
    <t>650,13</t>
  </si>
  <si>
    <t>79,86</t>
  </si>
  <si>
    <t>75,86</t>
  </si>
  <si>
    <t>193,84</t>
  </si>
  <si>
    <t>163,80</t>
  </si>
  <si>
    <t>295,49</t>
  </si>
  <si>
    <t>51,46</t>
  </si>
  <si>
    <t>78,08</t>
  </si>
  <si>
    <t>89,41</t>
  </si>
  <si>
    <t>108,31</t>
  </si>
  <si>
    <t>389,21</t>
  </si>
  <si>
    <t>595,63</t>
  </si>
  <si>
    <t>803,47</t>
  </si>
  <si>
    <t>578,00</t>
  </si>
  <si>
    <t>910,17</t>
  </si>
  <si>
    <t>1.246,02</t>
  </si>
  <si>
    <t>113,32</t>
  </si>
  <si>
    <t>233,93</t>
  </si>
  <si>
    <t>3,70</t>
  </si>
  <si>
    <t>15,07</t>
  </si>
  <si>
    <t>17,86</t>
  </si>
  <si>
    <t>13,27</t>
  </si>
  <si>
    <t>19,70</t>
  </si>
  <si>
    <t>15,74</t>
  </si>
  <si>
    <t>17,19</t>
  </si>
  <si>
    <t>15,24</t>
  </si>
  <si>
    <t>17,05</t>
  </si>
  <si>
    <t>18,29</t>
  </si>
  <si>
    <t>21,31</t>
  </si>
  <si>
    <t>28,76</t>
  </si>
  <si>
    <t>17,16</t>
  </si>
  <si>
    <t>19,71</t>
  </si>
  <si>
    <t>21,92</t>
  </si>
  <si>
    <t>27,45</t>
  </si>
  <si>
    <t>17,97</t>
  </si>
  <si>
    <t>24,15</t>
  </si>
  <si>
    <t>10,77</t>
  </si>
  <si>
    <t>21,82</t>
  </si>
  <si>
    <t>20,18</t>
  </si>
  <si>
    <t>21,01</t>
  </si>
  <si>
    <t>23,14</t>
  </si>
  <si>
    <t>12,55</t>
  </si>
  <si>
    <t>18,25</t>
  </si>
  <si>
    <t>24,69</t>
  </si>
  <si>
    <t>30,76</t>
  </si>
  <si>
    <t>17,56</t>
  </si>
  <si>
    <t>22,60</t>
  </si>
  <si>
    <t>16,75</t>
  </si>
  <si>
    <t>157,48</t>
  </si>
  <si>
    <t>185,77</t>
  </si>
  <si>
    <t>37,96</t>
  </si>
  <si>
    <t>6,27</t>
  </si>
  <si>
    <t>6,18</t>
  </si>
  <si>
    <t>5,29</t>
  </si>
  <si>
    <t>14,12</t>
  </si>
  <si>
    <t>7,79</t>
  </si>
  <si>
    <t>13,03</t>
  </si>
  <si>
    <t>5,53</t>
  </si>
  <si>
    <t>6,87</t>
  </si>
  <si>
    <t>18,71</t>
  </si>
  <si>
    <t>8,76</t>
  </si>
  <si>
    <t>7,87</t>
  </si>
  <si>
    <t>16,30</t>
  </si>
  <si>
    <t>16,07</t>
  </si>
  <si>
    <t>67,87</t>
  </si>
  <si>
    <t>58,29</t>
  </si>
  <si>
    <t>59,50</t>
  </si>
  <si>
    <t>56,24</t>
  </si>
  <si>
    <t>66,93</t>
  </si>
  <si>
    <t>62,52</t>
  </si>
  <si>
    <t>56,83</t>
  </si>
  <si>
    <t>83,23</t>
  </si>
  <si>
    <t>59,55</t>
  </si>
  <si>
    <t>55,33</t>
  </si>
  <si>
    <t>51,18</t>
  </si>
  <si>
    <t>49,40</t>
  </si>
  <si>
    <t>46,89</t>
  </si>
  <si>
    <t>68,59</t>
  </si>
  <si>
    <t>58,61</t>
  </si>
  <si>
    <t>48,51</t>
  </si>
  <si>
    <t>74,91</t>
  </si>
  <si>
    <t>14,17</t>
  </si>
  <si>
    <t>22,21</t>
  </si>
  <si>
    <t>13,86</t>
  </si>
  <si>
    <t>17,91</t>
  </si>
  <si>
    <t>37,59</t>
  </si>
  <si>
    <t>2,08</t>
  </si>
  <si>
    <t>1,91</t>
  </si>
  <si>
    <t>211,94</t>
  </si>
  <si>
    <t>267,73</t>
  </si>
  <si>
    <t>182,42</t>
  </si>
  <si>
    <t>238,19</t>
  </si>
  <si>
    <t>172,25</t>
  </si>
  <si>
    <t>218,78</t>
  </si>
  <si>
    <t>168,53</t>
  </si>
  <si>
    <t>128,34</t>
  </si>
  <si>
    <t>56,37</t>
  </si>
  <si>
    <t>76,26</t>
  </si>
  <si>
    <t>78,18</t>
  </si>
  <si>
    <t>91,50</t>
  </si>
  <si>
    <t>95,54</t>
  </si>
  <si>
    <t>97,01</t>
  </si>
  <si>
    <t>84,95</t>
  </si>
  <si>
    <t>126,38</t>
  </si>
  <si>
    <t>149,27</t>
  </si>
  <si>
    <t>152,24</t>
  </si>
  <si>
    <t>186,72</t>
  </si>
  <si>
    <t>188,90</t>
  </si>
  <si>
    <t>56,68</t>
  </si>
  <si>
    <t>70,80</t>
  </si>
  <si>
    <t>79,21</t>
  </si>
  <si>
    <t>81,37</t>
  </si>
  <si>
    <t>80,82</t>
  </si>
  <si>
    <t>83,41</t>
  </si>
  <si>
    <t>99,29</t>
  </si>
  <si>
    <t>62,08</t>
  </si>
  <si>
    <t>80,59</t>
  </si>
  <si>
    <t>158,67</t>
  </si>
  <si>
    <t>75,17</t>
  </si>
  <si>
    <t>76,58</t>
  </si>
  <si>
    <t>97,97</t>
  </si>
  <si>
    <t>99,63</t>
  </si>
  <si>
    <t>117,29</t>
  </si>
  <si>
    <t>119,36</t>
  </si>
  <si>
    <t>112,83</t>
  </si>
  <si>
    <t>114,49</t>
  </si>
  <si>
    <t>135,82</t>
  </si>
  <si>
    <t>137,89</t>
  </si>
  <si>
    <t>116,07</t>
  </si>
  <si>
    <t>84,18</t>
  </si>
  <si>
    <t>101,86</t>
  </si>
  <si>
    <t>112,59</t>
  </si>
  <si>
    <t>132,22</t>
  </si>
  <si>
    <t>96,23</t>
  </si>
  <si>
    <t>115,14</t>
  </si>
  <si>
    <t>132,91</t>
  </si>
  <si>
    <t>153,75</t>
  </si>
  <si>
    <t>224,08</t>
  </si>
  <si>
    <t>636,08</t>
  </si>
  <si>
    <t>644,71</t>
  </si>
  <si>
    <t>99,60</t>
  </si>
  <si>
    <t>117,19</t>
  </si>
  <si>
    <t>142,69</t>
  </si>
  <si>
    <t>165,10</t>
  </si>
  <si>
    <t>139,28</t>
  </si>
  <si>
    <t>151,50</t>
  </si>
  <si>
    <t>168,20</t>
  </si>
  <si>
    <t>191,04</t>
  </si>
  <si>
    <t>59,26</t>
  </si>
  <si>
    <t>531,17</t>
  </si>
  <si>
    <t>898,07</t>
  </si>
  <si>
    <t>822,03</t>
  </si>
  <si>
    <t>933,25</t>
  </si>
  <si>
    <t>1.021,37</t>
  </si>
  <si>
    <t>364,51</t>
  </si>
  <si>
    <t>416,41</t>
  </si>
  <si>
    <t>118,35</t>
  </si>
  <si>
    <t>165,92</t>
  </si>
  <si>
    <t>242,30</t>
  </si>
  <si>
    <t>66,59</t>
  </si>
  <si>
    <t>144,48</t>
  </si>
  <si>
    <t>174,34</t>
  </si>
  <si>
    <t>202,15</t>
  </si>
  <si>
    <t>229,21</t>
  </si>
  <si>
    <t>192,36</t>
  </si>
  <si>
    <t>257,31</t>
  </si>
  <si>
    <t>283,22</t>
  </si>
  <si>
    <t>308,77</t>
  </si>
  <si>
    <t>248,11</t>
  </si>
  <si>
    <t>274,21</t>
  </si>
  <si>
    <t>299,96</t>
  </si>
  <si>
    <t>256,94</t>
  </si>
  <si>
    <t>84,89</t>
  </si>
  <si>
    <t>111,94</t>
  </si>
  <si>
    <t>189,08</t>
  </si>
  <si>
    <t>75,10</t>
  </si>
  <si>
    <t>140,05</t>
  </si>
  <si>
    <t>165,96</t>
  </si>
  <si>
    <t>191,51</t>
  </si>
  <si>
    <t>156,95</t>
  </si>
  <si>
    <t>61,03</t>
  </si>
  <si>
    <t>74,56</t>
  </si>
  <si>
    <t>75,62</t>
  </si>
  <si>
    <t>38,85</t>
  </si>
  <si>
    <t>1.876,46</t>
  </si>
  <si>
    <t>62,78</t>
  </si>
  <si>
    <t>11,95</t>
  </si>
  <si>
    <t>47,11</t>
  </si>
  <si>
    <t>73,08</t>
  </si>
  <si>
    <t>101,00</t>
  </si>
  <si>
    <t>127,70</t>
  </si>
  <si>
    <t>125,77</t>
  </si>
  <si>
    <t>179,86</t>
  </si>
  <si>
    <t>250,98</t>
  </si>
  <si>
    <t>87,11</t>
  </si>
  <si>
    <t>113,96</t>
  </si>
  <si>
    <t>80,93</t>
  </si>
  <si>
    <t>71,39</t>
  </si>
  <si>
    <t>136,30</t>
  </si>
  <si>
    <t>162,25</t>
  </si>
  <si>
    <t>187,76</t>
  </si>
  <si>
    <t>127,11</t>
  </si>
  <si>
    <t>155,47</t>
  </si>
  <si>
    <t>178,99</t>
  </si>
  <si>
    <t>86,76</t>
  </si>
  <si>
    <t>77,22</t>
  </si>
  <si>
    <t>43,96</t>
  </si>
  <si>
    <t>69,64</t>
  </si>
  <si>
    <t>146,14</t>
  </si>
  <si>
    <t>68,56</t>
  </si>
  <si>
    <t>86,08</t>
  </si>
  <si>
    <t>104,16</t>
  </si>
  <si>
    <t>84,51</t>
  </si>
  <si>
    <t>91,45</t>
  </si>
  <si>
    <t>107,94</t>
  </si>
  <si>
    <t>81,96</t>
  </si>
  <si>
    <t>88,55</t>
  </si>
  <si>
    <t>106,95</t>
  </si>
  <si>
    <t>93,80</t>
  </si>
  <si>
    <t>81,89</t>
  </si>
  <si>
    <t>98,71</t>
  </si>
  <si>
    <t>122,88</t>
  </si>
  <si>
    <t>138,57</t>
  </si>
  <si>
    <t>153,29</t>
  </si>
  <si>
    <t>174,93</t>
  </si>
  <si>
    <t>199,69</t>
  </si>
  <si>
    <t>220,61</t>
  </si>
  <si>
    <t>239,44</t>
  </si>
  <si>
    <t>208,80</t>
  </si>
  <si>
    <t>20,66</t>
  </si>
  <si>
    <t>15,32</t>
  </si>
  <si>
    <t>120,01</t>
  </si>
  <si>
    <t>39,37</t>
  </si>
  <si>
    <t>62,20</t>
  </si>
  <si>
    <t>119,64</t>
  </si>
  <si>
    <t>126,22</t>
  </si>
  <si>
    <t>152,64</t>
  </si>
  <si>
    <t>133,04</t>
  </si>
  <si>
    <t>148,98</t>
  </si>
  <si>
    <t>170,07</t>
  </si>
  <si>
    <t>194,29</t>
  </si>
  <si>
    <t>91,00</t>
  </si>
  <si>
    <t>114,37</t>
  </si>
  <si>
    <t>133,39</t>
  </si>
  <si>
    <t>145,50</t>
  </si>
  <si>
    <t>166,62</t>
  </si>
  <si>
    <t>202,32</t>
  </si>
  <si>
    <t>89,48</t>
  </si>
  <si>
    <t>76,42</t>
  </si>
  <si>
    <t>112,34</t>
  </si>
  <si>
    <t>100,62</t>
  </si>
  <si>
    <t>133,48</t>
  </si>
  <si>
    <t>1.462,78</t>
  </si>
  <si>
    <t>1.263,26</t>
  </si>
  <si>
    <t>112,46</t>
  </si>
  <si>
    <t>164,74</t>
  </si>
  <si>
    <t>237,67</t>
  </si>
  <si>
    <t>3,77</t>
  </si>
  <si>
    <t>4,07</t>
  </si>
  <si>
    <t>29,69</t>
  </si>
  <si>
    <t>21,80</t>
  </si>
  <si>
    <t>19,56</t>
  </si>
  <si>
    <t>37,06</t>
  </si>
  <si>
    <t>27,20</t>
  </si>
  <si>
    <t>20,24</t>
  </si>
  <si>
    <t>28,65</t>
  </si>
  <si>
    <t>35,58</t>
  </si>
  <si>
    <t>33,08</t>
  </si>
  <si>
    <t>25,44</t>
  </si>
  <si>
    <t>48,54</t>
  </si>
  <si>
    <t>53,47</t>
  </si>
  <si>
    <t>30,70</t>
  </si>
  <si>
    <t>11,93</t>
  </si>
  <si>
    <t>10,01</t>
  </si>
  <si>
    <t>9,58</t>
  </si>
  <si>
    <t>36,79</t>
  </si>
  <si>
    <t>28,78</t>
  </si>
  <si>
    <t>12,75</t>
  </si>
  <si>
    <t>29,17</t>
  </si>
  <si>
    <t>28,89</t>
  </si>
  <si>
    <t>11,79</t>
  </si>
  <si>
    <t>30,01</t>
  </si>
  <si>
    <t>44,56</t>
  </si>
  <si>
    <t>26,94</t>
  </si>
  <si>
    <t>60,27</t>
  </si>
  <si>
    <t>58,03</t>
  </si>
  <si>
    <t>60,07</t>
  </si>
  <si>
    <t>70,39</t>
  </si>
  <si>
    <t>12,63</t>
  </si>
  <si>
    <t>51,39</t>
  </si>
  <si>
    <t>97,99</t>
  </si>
  <si>
    <t>49,91</t>
  </si>
  <si>
    <t>217,43</t>
  </si>
  <si>
    <t>332,11</t>
  </si>
  <si>
    <t>224,79</t>
  </si>
  <si>
    <t>66,20</t>
  </si>
  <si>
    <t>58,11</t>
  </si>
  <si>
    <t>67,68</t>
  </si>
  <si>
    <t>58,41</t>
  </si>
  <si>
    <t>126,11</t>
  </si>
  <si>
    <t>112,07</t>
  </si>
  <si>
    <t>158,48</t>
  </si>
  <si>
    <t>197,72</t>
  </si>
  <si>
    <t>181,65</t>
  </si>
  <si>
    <t>169,94</t>
  </si>
  <si>
    <t>65,31</t>
  </si>
  <si>
    <t>67,06</t>
  </si>
  <si>
    <t>114,79</t>
  </si>
  <si>
    <t>101,73</t>
  </si>
  <si>
    <t>203,13</t>
  </si>
  <si>
    <t>184,97</t>
  </si>
  <si>
    <t>170,73</t>
  </si>
  <si>
    <t>88,38</t>
  </si>
  <si>
    <t>80,97</t>
  </si>
  <si>
    <t>71,66</t>
  </si>
  <si>
    <t>60,82</t>
  </si>
  <si>
    <t>54,00</t>
  </si>
  <si>
    <t>109,81</t>
  </si>
  <si>
    <t>170,32</t>
  </si>
  <si>
    <t>153,74</t>
  </si>
  <si>
    <t>454,20</t>
  </si>
  <si>
    <t>455,28</t>
  </si>
  <si>
    <t>43,18</t>
  </si>
  <si>
    <t>40,42</t>
  </si>
  <si>
    <t>72,81</t>
  </si>
  <si>
    <t>219,09</t>
  </si>
  <si>
    <t>149,20</t>
  </si>
  <si>
    <t>300,46</t>
  </si>
  <si>
    <t>196,19</t>
  </si>
  <si>
    <t>333,54</t>
  </si>
  <si>
    <t>100,80</t>
  </si>
  <si>
    <t>164,05</t>
  </si>
  <si>
    <t>191,09</t>
  </si>
  <si>
    <t>263,89</t>
  </si>
  <si>
    <t>397,25</t>
  </si>
  <si>
    <t>406,92</t>
  </si>
  <si>
    <t>108,03</t>
  </si>
  <si>
    <t>127,17</t>
  </si>
  <si>
    <t>86,20</t>
  </si>
  <si>
    <t>466,94</t>
  </si>
  <si>
    <t>36,46</t>
  </si>
  <si>
    <t>685,68</t>
  </si>
  <si>
    <t>653,95</t>
  </si>
  <si>
    <t>72,07</t>
  </si>
  <si>
    <t>85,62</t>
  </si>
  <si>
    <t>78,29</t>
  </si>
  <si>
    <t>668,88</t>
  </si>
  <si>
    <t>107,63</t>
  </si>
  <si>
    <t>50,33</t>
  </si>
  <si>
    <t>115,97</t>
  </si>
  <si>
    <t>130,12</t>
  </si>
  <si>
    <t>37,32</t>
  </si>
  <si>
    <t>45,39</t>
  </si>
  <si>
    <t>42,77</t>
  </si>
  <si>
    <t>52,02</t>
  </si>
  <si>
    <t>127,19</t>
  </si>
  <si>
    <t>138,01</t>
  </si>
  <si>
    <t>49,96</t>
  </si>
  <si>
    <t>56,53</t>
  </si>
  <si>
    <t>121,41</t>
  </si>
  <si>
    <t>47,56</t>
  </si>
  <si>
    <t>54,13</t>
  </si>
  <si>
    <t>119,01</t>
  </si>
  <si>
    <t>127,42</t>
  </si>
  <si>
    <t>141,57</t>
  </si>
  <si>
    <t>79,71</t>
  </si>
  <si>
    <t>164,13</t>
  </si>
  <si>
    <t>180,33</t>
  </si>
  <si>
    <t>94,58</t>
  </si>
  <si>
    <t>176,44</t>
  </si>
  <si>
    <t>194,08</t>
  </si>
  <si>
    <t>93,26</t>
  </si>
  <si>
    <t>104,84</t>
  </si>
  <si>
    <t>198,96</t>
  </si>
  <si>
    <t>45,64</t>
  </si>
  <si>
    <t>44,41</t>
  </si>
  <si>
    <t>61,77</t>
  </si>
  <si>
    <t>6,97</t>
  </si>
  <si>
    <t>26,86</t>
  </si>
  <si>
    <t>36,12</t>
  </si>
  <si>
    <t>19,97</t>
  </si>
  <si>
    <t>40,57</t>
  </si>
  <si>
    <t>47,69</t>
  </si>
  <si>
    <t>32,86</t>
  </si>
  <si>
    <t>40,64</t>
  </si>
  <si>
    <t>46,74</t>
  </si>
  <si>
    <t>42,33</t>
  </si>
  <si>
    <t>34,67</t>
  </si>
  <si>
    <t>36,36</t>
  </si>
  <si>
    <t>81,77</t>
  </si>
  <si>
    <t>78,04</t>
  </si>
  <si>
    <t>76,71</t>
  </si>
  <si>
    <t>72,99</t>
  </si>
  <si>
    <t>31,73</t>
  </si>
  <si>
    <t>23,89</t>
  </si>
  <si>
    <t>27,34</t>
  </si>
  <si>
    <t>46,46</t>
  </si>
  <si>
    <t>45,11</t>
  </si>
  <si>
    <t>41,38</t>
  </si>
  <si>
    <t>45,45</t>
  </si>
  <si>
    <t>60,60</t>
  </si>
  <si>
    <t>71,26</t>
  </si>
  <si>
    <t>78,09</t>
  </si>
  <si>
    <t>118,48</t>
  </si>
  <si>
    <t>76,21</t>
  </si>
  <si>
    <t>136,56</t>
  </si>
  <si>
    <t>90,95</t>
  </si>
  <si>
    <t>150,57</t>
  </si>
  <si>
    <t>73,38</t>
  </si>
  <si>
    <t>61,40</t>
  </si>
  <si>
    <t>100,11</t>
  </si>
  <si>
    <t>67,65</t>
  </si>
  <si>
    <t>117,00</t>
  </si>
  <si>
    <t>65,09</t>
  </si>
  <si>
    <t>82,66</t>
  </si>
  <si>
    <t>112,29</t>
  </si>
  <si>
    <t>98,14</t>
  </si>
  <si>
    <t>139,08</t>
  </si>
  <si>
    <t>102,76</t>
  </si>
  <si>
    <t>110,76</t>
  </si>
  <si>
    <t>155,97</t>
  </si>
  <si>
    <t>135,60</t>
  </si>
  <si>
    <t>144,40</t>
  </si>
  <si>
    <t>181,36</t>
  </si>
  <si>
    <t>75,53</t>
  </si>
  <si>
    <t>114,28</t>
  </si>
  <si>
    <t>90,45</t>
  </si>
  <si>
    <t>143,31</t>
  </si>
  <si>
    <t>187,16</t>
  </si>
  <si>
    <t>177,53</t>
  </si>
  <si>
    <t>122,61</t>
  </si>
  <si>
    <t>137,85</t>
  </si>
  <si>
    <t>183,05</t>
  </si>
  <si>
    <t>126,79</t>
  </si>
  <si>
    <t>185,12</t>
  </si>
  <si>
    <t>134,55</t>
  </si>
  <si>
    <t>147,99</t>
  </si>
  <si>
    <t>137,55</t>
  </si>
  <si>
    <t>211,90</t>
  </si>
  <si>
    <t>154,65</t>
  </si>
  <si>
    <t>197,95</t>
  </si>
  <si>
    <t>200,04</t>
  </si>
  <si>
    <t>149,46</t>
  </si>
  <si>
    <t>25,52</t>
  </si>
  <si>
    <t>49,11</t>
  </si>
  <si>
    <t>58,73</t>
  </si>
  <si>
    <t>75,67</t>
  </si>
  <si>
    <t>81,30</t>
  </si>
  <si>
    <t>89,88</t>
  </si>
  <si>
    <t>42,18</t>
  </si>
  <si>
    <t>64,03</t>
  </si>
  <si>
    <t>65,77</t>
  </si>
  <si>
    <t>103,70</t>
  </si>
  <si>
    <t>109,01</t>
  </si>
  <si>
    <t>79,66</t>
  </si>
  <si>
    <t>95,60</t>
  </si>
  <si>
    <t>86,53</t>
  </si>
  <si>
    <t>65,58</t>
  </si>
  <si>
    <t>113,31</t>
  </si>
  <si>
    <t>70,53</t>
  </si>
  <si>
    <t>79,09</t>
  </si>
  <si>
    <t>131,39</t>
  </si>
  <si>
    <t>75,39</t>
  </si>
  <si>
    <t>93,32</t>
  </si>
  <si>
    <t>144,89</t>
  </si>
  <si>
    <t>83,39</t>
  </si>
  <si>
    <t>36,92</t>
  </si>
  <si>
    <t>41,67</t>
  </si>
  <si>
    <t>70,93</t>
  </si>
  <si>
    <t>54,70</t>
  </si>
  <si>
    <t>55,78</t>
  </si>
  <si>
    <t>63,78</t>
  </si>
  <si>
    <t>113,48</t>
  </si>
  <si>
    <t>69,63</t>
  </si>
  <si>
    <t>121,24</t>
  </si>
  <si>
    <t>79,45</t>
  </si>
  <si>
    <t>105,12</t>
  </si>
  <si>
    <t>78,88</t>
  </si>
  <si>
    <t>95,31</t>
  </si>
  <si>
    <t>130,78</t>
  </si>
  <si>
    <t>94,21</t>
  </si>
  <si>
    <t>93,56</t>
  </si>
  <si>
    <t>101,56</t>
  </si>
  <si>
    <t>147,67</t>
  </si>
  <si>
    <t>99,51</t>
  </si>
  <si>
    <t>123,05</t>
  </si>
  <si>
    <t>171,13</t>
  </si>
  <si>
    <t>43,07</t>
  </si>
  <si>
    <t>28,03</t>
  </si>
  <si>
    <t>66,66</t>
  </si>
  <si>
    <t>22,55</t>
  </si>
  <si>
    <t>139,11</t>
  </si>
  <si>
    <t>173,44</t>
  </si>
  <si>
    <t>43,12</t>
  </si>
  <si>
    <t>158,30</t>
  </si>
  <si>
    <t>202,77</t>
  </si>
  <si>
    <t>69,45</t>
  </si>
  <si>
    <t>41,40</t>
  </si>
  <si>
    <t>70,49</t>
  </si>
  <si>
    <t>60,71</t>
  </si>
  <si>
    <t>68,68</t>
  </si>
  <si>
    <t>74,44</t>
  </si>
  <si>
    <t>80,40</t>
  </si>
  <si>
    <t>364,14</t>
  </si>
  <si>
    <t>354,62</t>
  </si>
  <si>
    <t>373,30</t>
  </si>
  <si>
    <t>362,81</t>
  </si>
  <si>
    <t>475,17</t>
  </si>
  <si>
    <t>449,34</t>
  </si>
  <si>
    <t>455,73</t>
  </si>
  <si>
    <t>442,50</t>
  </si>
  <si>
    <t>462,67</t>
  </si>
  <si>
    <t>441,88</t>
  </si>
  <si>
    <t>460,31</t>
  </si>
  <si>
    <t>423,44</t>
  </si>
  <si>
    <t>553,24</t>
  </si>
  <si>
    <t>362,89</t>
  </si>
  <si>
    <t>499,94</t>
  </si>
  <si>
    <t>486,32</t>
  </si>
  <si>
    <t>446,69</t>
  </si>
  <si>
    <t>448,31</t>
  </si>
  <si>
    <t>428,08</t>
  </si>
  <si>
    <t>415,57</t>
  </si>
  <si>
    <t>362,59</t>
  </si>
  <si>
    <t>349,58</t>
  </si>
  <si>
    <t>440,91</t>
  </si>
  <si>
    <t>429,42</t>
  </si>
  <si>
    <t>402,51</t>
  </si>
  <si>
    <t>382,36</t>
  </si>
  <si>
    <t>3.586,11</t>
  </si>
  <si>
    <t>3.588,43</t>
  </si>
  <si>
    <t>3.686,01</t>
  </si>
  <si>
    <t>3.680,34</t>
  </si>
  <si>
    <t>3.611,27</t>
  </si>
  <si>
    <t>3.613,87</t>
  </si>
  <si>
    <t>394,00</t>
  </si>
  <si>
    <t>321,69</t>
  </si>
  <si>
    <t>426,75</t>
  </si>
  <si>
    <t>345,02</t>
  </si>
  <si>
    <t>504,19</t>
  </si>
  <si>
    <t>428,58</t>
  </si>
  <si>
    <t>465,90</t>
  </si>
  <si>
    <t>419,87</t>
  </si>
  <si>
    <t>456,07</t>
  </si>
  <si>
    <t>432,52</t>
  </si>
  <si>
    <t>448,44</t>
  </si>
  <si>
    <t>426,72</t>
  </si>
  <si>
    <t>708,89</t>
  </si>
  <si>
    <t>556,47</t>
  </si>
  <si>
    <t>591,90</t>
  </si>
  <si>
    <t>505,53</t>
  </si>
  <si>
    <t>456,89</t>
  </si>
  <si>
    <t>525,32</t>
  </si>
  <si>
    <t>453,74</t>
  </si>
  <si>
    <t>415,29</t>
  </si>
  <si>
    <t>474,98</t>
  </si>
  <si>
    <t>380,39</t>
  </si>
  <si>
    <t>420,82</t>
  </si>
  <si>
    <t>333,27</t>
  </si>
  <si>
    <t>543,43</t>
  </si>
  <si>
    <t>450,09</t>
  </si>
  <si>
    <t>406,81</t>
  </si>
  <si>
    <t>388,76</t>
  </si>
  <si>
    <t>357,82</t>
  </si>
  <si>
    <t>3.550,88</t>
  </si>
  <si>
    <t>3.514,61</t>
  </si>
  <si>
    <t>3.654,37</t>
  </si>
  <si>
    <t>3.597,33</t>
  </si>
  <si>
    <t>3.591,73</t>
  </si>
  <si>
    <t>3.586,29</t>
  </si>
  <si>
    <t>3.546,39</t>
  </si>
  <si>
    <t>542,27</t>
  </si>
  <si>
    <t>625,90</t>
  </si>
  <si>
    <t>613,78</t>
  </si>
  <si>
    <t>624,80</t>
  </si>
  <si>
    <t>604,80</t>
  </si>
  <si>
    <t>591,14</t>
  </si>
  <si>
    <t>730,43</t>
  </si>
  <si>
    <t>652,24</t>
  </si>
  <si>
    <t>612,25</t>
  </si>
  <si>
    <t>587,83</t>
  </si>
  <si>
    <t>524,82</t>
  </si>
  <si>
    <t>608,70</t>
  </si>
  <si>
    <t>552,48</t>
  </si>
  <si>
    <t>3.724,49</t>
  </si>
  <si>
    <t>3.809,50</t>
  </si>
  <si>
    <t>3.752,47</t>
  </si>
  <si>
    <t>1.653,74</t>
  </si>
  <si>
    <t>1.642,93</t>
  </si>
  <si>
    <t>1.629,44</t>
  </si>
  <si>
    <t>1.908,80</t>
  </si>
  <si>
    <t>1.890,75</t>
  </si>
  <si>
    <t>1.878,65</t>
  </si>
  <si>
    <t>4.523,43</t>
  </si>
  <si>
    <t>4.532,52</t>
  </si>
  <si>
    <t>4.548,93</t>
  </si>
  <si>
    <t>5.033,40</t>
  </si>
  <si>
    <t>5.068,83</t>
  </si>
  <si>
    <t>5.105,80</t>
  </si>
  <si>
    <t>3.195,73</t>
  </si>
  <si>
    <t>3.206,47</t>
  </si>
  <si>
    <t>3.219,87</t>
  </si>
  <si>
    <t>4.719,88</t>
  </si>
  <si>
    <t>4.718,64</t>
  </si>
  <si>
    <t>1.689,40</t>
  </si>
  <si>
    <t>1.670,30</t>
  </si>
  <si>
    <t>838,99</t>
  </si>
  <si>
    <t>449,06</t>
  </si>
  <si>
    <t>573,07</t>
  </si>
  <si>
    <t>458,01</t>
  </si>
  <si>
    <t>588,69</t>
  </si>
  <si>
    <t>386,13</t>
  </si>
  <si>
    <t>528,18</t>
  </si>
  <si>
    <t>434,39</t>
  </si>
  <si>
    <t>719,35</t>
  </si>
  <si>
    <t>484,58</t>
  </si>
  <si>
    <t>436,58</t>
  </si>
  <si>
    <t>412,58</t>
  </si>
  <si>
    <t>594,98</t>
  </si>
  <si>
    <t>449,61</t>
  </si>
  <si>
    <t>465,08</t>
  </si>
  <si>
    <t>404,94</t>
  </si>
  <si>
    <t>377,84</t>
  </si>
  <si>
    <t>621,53</t>
  </si>
  <si>
    <t>703,20</t>
  </si>
  <si>
    <t>609,37</t>
  </si>
  <si>
    <t>589,29</t>
  </si>
  <si>
    <t>751,04</t>
  </si>
  <si>
    <t>530,54</t>
  </si>
  <si>
    <t>591,91</t>
  </si>
  <si>
    <t>532,81</t>
  </si>
  <si>
    <t>507,83</t>
  </si>
  <si>
    <t>663,23</t>
  </si>
  <si>
    <t>436,87</t>
  </si>
  <si>
    <t>455,04</t>
  </si>
  <si>
    <t>397,27</t>
  </si>
  <si>
    <t>619,91</t>
  </si>
  <si>
    <t>529,21</t>
  </si>
  <si>
    <t>68,20</t>
  </si>
  <si>
    <t>466,01</t>
  </si>
  <si>
    <t>10,19</t>
  </si>
  <si>
    <t>2,70</t>
  </si>
  <si>
    <t>77,10</t>
  </si>
  <si>
    <t>58,96</t>
  </si>
  <si>
    <t>75,63</t>
  </si>
  <si>
    <t>62,51</t>
  </si>
  <si>
    <t>51,17</t>
  </si>
  <si>
    <t>104,64</t>
  </si>
  <si>
    <t>64,43</t>
  </si>
  <si>
    <t>115,19</t>
  </si>
  <si>
    <t>68,58</t>
  </si>
  <si>
    <t>47,51</t>
  </si>
  <si>
    <t>307,70</t>
  </si>
  <si>
    <t>28,87</t>
  </si>
  <si>
    <t>99,90</t>
  </si>
  <si>
    <t>830,27</t>
  </si>
  <si>
    <t>721,63</t>
  </si>
  <si>
    <t>333,13</t>
  </si>
  <si>
    <t>149,88</t>
  </si>
  <si>
    <t>37,02</t>
  </si>
  <si>
    <t>128,30</t>
  </si>
  <si>
    <t>161,62</t>
  </si>
  <si>
    <t>34,47</t>
  </si>
  <si>
    <t>324,92</t>
  </si>
  <si>
    <t>644,02</t>
  </si>
  <si>
    <t>207,78</t>
  </si>
  <si>
    <t>293,60</t>
  </si>
  <si>
    <t>175,23</t>
  </si>
  <si>
    <t>3,03</t>
  </si>
  <si>
    <t>2,27</t>
  </si>
  <si>
    <t>1,92</t>
  </si>
  <si>
    <t>0,72</t>
  </si>
  <si>
    <t>3,61</t>
  </si>
  <si>
    <t>1,15</t>
  </si>
  <si>
    <t>8,63</t>
  </si>
  <si>
    <t>6,26</t>
  </si>
  <si>
    <t>0,87</t>
  </si>
  <si>
    <t>3,43</t>
  </si>
  <si>
    <t>2,95</t>
  </si>
  <si>
    <t>2,73</t>
  </si>
  <si>
    <t>4,20</t>
  </si>
  <si>
    <t>1,54</t>
  </si>
  <si>
    <t>11,54</t>
  </si>
  <si>
    <t>8,30</t>
  </si>
  <si>
    <t>1,73</t>
  </si>
  <si>
    <t>600,87</t>
  </si>
  <si>
    <t>175,05</t>
  </si>
  <si>
    <t>298,22</t>
  </si>
  <si>
    <t>8,14</t>
  </si>
  <si>
    <t>6,40</t>
  </si>
  <si>
    <t>9,11</t>
  </si>
  <si>
    <t>5,42</t>
  </si>
  <si>
    <t>4,97</t>
  </si>
  <si>
    <t>4,47</t>
  </si>
  <si>
    <t>4,27</t>
  </si>
  <si>
    <t>4,02</t>
  </si>
  <si>
    <t>6,08</t>
  </si>
  <si>
    <t>20,40</t>
  </si>
  <si>
    <t>26,06</t>
  </si>
  <si>
    <t>29,98</t>
  </si>
  <si>
    <t>24,63</t>
  </si>
  <si>
    <t>11,21</t>
  </si>
  <si>
    <t>66,62</t>
  </si>
  <si>
    <t>48,11</t>
  </si>
  <si>
    <t>193,44</t>
  </si>
  <si>
    <t>148,49</t>
  </si>
  <si>
    <t>133,76</t>
  </si>
  <si>
    <t>97,94</t>
  </si>
  <si>
    <t>84,74</t>
  </si>
  <si>
    <t>67,04</t>
  </si>
  <si>
    <t>66,68</t>
  </si>
  <si>
    <t>67,86</t>
  </si>
  <si>
    <t>61,28</t>
  </si>
  <si>
    <t>61,63</t>
  </si>
  <si>
    <t>121,89</t>
  </si>
  <si>
    <t>94,57</t>
  </si>
  <si>
    <t>78,48</t>
  </si>
  <si>
    <t>44,65</t>
  </si>
  <si>
    <t>43,76</t>
  </si>
  <si>
    <t>188,77</t>
  </si>
  <si>
    <t>204,61</t>
  </si>
  <si>
    <t>233,56</t>
  </si>
  <si>
    <t>384,94</t>
  </si>
  <si>
    <t>185,73</t>
  </si>
  <si>
    <t>25,53</t>
  </si>
  <si>
    <t>4.052,63</t>
  </si>
  <si>
    <t>2.362,36</t>
  </si>
  <si>
    <t>2.514,64</t>
  </si>
  <si>
    <t>1.938,49</t>
  </si>
  <si>
    <t>2.788,91</t>
  </si>
  <si>
    <t>2.179,82</t>
  </si>
  <si>
    <t>4.071,04</t>
  </si>
  <si>
    <t>2.380,77</t>
  </si>
  <si>
    <t>2.533,05</t>
  </si>
  <si>
    <t>1.956,90</t>
  </si>
  <si>
    <t>2.807,32</t>
  </si>
  <si>
    <t>2.295,50</t>
  </si>
  <si>
    <t>1.335,75</t>
  </si>
  <si>
    <t>1.278,49</t>
  </si>
  <si>
    <t>306,21</t>
  </si>
  <si>
    <t>297,01</t>
  </si>
  <si>
    <t>3.255,82</t>
  </si>
  <si>
    <t>91,22</t>
  </si>
  <si>
    <t>196,37</t>
  </si>
  <si>
    <t>287,17</t>
  </si>
  <si>
    <t>305,91</t>
  </si>
  <si>
    <t>122,55</t>
  </si>
  <si>
    <t>336,30</t>
  </si>
  <si>
    <t>860,74</t>
  </si>
  <si>
    <t>1.363,72</t>
  </si>
  <si>
    <r>
      <t xml:space="preserve">BASE DE PREÇOS SINAPI SP - </t>
    </r>
    <r>
      <rPr>
        <b/>
        <sz val="10"/>
        <color rgb="FF0070C0"/>
        <rFont val="Arial"/>
        <family val="2"/>
      </rPr>
      <t>mar/2023</t>
    </r>
  </si>
  <si>
    <t>SINAPI / mar23</t>
  </si>
  <si>
    <t>Escoramento - utilização 4x</t>
  </si>
  <si>
    <t>ARRUELA EM ALUMINIO, COM ROSCA, DE 1 1/2", PARA ELETRODUTO</t>
  </si>
  <si>
    <t xml:space="preserve">UN    </t>
  </si>
  <si>
    <t>PEDRA DE MAO OU PEDRA RACHAO PARA ARRIMO/FUNDACAO (POSTO PEDREIRA/FORNECEDOR, SEM FRETE)</t>
  </si>
  <si>
    <t>65,45</t>
  </si>
  <si>
    <t>F.10.000.024520</t>
  </si>
  <si>
    <t>Espuma flexível poliuretano poliéter, auto extinguível, superfície em cunhas anecóicas ou ondulado, natural grafite, e=50mm, densidade 28 até 35kg/m³; ref. Sonique Wave 50/10 Vibrasom, Sinus PLus da Isopur ou equivalente</t>
  </si>
  <si>
    <t>11864</t>
  </si>
  <si>
    <t>CONECTOR METALICO TIPO PARAFUSO FENDIDO (SPLIT BOLT), PARA CABOS ATE 95 MM2</t>
  </si>
  <si>
    <t>SOLDA EXOTÉRMICA CONEXAO CABO SUPERFICIE</t>
  </si>
  <si>
    <t>10917</t>
  </si>
  <si>
    <t>TELA DE ACO SOLDADA NERVURADA, CA-60, Q-61, (0,97 KG/M2), DIAMETRO DO FIO = 3,4 MM, LARGURA = 2,45 M, ESPACAMENTO DA MALHA = 15 X 15 CM</t>
  </si>
  <si>
    <t>SOLDA EXOTERMINCA CABO / CABO</t>
  </si>
  <si>
    <t>SINAPI SP (mar23)
CDHU (fev23)
DER-SP (set/22)</t>
  </si>
  <si>
    <t>dersp</t>
  </si>
  <si>
    <t>&lt;&lt; incluso na composição caixa</t>
  </si>
  <si>
    <t>AREIA MEDIA - POSTO JAZIDA/FORNECEDOR (RETIRADO NA JAZIDA, SEM TRANSPORTE)</t>
  </si>
  <si>
    <t>1.1</t>
  </si>
  <si>
    <t>1.2</t>
  </si>
  <si>
    <t>2.1</t>
  </si>
  <si>
    <t>2.2</t>
  </si>
  <si>
    <t>2.3</t>
  </si>
  <si>
    <t>2.4</t>
  </si>
  <si>
    <t>3.1</t>
  </si>
  <si>
    <t>3.2</t>
  </si>
  <si>
    <t>3.3</t>
  </si>
  <si>
    <t>3.4</t>
  </si>
  <si>
    <t>4.1.</t>
  </si>
  <si>
    <t>4.1.1</t>
  </si>
  <si>
    <t>4.1.2</t>
  </si>
  <si>
    <t>4.1.3</t>
  </si>
  <si>
    <t>4.1.4</t>
  </si>
  <si>
    <t>4.1.5</t>
  </si>
  <si>
    <t>4.1.6</t>
  </si>
  <si>
    <t>4.1.7</t>
  </si>
  <si>
    <t>4.1.8</t>
  </si>
  <si>
    <t>4.1.9</t>
  </si>
  <si>
    <t>4.1.10</t>
  </si>
  <si>
    <t>4.2.</t>
  </si>
  <si>
    <t>4.2.1</t>
  </si>
  <si>
    <t>4.2.2</t>
  </si>
  <si>
    <t>4.2.3</t>
  </si>
  <si>
    <t>4.2.4</t>
  </si>
  <si>
    <t>4.2.5</t>
  </si>
  <si>
    <t>4.2.6</t>
  </si>
  <si>
    <t>4.2.7</t>
  </si>
  <si>
    <t>4.3.</t>
  </si>
  <si>
    <t>4.3.1</t>
  </si>
  <si>
    <t>4.3.2</t>
  </si>
  <si>
    <t>4.3.3</t>
  </si>
  <si>
    <t>4.3.4</t>
  </si>
  <si>
    <t>4.3.5</t>
  </si>
  <si>
    <t>4.3.6</t>
  </si>
  <si>
    <t>4.3.7</t>
  </si>
  <si>
    <t>4.3.8</t>
  </si>
  <si>
    <t>4.3.9</t>
  </si>
  <si>
    <t>4.3.10</t>
  </si>
  <si>
    <t>4.3.11</t>
  </si>
  <si>
    <t>4.3.12</t>
  </si>
  <si>
    <t>4.3.13</t>
  </si>
  <si>
    <t>4.4.</t>
  </si>
  <si>
    <t>4.4.1</t>
  </si>
  <si>
    <t>4.4.2</t>
  </si>
  <si>
    <t>4.4.3</t>
  </si>
  <si>
    <t>4.4.4</t>
  </si>
  <si>
    <t>4.4.5</t>
  </si>
  <si>
    <t>4.4.6</t>
  </si>
  <si>
    <t>4.4.7</t>
  </si>
  <si>
    <t>4.4.8</t>
  </si>
  <si>
    <t>4.4.9</t>
  </si>
  <si>
    <t>4.4.10</t>
  </si>
  <si>
    <t>4.4.11</t>
  </si>
  <si>
    <t>4.5.</t>
  </si>
  <si>
    <t>4.5.1</t>
  </si>
  <si>
    <t>4.5.2</t>
  </si>
  <si>
    <t>4.5.3</t>
  </si>
  <si>
    <t>4.5.4</t>
  </si>
  <si>
    <t>4.5.5</t>
  </si>
  <si>
    <t>4.5.6</t>
  </si>
  <si>
    <t>5.1.</t>
  </si>
  <si>
    <t>5.1.1</t>
  </si>
  <si>
    <t>5.1.2</t>
  </si>
  <si>
    <t>5.1.3</t>
  </si>
  <si>
    <t>5.1.4</t>
  </si>
  <si>
    <t>5.1.5</t>
  </si>
  <si>
    <t>5.1.6</t>
  </si>
  <si>
    <t>5.1.7</t>
  </si>
  <si>
    <t>5.1.8</t>
  </si>
  <si>
    <t>5.2.</t>
  </si>
  <si>
    <t>5.2.1</t>
  </si>
  <si>
    <t>5.2.2</t>
  </si>
  <si>
    <t>6.1.</t>
  </si>
  <si>
    <t>6.1.1</t>
  </si>
  <si>
    <t>6.1.2</t>
  </si>
  <si>
    <t>6.1.3</t>
  </si>
  <si>
    <t>6.2.</t>
  </si>
  <si>
    <t>6.2.1</t>
  </si>
  <si>
    <t>6.2.2</t>
  </si>
  <si>
    <t>6.3.1</t>
  </si>
  <si>
    <t>6.3.2</t>
  </si>
  <si>
    <t>6.3.3</t>
  </si>
  <si>
    <t>7.1</t>
  </si>
  <si>
    <t>8.1.</t>
  </si>
  <si>
    <t>8.1.1</t>
  </si>
  <si>
    <t>8.1.2</t>
  </si>
  <si>
    <t>8.1.3</t>
  </si>
  <si>
    <t>8.1.4</t>
  </si>
  <si>
    <t>8.1.5</t>
  </si>
  <si>
    <t>8.1.6</t>
  </si>
  <si>
    <t>8.1.7</t>
  </si>
  <si>
    <t>8.1.8</t>
  </si>
  <si>
    <t>8.1.9</t>
  </si>
  <si>
    <t>8.2.</t>
  </si>
  <si>
    <t>8.2.1</t>
  </si>
  <si>
    <t>8.2.2</t>
  </si>
  <si>
    <t>8.2.3</t>
  </si>
  <si>
    <t>8.2.4</t>
  </si>
  <si>
    <t>8.2.5</t>
  </si>
  <si>
    <t>8.2.6</t>
  </si>
  <si>
    <t>8.2.7</t>
  </si>
  <si>
    <t>8.2.8</t>
  </si>
  <si>
    <t>8.2.9</t>
  </si>
  <si>
    <t>8.3.</t>
  </si>
  <si>
    <t>8.3.1</t>
  </si>
  <si>
    <t>8.3.2</t>
  </si>
  <si>
    <t>8.3.3</t>
  </si>
  <si>
    <t>8.3.4</t>
  </si>
  <si>
    <t>8.3.5</t>
  </si>
  <si>
    <t>8.4.</t>
  </si>
  <si>
    <t>8.4.1</t>
  </si>
  <si>
    <t>8.4.2</t>
  </si>
  <si>
    <t>8.5.</t>
  </si>
  <si>
    <t>8.5.1</t>
  </si>
  <si>
    <t>8.5.2</t>
  </si>
  <si>
    <t>8.5.3</t>
  </si>
  <si>
    <t>9.1</t>
  </si>
  <si>
    <t>9.2</t>
  </si>
  <si>
    <t>9.3</t>
  </si>
  <si>
    <t>9.4</t>
  </si>
  <si>
    <t>9.5</t>
  </si>
  <si>
    <t>9.6</t>
  </si>
  <si>
    <t>9.7</t>
  </si>
  <si>
    <t>9.8</t>
  </si>
  <si>
    <t>9.9</t>
  </si>
  <si>
    <t>LICENÇAS / OUTORGAS E ESTUDOS DE IMPACTO AMBIENTAL</t>
  </si>
  <si>
    <t>LICENÇAS/OUTORGAS/ESTUDOS IMPAC. AMB.</t>
  </si>
  <si>
    <t>1.1.</t>
  </si>
  <si>
    <t>1.2.</t>
  </si>
  <si>
    <t>LIMPEZA E PREPARAÇÃO DE TERRENO</t>
  </si>
  <si>
    <t>SERVIÇOS PRELIMINARES
ESTUDOS DE IMPACTO AMBIENTAL
OBTENÇÃO DE LICENÇAS E OUTORGAS</t>
  </si>
  <si>
    <t>SERVIÇOS PRELIMINARES
LIMPEZA E PREPARAÇÃO DE TERRENO</t>
  </si>
  <si>
    <t>21018-007-GETBA-DES001-01.dwg</t>
  </si>
  <si>
    <t>MACADAME HIDRÁULICO</t>
  </si>
  <si>
    <t>Base de macadame Hidraulico</t>
  </si>
  <si>
    <t>21018-007-PAVBA-DES001-01.dwg</t>
  </si>
  <si>
    <t>DOCUMENTOS ALTERADOS</t>
  </si>
  <si>
    <t>DEVIDOS AOS AJUSTES DESTA 
REVISÃO</t>
  </si>
  <si>
    <t>21018-007-SINBA-DES001-01.dwg</t>
  </si>
  <si>
    <t>12 m2</t>
  </si>
  <si>
    <r>
      <t xml:space="preserve">Revisão: </t>
    </r>
    <r>
      <rPr>
        <b/>
        <sz val="10"/>
        <rFont val="Tahoma"/>
        <family val="2"/>
      </rPr>
      <t>R03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</si>
</sst>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_(* #,##0.00_);_(* \(#,##0.00\);_(* &quot;-&quot;??_);_(@_)"/>
    <numFmt numFmtId="165" formatCode="0.000"/>
    <numFmt numFmtId="166" formatCode="00\ &quot;km&quot;"/>
    <numFmt numFmtId="167" formatCode="0.000&quot;m²&quot;"/>
    <numFmt numFmtId="168" formatCode="0.00\ &quot;m³&quot;"/>
    <numFmt numFmtId="169" formatCode="0.00\ &quot;m&quot;"/>
    <numFmt numFmtId="170" formatCode="_(* #,##0_);_(* \(#,##0\);_(* &quot;-&quot;??_);_(@_)"/>
    <numFmt numFmtId="171" formatCode="#,##0.00;[Red]#,##0.00"/>
    <numFmt numFmtId="172" formatCode="00"/>
    <numFmt numFmtId="173" formatCode="0.00_ ;[Red]\-0.00\ "/>
    <numFmt numFmtId="174" formatCode="#,##0.00_ ;[Red]\-#,##0.00\ "/>
    <numFmt numFmtId="175" formatCode="#,##0.000_);\-#,##0.000_);&quot;&quot;"/>
    <numFmt numFmtId="176" formatCode="#,##0.0000_);\-#,##0.0000_);&quot;&quot;"/>
    <numFmt numFmtId="177" formatCode="&quot;B = &quot;\ 0.00"/>
    <numFmt numFmtId="178" formatCode="&quot;H = &quot;\ 0.00"/>
    <numFmt numFmtId="179" formatCode="&quot;b = &quot;\ 0.00"/>
    <numFmt numFmtId="180" formatCode="&quot;L = &quot;\ 0.00"/>
    <numFmt numFmtId="181" formatCode="&quot;h = &quot;\ 0.00"/>
    <numFmt numFmtId="182" formatCode="&quot;Berço de&quot;\ "/>
    <numFmt numFmtId="183" formatCode="0.0&quot;:1&quot;"/>
    <numFmt numFmtId="184" formatCode="&quot;FIOS: &quot;0"/>
    <numFmt numFmtId="185" formatCode="mmm/yyyy"/>
    <numFmt numFmtId="186" formatCode="00\-00\-00"/>
    <numFmt numFmtId="187" formatCode="0.00\ &quot;(Ext.) =&quot;"/>
    <numFmt numFmtId="188" formatCode="0.00&quot; (Larg.)&quot;"/>
    <numFmt numFmtId="189" formatCode="0.0\ &quot;m²&quot;"/>
    <numFmt numFmtId="190" formatCode="0.000\ &quot;m&quot;"/>
    <numFmt numFmtId="191" formatCode="&quot;C/BDI&quot;\ 00.00%"/>
    <numFmt numFmtId="192" formatCode="&quot;R$&quot;\ #,##0.00"/>
    <numFmt numFmtId="193" formatCode="0.00%;[Red]0.00%"/>
    <numFmt numFmtId="194" formatCode="0.0\ &quot;km&quot;"/>
    <numFmt numFmtId="195" formatCode="&quot;SUB-TOTAL ( BDI&quot;\ 00.00%\)"/>
    <numFmt numFmtId="196" formatCode="&quot;MÊS &quot;\ 0"/>
  </numFmts>
  <fonts count="118" x14ac:knownFonts="1">
    <font>
      <sz val="11"/>
      <color theme="1"/>
      <name val="Calibri"/>
      <family val="2"/>
      <scheme val="minor"/>
    </font>
    <font>
      <b/>
      <sz val="10"/>
      <color theme="1"/>
      <name val="Arial"/>
      <family val="2"/>
    </font>
    <font>
      <b/>
      <sz val="8"/>
      <color theme="1"/>
      <name val="Arial"/>
      <family val="2"/>
    </font>
    <font>
      <sz val="11"/>
      <color theme="1"/>
      <name val="Calibri"/>
      <family val="2"/>
      <scheme val="minor"/>
    </font>
    <font>
      <sz val="8"/>
      <color theme="1"/>
      <name val="Arial"/>
      <family val="2"/>
    </font>
    <font>
      <sz val="8"/>
      <name val="Arial"/>
      <family val="2"/>
    </font>
    <font>
      <b/>
      <sz val="12"/>
      <name val="Tahoma"/>
      <family val="2"/>
    </font>
    <font>
      <sz val="8"/>
      <name val="Tahoma"/>
      <family val="2"/>
    </font>
    <font>
      <b/>
      <sz val="8"/>
      <color indexed="9"/>
      <name val="Arial"/>
      <family val="2"/>
    </font>
    <font>
      <sz val="10"/>
      <name val="Tahoma"/>
      <family val="2"/>
    </font>
    <font>
      <b/>
      <sz val="8"/>
      <name val="Arial"/>
      <family val="2"/>
    </font>
    <font>
      <sz val="9"/>
      <color theme="1"/>
      <name val="Arial"/>
      <family val="2"/>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2"/>
      <color rgb="FFFF0000"/>
      <name val="Calibri"/>
      <family val="2"/>
      <scheme val="minor"/>
    </font>
    <font>
      <b/>
      <sz val="12"/>
      <name val="Arial"/>
      <family val="2"/>
    </font>
    <font>
      <b/>
      <sz val="10"/>
      <name val="Arial"/>
      <family val="2"/>
    </font>
    <font>
      <sz val="11"/>
      <name val="Arial"/>
      <family val="2"/>
    </font>
    <font>
      <sz val="10"/>
      <color rgb="FF000000"/>
      <name val="Arial"/>
      <family val="2"/>
    </font>
    <font>
      <sz val="10"/>
      <name val="Calibri"/>
      <family val="2"/>
      <scheme val="minor"/>
    </font>
    <font>
      <b/>
      <sz val="11"/>
      <name val="Calibri"/>
      <family val="2"/>
      <scheme val="minor"/>
    </font>
    <font>
      <b/>
      <sz val="11"/>
      <name val="Arial"/>
      <family val="2"/>
    </font>
    <font>
      <sz val="11"/>
      <name val="Calibri"/>
      <family val="2"/>
      <scheme val="minor"/>
    </font>
    <font>
      <b/>
      <sz val="8"/>
      <color theme="0"/>
      <name val="Arial"/>
      <family val="2"/>
    </font>
    <font>
      <sz val="11"/>
      <color rgb="FFC00000"/>
      <name val="Arial"/>
      <family val="2"/>
    </font>
    <font>
      <sz val="10"/>
      <color rgb="FFC00000"/>
      <name val="Arial"/>
      <family val="2"/>
    </font>
    <font>
      <i/>
      <sz val="10"/>
      <name val="Arial"/>
      <family val="2"/>
    </font>
    <font>
      <b/>
      <sz val="10"/>
      <color indexed="8"/>
      <name val="Arial"/>
      <family val="2"/>
    </font>
    <font>
      <sz val="10"/>
      <color indexed="8"/>
      <name val="Arial"/>
      <family val="2"/>
    </font>
    <font>
      <vertAlign val="superscript"/>
      <sz val="10"/>
      <color indexed="8"/>
      <name val="Arial"/>
      <family val="2"/>
    </font>
    <font>
      <sz val="10"/>
      <color rgb="FFFF0000"/>
      <name val="Arial"/>
      <family val="2"/>
    </font>
    <font>
      <sz val="11"/>
      <color indexed="60"/>
      <name val="Calibri"/>
      <family val="2"/>
    </font>
    <font>
      <sz val="10"/>
      <color theme="1"/>
      <name val="Arial"/>
      <family val="2"/>
    </font>
    <font>
      <sz val="8"/>
      <color theme="1"/>
      <name val="Calibri"/>
      <family val="2"/>
      <scheme val="minor"/>
    </font>
    <font>
      <sz val="10"/>
      <color theme="1"/>
      <name val="Calibri"/>
      <family val="2"/>
      <scheme val="minor"/>
    </font>
    <font>
      <b/>
      <sz val="10"/>
      <color rgb="FFC00000"/>
      <name val="Arial"/>
      <family val="2"/>
    </font>
    <font>
      <sz val="10"/>
      <color rgb="FFC00000"/>
      <name val="Calibri"/>
      <family val="2"/>
      <scheme val="minor"/>
    </font>
    <font>
      <sz val="10"/>
      <name val="Courier"/>
      <family val="3"/>
    </font>
    <font>
      <sz val="11"/>
      <color rgb="FF000000"/>
      <name val="Arial"/>
      <family val="2"/>
    </font>
    <font>
      <b/>
      <i/>
      <sz val="10"/>
      <name val="Arial"/>
      <family val="2"/>
    </font>
    <font>
      <sz val="10"/>
      <color theme="2" tint="-0.749992370372631"/>
      <name val="Arial"/>
      <family val="2"/>
    </font>
    <font>
      <vertAlign val="superscript"/>
      <sz val="11"/>
      <color rgb="FFC00000"/>
      <name val="Arial"/>
      <family val="2"/>
    </font>
    <font>
      <i/>
      <sz val="10"/>
      <color rgb="FFC00000"/>
      <name val="Arial"/>
      <family val="2"/>
    </font>
    <font>
      <sz val="9"/>
      <color rgb="FFC00000"/>
      <name val="Arial"/>
      <family val="2"/>
    </font>
    <font>
      <sz val="9"/>
      <name val="Arial"/>
      <family val="2"/>
    </font>
    <font>
      <b/>
      <sz val="9"/>
      <color theme="1"/>
      <name val="Arial"/>
      <family val="2"/>
    </font>
    <font>
      <b/>
      <i/>
      <sz val="12"/>
      <color theme="1"/>
      <name val="Calibri"/>
      <family val="2"/>
      <scheme val="minor"/>
    </font>
    <font>
      <b/>
      <i/>
      <sz val="12"/>
      <color rgb="FFFF0000"/>
      <name val="Calibri"/>
      <family val="2"/>
      <scheme val="minor"/>
    </font>
    <font>
      <b/>
      <sz val="10"/>
      <color rgb="FF000000"/>
      <name val="Arial"/>
      <family val="2"/>
    </font>
    <font>
      <sz val="8"/>
      <name val="Calibri"/>
      <family val="2"/>
      <scheme val="minor"/>
    </font>
    <font>
      <sz val="10"/>
      <color theme="2" tint="-0.499984740745262"/>
      <name val="Arial"/>
      <family val="2"/>
    </font>
    <font>
      <sz val="10"/>
      <color rgb="FF000000"/>
      <name val="Times New Roman"/>
      <family val="1"/>
    </font>
    <font>
      <b/>
      <sz val="10"/>
      <color theme="1"/>
      <name val="Tahoma"/>
      <family val="2"/>
    </font>
    <font>
      <sz val="11"/>
      <color theme="2" tint="-0.749992370372631"/>
      <name val="Arial"/>
      <family val="2"/>
    </font>
    <font>
      <sz val="11"/>
      <color rgb="FF00B0F0"/>
      <name val="Arial"/>
      <family val="2"/>
    </font>
    <font>
      <b/>
      <sz val="10"/>
      <name val="Tahoma"/>
      <family val="2"/>
    </font>
    <font>
      <vertAlign val="superscript"/>
      <sz val="10"/>
      <name val="Calibri"/>
      <family val="2"/>
    </font>
    <font>
      <sz val="11"/>
      <color theme="1"/>
      <name val="Arial"/>
      <family val="2"/>
    </font>
    <font>
      <b/>
      <sz val="11"/>
      <color theme="1"/>
      <name val="Arial"/>
      <family val="2"/>
    </font>
    <font>
      <b/>
      <sz val="12"/>
      <color theme="1"/>
      <name val="Arial"/>
      <family val="2"/>
    </font>
    <font>
      <b/>
      <sz val="9"/>
      <name val="Arial"/>
      <family val="2"/>
    </font>
    <font>
      <b/>
      <sz val="9"/>
      <color indexed="8"/>
      <name val="Arial"/>
      <family val="2"/>
    </font>
    <font>
      <sz val="9"/>
      <color indexed="8"/>
      <name val="Arial"/>
      <family val="2"/>
    </font>
    <font>
      <sz val="11"/>
      <color rgb="FF000000"/>
      <name val="Calibri"/>
      <family val="2"/>
      <scheme val="minor"/>
    </font>
    <font>
      <b/>
      <sz val="11"/>
      <color rgb="FFC00000"/>
      <name val="Calibri"/>
      <family val="2"/>
      <scheme val="minor"/>
    </font>
    <font>
      <i/>
      <sz val="9"/>
      <color rgb="FFC00000"/>
      <name val="Arial"/>
      <family val="2"/>
    </font>
    <font>
      <sz val="12"/>
      <name val="Calibri"/>
      <family val="2"/>
      <scheme val="minor"/>
    </font>
    <font>
      <b/>
      <i/>
      <sz val="12"/>
      <name val="Calibri"/>
      <family val="2"/>
      <scheme val="minor"/>
    </font>
    <font>
      <sz val="10"/>
      <color indexed="8"/>
      <name val="MS Sans Serif"/>
    </font>
    <font>
      <b/>
      <sz val="10"/>
      <color rgb="FF0070C0"/>
      <name val="Arial"/>
      <family val="2"/>
    </font>
    <font>
      <sz val="10"/>
      <name val="MS Sans Serif"/>
      <family val="2"/>
    </font>
    <font>
      <b/>
      <sz val="10"/>
      <name val="Calibri"/>
      <family val="2"/>
    </font>
    <font>
      <b/>
      <i/>
      <sz val="8"/>
      <name val="Arial"/>
      <family val="2"/>
    </font>
    <font>
      <sz val="8.5"/>
      <color rgb="FF000000"/>
      <name val="Calibri"/>
      <family val="2"/>
    </font>
    <font>
      <sz val="8.5"/>
      <name val="Calibri"/>
      <family val="2"/>
    </font>
    <font>
      <sz val="11"/>
      <color rgb="FFFF0000"/>
      <name val="Arial"/>
      <family val="2"/>
    </font>
    <font>
      <b/>
      <sz val="9"/>
      <color rgb="FFC00000"/>
      <name val="Arial"/>
      <family val="2"/>
    </font>
    <font>
      <vertAlign val="superscript"/>
      <sz val="9"/>
      <name val="Arial"/>
      <family val="2"/>
    </font>
    <font>
      <vertAlign val="superscript"/>
      <sz val="10"/>
      <name val="Arial"/>
      <family val="2"/>
    </font>
    <font>
      <b/>
      <vertAlign val="superscript"/>
      <sz val="10"/>
      <color indexed="12"/>
      <name val="Calibri"/>
      <family val="2"/>
    </font>
    <font>
      <b/>
      <sz val="10"/>
      <name val="Calibri"/>
      <family val="2"/>
      <scheme val="minor"/>
    </font>
    <font>
      <vertAlign val="subscript"/>
      <sz val="10"/>
      <name val="Arial"/>
      <family val="2"/>
    </font>
    <font>
      <sz val="7"/>
      <color theme="1"/>
      <name val="Arial"/>
      <family val="2"/>
    </font>
    <font>
      <sz val="8"/>
      <color theme="2" tint="-0.499984740745262"/>
      <name val="Arial"/>
      <family val="2"/>
    </font>
    <font>
      <b/>
      <sz val="9"/>
      <color indexed="81"/>
      <name val="Segoe UI"/>
      <family val="2"/>
    </font>
    <font>
      <sz val="9"/>
      <color indexed="81"/>
      <name val="Segoe UI"/>
      <family val="2"/>
    </font>
    <font>
      <sz val="10"/>
      <name val="Courier New"/>
      <family val="3"/>
    </font>
    <font>
      <b/>
      <sz val="10"/>
      <name val="Courier New"/>
      <family val="3"/>
    </font>
    <font>
      <b/>
      <sz val="8"/>
      <name val="Times New Roman"/>
      <family val="1"/>
    </font>
    <font>
      <sz val="10"/>
      <name val="Times New Roman"/>
      <family val="1"/>
    </font>
    <font>
      <sz val="8"/>
      <name val="Times New Roman"/>
      <family val="1"/>
    </font>
    <font>
      <b/>
      <sz val="10"/>
      <name val="Times New Roman"/>
      <family val="1"/>
    </font>
    <font>
      <sz val="8"/>
      <color indexed="8"/>
      <name val="Times New Roman"/>
      <family val="1"/>
    </font>
    <font>
      <sz val="10"/>
      <color indexed="8"/>
      <name val="Times New Roman"/>
      <family val="1"/>
    </font>
    <font>
      <b/>
      <sz val="10"/>
      <color rgb="FF000000"/>
      <name val="Calibri"/>
      <family val="2"/>
      <scheme val="minor"/>
    </font>
    <font>
      <b/>
      <sz val="10"/>
      <color theme="1"/>
      <name val="Calibri"/>
      <family val="2"/>
      <scheme val="minor"/>
    </font>
    <font>
      <i/>
      <sz val="10"/>
      <color theme="2" tint="-0.499984740745262"/>
      <name val="Arial"/>
      <family val="2"/>
    </font>
    <font>
      <sz val="11"/>
      <color theme="2" tint="-0.499984740745262"/>
      <name val="Arial"/>
      <family val="2"/>
    </font>
    <font>
      <sz val="10"/>
      <name val="Calibri"/>
      <family val="2"/>
    </font>
    <font>
      <b/>
      <sz val="9"/>
      <color rgb="FFFF0000"/>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rgb="FF000000"/>
      <name val="Arial"/>
      <family val="2"/>
    </font>
    <font>
      <b/>
      <sz val="9"/>
      <color theme="0"/>
      <name val="Arial"/>
      <family val="2"/>
    </font>
    <font>
      <sz val="8"/>
      <color rgb="FF000000"/>
      <name val="Arial"/>
      <family val="2"/>
    </font>
    <font>
      <sz val="4"/>
      <color rgb="FF000000"/>
      <name val="Times New Roman"/>
      <family val="1"/>
    </font>
    <font>
      <b/>
      <sz val="10"/>
      <color rgb="FFFF0000"/>
      <name val="Calibri"/>
      <family val="2"/>
    </font>
    <font>
      <sz val="10"/>
      <color rgb="FFC00000"/>
      <name val="Times New Roman"/>
      <family val="1"/>
    </font>
    <font>
      <sz val="7"/>
      <color theme="1"/>
      <name val="Calibri"/>
      <family val="2"/>
      <scheme val="minor"/>
    </font>
    <font>
      <b/>
      <sz val="8"/>
      <color rgb="FFC00000"/>
      <name val="Arial"/>
      <family val="2"/>
    </font>
    <font>
      <b/>
      <sz val="13"/>
      <color theme="4"/>
      <name val="Arial"/>
      <family val="2"/>
    </font>
    <font>
      <b/>
      <u/>
      <sz val="12"/>
      <color indexed="8"/>
      <name val="Arial"/>
      <family val="2"/>
    </font>
    <font>
      <sz val="11"/>
      <color indexed="8"/>
      <name val="Arial"/>
      <family val="2"/>
    </font>
    <font>
      <b/>
      <i/>
      <sz val="11"/>
      <color indexed="8"/>
      <name val="Arial"/>
      <family val="2"/>
    </font>
  </fonts>
  <fills count="32">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CC"/>
        <bgColor indexed="64"/>
      </patternFill>
    </fill>
    <fill>
      <patternFill patternType="solid">
        <fgColor theme="0" tint="-0.14996795556505021"/>
        <bgColor indexed="64"/>
      </patternFill>
    </fill>
    <fill>
      <patternFill patternType="solid">
        <fgColor rgb="FF99CCFF"/>
        <bgColor indexed="64"/>
      </patternFill>
    </fill>
    <fill>
      <patternFill patternType="solid">
        <fgColor theme="4" tint="0.59999389629810485"/>
        <bgColor indexed="64"/>
      </patternFill>
    </fill>
    <fill>
      <patternFill patternType="solid">
        <fgColor rgb="FFD8D8D8"/>
      </patternFill>
    </fill>
    <fill>
      <patternFill patternType="solid">
        <fgColor theme="0" tint="-4.9989318521683403E-2"/>
        <bgColor indexed="64"/>
      </patternFill>
    </fill>
    <fill>
      <patternFill patternType="solid">
        <fgColor indexed="9"/>
        <bgColor indexed="64"/>
      </patternFill>
    </fill>
    <fill>
      <patternFill patternType="solid">
        <fgColor rgb="FFD9D9D9"/>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
      <patternFill patternType="solid">
        <fgColor theme="2" tint="-0.24994659260841701"/>
        <bgColor indexed="64"/>
      </patternFill>
    </fill>
    <fill>
      <patternFill patternType="solid">
        <fgColor theme="0" tint="-0.34998626667073579"/>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tint="-0.499984740745262"/>
        <bgColor indexed="64"/>
      </patternFill>
    </fill>
    <fill>
      <patternFill patternType="solid">
        <fgColor rgb="FFF1F1F1"/>
      </patternFill>
    </fill>
    <fill>
      <patternFill patternType="solid">
        <fgColor rgb="FFFF000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E1F2CE"/>
        <bgColor indexed="64"/>
      </patternFill>
    </fill>
  </fills>
  <borders count="2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indexed="64"/>
      </left>
      <right style="medium">
        <color theme="0"/>
      </right>
      <top style="medium">
        <color theme="0"/>
      </top>
      <bottom/>
      <diagonal/>
    </border>
    <border>
      <left style="medium">
        <color theme="0"/>
      </left>
      <right style="medium">
        <color theme="0"/>
      </right>
      <top style="medium">
        <color theme="0"/>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auto="1"/>
      </left>
      <right style="thin">
        <color theme="1" tint="0.499984740745262"/>
      </right>
      <top style="medium">
        <color auto="1"/>
      </top>
      <bottom style="thin">
        <color theme="1" tint="0.499984740745262"/>
      </bottom>
      <diagonal/>
    </border>
    <border>
      <left/>
      <right style="thin">
        <color theme="1" tint="0.499984740745262"/>
      </right>
      <top style="medium">
        <color auto="1"/>
      </top>
      <bottom style="thin">
        <color theme="1" tint="0.499984740745262"/>
      </bottom>
      <diagonal/>
    </border>
    <border>
      <left style="thin">
        <color theme="1" tint="0.499984740745262"/>
      </left>
      <right style="thin">
        <color theme="1" tint="0.499984740745262"/>
      </right>
      <top style="medium">
        <color auto="1"/>
      </top>
      <bottom style="thin">
        <color theme="1" tint="0.499984740745262"/>
      </bottom>
      <diagonal/>
    </border>
    <border>
      <left style="thin">
        <color theme="1" tint="0.499984740745262"/>
      </left>
      <right/>
      <top style="medium">
        <color auto="1"/>
      </top>
      <bottom style="thin">
        <color theme="1" tint="0.499984740745262"/>
      </bottom>
      <diagonal/>
    </border>
    <border>
      <left style="thin">
        <color theme="1" tint="0.499984740745262"/>
      </left>
      <right style="thin">
        <color auto="1"/>
      </right>
      <top style="medium">
        <color auto="1"/>
      </top>
      <bottom style="thin">
        <color theme="1" tint="0.499984740745262"/>
      </bottom>
      <diagonal/>
    </border>
    <border>
      <left style="medium">
        <color auto="1"/>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style="thin">
        <color auto="1"/>
      </left>
      <right style="thin">
        <color theme="1" tint="0.499984740745262"/>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medium">
        <color auto="1"/>
      </left>
      <right style="thin">
        <color theme="1" tint="0.499984740745262"/>
      </right>
      <top/>
      <bottom style="medium">
        <color auto="1"/>
      </bottom>
      <diagonal/>
    </border>
    <border>
      <left style="thin">
        <color theme="1" tint="0.499984740745262"/>
      </left>
      <right style="thin">
        <color theme="1" tint="0.499984740745262"/>
      </right>
      <top/>
      <bottom style="medium">
        <color auto="1"/>
      </bottom>
      <diagonal/>
    </border>
    <border>
      <left style="thin">
        <color theme="1" tint="0.499984740745262"/>
      </left>
      <right/>
      <top/>
      <bottom style="medium">
        <color auto="1"/>
      </bottom>
      <diagonal/>
    </border>
    <border>
      <left style="thin">
        <color theme="1" tint="0.499984740745262"/>
      </left>
      <right style="thin">
        <color theme="1" tint="0.499984740745262"/>
      </right>
      <top style="thin">
        <color theme="1" tint="0.499984740745262"/>
      </top>
      <bottom style="medium">
        <color auto="1"/>
      </bottom>
      <diagonal/>
    </border>
    <border>
      <left style="thin">
        <color theme="1" tint="0.499984740745262"/>
      </left>
      <right/>
      <top style="thin">
        <color theme="1" tint="0.499984740745262"/>
      </top>
      <bottom style="medium">
        <color auto="1"/>
      </bottom>
      <diagonal/>
    </border>
    <border>
      <left style="medium">
        <color auto="1"/>
      </left>
      <right/>
      <top/>
      <bottom style="thin">
        <color theme="1" tint="0.499984740745262"/>
      </bottom>
      <diagonal/>
    </border>
    <border>
      <left/>
      <right style="medium">
        <color auto="1"/>
      </right>
      <top/>
      <bottom style="thin">
        <color theme="1" tint="0.499984740745262"/>
      </bottom>
      <diagonal/>
    </border>
    <border>
      <left/>
      <right/>
      <top style="thin">
        <color theme="1" tint="0.499984740745262"/>
      </top>
      <bottom style="thin">
        <color theme="1" tint="0.499984740745262"/>
      </bottom>
      <diagonal/>
    </border>
    <border>
      <left/>
      <right style="medium">
        <color auto="1"/>
      </right>
      <top style="thin">
        <color theme="1" tint="0.499984740745262"/>
      </top>
      <bottom style="thin">
        <color theme="1" tint="0.499984740745262"/>
      </bottom>
      <diagonal/>
    </border>
    <border>
      <left style="medium">
        <color auto="1"/>
      </left>
      <right style="thin">
        <color theme="1" tint="0.499984740745262"/>
      </right>
      <top style="thin">
        <color theme="1" tint="0.499984740745262"/>
      </top>
      <bottom style="thin">
        <color theme="1" tint="0.499984740745262"/>
      </bottom>
      <diagonal/>
    </border>
    <border>
      <left style="medium">
        <color auto="1"/>
      </left>
      <right/>
      <top style="thin">
        <color theme="1" tint="0.499984740745262"/>
      </top>
      <bottom style="thin">
        <color theme="1" tint="0.499984740745262"/>
      </bottom>
      <diagonal/>
    </border>
    <border>
      <left style="medium">
        <color auto="1"/>
      </left>
      <right style="thin">
        <color theme="1" tint="0.499984740745262"/>
      </right>
      <top style="thin">
        <color theme="1" tint="0.499984740745262"/>
      </top>
      <bottom style="medium">
        <color auto="1"/>
      </bottom>
      <diagonal/>
    </border>
    <border>
      <left style="thin">
        <color auto="1"/>
      </left>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thin">
        <color auto="1"/>
      </left>
      <right style="thin">
        <color auto="1"/>
      </right>
      <top style="medium">
        <color auto="1"/>
      </top>
      <bottom style="medium">
        <color theme="1"/>
      </bottom>
      <diagonal/>
    </border>
    <border>
      <left/>
      <right style="thin">
        <color theme="1" tint="0.499984740745262"/>
      </right>
      <top style="thin">
        <color theme="1" tint="0.499984740745262"/>
      </top>
      <bottom style="thin">
        <color theme="1" tint="0.499984740745262"/>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tint="0.499984740745262"/>
      </left>
      <right style="thin">
        <color auto="1"/>
      </right>
      <top style="thin">
        <color theme="1" tint="0.499984740745262"/>
      </top>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medium">
        <color indexed="64"/>
      </top>
      <bottom style="thin">
        <color auto="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hair">
        <color rgb="FF000000"/>
      </right>
      <top style="medium">
        <color indexed="64"/>
      </top>
      <bottom style="hair">
        <color rgb="FF000000"/>
      </bottom>
      <diagonal/>
    </border>
    <border>
      <left style="hair">
        <color rgb="FF000000"/>
      </left>
      <right style="hair">
        <color rgb="FF000000"/>
      </right>
      <top style="medium">
        <color indexed="64"/>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thin">
        <color indexed="64"/>
      </bottom>
      <diagonal/>
    </border>
    <border>
      <left style="hair">
        <color rgb="FF000000"/>
      </left>
      <right style="hair">
        <color rgb="FF000000"/>
      </right>
      <top style="hair">
        <color rgb="FF000000"/>
      </top>
      <bottom/>
      <diagonal/>
    </border>
    <border>
      <left style="hair">
        <color rgb="FF000000"/>
      </left>
      <right style="hair">
        <color rgb="FF000000"/>
      </right>
      <top style="thin">
        <color indexed="64"/>
      </top>
      <bottom style="hair">
        <color rgb="FF000000"/>
      </bottom>
      <diagonal/>
    </border>
    <border>
      <left style="thin">
        <color rgb="FF000000"/>
      </left>
      <right style="thin">
        <color rgb="FF000000"/>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medium">
        <color rgb="FF000000"/>
      </bottom>
      <diagonal/>
    </border>
    <border>
      <left/>
      <right style="medium">
        <color indexed="64"/>
      </right>
      <top style="thin">
        <color rgb="FF000000"/>
      </top>
      <bottom style="medium">
        <color rgb="FF000000"/>
      </bottom>
      <diagonal/>
    </border>
    <border>
      <left/>
      <right/>
      <top style="thin">
        <color rgb="FF000000"/>
      </top>
      <bottom/>
      <diagonal/>
    </border>
    <border>
      <left style="medium">
        <color theme="0"/>
      </left>
      <right style="medium">
        <color theme="0"/>
      </right>
      <top style="medium">
        <color indexed="64"/>
      </top>
      <bottom style="medium">
        <color indexed="64"/>
      </bottom>
      <diagonal/>
    </border>
    <border>
      <left style="medium">
        <color theme="0"/>
      </left>
      <right style="thin">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23"/>
      </top>
      <bottom/>
      <diagonal/>
    </border>
    <border>
      <left style="thin">
        <color theme="0" tint="-4.9989318521683403E-2"/>
      </left>
      <right style="thin">
        <color theme="0" tint="-4.9989318521683403E-2"/>
      </right>
      <top style="thin">
        <color indexed="23"/>
      </top>
      <bottom style="thin">
        <color theme="0" tint="-4.9989318521683403E-2"/>
      </bottom>
      <diagonal/>
    </border>
    <border>
      <left style="thin">
        <color theme="0" tint="-4.9989318521683403E-2"/>
      </left>
      <right style="thin">
        <color indexed="9"/>
      </right>
      <top style="thin">
        <color indexed="23"/>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rgb="FF000000"/>
      </bottom>
      <diagonal/>
    </border>
    <border>
      <left style="thin">
        <color theme="0" tint="-4.9989318521683403E-2"/>
      </left>
      <right style="thin">
        <color indexed="9"/>
      </right>
      <top style="thin">
        <color theme="0" tint="-4.9989318521683403E-2"/>
      </top>
      <bottom style="thin">
        <color rgb="FF000000"/>
      </bottom>
      <diagonal/>
    </border>
    <border>
      <left style="thin">
        <color indexed="9"/>
      </left>
      <right/>
      <top style="thin">
        <color indexed="23"/>
      </top>
      <bottom style="thin">
        <color indexed="23"/>
      </bottom>
      <diagonal/>
    </border>
    <border>
      <left style="thin">
        <color theme="0" tint="-4.9989318521683403E-2"/>
      </left>
      <right/>
      <top style="thin">
        <color indexed="23"/>
      </top>
      <bottom/>
      <diagonal/>
    </border>
    <border>
      <left style="thin">
        <color theme="0" tint="-4.9989318521683403E-2"/>
      </left>
      <right style="thin">
        <color indexed="9"/>
      </right>
      <top style="thin">
        <color indexed="23"/>
      </top>
      <bottom/>
      <diagonal/>
    </border>
    <border>
      <left style="thin">
        <color theme="0" tint="-4.9989318521683403E-2"/>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auto="1"/>
      </left>
      <right/>
      <top style="thin">
        <color rgb="FF000000"/>
      </top>
      <bottom style="thin">
        <color auto="1"/>
      </bottom>
      <diagonal/>
    </border>
    <border>
      <left style="thin">
        <color indexed="64"/>
      </left>
      <right/>
      <top style="medium">
        <color indexed="64"/>
      </top>
      <bottom style="thin">
        <color indexed="64"/>
      </bottom>
      <diagonal/>
    </border>
    <border>
      <left style="thin">
        <color theme="0" tint="-4.9989318521683403E-2"/>
      </left>
      <right style="thin">
        <color theme="0" tint="-4.9989318521683403E-2"/>
      </right>
      <top style="thin">
        <color indexed="23"/>
      </top>
      <bottom/>
      <diagonal/>
    </border>
    <border>
      <left style="thin">
        <color theme="0" tint="-4.9989318521683403E-2"/>
      </left>
      <right style="thin">
        <color theme="0" tint="-4.9989318521683403E-2"/>
      </right>
      <top/>
      <bottom style="thin">
        <color rgb="FF00000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23"/>
      </left>
      <right/>
      <top style="thin">
        <color indexed="23"/>
      </top>
      <bottom style="thin">
        <color auto="1"/>
      </bottom>
      <diagonal/>
    </border>
    <border>
      <left/>
      <right/>
      <top style="thin">
        <color indexed="23"/>
      </top>
      <bottom style="thin">
        <color auto="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auto="1"/>
      </left>
      <right/>
      <top style="thin">
        <color auto="1"/>
      </top>
      <bottom style="dotted">
        <color theme="1" tint="0.499984740745262"/>
      </bottom>
      <diagonal/>
    </border>
    <border>
      <left/>
      <right/>
      <top style="thin">
        <color auto="1"/>
      </top>
      <bottom style="dotted">
        <color theme="1" tint="0.499984740745262"/>
      </bottom>
      <diagonal/>
    </border>
    <border>
      <left/>
      <right style="thin">
        <color auto="1"/>
      </right>
      <top style="thin">
        <color auto="1"/>
      </top>
      <bottom style="dotted">
        <color theme="1" tint="0.499984740745262"/>
      </bottom>
      <diagonal/>
    </border>
    <border>
      <left style="thin">
        <color auto="1"/>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auto="1"/>
      </right>
      <top style="dotted">
        <color theme="1" tint="0.499984740745262"/>
      </top>
      <bottom style="dotted">
        <color theme="1" tint="0.499984740745262"/>
      </bottom>
      <diagonal/>
    </border>
    <border>
      <left style="thin">
        <color auto="1"/>
      </left>
      <right/>
      <top style="dotted">
        <color theme="1" tint="0.499984740745262"/>
      </top>
      <bottom/>
      <diagonal/>
    </border>
    <border>
      <left/>
      <right/>
      <top style="dotted">
        <color theme="1" tint="0.499984740745262"/>
      </top>
      <bottom style="thin">
        <color auto="1"/>
      </bottom>
      <diagonal/>
    </border>
    <border>
      <left/>
      <right style="thin">
        <color auto="1"/>
      </right>
      <top style="dotted">
        <color theme="1" tint="0.499984740745262"/>
      </top>
      <bottom style="thin">
        <color auto="1"/>
      </bottom>
      <diagonal/>
    </border>
    <border>
      <left style="thin">
        <color auto="1"/>
      </left>
      <right/>
      <top style="dotted">
        <color theme="1" tint="0.499984740745262"/>
      </top>
      <bottom style="thin">
        <color auto="1"/>
      </bottom>
      <diagonal/>
    </border>
    <border>
      <left style="thin">
        <color auto="1"/>
      </left>
      <right/>
      <top/>
      <bottom style="dotted">
        <color theme="1" tint="0.499984740745262"/>
      </bottom>
      <diagonal/>
    </border>
    <border>
      <left/>
      <right/>
      <top/>
      <bottom style="dotted">
        <color theme="1" tint="0.499984740745262"/>
      </bottom>
      <diagonal/>
    </border>
    <border>
      <left/>
      <right style="thin">
        <color auto="1"/>
      </right>
      <top/>
      <bottom style="dotted">
        <color theme="1" tint="0.499984740745262"/>
      </bottom>
      <diagonal/>
    </border>
    <border>
      <left/>
      <right/>
      <top style="dotted">
        <color theme="1" tint="0.499984740745262"/>
      </top>
      <bottom/>
      <diagonal/>
    </border>
    <border>
      <left/>
      <right/>
      <top/>
      <bottom style="dotted">
        <color theme="0" tint="-0.499984740745262"/>
      </bottom>
      <diagonal/>
    </border>
    <border>
      <left/>
      <right style="thin">
        <color auto="1"/>
      </right>
      <top/>
      <bottom style="dotted">
        <color theme="0" tint="-0.499984740745262"/>
      </bottom>
      <diagonal/>
    </border>
    <border>
      <left style="thin">
        <color auto="1"/>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thin">
        <color auto="1"/>
      </right>
      <top style="dotted">
        <color theme="0" tint="-0.499984740745262"/>
      </top>
      <bottom style="dotted">
        <color theme="0" tint="-0.499984740745262"/>
      </bottom>
      <diagonal/>
    </border>
    <border>
      <left style="thin">
        <color theme="1" tint="0.499984740745262"/>
      </left>
      <right style="medium">
        <color indexed="64"/>
      </right>
      <top style="medium">
        <color indexed="64"/>
      </top>
      <bottom style="thin">
        <color theme="1" tint="0.499984740745262"/>
      </bottom>
      <diagonal/>
    </border>
    <border>
      <left/>
      <right/>
      <top style="thin">
        <color theme="1" tint="0.499984740745262"/>
      </top>
      <bottom style="medium">
        <color indexed="64"/>
      </bottom>
      <diagonal/>
    </border>
    <border>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theme="1" tint="0.499984740745262"/>
      </left>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2" tint="-0.24994659260841701"/>
      </top>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thin">
        <color auto="1"/>
      </right>
      <top style="dotted">
        <color theme="1" tint="0.499984740745262"/>
      </top>
      <bottom/>
      <diagonal/>
    </border>
    <border>
      <left style="thin">
        <color rgb="FF000000"/>
      </left>
      <right/>
      <top/>
      <bottom/>
      <diagonal/>
    </border>
    <border>
      <left/>
      <right/>
      <top/>
      <bottom style="thin">
        <color rgb="FF000000"/>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style="thin">
        <color theme="1" tint="0.499984740745262"/>
      </top>
      <bottom style="thin">
        <color theme="1" tint="0.499984740745262"/>
      </bottom>
      <diagonal/>
    </border>
    <border>
      <left style="thin">
        <color rgb="FF000000"/>
      </left>
      <right style="thin">
        <color rgb="FF000000"/>
      </right>
      <top style="thin">
        <color rgb="FF000000"/>
      </top>
      <bottom style="dotted">
        <color theme="0" tint="-0.14996795556505021"/>
      </bottom>
      <diagonal/>
    </border>
    <border>
      <left style="thin">
        <color rgb="FF000000"/>
      </left>
      <right style="thin">
        <color rgb="FF000000"/>
      </right>
      <top style="dotted">
        <color theme="0" tint="-0.14996795556505021"/>
      </top>
      <bottom style="dotted">
        <color theme="0" tint="-0.14996795556505021"/>
      </bottom>
      <diagonal/>
    </border>
    <border>
      <left style="thin">
        <color rgb="FF000000"/>
      </left>
      <right style="thin">
        <color rgb="FF000000"/>
      </right>
      <top style="dotted">
        <color theme="0" tint="-0.14996795556505021"/>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theme="2" tint="-0.24994659260841701"/>
      </left>
      <right style="thin">
        <color theme="2" tint="-0.24994659260841701"/>
      </right>
      <top/>
      <bottom style="thin">
        <color theme="2" tint="-0.24994659260841701"/>
      </bottom>
      <diagonal/>
    </border>
    <border>
      <left style="thin">
        <color indexed="64"/>
      </left>
      <right style="thin">
        <color rgb="FF000000"/>
      </right>
      <top style="thin">
        <color rgb="FF000000"/>
      </top>
      <bottom style="thin">
        <color indexed="64"/>
      </bottom>
      <diagonal/>
    </border>
    <border>
      <left style="thin">
        <color rgb="FF000000"/>
      </left>
      <right style="thin">
        <color theme="1" tint="0.499984740745262"/>
      </right>
      <top style="thin">
        <color theme="1" tint="0.499984740745262"/>
      </top>
      <bottom style="thin">
        <color theme="1" tint="0.499984740745262"/>
      </bottom>
      <diagonal/>
    </border>
  </borders>
  <cellStyleXfs count="16">
    <xf numFmtId="0" fontId="0" fillId="0" borderId="0"/>
    <xf numFmtId="43" fontId="3" fillId="0" borderId="0" applyFont="0" applyFill="0" applyBorder="0" applyAlignment="0" applyProtection="0"/>
    <xf numFmtId="0" fontId="9" fillId="0" borderId="0"/>
    <xf numFmtId="0" fontId="13" fillId="0" borderId="0"/>
    <xf numFmtId="164" fontId="13" fillId="0" borderId="0" applyFont="0" applyFill="0" applyBorder="0" applyAlignment="0" applyProtection="0"/>
    <xf numFmtId="0" fontId="13" fillId="0" borderId="0"/>
    <xf numFmtId="0" fontId="13" fillId="0" borderId="0"/>
    <xf numFmtId="39" fontId="39" fillId="0" borderId="0"/>
    <xf numFmtId="0" fontId="13" fillId="0" borderId="0"/>
    <xf numFmtId="43" fontId="3" fillId="0" borderId="0" applyFont="0" applyFill="0" applyBorder="0" applyAlignment="0" applyProtection="0"/>
    <xf numFmtId="0" fontId="53" fillId="0" borderId="0"/>
    <xf numFmtId="0" fontId="70" fillId="0" borderId="0"/>
    <xf numFmtId="0" fontId="72" fillId="0" borderId="0"/>
    <xf numFmtId="43" fontId="70" fillId="0" borderId="0" applyFont="0" applyFill="0" applyBorder="0" applyAlignment="0" applyProtection="0"/>
    <xf numFmtId="0" fontId="30" fillId="0" borderId="0"/>
    <xf numFmtId="0" fontId="30" fillId="0" borderId="0"/>
  </cellStyleXfs>
  <cellXfs count="1378">
    <xf numFmtId="0" fontId="0" fillId="0" borderId="0" xfId="0"/>
    <xf numFmtId="0" fontId="4" fillId="0" borderId="0" xfId="0" applyFont="1"/>
    <xf numFmtId="4" fontId="5" fillId="0" borderId="0" xfId="0" applyNumberFormat="1" applyFont="1" applyAlignment="1">
      <alignment horizontal="right" vertical="center"/>
    </xf>
    <xf numFmtId="0" fontId="6" fillId="0" borderId="0" xfId="0" applyFont="1" applyAlignment="1">
      <alignment horizontal="left" vertical="center"/>
    </xf>
    <xf numFmtId="0" fontId="7" fillId="0" borderId="0" xfId="0" applyFont="1" applyAlignment="1">
      <alignment vertical="center"/>
    </xf>
    <xf numFmtId="0" fontId="5" fillId="0" borderId="0" xfId="0" applyFont="1" applyAlignment="1">
      <alignment horizontal="center" vertical="center"/>
    </xf>
    <xf numFmtId="4" fontId="5" fillId="0" borderId="0" xfId="0" quotePrefix="1" applyNumberFormat="1" applyFont="1" applyAlignment="1">
      <alignment horizontal="center" vertical="center"/>
    </xf>
    <xf numFmtId="0" fontId="5" fillId="0" borderId="0" xfId="0" applyFont="1" applyAlignment="1">
      <alignment horizontal="left"/>
    </xf>
    <xf numFmtId="0" fontId="5" fillId="0" borderId="0" xfId="0" applyFont="1" applyAlignment="1">
      <alignment horizontal="center"/>
    </xf>
    <xf numFmtId="4" fontId="5" fillId="0" borderId="0" xfId="0" applyNumberFormat="1" applyFont="1" applyAlignment="1">
      <alignment horizontal="right"/>
    </xf>
    <xf numFmtId="0" fontId="0" fillId="0" borderId="0" xfId="0" applyAlignment="1">
      <alignment horizontal="left" vertical="top" indent="1"/>
    </xf>
    <xf numFmtId="0" fontId="13" fillId="0" borderId="1" xfId="3" applyBorder="1"/>
    <xf numFmtId="0" fontId="13" fillId="0" borderId="2" xfId="3" applyBorder="1"/>
    <xf numFmtId="0" fontId="13" fillId="0" borderId="3" xfId="3" applyBorder="1"/>
    <xf numFmtId="0" fontId="13" fillId="0" borderId="0" xfId="3"/>
    <xf numFmtId="0" fontId="15" fillId="3" borderId="7" xfId="3" applyFont="1" applyFill="1" applyBorder="1"/>
    <xf numFmtId="0" fontId="15" fillId="3" borderId="8" xfId="3" applyFont="1" applyFill="1" applyBorder="1" applyAlignment="1">
      <alignment horizontal="centerContinuous" vertical="center"/>
    </xf>
    <xf numFmtId="0" fontId="15" fillId="3" borderId="9" xfId="3" applyFont="1" applyFill="1" applyBorder="1" applyAlignment="1">
      <alignment horizontal="centerContinuous" vertical="center"/>
    </xf>
    <xf numFmtId="0" fontId="15" fillId="3" borderId="10" xfId="3" applyFont="1" applyFill="1" applyBorder="1" applyAlignment="1">
      <alignment horizontal="centerContinuous" vertical="center"/>
    </xf>
    <xf numFmtId="0" fontId="15" fillId="3" borderId="11" xfId="3" applyFont="1" applyFill="1" applyBorder="1" applyAlignment="1">
      <alignment horizontal="centerContinuous" vertical="center"/>
    </xf>
    <xf numFmtId="0" fontId="14" fillId="3" borderId="12" xfId="3" applyFont="1" applyFill="1" applyBorder="1" applyAlignment="1">
      <alignment horizontal="center" vertical="center"/>
    </xf>
    <xf numFmtId="0" fontId="14" fillId="3" borderId="14" xfId="3" applyFont="1" applyFill="1" applyBorder="1" applyAlignment="1">
      <alignment horizontal="center" vertical="center" wrapText="1"/>
    </xf>
    <xf numFmtId="0" fontId="14" fillId="3" borderId="15" xfId="3" applyFont="1" applyFill="1" applyBorder="1" applyAlignment="1">
      <alignment horizontal="center" vertical="center" wrapText="1"/>
    </xf>
    <xf numFmtId="0" fontId="16" fillId="0" borderId="0" xfId="3" applyFont="1"/>
    <xf numFmtId="0" fontId="14" fillId="3" borderId="16" xfId="3" applyFont="1" applyFill="1" applyBorder="1" applyAlignment="1">
      <alignment horizontal="left"/>
    </xf>
    <xf numFmtId="2" fontId="15" fillId="3" borderId="17" xfId="4" applyNumberFormat="1" applyFont="1" applyFill="1" applyBorder="1"/>
    <xf numFmtId="2" fontId="14" fillId="3" borderId="17" xfId="4" applyNumberFormat="1" applyFont="1" applyFill="1" applyBorder="1"/>
    <xf numFmtId="0" fontId="14" fillId="0" borderId="16" xfId="3" applyFont="1" applyBorder="1" applyAlignment="1">
      <alignment horizontal="left"/>
    </xf>
    <xf numFmtId="0" fontId="15" fillId="3" borderId="16" xfId="3" applyFont="1" applyFill="1" applyBorder="1"/>
    <xf numFmtId="164" fontId="14" fillId="3" borderId="22" xfId="3" applyNumberFormat="1" applyFont="1" applyFill="1" applyBorder="1"/>
    <xf numFmtId="0" fontId="18" fillId="5" borderId="23" xfId="3" applyFont="1" applyFill="1" applyBorder="1" applyAlignment="1">
      <alignment horizontal="center"/>
    </xf>
    <xf numFmtId="0" fontId="13" fillId="0" borderId="0" xfId="3" applyAlignment="1">
      <alignment vertical="center"/>
    </xf>
    <xf numFmtId="0" fontId="19" fillId="3" borderId="0" xfId="3" applyFont="1" applyFill="1" applyAlignment="1">
      <alignment horizontal="left" vertical="center"/>
    </xf>
    <xf numFmtId="0" fontId="19" fillId="3" borderId="0" xfId="3" applyFont="1" applyFill="1" applyAlignment="1">
      <alignment horizontal="center"/>
    </xf>
    <xf numFmtId="0" fontId="19" fillId="3" borderId="0" xfId="3" applyFont="1" applyFill="1"/>
    <xf numFmtId="2" fontId="13" fillId="0" borderId="0" xfId="3" applyNumberFormat="1"/>
    <xf numFmtId="0" fontId="18" fillId="0" borderId="0" xfId="3" applyFont="1"/>
    <xf numFmtId="164" fontId="19" fillId="3" borderId="0" xfId="4" applyFont="1" applyFill="1" applyAlignment="1">
      <alignment horizontal="right" vertical="center"/>
    </xf>
    <xf numFmtId="0" fontId="13" fillId="0" borderId="0" xfId="3" applyAlignment="1">
      <alignment horizontal="center" vertical="center"/>
    </xf>
    <xf numFmtId="2" fontId="29" fillId="0" borderId="35" xfId="3" applyNumberFormat="1" applyFont="1" applyBorder="1" applyAlignment="1">
      <alignment horizontal="center" vertical="center" wrapText="1"/>
    </xf>
    <xf numFmtId="0" fontId="30" fillId="0" borderId="27" xfId="3" applyFont="1" applyBorder="1" applyAlignment="1">
      <alignment horizontal="center" vertical="center" wrapText="1"/>
    </xf>
    <xf numFmtId="0" fontId="13" fillId="0" borderId="27" xfId="3" applyBorder="1" applyAlignment="1">
      <alignment horizontal="center" vertical="center" wrapText="1"/>
    </xf>
    <xf numFmtId="2" fontId="30" fillId="0" borderId="26" xfId="3" applyNumberFormat="1" applyFont="1" applyBorder="1" applyAlignment="1">
      <alignment horizontal="center" vertical="center" wrapText="1"/>
    </xf>
    <xf numFmtId="1" fontId="13" fillId="0" borderId="27" xfId="3" applyNumberFormat="1" applyBorder="1" applyAlignment="1">
      <alignment horizontal="center" vertical="center" wrapText="1"/>
    </xf>
    <xf numFmtId="2" fontId="30" fillId="0" borderId="27" xfId="3" applyNumberFormat="1" applyFont="1" applyBorder="1" applyAlignment="1">
      <alignment horizontal="center" vertical="center" wrapText="1"/>
    </xf>
    <xf numFmtId="1" fontId="13" fillId="0" borderId="40" xfId="3" applyNumberFormat="1" applyBorder="1" applyAlignment="1">
      <alignment horizontal="center" vertical="center" wrapText="1"/>
    </xf>
    <xf numFmtId="2" fontId="30" fillId="0" borderId="39" xfId="3" applyNumberFormat="1" applyFont="1" applyBorder="1" applyAlignment="1">
      <alignment horizontal="center" vertical="center" wrapText="1"/>
    </xf>
    <xf numFmtId="1" fontId="30" fillId="0" borderId="27" xfId="3" applyNumberFormat="1" applyFont="1" applyBorder="1" applyAlignment="1">
      <alignment horizontal="center" vertical="center" wrapText="1"/>
    </xf>
    <xf numFmtId="2" fontId="30" fillId="0" borderId="40" xfId="3" applyNumberFormat="1" applyFont="1" applyBorder="1" applyAlignment="1">
      <alignment horizontal="center" vertical="center" wrapText="1"/>
    </xf>
    <xf numFmtId="0" fontId="30" fillId="0" borderId="36" xfId="3" applyFont="1" applyBorder="1" applyAlignment="1">
      <alignment horizontal="center" vertical="center"/>
    </xf>
    <xf numFmtId="2" fontId="30" fillId="0" borderId="27" xfId="3" applyNumberFormat="1" applyFont="1" applyBorder="1" applyAlignment="1">
      <alignment horizontal="center" vertical="center"/>
    </xf>
    <xf numFmtId="2" fontId="13" fillId="0" borderId="27" xfId="3" applyNumberFormat="1" applyBorder="1" applyAlignment="1">
      <alignment horizontal="center" vertical="center"/>
    </xf>
    <xf numFmtId="0" fontId="30" fillId="0" borderId="26" xfId="3" applyFont="1" applyBorder="1" applyAlignment="1">
      <alignment horizontal="center" vertical="center"/>
    </xf>
    <xf numFmtId="0" fontId="30" fillId="0" borderId="27" xfId="3" applyFont="1" applyBorder="1" applyAlignment="1">
      <alignment horizontal="center" vertical="center"/>
    </xf>
    <xf numFmtId="1" fontId="30" fillId="0" borderId="27" xfId="3" applyNumberFormat="1" applyFont="1" applyBorder="1" applyAlignment="1">
      <alignment horizontal="center" vertical="center"/>
    </xf>
    <xf numFmtId="2" fontId="13" fillId="0" borderId="40" xfId="3" applyNumberFormat="1" applyBorder="1" applyAlignment="1">
      <alignment horizontal="center" vertical="center"/>
    </xf>
    <xf numFmtId="1" fontId="30" fillId="0" borderId="19" xfId="3" applyNumberFormat="1" applyFont="1" applyBorder="1" applyAlignment="1">
      <alignment horizontal="center" vertical="center"/>
    </xf>
    <xf numFmtId="2" fontId="30" fillId="0" borderId="19" xfId="3" applyNumberFormat="1" applyFont="1" applyBorder="1" applyAlignment="1">
      <alignment horizontal="center" vertical="center"/>
    </xf>
    <xf numFmtId="2" fontId="30" fillId="0" borderId="43" xfId="3" applyNumberFormat="1" applyFont="1" applyBorder="1" applyAlignment="1">
      <alignment horizontal="center" vertical="center"/>
    </xf>
    <xf numFmtId="1" fontId="30" fillId="0" borderId="43" xfId="3" applyNumberFormat="1" applyFont="1" applyBorder="1" applyAlignment="1">
      <alignment horizontal="center" vertical="center"/>
    </xf>
    <xf numFmtId="2" fontId="30" fillId="0" borderId="20" xfId="3" applyNumberFormat="1" applyFont="1" applyBorder="1" applyAlignment="1">
      <alignment horizontal="center" vertical="center"/>
    </xf>
    <xf numFmtId="0" fontId="30" fillId="0" borderId="44" xfId="3" applyFont="1" applyBorder="1" applyAlignment="1">
      <alignment horizontal="center" vertical="center"/>
    </xf>
    <xf numFmtId="0" fontId="30" fillId="0" borderId="29" xfId="3" applyFont="1" applyBorder="1" applyAlignment="1">
      <alignment horizontal="center" vertical="center"/>
    </xf>
    <xf numFmtId="2" fontId="13" fillId="0" borderId="29" xfId="3" applyNumberFormat="1" applyBorder="1" applyAlignment="1">
      <alignment horizontal="center" vertical="center"/>
    </xf>
    <xf numFmtId="2" fontId="13" fillId="0" borderId="28" xfId="3" applyNumberFormat="1" applyBorder="1" applyAlignment="1">
      <alignment horizontal="center" vertical="center"/>
    </xf>
    <xf numFmtId="2" fontId="13" fillId="0" borderId="35" xfId="3" applyNumberFormat="1" applyBorder="1" applyAlignment="1">
      <alignment horizontal="center" vertical="center"/>
    </xf>
    <xf numFmtId="1" fontId="30" fillId="0" borderId="35" xfId="3" applyNumberFormat="1" applyFont="1" applyBorder="1" applyAlignment="1">
      <alignment horizontal="center" vertical="center"/>
    </xf>
    <xf numFmtId="1" fontId="13" fillId="0" borderId="19" xfId="3" applyNumberFormat="1" applyBorder="1" applyAlignment="1">
      <alignment horizontal="center" vertical="center"/>
    </xf>
    <xf numFmtId="1" fontId="13" fillId="0" borderId="20" xfId="3" applyNumberFormat="1" applyBorder="1" applyAlignment="1">
      <alignment horizontal="center" vertical="center"/>
    </xf>
    <xf numFmtId="0" fontId="18" fillId="5" borderId="23" xfId="3" applyFont="1" applyFill="1" applyBorder="1"/>
    <xf numFmtId="0" fontId="13" fillId="3" borderId="2" xfId="3" applyFill="1" applyBorder="1"/>
    <xf numFmtId="0" fontId="20" fillId="3" borderId="2" xfId="3" applyFont="1" applyFill="1" applyBorder="1" applyAlignment="1">
      <alignment horizontal="center" vertical="center" wrapText="1"/>
    </xf>
    <xf numFmtId="2" fontId="18" fillId="8" borderId="3" xfId="3" applyNumberFormat="1" applyFont="1" applyFill="1" applyBorder="1" applyAlignment="1">
      <alignment horizontal="center"/>
    </xf>
    <xf numFmtId="0" fontId="13" fillId="3" borderId="0" xfId="3" applyFill="1"/>
    <xf numFmtId="2" fontId="18" fillId="3" borderId="46" xfId="3" applyNumberFormat="1" applyFont="1" applyFill="1" applyBorder="1" applyAlignment="1">
      <alignment horizontal="center"/>
    </xf>
    <xf numFmtId="0" fontId="13" fillId="3" borderId="46" xfId="3" applyFill="1" applyBorder="1" applyAlignment="1">
      <alignment horizontal="center"/>
    </xf>
    <xf numFmtId="2" fontId="18" fillId="8" borderId="46" xfId="3" applyNumberFormat="1" applyFont="1" applyFill="1" applyBorder="1" applyAlignment="1">
      <alignment horizontal="center"/>
    </xf>
    <xf numFmtId="0" fontId="13" fillId="3" borderId="5" xfId="3" applyFill="1" applyBorder="1"/>
    <xf numFmtId="0" fontId="20" fillId="3" borderId="5" xfId="3" applyFont="1" applyFill="1" applyBorder="1" applyAlignment="1">
      <alignment horizontal="center" vertical="center" wrapText="1"/>
    </xf>
    <xf numFmtId="0" fontId="13" fillId="3" borderId="6" xfId="3" applyFill="1" applyBorder="1" applyAlignment="1">
      <alignment horizontal="center"/>
    </xf>
    <xf numFmtId="0" fontId="13" fillId="3" borderId="46" xfId="3" applyFill="1" applyBorder="1"/>
    <xf numFmtId="0" fontId="13" fillId="3" borderId="6" xfId="3" applyFill="1" applyBorder="1"/>
    <xf numFmtId="2" fontId="13" fillId="0" borderId="27" xfId="3" applyNumberFormat="1" applyBorder="1" applyAlignment="1">
      <alignment horizontal="center" vertical="center" wrapText="1"/>
    </xf>
    <xf numFmtId="2" fontId="13" fillId="9" borderId="27" xfId="3" applyNumberFormat="1" applyFill="1" applyBorder="1" applyAlignment="1">
      <alignment horizontal="center" vertical="center"/>
    </xf>
    <xf numFmtId="0" fontId="0" fillId="0" borderId="1" xfId="0" applyBorder="1" applyAlignment="1">
      <alignment horizontal="left" vertical="top" indent="1"/>
    </xf>
    <xf numFmtId="0" fontId="0" fillId="0" borderId="45" xfId="0" applyBorder="1" applyAlignment="1">
      <alignment horizontal="left" vertical="top" indent="1"/>
    </xf>
    <xf numFmtId="0" fontId="20" fillId="3" borderId="0" xfId="3" applyFont="1" applyFill="1" applyAlignment="1">
      <alignment horizontal="center" vertical="center" wrapText="1"/>
    </xf>
    <xf numFmtId="0" fontId="13" fillId="0" borderId="45" xfId="3" applyBorder="1"/>
    <xf numFmtId="0" fontId="13" fillId="0" borderId="4" xfId="3" applyBorder="1"/>
    <xf numFmtId="0" fontId="20" fillId="3" borderId="2" xfId="3" applyFont="1" applyFill="1" applyBorder="1" applyAlignment="1">
      <alignment horizontal="left" vertical="center"/>
    </xf>
    <xf numFmtId="0" fontId="20" fillId="3" borderId="0" xfId="3" applyFont="1" applyFill="1" applyAlignment="1">
      <alignment horizontal="left" vertical="center"/>
    </xf>
    <xf numFmtId="0" fontId="20" fillId="3" borderId="5" xfId="3" applyFont="1" applyFill="1" applyBorder="1" applyAlignment="1">
      <alignment horizontal="left" vertical="center"/>
    </xf>
    <xf numFmtId="0" fontId="32" fillId="3" borderId="0" xfId="3" applyFont="1" applyFill="1" applyAlignment="1">
      <alignment horizontal="left" vertical="center"/>
    </xf>
    <xf numFmtId="0" fontId="32" fillId="3" borderId="5" xfId="3" applyFont="1" applyFill="1" applyBorder="1" applyAlignment="1">
      <alignment horizontal="left" vertical="center"/>
    </xf>
    <xf numFmtId="0" fontId="13" fillId="3" borderId="48" xfId="3" applyFill="1" applyBorder="1"/>
    <xf numFmtId="0" fontId="5" fillId="3" borderId="1" xfId="2" applyFont="1" applyFill="1" applyBorder="1" applyAlignment="1">
      <alignment horizontal="left" vertical="center"/>
    </xf>
    <xf numFmtId="0" fontId="32" fillId="3" borderId="2" xfId="3" applyFont="1" applyFill="1" applyBorder="1" applyAlignment="1">
      <alignment horizontal="left" vertical="center"/>
    </xf>
    <xf numFmtId="2" fontId="13" fillId="8" borderId="3" xfId="3" applyNumberFormat="1" applyFill="1" applyBorder="1"/>
    <xf numFmtId="0" fontId="5" fillId="3" borderId="45" xfId="2" applyFont="1" applyFill="1" applyBorder="1" applyAlignment="1">
      <alignment horizontal="left" vertical="center"/>
    </xf>
    <xf numFmtId="0" fontId="5" fillId="3" borderId="4" xfId="2" applyFont="1" applyFill="1" applyBorder="1" applyAlignment="1">
      <alignment horizontal="left" vertical="center"/>
    </xf>
    <xf numFmtId="0" fontId="14" fillId="3" borderId="35" xfId="3" applyFont="1" applyFill="1" applyBorder="1" applyAlignment="1">
      <alignment horizontal="center" vertical="center"/>
    </xf>
    <xf numFmtId="0" fontId="12" fillId="0" borderId="27" xfId="3" applyFont="1" applyBorder="1" applyAlignment="1">
      <alignment horizontal="center" vertical="center"/>
    </xf>
    <xf numFmtId="0" fontId="12" fillId="3" borderId="27" xfId="3" applyFont="1" applyFill="1" applyBorder="1" applyAlignment="1">
      <alignment horizontal="center" vertical="center"/>
    </xf>
    <xf numFmtId="0" fontId="14" fillId="3" borderId="39" xfId="3" applyFont="1" applyFill="1" applyBorder="1" applyAlignment="1">
      <alignment horizontal="center" vertical="center"/>
    </xf>
    <xf numFmtId="0" fontId="13" fillId="0" borderId="27" xfId="3" applyBorder="1" applyAlignment="1">
      <alignment horizontal="center" vertical="center"/>
    </xf>
    <xf numFmtId="165" fontId="13" fillId="0" borderId="27" xfId="3" applyNumberFormat="1" applyBorder="1" applyAlignment="1">
      <alignment horizontal="center" vertical="center"/>
    </xf>
    <xf numFmtId="2" fontId="13" fillId="3" borderId="27" xfId="3" applyNumberFormat="1" applyFill="1" applyBorder="1" applyAlignment="1">
      <alignment horizontal="center" vertical="center"/>
    </xf>
    <xf numFmtId="1" fontId="13" fillId="3" borderId="27" xfId="3" applyNumberFormat="1" applyFill="1" applyBorder="1" applyAlignment="1">
      <alignment horizontal="center" vertical="center"/>
    </xf>
    <xf numFmtId="0" fontId="13" fillId="0" borderId="27" xfId="3" applyBorder="1" applyAlignment="1">
      <alignment horizontal="left" vertical="center" indent="5"/>
    </xf>
    <xf numFmtId="2" fontId="24" fillId="3" borderId="27" xfId="3" applyNumberFormat="1" applyFont="1" applyFill="1" applyBorder="1" applyAlignment="1">
      <alignment horizontal="center" vertical="center"/>
    </xf>
    <xf numFmtId="2" fontId="12" fillId="3" borderId="24" xfId="3" applyNumberFormat="1" applyFont="1" applyFill="1" applyBorder="1" applyAlignment="1">
      <alignment horizontal="center" vertical="center"/>
    </xf>
    <xf numFmtId="0" fontId="12" fillId="0" borderId="35" xfId="3" applyFont="1" applyBorder="1" applyAlignment="1">
      <alignment horizontal="center" vertical="center"/>
    </xf>
    <xf numFmtId="0" fontId="12" fillId="0" borderId="17" xfId="3" applyFont="1" applyBorder="1" applyAlignment="1">
      <alignment horizontal="center" vertical="center"/>
    </xf>
    <xf numFmtId="1" fontId="12" fillId="3" borderId="27" xfId="3" applyNumberFormat="1" applyFont="1" applyFill="1" applyBorder="1" applyAlignment="1">
      <alignment horizontal="center" vertical="center"/>
    </xf>
    <xf numFmtId="0" fontId="12" fillId="0" borderId="39" xfId="3" applyFont="1" applyBorder="1" applyAlignment="1">
      <alignment horizontal="center" vertical="center"/>
    </xf>
    <xf numFmtId="14" fontId="13" fillId="0" borderId="27" xfId="3" applyNumberFormat="1" applyBorder="1" applyAlignment="1">
      <alignment horizontal="center" vertical="center"/>
    </xf>
    <xf numFmtId="2" fontId="24" fillId="0" borderId="27" xfId="3" applyNumberFormat="1" applyFont="1" applyBorder="1" applyAlignment="1">
      <alignment horizontal="center" vertical="center"/>
    </xf>
    <xf numFmtId="0" fontId="24" fillId="0" borderId="27" xfId="3" applyFont="1" applyBorder="1" applyAlignment="1">
      <alignment horizontal="center" vertical="center"/>
    </xf>
    <xf numFmtId="0" fontId="13" fillId="0" borderId="28" xfId="3" applyBorder="1" applyAlignment="1">
      <alignment horizontal="center" vertical="center"/>
    </xf>
    <xf numFmtId="0" fontId="13" fillId="0" borderId="24" xfId="3" applyBorder="1" applyAlignment="1">
      <alignment horizontal="center" vertical="center"/>
    </xf>
    <xf numFmtId="2" fontId="13" fillId="3" borderId="24" xfId="3" applyNumberFormat="1" applyFill="1" applyBorder="1" applyAlignment="1">
      <alignment horizontal="center" vertical="center"/>
    </xf>
    <xf numFmtId="0" fontId="13" fillId="0" borderId="35" xfId="3" applyBorder="1" applyAlignment="1">
      <alignment horizontal="center" vertical="center"/>
    </xf>
    <xf numFmtId="1" fontId="13" fillId="3" borderId="35" xfId="3" applyNumberFormat="1" applyFill="1" applyBorder="1" applyAlignment="1">
      <alignment horizontal="center" vertical="center"/>
    </xf>
    <xf numFmtId="1" fontId="13" fillId="0" borderId="27" xfId="3" applyNumberFormat="1" applyBorder="1" applyAlignment="1">
      <alignment horizontal="center" vertical="center"/>
    </xf>
    <xf numFmtId="0" fontId="18" fillId="5" borderId="21" xfId="3" applyFont="1" applyFill="1" applyBorder="1" applyAlignment="1">
      <alignment horizontal="center"/>
    </xf>
    <xf numFmtId="0" fontId="0" fillId="0" borderId="27" xfId="0" applyBorder="1" applyAlignment="1">
      <alignment horizontal="center" vertical="center"/>
    </xf>
    <xf numFmtId="0" fontId="14" fillId="3" borderId="17" xfId="3" applyFont="1" applyFill="1" applyBorder="1" applyAlignment="1">
      <alignment horizontal="center" vertical="center"/>
    </xf>
    <xf numFmtId="1" fontId="24" fillId="0" borderId="27" xfId="3" applyNumberFormat="1" applyFont="1" applyBorder="1" applyAlignment="1">
      <alignment horizontal="center" vertical="center"/>
    </xf>
    <xf numFmtId="0" fontId="18" fillId="10" borderId="21" xfId="3" applyFont="1" applyFill="1" applyBorder="1" applyAlignment="1">
      <alignment horizontal="centerContinuous"/>
    </xf>
    <xf numFmtId="0" fontId="18" fillId="10" borderId="22" xfId="3" applyFont="1" applyFill="1" applyBorder="1" applyAlignment="1">
      <alignment horizontal="centerContinuous"/>
    </xf>
    <xf numFmtId="0" fontId="13" fillId="10" borderId="9" xfId="3" applyFill="1" applyBorder="1" applyAlignment="1">
      <alignment horizontal="centerContinuous"/>
    </xf>
    <xf numFmtId="0" fontId="13" fillId="10" borderId="22" xfId="3" applyFill="1" applyBorder="1" applyAlignment="1">
      <alignment horizontal="centerContinuous"/>
    </xf>
    <xf numFmtId="0" fontId="10" fillId="3" borderId="54" xfId="2" applyFont="1" applyFill="1" applyBorder="1" applyAlignment="1">
      <alignment horizontal="center" vertical="center"/>
    </xf>
    <xf numFmtId="2" fontId="27" fillId="0" borderId="0" xfId="3" applyNumberFormat="1" applyFont="1"/>
    <xf numFmtId="0" fontId="13" fillId="3" borderId="0" xfId="3" applyFill="1" applyAlignment="1">
      <alignment horizontal="centerContinuous"/>
    </xf>
    <xf numFmtId="2" fontId="13" fillId="3" borderId="46" xfId="3" applyNumberFormat="1" applyFill="1" applyBorder="1" applyAlignment="1">
      <alignment horizontal="center"/>
    </xf>
    <xf numFmtId="39" fontId="39" fillId="3" borderId="0" xfId="7" applyFill="1"/>
    <xf numFmtId="39" fontId="19" fillId="3" borderId="1" xfId="7" applyFont="1" applyFill="1" applyBorder="1"/>
    <xf numFmtId="39" fontId="19" fillId="3" borderId="2" xfId="7" applyFont="1" applyFill="1" applyBorder="1"/>
    <xf numFmtId="39" fontId="23" fillId="3" borderId="2" xfId="7" applyFont="1" applyFill="1" applyBorder="1"/>
    <xf numFmtId="39" fontId="39" fillId="3" borderId="2" xfId="7" applyFill="1" applyBorder="1"/>
    <xf numFmtId="39" fontId="39" fillId="0" borderId="0" xfId="7"/>
    <xf numFmtId="0" fontId="22" fillId="3" borderId="55" xfId="8" applyFont="1" applyFill="1" applyBorder="1"/>
    <xf numFmtId="0" fontId="22" fillId="3" borderId="50" xfId="8" applyFont="1" applyFill="1" applyBorder="1"/>
    <xf numFmtId="164" fontId="22" fillId="3" borderId="50" xfId="4" applyFont="1" applyFill="1" applyBorder="1" applyAlignment="1"/>
    <xf numFmtId="0" fontId="13" fillId="3" borderId="57" xfId="3" applyFill="1" applyBorder="1"/>
    <xf numFmtId="0" fontId="13" fillId="3" borderId="58" xfId="3" applyFill="1" applyBorder="1"/>
    <xf numFmtId="39" fontId="23" fillId="3" borderId="47" xfId="7" applyFont="1" applyFill="1" applyBorder="1" applyAlignment="1" applyProtection="1">
      <alignment horizontal="right"/>
      <protection locked="0"/>
    </xf>
    <xf numFmtId="39" fontId="19" fillId="3" borderId="48" xfId="7" applyFont="1" applyFill="1" applyBorder="1" applyAlignment="1" applyProtection="1">
      <alignment horizontal="left"/>
      <protection locked="0"/>
    </xf>
    <xf numFmtId="39" fontId="23" fillId="3" borderId="48" xfId="7" applyFont="1" applyFill="1" applyBorder="1" applyAlignment="1" applyProtection="1">
      <alignment horizontal="right"/>
      <protection locked="0"/>
    </xf>
    <xf numFmtId="39" fontId="39" fillId="3" borderId="48" xfId="7" applyFill="1" applyBorder="1"/>
    <xf numFmtId="39" fontId="19" fillId="3" borderId="48" xfId="7" applyFont="1" applyFill="1" applyBorder="1" applyAlignment="1">
      <alignment vertical="center"/>
    </xf>
    <xf numFmtId="39" fontId="23" fillId="3" borderId="48" xfId="7" applyFont="1" applyFill="1" applyBorder="1" applyAlignment="1" applyProtection="1">
      <alignment horizontal="center"/>
      <protection locked="0"/>
    </xf>
    <xf numFmtId="39" fontId="19" fillId="0" borderId="48" xfId="7" applyFont="1" applyBorder="1" applyAlignment="1">
      <alignment vertical="center"/>
    </xf>
    <xf numFmtId="39" fontId="19" fillId="3" borderId="48" xfId="7" applyFont="1" applyFill="1" applyBorder="1" applyAlignment="1">
      <alignment horizontal="left"/>
    </xf>
    <xf numFmtId="164" fontId="23" fillId="3" borderId="48" xfId="4" applyFont="1" applyFill="1" applyBorder="1" applyAlignment="1" applyProtection="1">
      <alignment horizontal="right"/>
      <protection locked="0"/>
    </xf>
    <xf numFmtId="39" fontId="23" fillId="3" borderId="48" xfId="7" applyFont="1" applyFill="1" applyBorder="1" applyProtection="1">
      <protection locked="0"/>
    </xf>
    <xf numFmtId="39" fontId="19" fillId="3" borderId="47" xfId="7" applyFont="1" applyFill="1" applyBorder="1" applyAlignment="1" applyProtection="1">
      <alignment horizontal="right"/>
      <protection locked="0"/>
    </xf>
    <xf numFmtId="39" fontId="19" fillId="3" borderId="48" xfId="7" applyFont="1" applyFill="1" applyBorder="1" applyAlignment="1" applyProtection="1">
      <alignment horizontal="right"/>
      <protection locked="0"/>
    </xf>
    <xf numFmtId="39" fontId="19" fillId="3" borderId="48" xfId="7" applyFont="1" applyFill="1" applyBorder="1" applyAlignment="1" applyProtection="1">
      <alignment horizontal="center"/>
      <protection locked="0"/>
    </xf>
    <xf numFmtId="164" fontId="19" fillId="3" borderId="48" xfId="4" applyFont="1" applyFill="1" applyBorder="1" applyAlignment="1" applyProtection="1">
      <alignment horizontal="right"/>
      <protection locked="0"/>
    </xf>
    <xf numFmtId="39" fontId="19" fillId="3" borderId="48" xfId="7" applyFont="1" applyFill="1" applyBorder="1" applyProtection="1">
      <protection locked="0"/>
    </xf>
    <xf numFmtId="0" fontId="13" fillId="3" borderId="47" xfId="3" applyFill="1" applyBorder="1"/>
    <xf numFmtId="0" fontId="19" fillId="0" borderId="0" xfId="3" applyFont="1"/>
    <xf numFmtId="0" fontId="19" fillId="3" borderId="47" xfId="3" applyFont="1" applyFill="1" applyBorder="1"/>
    <xf numFmtId="0" fontId="40" fillId="3" borderId="48" xfId="3" applyFont="1" applyFill="1" applyBorder="1" applyAlignment="1">
      <alignment horizontal="left" vertical="center"/>
    </xf>
    <xf numFmtId="0" fontId="19" fillId="3" borderId="48" xfId="3" applyFont="1" applyFill="1" applyBorder="1"/>
    <xf numFmtId="39" fontId="19" fillId="3" borderId="48" xfId="3" applyNumberFormat="1" applyFont="1" applyFill="1" applyBorder="1" applyAlignment="1">
      <alignment horizontal="right" vertical="center"/>
    </xf>
    <xf numFmtId="0" fontId="13" fillId="3" borderId="59" xfId="3" applyFill="1" applyBorder="1"/>
    <xf numFmtId="0" fontId="13" fillId="3" borderId="60" xfId="3" applyFill="1" applyBorder="1"/>
    <xf numFmtId="0" fontId="13" fillId="3" borderId="45" xfId="3" applyFill="1" applyBorder="1"/>
    <xf numFmtId="0" fontId="18" fillId="3" borderId="0" xfId="3" applyFont="1" applyFill="1"/>
    <xf numFmtId="0" fontId="13" fillId="3" borderId="4" xfId="3" applyFill="1" applyBorder="1"/>
    <xf numFmtId="0" fontId="18" fillId="5" borderId="22" xfId="3" applyFont="1" applyFill="1" applyBorder="1" applyAlignment="1">
      <alignment horizontal="center"/>
    </xf>
    <xf numFmtId="0" fontId="41" fillId="0" borderId="0" xfId="3" applyFont="1"/>
    <xf numFmtId="2" fontId="42" fillId="0" borderId="0" xfId="3" applyNumberFormat="1" applyFont="1"/>
    <xf numFmtId="2" fontId="18" fillId="3" borderId="24" xfId="3" applyNumberFormat="1" applyFont="1" applyFill="1" applyBorder="1" applyAlignment="1">
      <alignment horizontal="center" vertical="center"/>
    </xf>
    <xf numFmtId="0" fontId="27" fillId="0" borderId="27" xfId="3" applyFont="1" applyBorder="1"/>
    <xf numFmtId="0" fontId="27" fillId="0" borderId="0" xfId="3" applyFont="1"/>
    <xf numFmtId="0" fontId="1" fillId="5" borderId="31" xfId="3" applyFont="1" applyFill="1" applyBorder="1" applyAlignment="1">
      <alignment horizontal="centerContinuous" vertical="center"/>
    </xf>
    <xf numFmtId="0" fontId="1" fillId="5" borderId="32" xfId="3" applyFont="1" applyFill="1" applyBorder="1" applyAlignment="1">
      <alignment horizontal="centerContinuous" vertical="center"/>
    </xf>
    <xf numFmtId="0" fontId="1" fillId="5" borderId="33" xfId="3" applyFont="1" applyFill="1" applyBorder="1" applyAlignment="1">
      <alignment horizontal="centerContinuous" vertical="center"/>
    </xf>
    <xf numFmtId="0" fontId="13" fillId="5" borderId="33" xfId="3" applyFill="1" applyBorder="1" applyAlignment="1">
      <alignment horizontal="centerContinuous"/>
    </xf>
    <xf numFmtId="0" fontId="18" fillId="5" borderId="41" xfId="3" applyFont="1" applyFill="1" applyBorder="1" applyAlignment="1">
      <alignment horizontal="center"/>
    </xf>
    <xf numFmtId="0" fontId="18" fillId="5" borderId="42" xfId="3" applyFont="1" applyFill="1" applyBorder="1"/>
    <xf numFmtId="0" fontId="1" fillId="5" borderId="19" xfId="3" applyFont="1" applyFill="1" applyBorder="1" applyAlignment="1">
      <alignment horizontal="center" vertical="center"/>
    </xf>
    <xf numFmtId="0" fontId="1" fillId="5" borderId="20" xfId="3" applyFont="1" applyFill="1" applyBorder="1" applyAlignment="1">
      <alignment horizontal="center" vertical="center"/>
    </xf>
    <xf numFmtId="0" fontId="29" fillId="0" borderId="45" xfId="3" applyFont="1" applyBorder="1" applyAlignment="1">
      <alignment horizontal="center" vertical="center" wrapText="1"/>
    </xf>
    <xf numFmtId="0" fontId="29" fillId="0" borderId="50" xfId="3" applyFont="1" applyBorder="1" applyAlignment="1">
      <alignment horizontal="center" vertical="center" wrapText="1"/>
    </xf>
    <xf numFmtId="0" fontId="29" fillId="0" borderId="0" xfId="3" applyFont="1" applyAlignment="1">
      <alignment horizontal="center" vertical="center" wrapText="1"/>
    </xf>
    <xf numFmtId="2" fontId="29" fillId="0" borderId="55" xfId="3" applyNumberFormat="1" applyFont="1" applyBorder="1" applyAlignment="1">
      <alignment horizontal="center" vertical="center" wrapText="1"/>
    </xf>
    <xf numFmtId="2" fontId="29" fillId="0" borderId="0" xfId="3" applyNumberFormat="1" applyFont="1" applyAlignment="1">
      <alignment horizontal="center" vertical="center" wrapText="1"/>
    </xf>
    <xf numFmtId="2" fontId="29" fillId="0" borderId="50" xfId="3" applyNumberFormat="1" applyFont="1" applyBorder="1" applyAlignment="1">
      <alignment horizontal="center" vertical="center" wrapText="1"/>
    </xf>
    <xf numFmtId="2" fontId="29" fillId="0" borderId="56" xfId="3" applyNumberFormat="1" applyFont="1" applyBorder="1" applyAlignment="1">
      <alignment horizontal="center" vertical="center" wrapText="1"/>
    </xf>
    <xf numFmtId="0" fontId="29" fillId="0" borderId="50" xfId="3" applyFont="1" applyBorder="1" applyAlignment="1">
      <alignment horizontal="centerContinuous" vertical="center" wrapText="1"/>
    </xf>
    <xf numFmtId="0" fontId="18" fillId="10" borderId="27" xfId="3" applyFont="1" applyFill="1" applyBorder="1" applyAlignment="1">
      <alignment horizontal="centerContinuous"/>
    </xf>
    <xf numFmtId="0" fontId="13" fillId="10" borderId="27" xfId="3" applyFill="1" applyBorder="1" applyAlignment="1">
      <alignment horizontal="centerContinuous"/>
    </xf>
    <xf numFmtId="0" fontId="18" fillId="10" borderId="27" xfId="3" applyFont="1" applyFill="1" applyBorder="1" applyAlignment="1">
      <alignment horizontal="center" vertical="center"/>
    </xf>
    <xf numFmtId="1" fontId="30" fillId="0" borderId="10" xfId="3" applyNumberFormat="1" applyFont="1" applyBorder="1" applyAlignment="1">
      <alignment horizontal="center" vertical="center"/>
    </xf>
    <xf numFmtId="2" fontId="30" fillId="0" borderId="10" xfId="3" applyNumberFormat="1" applyFont="1" applyBorder="1" applyAlignment="1">
      <alignment horizontal="center" vertical="center"/>
    </xf>
    <xf numFmtId="2" fontId="30" fillId="0" borderId="8" xfId="3" applyNumberFormat="1" applyFont="1" applyBorder="1" applyAlignment="1">
      <alignment horizontal="center" vertical="center"/>
    </xf>
    <xf numFmtId="2" fontId="30" fillId="0" borderId="11" xfId="3" applyNumberFormat="1" applyFont="1" applyBorder="1" applyAlignment="1">
      <alignment horizontal="center" vertical="center"/>
    </xf>
    <xf numFmtId="0" fontId="11" fillId="0" borderId="0" xfId="0" applyFont="1"/>
    <xf numFmtId="0" fontId="11" fillId="0" borderId="0" xfId="0" applyFont="1" applyAlignment="1">
      <alignment horizontal="center" vertical="center"/>
    </xf>
    <xf numFmtId="0" fontId="11" fillId="11" borderId="61" xfId="0" applyFont="1" applyFill="1" applyBorder="1" applyAlignment="1">
      <alignment horizontal="centerContinuous"/>
    </xf>
    <xf numFmtId="0" fontId="11" fillId="11" borderId="61" xfId="0" applyFont="1" applyFill="1" applyBorder="1" applyAlignment="1">
      <alignment horizontal="center" vertical="center"/>
    </xf>
    <xf numFmtId="0" fontId="11" fillId="11" borderId="61" xfId="0" applyFont="1" applyFill="1" applyBorder="1" applyAlignment="1">
      <alignment horizontal="center" vertical="center" wrapText="1"/>
    </xf>
    <xf numFmtId="0" fontId="46" fillId="0" borderId="0" xfId="0" applyFont="1"/>
    <xf numFmtId="0" fontId="46" fillId="0" borderId="61" xfId="0" applyFont="1" applyBorder="1" applyAlignment="1">
      <alignment horizontal="center" vertical="center"/>
    </xf>
    <xf numFmtId="165" fontId="46" fillId="0" borderId="61" xfId="0" applyNumberFormat="1" applyFont="1" applyBorder="1" applyAlignment="1">
      <alignment horizontal="center" vertical="center"/>
    </xf>
    <xf numFmtId="0" fontId="11" fillId="0" borderId="0" xfId="0" applyFont="1" applyAlignment="1">
      <alignment horizontal="right"/>
    </xf>
    <xf numFmtId="0" fontId="47" fillId="0" borderId="0" xfId="0" applyFont="1"/>
    <xf numFmtId="0" fontId="47" fillId="11" borderId="67" xfId="0" applyFont="1" applyFill="1" applyBorder="1" applyAlignment="1">
      <alignment horizontal="centerContinuous"/>
    </xf>
    <xf numFmtId="0" fontId="47" fillId="11" borderId="68" xfId="0" applyFont="1" applyFill="1" applyBorder="1" applyAlignment="1">
      <alignment horizontal="centerContinuous"/>
    </xf>
    <xf numFmtId="0" fontId="11" fillId="11" borderId="69" xfId="0" applyFont="1" applyFill="1" applyBorder="1" applyAlignment="1">
      <alignment horizontal="centerContinuous"/>
    </xf>
    <xf numFmtId="0" fontId="11" fillId="11" borderId="70" xfId="0" applyFont="1" applyFill="1" applyBorder="1" applyAlignment="1">
      <alignment horizontal="centerContinuous"/>
    </xf>
    <xf numFmtId="0" fontId="47" fillId="4" borderId="1" xfId="0" applyFont="1" applyFill="1" applyBorder="1" applyAlignment="1">
      <alignment horizontal="centerContinuous" vertical="center"/>
    </xf>
    <xf numFmtId="0" fontId="47" fillId="4" borderId="2" xfId="0" applyFont="1" applyFill="1" applyBorder="1" applyAlignment="1">
      <alignment horizontal="centerContinuous" vertical="center"/>
    </xf>
    <xf numFmtId="0" fontId="47" fillId="4" borderId="2" xfId="0" applyFont="1" applyFill="1" applyBorder="1" applyAlignment="1">
      <alignment horizontal="center" vertical="center"/>
    </xf>
    <xf numFmtId="0" fontId="47" fillId="4" borderId="3" xfId="0" applyFont="1" applyFill="1" applyBorder="1" applyAlignment="1">
      <alignment horizontal="center" vertical="center"/>
    </xf>
    <xf numFmtId="2" fontId="47" fillId="11" borderId="72" xfId="0" applyNumberFormat="1" applyFont="1" applyFill="1" applyBorder="1" applyAlignment="1">
      <alignment horizontal="center" vertical="center" wrapText="1"/>
    </xf>
    <xf numFmtId="2" fontId="47" fillId="11" borderId="64" xfId="0" applyNumberFormat="1" applyFont="1" applyFill="1" applyBorder="1" applyAlignment="1">
      <alignment horizontal="center" vertical="center" wrapText="1"/>
    </xf>
    <xf numFmtId="2" fontId="47" fillId="11" borderId="62" xfId="0" applyNumberFormat="1" applyFont="1" applyFill="1" applyBorder="1" applyAlignment="1">
      <alignment horizontal="center" vertical="center" wrapText="1"/>
    </xf>
    <xf numFmtId="0" fontId="47" fillId="4" borderId="4" xfId="0" applyFont="1" applyFill="1" applyBorder="1" applyAlignment="1">
      <alignment horizontal="center" vertical="center"/>
    </xf>
    <xf numFmtId="0" fontId="47" fillId="4" borderId="5" xfId="0" applyFont="1" applyFill="1" applyBorder="1" applyAlignment="1">
      <alignment horizontal="center" vertical="center"/>
    </xf>
    <xf numFmtId="0" fontId="47" fillId="4" borderId="6" xfId="0" applyFont="1" applyFill="1" applyBorder="1" applyAlignment="1">
      <alignment horizontal="center" vertical="center"/>
    </xf>
    <xf numFmtId="2" fontId="47" fillId="11" borderId="76" xfId="0" applyNumberFormat="1" applyFont="1" applyFill="1" applyBorder="1" applyAlignment="1">
      <alignment horizontal="center" vertical="center"/>
    </xf>
    <xf numFmtId="2" fontId="47" fillId="11" borderId="77" xfId="0" applyNumberFormat="1" applyFont="1" applyFill="1" applyBorder="1" applyAlignment="1">
      <alignment horizontal="center" vertical="center"/>
    </xf>
    <xf numFmtId="2" fontId="47" fillId="11" borderId="78" xfId="0" applyNumberFormat="1" applyFont="1" applyFill="1" applyBorder="1" applyAlignment="1">
      <alignment horizontal="center" vertical="center"/>
    </xf>
    <xf numFmtId="0" fontId="11" fillId="0" borderId="81" xfId="0" applyFont="1" applyBorder="1" applyAlignment="1">
      <alignment horizontal="center" vertical="center"/>
    </xf>
    <xf numFmtId="0" fontId="11" fillId="0" borderId="82" xfId="0" applyFont="1" applyBorder="1" applyAlignment="1">
      <alignment horizontal="center" vertical="center"/>
    </xf>
    <xf numFmtId="165" fontId="11" fillId="0" borderId="67" xfId="0" applyNumberFormat="1" applyFont="1" applyBorder="1" applyAlignment="1">
      <alignment horizontal="center" vertical="center"/>
    </xf>
    <xf numFmtId="165" fontId="11" fillId="0" borderId="69" xfId="0" applyNumberFormat="1" applyFont="1" applyBorder="1" applyAlignment="1">
      <alignment horizontal="center" vertical="center"/>
    </xf>
    <xf numFmtId="165" fontId="11" fillId="0" borderId="71" xfId="0" applyNumberFormat="1" applyFont="1" applyBorder="1" applyAlignment="1">
      <alignment horizontal="center" vertical="center"/>
    </xf>
    <xf numFmtId="0" fontId="11" fillId="0" borderId="83" xfId="0" applyFont="1" applyBorder="1"/>
    <xf numFmtId="2" fontId="11" fillId="0" borderId="83" xfId="0" applyNumberFormat="1" applyFont="1" applyBorder="1"/>
    <xf numFmtId="2" fontId="11" fillId="0" borderId="83" xfId="0" applyNumberFormat="1" applyFont="1" applyBorder="1" applyAlignment="1">
      <alignment horizontal="center" vertical="center"/>
    </xf>
    <xf numFmtId="165" fontId="11" fillId="0" borderId="85" xfId="0" applyNumberFormat="1" applyFont="1" applyBorder="1" applyAlignment="1">
      <alignment horizontal="center" vertical="center"/>
    </xf>
    <xf numFmtId="165" fontId="11" fillId="0" borderId="61" xfId="0" applyNumberFormat="1" applyFont="1" applyBorder="1" applyAlignment="1">
      <alignment horizontal="center" vertical="center"/>
    </xf>
    <xf numFmtId="165" fontId="11" fillId="0" borderId="75" xfId="0" applyNumberFormat="1" applyFont="1" applyBorder="1" applyAlignment="1">
      <alignment horizontal="center" vertical="center"/>
    </xf>
    <xf numFmtId="2" fontId="11" fillId="0" borderId="0" xfId="0" applyNumberFormat="1" applyFont="1"/>
    <xf numFmtId="0" fontId="11" fillId="0" borderId="84" xfId="0" applyFont="1" applyBorder="1"/>
    <xf numFmtId="0" fontId="11" fillId="0" borderId="61" xfId="0" applyFont="1" applyBorder="1"/>
    <xf numFmtId="0" fontId="11" fillId="0" borderId="63" xfId="0" applyFont="1" applyBorder="1"/>
    <xf numFmtId="0" fontId="47" fillId="0" borderId="89" xfId="0" applyFont="1" applyBorder="1" applyAlignment="1">
      <alignment horizontal="centerContinuous"/>
    </xf>
    <xf numFmtId="0" fontId="47" fillId="0" borderId="90" xfId="0" applyFont="1" applyBorder="1" applyAlignment="1">
      <alignment horizontal="centerContinuous"/>
    </xf>
    <xf numFmtId="4" fontId="47" fillId="0" borderId="90" xfId="0" applyNumberFormat="1" applyFont="1" applyBorder="1" applyAlignment="1">
      <alignment horizontal="center"/>
    </xf>
    <xf numFmtId="4" fontId="47" fillId="0" borderId="91" xfId="0" applyNumberFormat="1" applyFont="1" applyBorder="1" applyAlignment="1">
      <alignment horizontal="center"/>
    </xf>
    <xf numFmtId="0" fontId="47" fillId="4" borderId="61" xfId="0" applyFont="1" applyFill="1" applyBorder="1" applyAlignment="1">
      <alignment horizontal="centerContinuous" vertical="center"/>
    </xf>
    <xf numFmtId="0" fontId="47" fillId="4" borderId="61" xfId="0" applyFont="1" applyFill="1" applyBorder="1" applyAlignment="1">
      <alignment horizontal="center" vertical="center"/>
    </xf>
    <xf numFmtId="0" fontId="11" fillId="5" borderId="0" xfId="0" applyFont="1" applyFill="1"/>
    <xf numFmtId="0" fontId="11" fillId="5" borderId="92" xfId="0" applyFont="1" applyFill="1" applyBorder="1"/>
    <xf numFmtId="0" fontId="11" fillId="5" borderId="61" xfId="0" applyFont="1" applyFill="1" applyBorder="1"/>
    <xf numFmtId="2" fontId="11" fillId="12" borderId="61" xfId="0" applyNumberFormat="1" applyFont="1" applyFill="1" applyBorder="1" applyAlignment="1">
      <alignment horizontal="center" vertical="center"/>
    </xf>
    <xf numFmtId="0" fontId="11" fillId="0" borderId="73" xfId="0" applyFont="1" applyBorder="1"/>
    <xf numFmtId="0" fontId="11" fillId="0" borderId="92" xfId="0" applyFont="1" applyBorder="1"/>
    <xf numFmtId="2" fontId="11" fillId="0" borderId="61" xfId="0" applyNumberFormat="1" applyFont="1" applyBorder="1"/>
    <xf numFmtId="0" fontId="47" fillId="7" borderId="21" xfId="0" applyFont="1" applyFill="1" applyBorder="1" applyAlignment="1">
      <alignment horizontal="centerContinuous"/>
    </xf>
    <xf numFmtId="0" fontId="11" fillId="7" borderId="9" xfId="0" applyFont="1" applyFill="1" applyBorder="1" applyAlignment="1">
      <alignment horizontal="centerContinuous"/>
    </xf>
    <xf numFmtId="0" fontId="11" fillId="7" borderId="22" xfId="0" applyFont="1" applyFill="1" applyBorder="1" applyAlignment="1">
      <alignment horizontal="centerContinuous"/>
    </xf>
    <xf numFmtId="165" fontId="45" fillId="0" borderId="0" xfId="0" applyNumberFormat="1" applyFont="1"/>
    <xf numFmtId="0" fontId="13" fillId="0" borderId="96" xfId="3" applyBorder="1" applyAlignment="1">
      <alignment horizontal="center" vertical="center"/>
    </xf>
    <xf numFmtId="0" fontId="13" fillId="0" borderId="61" xfId="3" applyBorder="1" applyAlignment="1">
      <alignment horizontal="center" vertical="center"/>
    </xf>
    <xf numFmtId="0" fontId="13" fillId="0" borderId="99" xfId="3" applyBorder="1" applyAlignment="1">
      <alignment horizontal="center" vertical="center"/>
    </xf>
    <xf numFmtId="0" fontId="29" fillId="0" borderId="32" xfId="3" applyFont="1" applyBorder="1" applyAlignment="1">
      <alignment horizontal="center" vertical="center" wrapText="1"/>
    </xf>
    <xf numFmtId="0" fontId="14" fillId="3" borderId="16" xfId="0" applyFont="1" applyFill="1" applyBorder="1" applyAlignment="1">
      <alignment horizontal="left"/>
    </xf>
    <xf numFmtId="170" fontId="15" fillId="3" borderId="17" xfId="9" applyNumberFormat="1" applyFont="1" applyFill="1" applyBorder="1"/>
    <xf numFmtId="43" fontId="15" fillId="3" borderId="17" xfId="9" applyFont="1" applyFill="1" applyBorder="1"/>
    <xf numFmtId="0" fontId="48" fillId="3" borderId="16" xfId="0" applyFont="1" applyFill="1" applyBorder="1" applyAlignment="1">
      <alignment horizontal="left"/>
    </xf>
    <xf numFmtId="170" fontId="48" fillId="3" borderId="17" xfId="9" applyNumberFormat="1" applyFont="1" applyFill="1" applyBorder="1"/>
    <xf numFmtId="2" fontId="48" fillId="3" borderId="17" xfId="4" applyNumberFormat="1" applyFont="1" applyFill="1" applyBorder="1"/>
    <xf numFmtId="43" fontId="48" fillId="3" borderId="17" xfId="9" applyFont="1" applyFill="1" applyBorder="1"/>
    <xf numFmtId="0" fontId="30" fillId="0" borderId="101" xfId="0" applyFont="1" applyBorder="1" applyAlignment="1">
      <alignment horizontal="center" vertical="center"/>
    </xf>
    <xf numFmtId="2" fontId="30" fillId="0" borderId="101" xfId="3" applyNumberFormat="1" applyFont="1" applyBorder="1" applyAlignment="1">
      <alignment horizontal="center" vertical="center"/>
    </xf>
    <xf numFmtId="2" fontId="13" fillId="0" borderId="101" xfId="3" applyNumberFormat="1" applyBorder="1" applyAlignment="1">
      <alignment horizontal="center" vertical="center"/>
    </xf>
    <xf numFmtId="1" fontId="30" fillId="0" borderId="101" xfId="3" applyNumberFormat="1" applyFont="1" applyBorder="1" applyAlignment="1">
      <alignment horizontal="center" vertical="center"/>
    </xf>
    <xf numFmtId="2" fontId="28" fillId="0" borderId="0" xfId="3" applyNumberFormat="1" applyFont="1" applyAlignment="1">
      <alignment horizontal="center" vertical="center"/>
    </xf>
    <xf numFmtId="2" fontId="30" fillId="0" borderId="101" xfId="0" applyNumberFormat="1" applyFont="1" applyBorder="1" applyAlignment="1">
      <alignment horizontal="center" vertical="center"/>
    </xf>
    <xf numFmtId="2" fontId="13" fillId="0" borderId="101" xfId="0" applyNumberFormat="1" applyFont="1" applyBorder="1" applyAlignment="1">
      <alignment horizontal="center" vertical="center"/>
    </xf>
    <xf numFmtId="0" fontId="30" fillId="0" borderId="104" xfId="0" applyFont="1" applyBorder="1" applyAlignment="1">
      <alignment horizontal="center" vertical="center"/>
    </xf>
    <xf numFmtId="0" fontId="13" fillId="0" borderId="101" xfId="3" applyBorder="1" applyAlignment="1">
      <alignment horizontal="center" vertical="center"/>
    </xf>
    <xf numFmtId="2" fontId="29" fillId="0" borderId="102" xfId="3" applyNumberFormat="1" applyFont="1" applyBorder="1" applyAlignment="1">
      <alignment horizontal="centerContinuous" vertical="center" wrapText="1"/>
    </xf>
    <xf numFmtId="2" fontId="29" fillId="0" borderId="104" xfId="3" applyNumberFormat="1" applyFont="1" applyBorder="1" applyAlignment="1">
      <alignment horizontal="centerContinuous" vertical="center" wrapText="1"/>
    </xf>
    <xf numFmtId="2" fontId="29" fillId="0" borderId="101" xfId="3" applyNumberFormat="1" applyFont="1" applyBorder="1" applyAlignment="1">
      <alignment horizontal="centerContinuous" vertical="center" wrapText="1"/>
    </xf>
    <xf numFmtId="2" fontId="29" fillId="0" borderId="108" xfId="3" applyNumberFormat="1" applyFont="1" applyBorder="1" applyAlignment="1">
      <alignment horizontal="center" vertical="center" wrapText="1"/>
    </xf>
    <xf numFmtId="0" fontId="30" fillId="0" borderId="101" xfId="3" applyFont="1" applyBorder="1" applyAlignment="1">
      <alignment horizontal="center" vertical="center" wrapText="1"/>
    </xf>
    <xf numFmtId="0" fontId="13" fillId="0" borderId="101" xfId="3" applyBorder="1" applyAlignment="1">
      <alignment horizontal="center" vertical="center" wrapText="1"/>
    </xf>
    <xf numFmtId="2" fontId="30" fillId="0" borderId="104" xfId="3" applyNumberFormat="1" applyFont="1" applyBorder="1" applyAlignment="1">
      <alignment horizontal="center" vertical="center" wrapText="1"/>
    </xf>
    <xf numFmtId="1" fontId="13" fillId="0" borderId="101" xfId="3" applyNumberFormat="1" applyBorder="1" applyAlignment="1">
      <alignment horizontal="center" vertical="center" wrapText="1"/>
    </xf>
    <xf numFmtId="2" fontId="30" fillId="0" borderId="101" xfId="3" applyNumberFormat="1" applyFont="1" applyBorder="1" applyAlignment="1">
      <alignment horizontal="center" vertical="center" wrapText="1"/>
    </xf>
    <xf numFmtId="1" fontId="30" fillId="0" borderId="101" xfId="3" applyNumberFormat="1" applyFont="1" applyBorder="1" applyAlignment="1">
      <alignment horizontal="center" vertical="center" wrapText="1"/>
    </xf>
    <xf numFmtId="2" fontId="30" fillId="0" borderId="111" xfId="3" applyNumberFormat="1" applyFont="1" applyBorder="1" applyAlignment="1">
      <alignment horizontal="center" vertical="center" wrapText="1"/>
    </xf>
    <xf numFmtId="0" fontId="30" fillId="0" borderId="36" xfId="0" applyFont="1" applyBorder="1" applyAlignment="1">
      <alignment horizontal="center" vertical="center"/>
    </xf>
    <xf numFmtId="2" fontId="13" fillId="0" borderId="111" xfId="3" applyNumberFormat="1" applyBorder="1" applyAlignment="1">
      <alignment horizontal="center" vertical="center"/>
    </xf>
    <xf numFmtId="0" fontId="13" fillId="5" borderId="96" xfId="3" applyFill="1" applyBorder="1" applyAlignment="1">
      <alignment horizontal="center" vertical="center"/>
    </xf>
    <xf numFmtId="0" fontId="13" fillId="5" borderId="97" xfId="3" applyFill="1" applyBorder="1" applyAlignment="1">
      <alignment horizontal="center" vertical="center"/>
    </xf>
    <xf numFmtId="0" fontId="13" fillId="5" borderId="61" xfId="3" applyFill="1" applyBorder="1" applyAlignment="1">
      <alignment horizontal="center" vertical="center"/>
    </xf>
    <xf numFmtId="0" fontId="13" fillId="5" borderId="75" xfId="3" applyFill="1" applyBorder="1" applyAlignment="1">
      <alignment horizontal="center" vertical="center"/>
    </xf>
    <xf numFmtId="0" fontId="13" fillId="5" borderId="64" xfId="3" applyFill="1" applyBorder="1" applyAlignment="1">
      <alignment horizontal="center" vertical="center"/>
    </xf>
    <xf numFmtId="0" fontId="13" fillId="5" borderId="112" xfId="3" applyFill="1" applyBorder="1" applyAlignment="1">
      <alignment horizontal="center" vertical="center"/>
    </xf>
    <xf numFmtId="0" fontId="13" fillId="5" borderId="99" xfId="3" applyFill="1" applyBorder="1" applyAlignment="1">
      <alignment horizontal="center" vertical="center"/>
    </xf>
    <xf numFmtId="0" fontId="13" fillId="5" borderId="100" xfId="3" applyFill="1" applyBorder="1" applyAlignment="1">
      <alignment horizontal="center" vertical="center"/>
    </xf>
    <xf numFmtId="0" fontId="18" fillId="0" borderId="95" xfId="3" applyFont="1" applyBorder="1" applyAlignment="1">
      <alignment horizontal="centerContinuous"/>
    </xf>
    <xf numFmtId="0" fontId="18" fillId="0" borderId="96" xfId="3" applyFont="1" applyBorder="1" applyAlignment="1">
      <alignment horizontal="centerContinuous"/>
    </xf>
    <xf numFmtId="0" fontId="18" fillId="0" borderId="74" xfId="3" applyFont="1" applyBorder="1" applyAlignment="1">
      <alignment horizontal="centerContinuous"/>
    </xf>
    <xf numFmtId="0" fontId="18" fillId="0" borderId="61" xfId="3" applyFont="1" applyBorder="1" applyAlignment="1">
      <alignment horizontal="centerContinuous"/>
    </xf>
    <xf numFmtId="0" fontId="18" fillId="0" borderId="98" xfId="3" applyFont="1" applyBorder="1" applyAlignment="1">
      <alignment horizontal="centerContinuous"/>
    </xf>
    <xf numFmtId="0" fontId="18" fillId="0" borderId="99" xfId="3" applyFont="1" applyBorder="1" applyAlignment="1">
      <alignment horizontal="centerContinuous"/>
    </xf>
    <xf numFmtId="0" fontId="52" fillId="0" borderId="0" xfId="3" applyFont="1" applyAlignment="1">
      <alignment horizontal="center" vertical="center"/>
    </xf>
    <xf numFmtId="0" fontId="52" fillId="3" borderId="48" xfId="3" applyFont="1" applyFill="1" applyBorder="1"/>
    <xf numFmtId="2" fontId="52" fillId="0" borderId="0" xfId="3" applyNumberFormat="1" applyFont="1"/>
    <xf numFmtId="1" fontId="30" fillId="0" borderId="101" xfId="0" applyNumberFormat="1" applyFont="1" applyBorder="1" applyAlignment="1">
      <alignment horizontal="center" vertical="center"/>
    </xf>
    <xf numFmtId="0" fontId="0" fillId="0" borderId="101" xfId="0" applyBorder="1" applyAlignment="1">
      <alignment horizontal="center" vertical="center"/>
    </xf>
    <xf numFmtId="0" fontId="52" fillId="0" borderId="0" xfId="3" applyFont="1"/>
    <xf numFmtId="0" fontId="46" fillId="0" borderId="113" xfId="0" quotePrefix="1" applyFont="1" applyBorder="1" applyAlignment="1">
      <alignment horizontal="center" vertical="center"/>
    </xf>
    <xf numFmtId="0" fontId="5" fillId="3" borderId="45" xfId="2" applyFont="1" applyFill="1" applyBorder="1" applyAlignment="1">
      <alignment horizontal="center" vertical="center"/>
    </xf>
    <xf numFmtId="0" fontId="18" fillId="0" borderId="32" xfId="3" applyFont="1" applyBorder="1"/>
    <xf numFmtId="0" fontId="18" fillId="0" borderId="42" xfId="3" applyFont="1" applyBorder="1"/>
    <xf numFmtId="0" fontId="15" fillId="3" borderId="21" xfId="3" applyFont="1" applyFill="1" applyBorder="1"/>
    <xf numFmtId="2" fontId="13" fillId="0" borderId="21" xfId="3" applyNumberFormat="1" applyBorder="1" applyAlignment="1">
      <alignment horizontal="centerContinuous"/>
    </xf>
    <xf numFmtId="0" fontId="13" fillId="0" borderId="9" xfId="3" applyBorder="1" applyAlignment="1">
      <alignment horizontal="centerContinuous"/>
    </xf>
    <xf numFmtId="0" fontId="13" fillId="0" borderId="22" xfId="3" applyBorder="1" applyAlignment="1">
      <alignment horizontal="centerContinuous"/>
    </xf>
    <xf numFmtId="2" fontId="18" fillId="0" borderId="31" xfId="3" applyNumberFormat="1" applyFont="1" applyBorder="1" applyAlignment="1">
      <alignment horizontal="left" vertical="center"/>
    </xf>
    <xf numFmtId="0" fontId="18" fillId="0" borderId="41" xfId="3" applyFont="1" applyBorder="1" applyAlignment="1">
      <alignment horizontal="left" vertical="center"/>
    </xf>
    <xf numFmtId="0" fontId="18" fillId="0" borderId="115" xfId="3" applyFont="1" applyBorder="1" applyAlignment="1">
      <alignment horizontal="right" vertical="center"/>
    </xf>
    <xf numFmtId="0" fontId="18" fillId="0" borderId="116" xfId="3" applyFont="1" applyBorder="1" applyAlignment="1">
      <alignment horizontal="right" vertical="center"/>
    </xf>
    <xf numFmtId="4" fontId="13" fillId="0" borderId="114" xfId="3" applyNumberFormat="1" applyBorder="1" applyAlignment="1">
      <alignment horizontal="right" vertical="center"/>
    </xf>
    <xf numFmtId="4" fontId="16" fillId="3" borderId="17" xfId="4" applyNumberFormat="1" applyFont="1" applyFill="1" applyBorder="1"/>
    <xf numFmtId="4" fontId="16" fillId="3" borderId="18" xfId="4" applyNumberFormat="1" applyFont="1" applyFill="1" applyBorder="1"/>
    <xf numFmtId="4" fontId="49" fillId="3" borderId="17" xfId="4" applyNumberFormat="1" applyFont="1" applyFill="1" applyBorder="1"/>
    <xf numFmtId="4" fontId="49" fillId="3" borderId="18" xfId="4" applyNumberFormat="1" applyFont="1" applyFill="1" applyBorder="1"/>
    <xf numFmtId="4" fontId="14" fillId="3" borderId="17" xfId="4" applyNumberFormat="1" applyFont="1" applyFill="1" applyBorder="1"/>
    <xf numFmtId="4" fontId="14" fillId="3" borderId="18" xfId="4" applyNumberFormat="1" applyFont="1" applyFill="1" applyBorder="1"/>
    <xf numFmtId="4" fontId="15" fillId="3" borderId="17" xfId="4" applyNumberFormat="1" applyFont="1" applyFill="1" applyBorder="1"/>
    <xf numFmtId="4" fontId="15" fillId="3" borderId="18" xfId="4" applyNumberFormat="1" applyFont="1" applyFill="1" applyBorder="1"/>
    <xf numFmtId="2" fontId="29" fillId="0" borderId="101" xfId="3" applyNumberFormat="1" applyFont="1" applyBorder="1" applyAlignment="1">
      <alignment horizontal="center" vertical="center" wrapText="1"/>
    </xf>
    <xf numFmtId="2" fontId="13" fillId="0" borderId="108" xfId="3" applyNumberFormat="1" applyBorder="1" applyAlignment="1">
      <alignment horizontal="center" vertical="center"/>
    </xf>
    <xf numFmtId="0" fontId="46" fillId="3" borderId="53" xfId="2" applyFont="1" applyFill="1" applyBorder="1" applyAlignment="1">
      <alignment horizontal="left" vertical="center"/>
    </xf>
    <xf numFmtId="0" fontId="11" fillId="0" borderId="53" xfId="0" applyFont="1" applyBorder="1"/>
    <xf numFmtId="4" fontId="11" fillId="0" borderId="53" xfId="0" applyNumberFormat="1" applyFont="1" applyBorder="1"/>
    <xf numFmtId="0" fontId="2" fillId="0" borderId="0" xfId="0" applyFont="1" applyAlignment="1">
      <alignment horizontal="right"/>
    </xf>
    <xf numFmtId="0" fontId="53" fillId="0" borderId="0" xfId="10" applyAlignment="1">
      <alignment horizontal="left" vertical="top"/>
    </xf>
    <xf numFmtId="0" fontId="53" fillId="0" borderId="117" xfId="10" applyBorder="1" applyAlignment="1">
      <alignment horizontal="left" vertical="top" wrapText="1"/>
    </xf>
    <xf numFmtId="0" fontId="53" fillId="0" borderId="117" xfId="10" applyBorder="1" applyAlignment="1">
      <alignment horizontal="left" wrapText="1"/>
    </xf>
    <xf numFmtId="0" fontId="53" fillId="0" borderId="117" xfId="10" applyBorder="1" applyAlignment="1">
      <alignment horizontal="left" vertical="center" wrapText="1"/>
    </xf>
    <xf numFmtId="0" fontId="8" fillId="2" borderId="0" xfId="0" applyFont="1" applyFill="1" applyAlignment="1">
      <alignment horizontal="center" vertical="center" wrapText="1"/>
    </xf>
    <xf numFmtId="0" fontId="13" fillId="0" borderId="117" xfId="10" applyFont="1" applyBorder="1" applyAlignment="1">
      <alignment horizontal="center" vertical="center"/>
    </xf>
    <xf numFmtId="0" fontId="13" fillId="0" borderId="117" xfId="10" applyFont="1" applyBorder="1" applyAlignment="1">
      <alignment horizontal="left" vertical="top"/>
    </xf>
    <xf numFmtId="4" fontId="20" fillId="0" borderId="117" xfId="10" applyNumberFormat="1" applyFont="1" applyBorder="1" applyAlignment="1">
      <alignment horizontal="right" vertical="center"/>
    </xf>
    <xf numFmtId="0" fontId="20" fillId="0" borderId="117" xfId="10" applyFont="1" applyBorder="1" applyAlignment="1">
      <alignment horizontal="left" vertical="top"/>
    </xf>
    <xf numFmtId="0" fontId="13" fillId="0" borderId="117" xfId="10" applyFont="1" applyBorder="1" applyAlignment="1">
      <alignment horizontal="center" vertical="top"/>
    </xf>
    <xf numFmtId="0" fontId="5" fillId="0" borderId="0" xfId="0" applyFont="1"/>
    <xf numFmtId="173" fontId="13" fillId="0" borderId="24" xfId="3" applyNumberFormat="1" applyBorder="1" applyAlignment="1">
      <alignment horizontal="center" vertical="center" wrapText="1"/>
    </xf>
    <xf numFmtId="173" fontId="13" fillId="0" borderId="24" xfId="3" applyNumberFormat="1" applyBorder="1" applyAlignment="1">
      <alignment horizontal="center" vertical="center"/>
    </xf>
    <xf numFmtId="173" fontId="30" fillId="0" borderId="43" xfId="3" applyNumberFormat="1" applyFont="1" applyBorder="1" applyAlignment="1">
      <alignment horizontal="center" vertical="center"/>
    </xf>
    <xf numFmtId="173" fontId="41" fillId="0" borderId="0" xfId="3" applyNumberFormat="1" applyFont="1"/>
    <xf numFmtId="173" fontId="13" fillId="0" borderId="0" xfId="3" applyNumberFormat="1"/>
    <xf numFmtId="173" fontId="13" fillId="0" borderId="36" xfId="3" applyNumberFormat="1" applyBorder="1" applyAlignment="1">
      <alignment horizontal="center" vertical="center"/>
    </xf>
    <xf numFmtId="173" fontId="42" fillId="0" borderId="0" xfId="3" applyNumberFormat="1" applyFont="1" applyAlignment="1">
      <alignment horizontal="center" vertical="center"/>
    </xf>
    <xf numFmtId="173" fontId="42" fillId="0" borderId="0" xfId="3" applyNumberFormat="1" applyFont="1"/>
    <xf numFmtId="0" fontId="13" fillId="0" borderId="119" xfId="10" applyFont="1" applyBorder="1" applyAlignment="1">
      <alignment horizontal="center" vertical="center"/>
    </xf>
    <xf numFmtId="0" fontId="13" fillId="0" borderId="119" xfId="10" applyFont="1" applyBorder="1" applyAlignment="1">
      <alignment horizontal="center" vertical="top"/>
    </xf>
    <xf numFmtId="0" fontId="7" fillId="0" borderId="0" xfId="0" applyFont="1" applyAlignment="1">
      <alignment horizontal="left" vertical="center"/>
    </xf>
    <xf numFmtId="4" fontId="7" fillId="0" borderId="0" xfId="0" applyNumberFormat="1" applyFont="1" applyAlignment="1">
      <alignment horizontal="right" vertical="center" wrapText="1"/>
    </xf>
    <xf numFmtId="0" fontId="9" fillId="0" borderId="0" xfId="0" applyFont="1" applyAlignment="1">
      <alignment horizontal="left" vertical="center"/>
    </xf>
    <xf numFmtId="0" fontId="19" fillId="0" borderId="0" xfId="3" applyFont="1" applyAlignment="1">
      <alignment vertical="center"/>
    </xf>
    <xf numFmtId="171" fontId="55" fillId="0" borderId="0" xfId="3" applyNumberFormat="1" applyFont="1"/>
    <xf numFmtId="0" fontId="26" fillId="0" borderId="0" xfId="3" applyFont="1" applyAlignment="1">
      <alignment horizontal="left" vertical="center"/>
    </xf>
    <xf numFmtId="2" fontId="13" fillId="0" borderId="0" xfId="3" applyNumberFormat="1" applyAlignment="1">
      <alignment vertical="center"/>
    </xf>
    <xf numFmtId="0" fontId="56" fillId="0" borderId="0" xfId="3" applyFont="1" applyAlignment="1">
      <alignment horizontal="left" vertical="center"/>
    </xf>
    <xf numFmtId="4" fontId="26" fillId="0" borderId="0" xfId="3" applyNumberFormat="1" applyFont="1" applyAlignment="1">
      <alignment horizontal="left" vertical="center"/>
    </xf>
    <xf numFmtId="0" fontId="13" fillId="0" borderId="120" xfId="10" applyFont="1" applyBorder="1" applyAlignment="1">
      <alignment horizontal="center" vertical="center"/>
    </xf>
    <xf numFmtId="0" fontId="13" fillId="0" borderId="121" xfId="3" applyBorder="1" applyAlignment="1">
      <alignment horizontal="left" vertical="center" wrapText="1"/>
    </xf>
    <xf numFmtId="164" fontId="19" fillId="0" borderId="121" xfId="4" applyFont="1" applyFill="1" applyBorder="1" applyAlignment="1">
      <alignment horizontal="right" vertical="center"/>
    </xf>
    <xf numFmtId="0" fontId="19" fillId="0" borderId="121" xfId="3" applyFont="1" applyBorder="1" applyAlignment="1">
      <alignment horizontal="center" vertical="center"/>
    </xf>
    <xf numFmtId="0" fontId="19" fillId="0" borderId="121" xfId="3" applyFont="1" applyBorder="1"/>
    <xf numFmtId="0" fontId="13" fillId="0" borderId="122" xfId="10" applyFont="1" applyBorder="1" applyAlignment="1">
      <alignment horizontal="center" vertical="center"/>
    </xf>
    <xf numFmtId="0" fontId="13" fillId="0" borderId="123" xfId="3" applyBorder="1" applyAlignment="1">
      <alignment horizontal="left" vertical="center" wrapText="1"/>
    </xf>
    <xf numFmtId="164" fontId="19" fillId="0" borderId="123" xfId="4" applyFont="1" applyFill="1" applyBorder="1" applyAlignment="1">
      <alignment horizontal="right" vertical="center"/>
    </xf>
    <xf numFmtId="0" fontId="19" fillId="0" borderId="123" xfId="3" applyFont="1" applyBorder="1" applyAlignment="1">
      <alignment horizontal="center" vertical="center"/>
    </xf>
    <xf numFmtId="0" fontId="19" fillId="0" borderId="123" xfId="3" applyFont="1" applyBorder="1"/>
    <xf numFmtId="0" fontId="20" fillId="0" borderId="123" xfId="10" applyFont="1" applyBorder="1" applyAlignment="1">
      <alignment horizontal="left" vertical="center" wrapText="1"/>
    </xf>
    <xf numFmtId="43" fontId="13" fillId="0" borderId="123" xfId="3" applyNumberFormat="1" applyBorder="1" applyAlignment="1">
      <alignment vertical="center"/>
    </xf>
    <xf numFmtId="0" fontId="19" fillId="3" borderId="123" xfId="3" applyFont="1" applyFill="1" applyBorder="1"/>
    <xf numFmtId="0" fontId="13" fillId="0" borderId="123" xfId="10" applyFont="1" applyBorder="1" applyAlignment="1">
      <alignment horizontal="left" vertical="center"/>
    </xf>
    <xf numFmtId="164" fontId="19" fillId="3" borderId="123" xfId="4" applyFont="1" applyFill="1" applyBorder="1" applyAlignment="1">
      <alignment horizontal="right" vertical="center"/>
    </xf>
    <xf numFmtId="0" fontId="19" fillId="3" borderId="123" xfId="3" applyFont="1" applyFill="1" applyBorder="1" applyAlignment="1">
      <alignment horizontal="center"/>
    </xf>
    <xf numFmtId="0" fontId="13" fillId="0" borderId="123" xfId="3" applyBorder="1" applyAlignment="1">
      <alignment vertical="center"/>
    </xf>
    <xf numFmtId="4" fontId="19" fillId="3" borderId="123" xfId="3" applyNumberFormat="1" applyFont="1" applyFill="1" applyBorder="1"/>
    <xf numFmtId="0" fontId="20" fillId="0" borderId="123" xfId="10" applyFont="1" applyBorder="1" applyAlignment="1">
      <alignment horizontal="left" vertical="center"/>
    </xf>
    <xf numFmtId="166" fontId="19" fillId="3" borderId="123" xfId="3" applyNumberFormat="1" applyFont="1" applyFill="1" applyBorder="1"/>
    <xf numFmtId="4" fontId="19" fillId="3" borderId="123" xfId="3" applyNumberFormat="1" applyFont="1" applyFill="1" applyBorder="1" applyAlignment="1">
      <alignment horizontal="right" vertical="center"/>
    </xf>
    <xf numFmtId="0" fontId="19" fillId="3" borderId="124" xfId="3" applyFont="1" applyFill="1" applyBorder="1" applyAlignment="1">
      <alignment horizontal="center" vertical="center"/>
    </xf>
    <xf numFmtId="0" fontId="20" fillId="0" borderId="125" xfId="10" applyFont="1" applyBorder="1" applyAlignment="1">
      <alignment horizontal="left" vertical="center" wrapText="1"/>
    </xf>
    <xf numFmtId="43" fontId="13" fillId="0" borderId="125" xfId="3" applyNumberFormat="1" applyBorder="1" applyAlignment="1">
      <alignment vertical="center"/>
    </xf>
    <xf numFmtId="0" fontId="19" fillId="3" borderId="125" xfId="3" applyFont="1" applyFill="1" applyBorder="1" applyAlignment="1">
      <alignment horizontal="center" vertical="center"/>
    </xf>
    <xf numFmtId="0" fontId="19" fillId="3" borderId="125" xfId="3" applyFont="1" applyFill="1" applyBorder="1"/>
    <xf numFmtId="0" fontId="13" fillId="0" borderId="124" xfId="3" applyBorder="1" applyAlignment="1">
      <alignment vertical="center"/>
    </xf>
    <xf numFmtId="0" fontId="19" fillId="3" borderId="124" xfId="3" applyFont="1" applyFill="1" applyBorder="1" applyAlignment="1">
      <alignment horizontal="center"/>
    </xf>
    <xf numFmtId="0" fontId="19" fillId="3" borderId="125" xfId="3" applyFont="1" applyFill="1" applyBorder="1" applyAlignment="1">
      <alignment horizontal="center"/>
    </xf>
    <xf numFmtId="0" fontId="20" fillId="0" borderId="126" xfId="10" applyFont="1" applyBorder="1" applyAlignment="1">
      <alignment horizontal="left" vertical="center" wrapText="1"/>
    </xf>
    <xf numFmtId="164" fontId="19" fillId="0" borderId="126" xfId="4" applyFont="1" applyFill="1" applyBorder="1" applyAlignment="1">
      <alignment horizontal="right" vertical="center"/>
    </xf>
    <xf numFmtId="0" fontId="19" fillId="3" borderId="126" xfId="3" applyFont="1" applyFill="1" applyBorder="1" applyAlignment="1">
      <alignment horizontal="center"/>
    </xf>
    <xf numFmtId="0" fontId="19" fillId="3" borderId="126" xfId="3" applyFont="1" applyFill="1" applyBorder="1"/>
    <xf numFmtId="0" fontId="13" fillId="0" borderId="124" xfId="10" applyFont="1" applyBorder="1" applyAlignment="1">
      <alignment horizontal="left" vertical="center"/>
    </xf>
    <xf numFmtId="0" fontId="13" fillId="0" borderId="125" xfId="3" applyBorder="1" applyAlignment="1">
      <alignment vertical="center"/>
    </xf>
    <xf numFmtId="166" fontId="19" fillId="3" borderId="124" xfId="3" applyNumberFormat="1" applyFont="1" applyFill="1" applyBorder="1"/>
    <xf numFmtId="0" fontId="13" fillId="0" borderId="127" xfId="10" applyFont="1" applyBorder="1" applyAlignment="1">
      <alignment horizontal="left" vertical="center"/>
    </xf>
    <xf numFmtId="4" fontId="19" fillId="3" borderId="127" xfId="3" applyNumberFormat="1" applyFont="1" applyFill="1" applyBorder="1"/>
    <xf numFmtId="0" fontId="19" fillId="3" borderId="127" xfId="3" applyFont="1" applyFill="1" applyBorder="1" applyAlignment="1">
      <alignment horizontal="center"/>
    </xf>
    <xf numFmtId="0" fontId="13" fillId="0" borderId="127" xfId="3" applyBorder="1" applyAlignment="1">
      <alignment vertical="center"/>
    </xf>
    <xf numFmtId="0" fontId="20" fillId="0" borderId="125" xfId="10" applyFont="1" applyBorder="1" applyAlignment="1">
      <alignment horizontal="left" vertical="center"/>
    </xf>
    <xf numFmtId="166" fontId="19" fillId="3" borderId="125" xfId="3" applyNumberFormat="1" applyFont="1" applyFill="1" applyBorder="1"/>
    <xf numFmtId="0" fontId="11" fillId="0" borderId="53" xfId="0" applyFont="1" applyBorder="1" applyAlignment="1">
      <alignment horizontal="left" vertical="center"/>
    </xf>
    <xf numFmtId="0" fontId="11" fillId="0" borderId="53" xfId="0" applyFont="1" applyBorder="1" applyAlignment="1">
      <alignment horizontal="center" vertical="center"/>
    </xf>
    <xf numFmtId="174" fontId="11" fillId="0" borderId="0" xfId="0" applyNumberFormat="1" applyFont="1"/>
    <xf numFmtId="0" fontId="13" fillId="0" borderId="128" xfId="10" applyFont="1" applyBorder="1" applyAlignment="1">
      <alignment horizontal="center" vertical="center"/>
    </xf>
    <xf numFmtId="0" fontId="20" fillId="0" borderId="128" xfId="10" applyFont="1" applyBorder="1" applyAlignment="1">
      <alignment horizontal="left" vertical="top"/>
    </xf>
    <xf numFmtId="0" fontId="13" fillId="3" borderId="129" xfId="3" applyFill="1" applyBorder="1"/>
    <xf numFmtId="0" fontId="13" fillId="0" borderId="128" xfId="10" applyFont="1" applyBorder="1" applyAlignment="1">
      <alignment horizontal="center" vertical="top"/>
    </xf>
    <xf numFmtId="2" fontId="18" fillId="0" borderId="130" xfId="3" applyNumberFormat="1" applyFont="1" applyBorder="1" applyAlignment="1">
      <alignment horizontal="center"/>
    </xf>
    <xf numFmtId="0" fontId="13" fillId="3" borderId="131" xfId="3" applyFill="1" applyBorder="1"/>
    <xf numFmtId="0" fontId="13" fillId="3" borderId="133" xfId="3" applyFill="1" applyBorder="1"/>
    <xf numFmtId="0" fontId="13" fillId="0" borderId="128" xfId="10" applyFont="1" applyBorder="1" applyAlignment="1">
      <alignment horizontal="left" vertical="top"/>
    </xf>
    <xf numFmtId="0" fontId="13" fillId="3" borderId="129" xfId="3" applyFill="1" applyBorder="1" applyAlignment="1">
      <alignment horizontal="centerContinuous"/>
    </xf>
    <xf numFmtId="0" fontId="13" fillId="3" borderId="131" xfId="3" applyFill="1" applyBorder="1" applyAlignment="1">
      <alignment horizontal="centerContinuous"/>
    </xf>
    <xf numFmtId="1" fontId="13" fillId="3" borderId="132" xfId="3" applyNumberFormat="1" applyFill="1" applyBorder="1" applyAlignment="1">
      <alignment horizontal="center"/>
    </xf>
    <xf numFmtId="0" fontId="13" fillId="0" borderId="119" xfId="10" applyFont="1" applyBorder="1" applyAlignment="1">
      <alignment horizontal="left" vertical="top"/>
    </xf>
    <xf numFmtId="1" fontId="13" fillId="3" borderId="130" xfId="3" applyNumberFormat="1" applyFill="1" applyBorder="1" applyAlignment="1">
      <alignment horizontal="center"/>
    </xf>
    <xf numFmtId="1" fontId="13" fillId="3" borderId="134" xfId="3" applyNumberFormat="1" applyFill="1" applyBorder="1" applyAlignment="1">
      <alignment horizontal="center"/>
    </xf>
    <xf numFmtId="0" fontId="13" fillId="0" borderId="117" xfId="3" applyBorder="1"/>
    <xf numFmtId="2" fontId="13" fillId="0" borderId="117" xfId="3" applyNumberFormat="1" applyBorder="1" applyAlignment="1">
      <alignment horizontal="right" vertical="center"/>
    </xf>
    <xf numFmtId="1" fontId="13" fillId="0" borderId="117" xfId="3" applyNumberFormat="1" applyBorder="1" applyAlignment="1">
      <alignment horizontal="right" vertical="center"/>
    </xf>
    <xf numFmtId="0" fontId="1" fillId="5" borderId="116" xfId="3" applyFont="1" applyFill="1" applyBorder="1" applyAlignment="1">
      <alignment horizontal="center" vertical="center"/>
    </xf>
    <xf numFmtId="0" fontId="18" fillId="10" borderId="8" xfId="3" applyFont="1" applyFill="1" applyBorder="1" applyAlignment="1">
      <alignment horizontal="centerContinuous"/>
    </xf>
    <xf numFmtId="0" fontId="13" fillId="10" borderId="136" xfId="3" applyFill="1" applyBorder="1" applyAlignment="1">
      <alignment horizontal="centerContinuous"/>
    </xf>
    <xf numFmtId="0" fontId="13" fillId="10" borderId="137" xfId="3" applyFill="1" applyBorder="1" applyAlignment="1">
      <alignment horizontal="centerContinuous"/>
    </xf>
    <xf numFmtId="0" fontId="13" fillId="0" borderId="101" xfId="10" applyFont="1" applyBorder="1" applyAlignment="1">
      <alignment horizontal="center" vertical="center"/>
    </xf>
    <xf numFmtId="0" fontId="1" fillId="0" borderId="0" xfId="0" applyFont="1" applyAlignment="1">
      <alignment horizontal="center"/>
    </xf>
    <xf numFmtId="0" fontId="0" fillId="0" borderId="0" xfId="0" applyAlignment="1">
      <alignment horizontal="left" wrapText="1" indent="1"/>
    </xf>
    <xf numFmtId="175" fontId="0" fillId="0" borderId="0" xfId="0" applyNumberFormat="1" applyAlignment="1">
      <alignment horizontal="right" vertical="top"/>
    </xf>
    <xf numFmtId="0" fontId="4" fillId="0" borderId="0" xfId="0" applyFont="1" applyAlignment="1">
      <alignment horizontal="center" vertical="center"/>
    </xf>
    <xf numFmtId="0" fontId="4" fillId="0" borderId="0" xfId="0" applyFont="1" applyAlignment="1">
      <alignment vertical="center"/>
    </xf>
    <xf numFmtId="0" fontId="20" fillId="0" borderId="0" xfId="10" applyFont="1" applyAlignment="1">
      <alignment horizontal="left" vertical="center"/>
    </xf>
    <xf numFmtId="0" fontId="50" fillId="10" borderId="138" xfId="10" applyFont="1" applyFill="1" applyBorder="1" applyAlignment="1">
      <alignment horizontal="center" vertical="center"/>
    </xf>
    <xf numFmtId="0" fontId="13" fillId="10" borderId="131" xfId="10" applyFont="1" applyFill="1" applyBorder="1" applyAlignment="1">
      <alignment horizontal="center" vertical="center"/>
    </xf>
    <xf numFmtId="0" fontId="13" fillId="10" borderId="131" xfId="10" applyFont="1" applyFill="1" applyBorder="1" applyAlignment="1">
      <alignment horizontal="left" vertical="center"/>
    </xf>
    <xf numFmtId="0" fontId="18" fillId="10" borderId="131" xfId="10" applyFont="1" applyFill="1" applyBorder="1" applyAlignment="1">
      <alignment horizontal="left" vertical="center"/>
    </xf>
    <xf numFmtId="0" fontId="20" fillId="10" borderId="131" xfId="10" applyFont="1" applyFill="1" applyBorder="1" applyAlignment="1">
      <alignment horizontal="left" vertical="center"/>
    </xf>
    <xf numFmtId="173" fontId="52" fillId="0" borderId="0" xfId="3" applyNumberFormat="1" applyFont="1"/>
    <xf numFmtId="173" fontId="13" fillId="3" borderId="60" xfId="3" applyNumberFormat="1" applyFill="1" applyBorder="1"/>
    <xf numFmtId="173" fontId="13" fillId="3" borderId="0" xfId="3" applyNumberFormat="1" applyFill="1"/>
    <xf numFmtId="0" fontId="50" fillId="0" borderId="0" xfId="10" applyFont="1" applyAlignment="1">
      <alignment horizontal="left" vertical="center"/>
    </xf>
    <xf numFmtId="0" fontId="8" fillId="2" borderId="143" xfId="0" applyFont="1" applyFill="1" applyBorder="1" applyAlignment="1">
      <alignment horizontal="center" vertical="center"/>
    </xf>
    <xf numFmtId="0" fontId="8" fillId="2" borderId="144" xfId="0" applyFont="1" applyFill="1" applyBorder="1" applyAlignment="1">
      <alignment horizontal="center" vertical="center"/>
    </xf>
    <xf numFmtId="0" fontId="8" fillId="2" borderId="145" xfId="0" applyFont="1" applyFill="1" applyBorder="1" applyAlignment="1">
      <alignment horizontal="center" vertical="center" wrapText="1"/>
    </xf>
    <xf numFmtId="0" fontId="8" fillId="2" borderId="146" xfId="0" applyFont="1" applyFill="1" applyBorder="1" applyAlignment="1">
      <alignment horizontal="center" vertical="center"/>
    </xf>
    <xf numFmtId="4" fontId="8" fillId="2" borderId="146" xfId="1" applyNumberFormat="1" applyFont="1" applyFill="1" applyBorder="1" applyAlignment="1" applyProtection="1">
      <alignment horizontal="center" vertical="center"/>
    </xf>
    <xf numFmtId="0" fontId="8" fillId="2" borderId="148" xfId="0" applyFont="1" applyFill="1" applyBorder="1" applyAlignment="1">
      <alignment horizontal="center" vertical="center"/>
    </xf>
    <xf numFmtId="4" fontId="8" fillId="2" borderId="148" xfId="1" applyNumberFormat="1" applyFont="1" applyFill="1" applyBorder="1" applyAlignment="1" applyProtection="1">
      <alignment horizontal="center" vertical="center"/>
    </xf>
    <xf numFmtId="0" fontId="13" fillId="0" borderId="139" xfId="10" applyFont="1" applyBorder="1" applyAlignment="1">
      <alignment horizontal="center" vertical="center"/>
    </xf>
    <xf numFmtId="0" fontId="50" fillId="10" borderId="149" xfId="10" applyFont="1" applyFill="1" applyBorder="1" applyAlignment="1">
      <alignment horizontal="center" vertical="center"/>
    </xf>
    <xf numFmtId="0" fontId="20" fillId="0" borderId="101" xfId="10" applyFont="1" applyBorder="1" applyAlignment="1">
      <alignment horizontal="center" vertical="center"/>
    </xf>
    <xf numFmtId="0" fontId="13" fillId="10" borderId="135" xfId="10" applyFont="1" applyFill="1" applyBorder="1" applyAlignment="1">
      <alignment horizontal="center" vertical="center"/>
    </xf>
    <xf numFmtId="0" fontId="13" fillId="10" borderId="135" xfId="10" applyFont="1" applyFill="1" applyBorder="1" applyAlignment="1">
      <alignment horizontal="left" vertical="center"/>
    </xf>
    <xf numFmtId="0" fontId="18" fillId="10" borderId="135" xfId="10" applyFont="1" applyFill="1" applyBorder="1" applyAlignment="1">
      <alignment horizontal="left" vertical="center"/>
    </xf>
    <xf numFmtId="0" fontId="20" fillId="10" borderId="135" xfId="10" applyFont="1" applyFill="1" applyBorder="1" applyAlignment="1">
      <alignment horizontal="left" vertical="center"/>
    </xf>
    <xf numFmtId="4" fontId="54" fillId="0" borderId="0" xfId="0" applyNumberFormat="1" applyFont="1" applyAlignment="1" applyProtection="1">
      <alignment vertical="center" wrapText="1"/>
      <protection locked="0"/>
    </xf>
    <xf numFmtId="0" fontId="13" fillId="14" borderId="0" xfId="3" applyFill="1"/>
    <xf numFmtId="0" fontId="13" fillId="0" borderId="151" xfId="10" applyFont="1" applyBorder="1" applyAlignment="1">
      <alignment horizontal="center" vertical="center"/>
    </xf>
    <xf numFmtId="4" fontId="54" fillId="0" borderId="0" xfId="0" applyNumberFormat="1" applyFont="1" applyAlignment="1" applyProtection="1">
      <alignment vertical="center"/>
      <protection locked="0"/>
    </xf>
    <xf numFmtId="4" fontId="50" fillId="13" borderId="117" xfId="10" applyNumberFormat="1" applyFont="1" applyFill="1" applyBorder="1" applyAlignment="1">
      <alignment horizontal="right" vertical="center" wrapText="1"/>
    </xf>
    <xf numFmtId="0" fontId="50" fillId="13" borderId="131" xfId="10" applyFont="1" applyFill="1" applyBorder="1" applyAlignment="1">
      <alignment horizontal="left" vertical="center"/>
    </xf>
    <xf numFmtId="0" fontId="18" fillId="13" borderId="131" xfId="10" applyFont="1" applyFill="1" applyBorder="1" applyAlignment="1">
      <alignment horizontal="left" vertical="center"/>
    </xf>
    <xf numFmtId="0" fontId="13" fillId="3" borderId="0" xfId="3" applyFill="1" applyAlignment="1">
      <alignment horizontal="left" vertical="top"/>
    </xf>
    <xf numFmtId="0" fontId="13" fillId="0" borderId="0" xfId="3" applyAlignment="1">
      <alignment horizontal="left" vertical="top"/>
    </xf>
    <xf numFmtId="2" fontId="29" fillId="5" borderId="102" xfId="3" applyNumberFormat="1" applyFont="1" applyFill="1" applyBorder="1"/>
    <xf numFmtId="2" fontId="29" fillId="5" borderId="109" xfId="3" applyNumberFormat="1" applyFont="1" applyFill="1" applyBorder="1"/>
    <xf numFmtId="2" fontId="29" fillId="5" borderId="104" xfId="3" applyNumberFormat="1" applyFont="1" applyFill="1" applyBorder="1"/>
    <xf numFmtId="0" fontId="62" fillId="15" borderId="108" xfId="3" applyFont="1" applyFill="1" applyBorder="1" applyAlignment="1">
      <alignment horizontal="center"/>
    </xf>
    <xf numFmtId="10" fontId="62" fillId="15" borderId="29" xfId="3" applyNumberFormat="1" applyFont="1" applyFill="1" applyBorder="1" applyAlignment="1">
      <alignment horizontal="center"/>
    </xf>
    <xf numFmtId="2" fontId="63" fillId="15" borderId="108" xfId="3" applyNumberFormat="1" applyFont="1" applyFill="1" applyBorder="1" applyAlignment="1">
      <alignment horizontal="center"/>
    </xf>
    <xf numFmtId="0" fontId="62" fillId="15" borderId="17" xfId="3" applyFont="1" applyFill="1" applyBorder="1" applyAlignment="1">
      <alignment horizontal="center"/>
    </xf>
    <xf numFmtId="10" fontId="62" fillId="15" borderId="88" xfId="3" applyNumberFormat="1" applyFont="1" applyFill="1" applyBorder="1" applyAlignment="1">
      <alignment horizontal="center"/>
    </xf>
    <xf numFmtId="2" fontId="63" fillId="15" borderId="17" xfId="3" applyNumberFormat="1" applyFont="1" applyFill="1" applyBorder="1" applyAlignment="1">
      <alignment horizontal="centerContinuous"/>
    </xf>
    <xf numFmtId="0" fontId="62" fillId="15" borderId="39" xfId="3" applyFont="1" applyFill="1" applyBorder="1"/>
    <xf numFmtId="10" fontId="62" fillId="15" borderId="51" xfId="3" applyNumberFormat="1" applyFont="1" applyFill="1" applyBorder="1"/>
    <xf numFmtId="2" fontId="63" fillId="15" borderId="39" xfId="3" applyNumberFormat="1" applyFont="1" applyFill="1" applyBorder="1"/>
    <xf numFmtId="0" fontId="62" fillId="0" borderId="113" xfId="3" applyFont="1" applyBorder="1" applyAlignment="1">
      <alignment horizontal="center" vertical="center"/>
    </xf>
    <xf numFmtId="10" fontId="46" fillId="0" borderId="158" xfId="3" applyNumberFormat="1" applyFont="1" applyBorder="1" applyAlignment="1">
      <alignment horizontal="center" vertical="center"/>
    </xf>
    <xf numFmtId="164" fontId="64" fillId="0" borderId="113" xfId="4" applyFont="1" applyFill="1" applyBorder="1" applyAlignment="1">
      <alignment horizontal="center" vertical="center"/>
    </xf>
    <xf numFmtId="0" fontId="46" fillId="0" borderId="113" xfId="3" applyFont="1" applyBorder="1" applyAlignment="1">
      <alignment horizontal="center" vertical="center"/>
    </xf>
    <xf numFmtId="43" fontId="62" fillId="5" borderId="101" xfId="3" applyNumberFormat="1" applyFont="1" applyFill="1" applyBorder="1" applyAlignment="1">
      <alignment horizontal="center" vertical="center" wrapText="1"/>
    </xf>
    <xf numFmtId="0" fontId="13" fillId="0" borderId="131" xfId="10" applyFont="1" applyBorder="1" applyAlignment="1">
      <alignment horizontal="center" vertical="center"/>
    </xf>
    <xf numFmtId="10" fontId="0" fillId="0" borderId="0" xfId="0" applyNumberFormat="1"/>
    <xf numFmtId="0" fontId="0" fillId="0" borderId="101" xfId="0" applyBorder="1"/>
    <xf numFmtId="10" fontId="0" fillId="0" borderId="101" xfId="0" applyNumberFormat="1" applyBorder="1"/>
    <xf numFmtId="0" fontId="12" fillId="0" borderId="101" xfId="0" applyFont="1" applyBorder="1"/>
    <xf numFmtId="10" fontId="12" fillId="0" borderId="101" xfId="0" applyNumberFormat="1" applyFont="1" applyBorder="1"/>
    <xf numFmtId="0" fontId="65" fillId="0" borderId="0" xfId="0" applyFont="1"/>
    <xf numFmtId="0" fontId="4" fillId="0" borderId="105" xfId="0" applyFont="1" applyBorder="1"/>
    <xf numFmtId="0" fontId="65" fillId="0" borderId="105" xfId="0" applyFont="1" applyBorder="1"/>
    <xf numFmtId="0" fontId="2" fillId="0" borderId="105" xfId="0" applyFont="1" applyBorder="1" applyAlignment="1">
      <alignment horizontal="right"/>
    </xf>
    <xf numFmtId="4" fontId="18" fillId="0" borderId="0" xfId="0" applyNumberFormat="1" applyFont="1" applyAlignment="1">
      <alignment horizontal="right" vertical="center"/>
    </xf>
    <xf numFmtId="176" fontId="0" fillId="0" borderId="0" xfId="0" applyNumberFormat="1" applyAlignment="1">
      <alignment horizontal="right" vertical="top"/>
    </xf>
    <xf numFmtId="170" fontId="15" fillId="0" borderId="17" xfId="9" applyNumberFormat="1" applyFont="1" applyFill="1" applyBorder="1"/>
    <xf numFmtId="43" fontId="15" fillId="0" borderId="17" xfId="9" applyFont="1" applyFill="1" applyBorder="1"/>
    <xf numFmtId="2" fontId="16" fillId="0" borderId="17" xfId="4" applyNumberFormat="1" applyFont="1" applyFill="1" applyBorder="1"/>
    <xf numFmtId="2" fontId="68" fillId="0" borderId="17" xfId="4" applyNumberFormat="1" applyFont="1" applyFill="1" applyBorder="1"/>
    <xf numFmtId="4" fontId="68" fillId="0" borderId="17" xfId="4" applyNumberFormat="1" applyFont="1" applyFill="1" applyBorder="1"/>
    <xf numFmtId="4" fontId="68" fillId="0" borderId="18" xfId="4" applyNumberFormat="1" applyFont="1" applyFill="1" applyBorder="1"/>
    <xf numFmtId="2" fontId="69" fillId="3" borderId="17" xfId="4" applyNumberFormat="1" applyFont="1" applyFill="1" applyBorder="1"/>
    <xf numFmtId="4" fontId="69" fillId="3" borderId="17" xfId="4" applyNumberFormat="1" applyFont="1" applyFill="1" applyBorder="1"/>
    <xf numFmtId="4" fontId="69" fillId="3" borderId="18" xfId="4" applyNumberFormat="1" applyFont="1" applyFill="1" applyBorder="1"/>
    <xf numFmtId="0" fontId="14" fillId="3" borderId="13" xfId="3" applyFont="1" applyFill="1" applyBorder="1" applyAlignment="1">
      <alignment horizontal="center" vertical="center" wrapText="1"/>
    </xf>
    <xf numFmtId="0" fontId="14" fillId="3" borderId="107" xfId="3" applyFont="1" applyFill="1" applyBorder="1" applyAlignment="1">
      <alignment horizontal="center"/>
    </xf>
    <xf numFmtId="4" fontId="14" fillId="3" borderId="108" xfId="4" applyNumberFormat="1" applyFont="1" applyFill="1" applyBorder="1"/>
    <xf numFmtId="4" fontId="14" fillId="3" borderId="161" xfId="4" applyNumberFormat="1" applyFont="1" applyFill="1" applyBorder="1"/>
    <xf numFmtId="0" fontId="14" fillId="3" borderId="7" xfId="3" applyFont="1" applyFill="1" applyBorder="1" applyAlignment="1">
      <alignment horizontal="center"/>
    </xf>
    <xf numFmtId="4" fontId="14" fillId="3" borderId="10" xfId="4" applyNumberFormat="1" applyFont="1" applyFill="1" applyBorder="1"/>
    <xf numFmtId="4" fontId="14" fillId="3" borderId="11" xfId="4" applyNumberFormat="1" applyFont="1" applyFill="1" applyBorder="1"/>
    <xf numFmtId="0" fontId="14" fillId="5" borderId="4" xfId="3" applyFont="1" applyFill="1" applyBorder="1" applyAlignment="1">
      <alignment horizontal="center"/>
    </xf>
    <xf numFmtId="4" fontId="14" fillId="5" borderId="5" xfId="4" applyNumberFormat="1" applyFont="1" applyFill="1" applyBorder="1"/>
    <xf numFmtId="4" fontId="14" fillId="3" borderId="5" xfId="4" applyNumberFormat="1" applyFont="1" applyFill="1" applyBorder="1"/>
    <xf numFmtId="4" fontId="14" fillId="3" borderId="6" xfId="4" applyNumberFormat="1" applyFont="1" applyFill="1" applyBorder="1"/>
    <xf numFmtId="10" fontId="20" fillId="0" borderId="0" xfId="10" applyNumberFormat="1" applyFont="1" applyAlignment="1">
      <alignment horizontal="center" vertical="center"/>
    </xf>
    <xf numFmtId="10" fontId="4" fillId="0" borderId="0" xfId="0" applyNumberFormat="1" applyFont="1" applyAlignment="1">
      <alignment horizontal="center" vertical="center"/>
    </xf>
    <xf numFmtId="10" fontId="4" fillId="0" borderId="0" xfId="0" applyNumberFormat="1" applyFont="1" applyAlignment="1">
      <alignment horizontal="center"/>
    </xf>
    <xf numFmtId="10" fontId="60" fillId="0" borderId="0" xfId="0" applyNumberFormat="1" applyFont="1" applyAlignment="1">
      <alignment horizontal="center" vertical="center"/>
    </xf>
    <xf numFmtId="0" fontId="50" fillId="13" borderId="109" xfId="10" applyFont="1" applyFill="1" applyBorder="1" applyAlignment="1">
      <alignment horizontal="left" vertical="center"/>
    </xf>
    <xf numFmtId="4" fontId="50" fillId="13" borderId="101" xfId="10" applyNumberFormat="1" applyFont="1" applyFill="1" applyBorder="1" applyAlignment="1">
      <alignment horizontal="right" vertical="center" wrapText="1"/>
    </xf>
    <xf numFmtId="0" fontId="34" fillId="10" borderId="162" xfId="0" applyFont="1" applyFill="1" applyBorder="1" applyAlignment="1">
      <alignment horizontal="center" vertical="center"/>
    </xf>
    <xf numFmtId="0" fontId="18" fillId="10" borderId="163" xfId="2" applyFont="1" applyFill="1" applyBorder="1" applyAlignment="1">
      <alignment horizontal="left" vertical="center"/>
    </xf>
    <xf numFmtId="0" fontId="18" fillId="10" borderId="163" xfId="2" applyFont="1" applyFill="1" applyBorder="1" applyAlignment="1">
      <alignment vertical="center"/>
    </xf>
    <xf numFmtId="0" fontId="24" fillId="0" borderId="0" xfId="0" applyFont="1"/>
    <xf numFmtId="4" fontId="20" fillId="0" borderId="0" xfId="10" applyNumberFormat="1" applyFont="1" applyAlignment="1">
      <alignment horizontal="left" vertical="center"/>
    </xf>
    <xf numFmtId="0" fontId="11" fillId="12" borderId="0" xfId="0" applyFont="1" applyFill="1" applyAlignment="1">
      <alignment horizontal="center" vertical="center"/>
    </xf>
    <xf numFmtId="0" fontId="47" fillId="12" borderId="0" xfId="0" applyFont="1" applyFill="1" applyAlignment="1">
      <alignment horizontal="center" vertical="center"/>
    </xf>
    <xf numFmtId="2" fontId="13" fillId="0" borderId="0" xfId="3" applyNumberFormat="1" applyAlignment="1">
      <alignment horizontal="center" vertical="center"/>
    </xf>
    <xf numFmtId="165" fontId="46" fillId="8" borderId="61" xfId="0" applyNumberFormat="1" applyFont="1" applyFill="1" applyBorder="1" applyAlignment="1">
      <alignment horizontal="center" vertical="center"/>
    </xf>
    <xf numFmtId="0" fontId="47" fillId="0" borderId="93" xfId="0" applyFont="1" applyBorder="1"/>
    <xf numFmtId="2" fontId="47" fillId="0" borderId="94" xfId="0" applyNumberFormat="1" applyFont="1" applyBorder="1"/>
    <xf numFmtId="43" fontId="13" fillId="0" borderId="0" xfId="3" applyNumberFormat="1" applyAlignment="1">
      <alignment horizontal="left" vertical="top"/>
    </xf>
    <xf numFmtId="0" fontId="74" fillId="0" borderId="117" xfId="10" applyFont="1" applyBorder="1" applyAlignment="1">
      <alignment horizontal="left" vertical="top" wrapText="1"/>
    </xf>
    <xf numFmtId="0" fontId="74" fillId="0" borderId="117" xfId="10" applyFont="1" applyBorder="1" applyAlignment="1">
      <alignment horizontal="center" vertical="top" wrapText="1"/>
    </xf>
    <xf numFmtId="0" fontId="74" fillId="0" borderId="117" xfId="10" applyFont="1" applyBorder="1" applyAlignment="1">
      <alignment horizontal="left" vertical="top" wrapText="1" indent="1"/>
    </xf>
    <xf numFmtId="0" fontId="74" fillId="0" borderId="117" xfId="10" applyFont="1" applyBorder="1" applyAlignment="1">
      <alignment horizontal="right" vertical="top" wrapText="1"/>
    </xf>
    <xf numFmtId="172" fontId="75" fillId="16" borderId="117" xfId="10" applyNumberFormat="1" applyFont="1" applyFill="1" applyBorder="1" applyAlignment="1">
      <alignment horizontal="left" vertical="top" shrinkToFit="1"/>
    </xf>
    <xf numFmtId="0" fontId="76" fillId="16" borderId="117" xfId="10" applyFont="1" applyFill="1" applyBorder="1" applyAlignment="1">
      <alignment horizontal="left" vertical="top" wrapText="1"/>
    </xf>
    <xf numFmtId="0" fontId="53" fillId="16" borderId="117" xfId="10" applyFill="1" applyBorder="1" applyAlignment="1">
      <alignment horizontal="left" vertical="center" wrapText="1"/>
    </xf>
    <xf numFmtId="0" fontId="53" fillId="16" borderId="117" xfId="10" applyFill="1" applyBorder="1" applyAlignment="1">
      <alignment horizontal="left" wrapText="1"/>
    </xf>
    <xf numFmtId="0" fontId="76" fillId="0" borderId="117" xfId="10" applyFont="1" applyBorder="1" applyAlignment="1">
      <alignment horizontal="left" vertical="top" wrapText="1"/>
    </xf>
    <xf numFmtId="0" fontId="76" fillId="0" borderId="117" xfId="10" applyFont="1" applyBorder="1" applyAlignment="1">
      <alignment horizontal="center" vertical="top" wrapText="1"/>
    </xf>
    <xf numFmtId="4" fontId="75" fillId="0" borderId="117" xfId="10" applyNumberFormat="1" applyFont="1" applyBorder="1" applyAlignment="1">
      <alignment horizontal="right" vertical="top" shrinkToFit="1"/>
    </xf>
    <xf numFmtId="0" fontId="76" fillId="0" borderId="117" xfId="10" applyFont="1" applyBorder="1" applyAlignment="1">
      <alignment horizontal="left" vertical="center" wrapText="1"/>
    </xf>
    <xf numFmtId="0" fontId="76" fillId="0" borderId="117" xfId="10" applyFont="1" applyBorder="1" applyAlignment="1">
      <alignment horizontal="center" vertical="center" wrapText="1"/>
    </xf>
    <xf numFmtId="4" fontId="75" fillId="0" borderId="117" xfId="10" applyNumberFormat="1" applyFont="1" applyBorder="1" applyAlignment="1">
      <alignment horizontal="right" vertical="center" shrinkToFit="1"/>
    </xf>
    <xf numFmtId="2" fontId="75" fillId="0" borderId="117" xfId="10" applyNumberFormat="1" applyFont="1" applyBorder="1" applyAlignment="1">
      <alignment horizontal="right" vertical="top" shrinkToFit="1"/>
    </xf>
    <xf numFmtId="2" fontId="75" fillId="0" borderId="117" xfId="10" applyNumberFormat="1" applyFont="1" applyBorder="1" applyAlignment="1">
      <alignment horizontal="right" vertical="center" shrinkToFit="1"/>
    </xf>
    <xf numFmtId="1" fontId="75" fillId="16" borderId="117" xfId="10" applyNumberFormat="1" applyFont="1" applyFill="1" applyBorder="1" applyAlignment="1">
      <alignment horizontal="left" vertical="top" shrinkToFit="1"/>
    </xf>
    <xf numFmtId="0" fontId="74" fillId="0" borderId="117" xfId="10" applyFont="1" applyBorder="1" applyAlignment="1">
      <alignment horizontal="right" vertical="top" wrapText="1" indent="2"/>
    </xf>
    <xf numFmtId="0" fontId="76" fillId="0" borderId="117" xfId="10" applyFont="1" applyBorder="1" applyAlignment="1">
      <alignment horizontal="right" vertical="top" wrapText="1" indent="2"/>
    </xf>
    <xf numFmtId="0" fontId="76" fillId="0" borderId="117" xfId="10" applyFont="1" applyBorder="1" applyAlignment="1">
      <alignment horizontal="right" vertical="top" wrapText="1" indent="1"/>
    </xf>
    <xf numFmtId="0" fontId="76" fillId="0" borderId="117" xfId="10" applyFont="1" applyBorder="1" applyAlignment="1">
      <alignment horizontal="right" vertical="center" wrapText="1" indent="1"/>
    </xf>
    <xf numFmtId="0" fontId="76" fillId="0" borderId="117" xfId="10" applyFont="1" applyBorder="1" applyAlignment="1">
      <alignment horizontal="right" vertical="center" wrapText="1" indent="2"/>
    </xf>
    <xf numFmtId="0" fontId="53" fillId="16" borderId="117" xfId="10" applyFill="1" applyBorder="1" applyAlignment="1">
      <alignment horizontal="left" vertical="top" wrapText="1"/>
    </xf>
    <xf numFmtId="4" fontId="19" fillId="3" borderId="48" xfId="3" applyNumberFormat="1" applyFont="1" applyFill="1" applyBorder="1"/>
    <xf numFmtId="0" fontId="46" fillId="0" borderId="53" xfId="2" applyFont="1" applyBorder="1" applyAlignment="1">
      <alignment horizontal="left" vertical="center"/>
    </xf>
    <xf numFmtId="2" fontId="29" fillId="0" borderId="32" xfId="3" applyNumberFormat="1" applyFont="1" applyBorder="1" applyAlignment="1">
      <alignment vertical="center" wrapText="1"/>
    </xf>
    <xf numFmtId="2" fontId="29" fillId="0" borderId="33" xfId="3" applyNumberFormat="1" applyFont="1" applyBorder="1" applyAlignment="1">
      <alignment vertical="center" wrapText="1"/>
    </xf>
    <xf numFmtId="0" fontId="23" fillId="0" borderId="0" xfId="3" applyFont="1" applyAlignment="1">
      <alignment vertical="center"/>
    </xf>
    <xf numFmtId="0" fontId="23" fillId="0" borderId="5" xfId="3" applyFont="1" applyBorder="1" applyAlignment="1">
      <alignment vertical="center"/>
    </xf>
    <xf numFmtId="0" fontId="0" fillId="6" borderId="101" xfId="0" applyFill="1" applyBorder="1" applyAlignment="1">
      <alignment horizontal="center" vertical="center"/>
    </xf>
    <xf numFmtId="0" fontId="0" fillId="6" borderId="27" xfId="0" applyFill="1" applyBorder="1" applyAlignment="1">
      <alignment horizontal="center" vertical="center"/>
    </xf>
    <xf numFmtId="0" fontId="13" fillId="6" borderId="27" xfId="3" applyFill="1" applyBorder="1" applyAlignment="1">
      <alignment horizontal="center" vertical="center"/>
    </xf>
    <xf numFmtId="1" fontId="13" fillId="6" borderId="27" xfId="3" applyNumberFormat="1" applyFill="1" applyBorder="1" applyAlignment="1">
      <alignment horizontal="center" vertical="center"/>
    </xf>
    <xf numFmtId="2" fontId="0" fillId="6" borderId="101" xfId="0" applyNumberFormat="1" applyFill="1" applyBorder="1" applyAlignment="1">
      <alignment horizontal="center" vertical="center"/>
    </xf>
    <xf numFmtId="2" fontId="13" fillId="6" borderId="27" xfId="3" applyNumberFormat="1" applyFill="1" applyBorder="1" applyAlignment="1">
      <alignment horizontal="center" vertical="center"/>
    </xf>
    <xf numFmtId="43" fontId="68" fillId="0" borderId="17" xfId="9" applyFont="1" applyFill="1" applyBorder="1"/>
    <xf numFmtId="4" fontId="13" fillId="0" borderId="20" xfId="3" applyNumberFormat="1" applyBorder="1" applyAlignment="1">
      <alignment horizontal="right" vertical="center"/>
    </xf>
    <xf numFmtId="0" fontId="19" fillId="0" borderId="0" xfId="3" applyFont="1" applyAlignment="1">
      <alignment horizontal="left" vertical="center"/>
    </xf>
    <xf numFmtId="0" fontId="45" fillId="0" borderId="81" xfId="0" applyFont="1" applyBorder="1" applyAlignment="1">
      <alignment horizontal="center" vertical="center"/>
    </xf>
    <xf numFmtId="0" fontId="11" fillId="0" borderId="86" xfId="0" applyFont="1" applyBorder="1" applyAlignment="1">
      <alignment horizontal="center"/>
    </xf>
    <xf numFmtId="2" fontId="11" fillId="0" borderId="83" xfId="0" applyNumberFormat="1" applyFont="1" applyBorder="1" applyAlignment="1">
      <alignment horizontal="right" vertical="center"/>
    </xf>
    <xf numFmtId="2" fontId="11" fillId="0" borderId="61" xfId="0" applyNumberFormat="1" applyFont="1" applyBorder="1" applyAlignment="1">
      <alignment horizontal="right" vertical="center"/>
    </xf>
    <xf numFmtId="2" fontId="11" fillId="0" borderId="65" xfId="0" applyNumberFormat="1" applyFont="1" applyBorder="1" applyAlignment="1">
      <alignment horizontal="right" vertical="center"/>
    </xf>
    <xf numFmtId="0" fontId="11" fillId="0" borderId="61" xfId="0" applyFont="1" applyBorder="1" applyAlignment="1">
      <alignment horizontal="right" vertical="center"/>
    </xf>
    <xf numFmtId="4" fontId="11" fillId="0" borderId="61" xfId="0" applyNumberFormat="1" applyFont="1" applyBorder="1" applyAlignment="1">
      <alignment horizontal="right" vertical="center"/>
    </xf>
    <xf numFmtId="0" fontId="46" fillId="3" borderId="164" xfId="2" applyFont="1" applyFill="1" applyBorder="1" applyAlignment="1">
      <alignment horizontal="left" vertical="center"/>
    </xf>
    <xf numFmtId="0" fontId="11" fillId="0" borderId="164" xfId="0" applyFont="1" applyBorder="1"/>
    <xf numFmtId="0" fontId="11" fillId="0" borderId="164" xfId="0" applyFont="1" applyBorder="1" applyAlignment="1">
      <alignment horizontal="center" vertical="center"/>
    </xf>
    <xf numFmtId="0" fontId="11" fillId="0" borderId="164" xfId="0" applyFont="1" applyBorder="1" applyAlignment="1">
      <alignment horizontal="left" vertical="center"/>
    </xf>
    <xf numFmtId="0" fontId="46" fillId="3" borderId="165" xfId="2" applyFont="1" applyFill="1" applyBorder="1" applyAlignment="1">
      <alignment horizontal="left" vertical="center"/>
    </xf>
    <xf numFmtId="0" fontId="11" fillId="0" borderId="166" xfId="0" applyFont="1" applyBorder="1"/>
    <xf numFmtId="0" fontId="11" fillId="0" borderId="167" xfId="0" applyFont="1" applyBorder="1"/>
    <xf numFmtId="0" fontId="11" fillId="0" borderId="167" xfId="0" applyFont="1" applyBorder="1" applyAlignment="1">
      <alignment horizontal="center" vertical="center"/>
    </xf>
    <xf numFmtId="4" fontId="11" fillId="0" borderId="168" xfId="0" applyNumberFormat="1" applyFont="1" applyBorder="1"/>
    <xf numFmtId="0" fontId="46" fillId="0" borderId="165" xfId="2" applyFont="1" applyBorder="1" applyAlignment="1">
      <alignment horizontal="left" vertical="center"/>
    </xf>
    <xf numFmtId="0" fontId="11" fillId="0" borderId="167" xfId="0" applyFont="1" applyBorder="1" applyAlignment="1">
      <alignment horizontal="left" vertical="center"/>
    </xf>
    <xf numFmtId="0" fontId="46" fillId="3" borderId="169" xfId="2" applyFont="1" applyFill="1" applyBorder="1" applyAlignment="1">
      <alignment horizontal="left" vertical="center"/>
    </xf>
    <xf numFmtId="0" fontId="11" fillId="0" borderId="170" xfId="0" applyFont="1" applyBorder="1" applyAlignment="1">
      <alignment horizontal="left" vertical="center"/>
    </xf>
    <xf numFmtId="0" fontId="11" fillId="0" borderId="170" xfId="0" applyFont="1" applyBorder="1"/>
    <xf numFmtId="0" fontId="11" fillId="0" borderId="170" xfId="0" applyFont="1" applyBorder="1" applyAlignment="1">
      <alignment horizontal="center" vertical="center"/>
    </xf>
    <xf numFmtId="4" fontId="11" fillId="0" borderId="171" xfId="0" applyNumberFormat="1" applyFont="1" applyBorder="1"/>
    <xf numFmtId="0" fontId="11" fillId="0" borderId="166" xfId="0" applyFont="1" applyBorder="1" applyAlignment="1">
      <alignment horizontal="center" vertical="center"/>
    </xf>
    <xf numFmtId="2" fontId="11" fillId="0" borderId="168" xfId="0" applyNumberFormat="1" applyFont="1" applyBorder="1"/>
    <xf numFmtId="2" fontId="11" fillId="0" borderId="171" xfId="0" applyNumberFormat="1" applyFont="1" applyBorder="1"/>
    <xf numFmtId="167" fontId="13" fillId="0" borderId="0" xfId="3" applyNumberFormat="1" applyAlignment="1">
      <alignment horizontal="center" vertical="center"/>
    </xf>
    <xf numFmtId="0" fontId="13" fillId="0" borderId="172" xfId="10" applyFont="1" applyBorder="1" applyAlignment="1">
      <alignment horizontal="center" vertical="center"/>
    </xf>
    <xf numFmtId="0" fontId="34" fillId="0" borderId="172" xfId="3" applyFont="1" applyBorder="1" applyAlignment="1">
      <alignment vertical="center"/>
    </xf>
    <xf numFmtId="0" fontId="1" fillId="0" borderId="172" xfId="3" applyFont="1" applyBorder="1" applyAlignment="1">
      <alignment horizontal="center" vertical="center"/>
    </xf>
    <xf numFmtId="0" fontId="13" fillId="0" borderId="172" xfId="2" applyFont="1" applyBorder="1" applyAlignment="1">
      <alignment horizontal="center" vertical="center"/>
    </xf>
    <xf numFmtId="0" fontId="34" fillId="0" borderId="172" xfId="3" applyFont="1" applyBorder="1" applyAlignment="1">
      <alignment horizontal="center" vertical="center"/>
    </xf>
    <xf numFmtId="2" fontId="34" fillId="0" borderId="172" xfId="3" applyNumberFormat="1" applyFont="1" applyBorder="1" applyAlignment="1">
      <alignment horizontal="center" vertical="center"/>
    </xf>
    <xf numFmtId="0" fontId="13" fillId="0" borderId="172" xfId="3" applyBorder="1" applyAlignment="1">
      <alignment horizontal="center" vertical="center"/>
    </xf>
    <xf numFmtId="0" fontId="13" fillId="0" borderId="172" xfId="2" applyFont="1" applyBorder="1" applyAlignment="1">
      <alignment vertical="center" wrapText="1"/>
    </xf>
    <xf numFmtId="0" fontId="13" fillId="0" borderId="172" xfId="2" applyFont="1" applyBorder="1" applyAlignment="1">
      <alignment horizontal="center" vertical="center" wrapText="1"/>
    </xf>
    <xf numFmtId="0" fontId="36" fillId="0" borderId="172" xfId="0" applyFont="1" applyBorder="1" applyAlignment="1">
      <alignment horizontal="center" vertical="center"/>
    </xf>
    <xf numFmtId="0" fontId="37" fillId="0" borderId="172" xfId="2" applyFont="1" applyBorder="1" applyAlignment="1">
      <alignment horizontal="center" vertical="center"/>
    </xf>
    <xf numFmtId="0" fontId="27" fillId="0" borderId="172" xfId="3" applyFont="1" applyBorder="1" applyAlignment="1">
      <alignment vertical="center"/>
    </xf>
    <xf numFmtId="0" fontId="27" fillId="0" borderId="172" xfId="3" applyFont="1" applyBorder="1" applyAlignment="1">
      <alignment horizontal="center" vertical="center"/>
    </xf>
    <xf numFmtId="0" fontId="27" fillId="0" borderId="172" xfId="3" applyFont="1" applyBorder="1" applyAlignment="1">
      <alignment vertical="center" wrapText="1"/>
    </xf>
    <xf numFmtId="0" fontId="27" fillId="0" borderId="172" xfId="3" applyFont="1" applyBorder="1" applyAlignment="1">
      <alignment horizontal="center" vertical="center" wrapText="1"/>
    </xf>
    <xf numFmtId="169" fontId="27" fillId="0" borderId="172" xfId="3" applyNumberFormat="1" applyFont="1" applyBorder="1" applyAlignment="1">
      <alignment horizontal="center" vertical="center"/>
    </xf>
    <xf numFmtId="0" fontId="38" fillId="0" borderId="172" xfId="0" applyFont="1" applyBorder="1" applyAlignment="1">
      <alignment horizontal="center" vertical="center"/>
    </xf>
    <xf numFmtId="0" fontId="38" fillId="0" borderId="172" xfId="0" applyFont="1" applyBorder="1" applyAlignment="1">
      <alignment wrapText="1"/>
    </xf>
    <xf numFmtId="0" fontId="38" fillId="0" borderId="172" xfId="0" applyFont="1" applyBorder="1" applyAlignment="1">
      <alignment horizontal="center" wrapText="1"/>
    </xf>
    <xf numFmtId="168" fontId="27" fillId="0" borderId="172" xfId="3" applyNumberFormat="1" applyFont="1" applyBorder="1" applyAlignment="1">
      <alignment horizontal="center" vertical="center"/>
    </xf>
    <xf numFmtId="0" fontId="27" fillId="0" borderId="172" xfId="2" applyFont="1" applyBorder="1" applyAlignment="1">
      <alignment horizontal="center" vertical="center"/>
    </xf>
    <xf numFmtId="0" fontId="27" fillId="0" borderId="172" xfId="2" applyFont="1" applyBorder="1" applyAlignment="1">
      <alignment vertical="center" wrapText="1"/>
    </xf>
    <xf numFmtId="0" fontId="27" fillId="0" borderId="172" xfId="2" applyFont="1" applyBorder="1" applyAlignment="1">
      <alignment horizontal="center" vertical="center" wrapText="1"/>
    </xf>
    <xf numFmtId="173" fontId="42" fillId="0" borderId="173" xfId="3" applyNumberFormat="1" applyFont="1" applyBorder="1"/>
    <xf numFmtId="2" fontId="28" fillId="0" borderId="173" xfId="3" applyNumberFormat="1" applyFont="1" applyBorder="1" applyAlignment="1">
      <alignment horizontal="center" vertical="center"/>
    </xf>
    <xf numFmtId="2" fontId="44" fillId="0" borderId="173" xfId="3" applyNumberFormat="1" applyFont="1" applyBorder="1" applyAlignment="1">
      <alignment horizontal="center" vertical="center"/>
    </xf>
    <xf numFmtId="2" fontId="13" fillId="0" borderId="105" xfId="0" applyNumberFormat="1" applyFont="1" applyBorder="1" applyAlignment="1">
      <alignment horizontal="center" vertical="center"/>
    </xf>
    <xf numFmtId="0" fontId="30" fillId="0" borderId="101" xfId="0" applyFont="1" applyBorder="1" applyAlignment="1" applyProtection="1">
      <alignment horizontal="center" vertical="center"/>
      <protection locked="0"/>
    </xf>
    <xf numFmtId="0" fontId="47" fillId="4" borderId="21" xfId="0" applyFont="1" applyFill="1" applyBorder="1" applyAlignment="1">
      <alignment horizontal="centerContinuous" vertical="center"/>
    </xf>
    <xf numFmtId="0" fontId="47" fillId="4" borderId="9" xfId="0" applyFont="1" applyFill="1" applyBorder="1" applyAlignment="1">
      <alignment horizontal="centerContinuous"/>
    </xf>
    <xf numFmtId="0" fontId="47" fillId="4" borderId="9" xfId="0" applyFont="1" applyFill="1" applyBorder="1"/>
    <xf numFmtId="0" fontId="47" fillId="4" borderId="9" xfId="0" applyFont="1" applyFill="1" applyBorder="1" applyAlignment="1">
      <alignment horizontal="right" vertical="center" indent="1"/>
    </xf>
    <xf numFmtId="0" fontId="47" fillId="4" borderId="22" xfId="0" applyFont="1" applyFill="1" applyBorder="1" applyAlignment="1">
      <alignment horizontal="center" vertical="center"/>
    </xf>
    <xf numFmtId="0" fontId="78" fillId="0" borderId="0" xfId="0" applyFont="1" applyAlignment="1">
      <alignment horizontal="center" vertical="center"/>
    </xf>
    <xf numFmtId="0" fontId="47" fillId="0" borderId="0" xfId="0" applyFont="1" applyAlignment="1">
      <alignment horizontal="center" vertical="center"/>
    </xf>
    <xf numFmtId="0" fontId="47" fillId="0" borderId="0" xfId="0" applyFont="1" applyAlignment="1">
      <alignment horizontal="right" vertical="center"/>
    </xf>
    <xf numFmtId="0" fontId="62" fillId="14" borderId="152" xfId="6" applyFont="1" applyFill="1" applyBorder="1" applyAlignment="1">
      <alignment horizontal="left" vertical="center" indent="2"/>
    </xf>
    <xf numFmtId="0" fontId="62" fillId="14" borderId="32" xfId="6" applyFont="1" applyFill="1" applyBorder="1"/>
    <xf numFmtId="2" fontId="62" fillId="14" borderId="175" xfId="6" applyNumberFormat="1" applyFont="1" applyFill="1" applyBorder="1" applyAlignment="1">
      <alignment horizontal="right" vertical="center" indent="1"/>
    </xf>
    <xf numFmtId="0" fontId="62" fillId="14" borderId="175" xfId="6" applyFont="1" applyFill="1" applyBorder="1" applyAlignment="1">
      <alignment horizontal="center" vertical="center"/>
    </xf>
    <xf numFmtId="0" fontId="45" fillId="0" borderId="0" xfId="0" applyFont="1" applyAlignment="1">
      <alignment horizontal="center" vertical="center"/>
    </xf>
    <xf numFmtId="0" fontId="11" fillId="0" borderId="0" xfId="0" applyFont="1" applyAlignment="1">
      <alignment horizontal="right" vertical="center"/>
    </xf>
    <xf numFmtId="0" fontId="46" fillId="20" borderId="176" xfId="6" applyFont="1" applyFill="1" applyBorder="1" applyAlignment="1">
      <alignment horizontal="left" vertical="center"/>
    </xf>
    <xf numFmtId="0" fontId="46" fillId="20" borderId="177" xfId="6" applyFont="1" applyFill="1" applyBorder="1" applyAlignment="1">
      <alignment horizontal="left" vertical="center"/>
    </xf>
    <xf numFmtId="0" fontId="46" fillId="20" borderId="177" xfId="6" applyFont="1" applyFill="1" applyBorder="1" applyAlignment="1">
      <alignment horizontal="left" indent="2"/>
    </xf>
    <xf numFmtId="4" fontId="46" fillId="20" borderId="177" xfId="6" applyNumberFormat="1" applyFont="1" applyFill="1" applyBorder="1" applyAlignment="1">
      <alignment horizontal="right" vertical="center"/>
    </xf>
    <xf numFmtId="0" fontId="46" fillId="20" borderId="177" xfId="6" applyFont="1" applyFill="1" applyBorder="1" applyAlignment="1">
      <alignment horizontal="center"/>
    </xf>
    <xf numFmtId="165" fontId="46" fillId="20" borderId="177" xfId="6" applyNumberFormat="1" applyFont="1" applyFill="1" applyBorder="1" applyAlignment="1">
      <alignment horizontal="center" vertical="center"/>
    </xf>
    <xf numFmtId="2" fontId="46" fillId="20" borderId="177" xfId="6" applyNumberFormat="1" applyFont="1" applyFill="1" applyBorder="1" applyAlignment="1">
      <alignment horizontal="right" vertical="center" indent="1"/>
    </xf>
    <xf numFmtId="0" fontId="46" fillId="20" borderId="178" xfId="0" applyFont="1" applyFill="1" applyBorder="1" applyAlignment="1">
      <alignment horizontal="center" vertical="center"/>
    </xf>
    <xf numFmtId="0" fontId="46" fillId="20" borderId="179" xfId="6" applyFont="1" applyFill="1" applyBorder="1" applyAlignment="1">
      <alignment horizontal="left" vertical="center"/>
    </xf>
    <xf numFmtId="0" fontId="46" fillId="20" borderId="180" xfId="6" applyFont="1" applyFill="1" applyBorder="1" applyAlignment="1">
      <alignment horizontal="left" vertical="center"/>
    </xf>
    <xf numFmtId="0" fontId="46" fillId="20" borderId="180" xfId="6" applyFont="1" applyFill="1" applyBorder="1" applyAlignment="1">
      <alignment horizontal="left" indent="2"/>
    </xf>
    <xf numFmtId="4" fontId="46" fillId="20" borderId="180" xfId="6" applyNumberFormat="1" applyFont="1" applyFill="1" applyBorder="1" applyAlignment="1">
      <alignment horizontal="right" vertical="center"/>
    </xf>
    <xf numFmtId="0" fontId="46" fillId="20" borderId="180" xfId="6" applyFont="1" applyFill="1" applyBorder="1" applyAlignment="1">
      <alignment horizontal="center"/>
    </xf>
    <xf numFmtId="165" fontId="46" fillId="20" borderId="180" xfId="6" applyNumberFormat="1" applyFont="1" applyFill="1" applyBorder="1" applyAlignment="1">
      <alignment horizontal="center" vertical="center"/>
    </xf>
    <xf numFmtId="2" fontId="46" fillId="20" borderId="180" xfId="6" applyNumberFormat="1" applyFont="1" applyFill="1" applyBorder="1" applyAlignment="1">
      <alignment horizontal="right" vertical="center" indent="1"/>
    </xf>
    <xf numFmtId="0" fontId="46" fillId="20" borderId="181" xfId="0" applyFont="1" applyFill="1" applyBorder="1" applyAlignment="1">
      <alignment horizontal="center" vertical="center"/>
    </xf>
    <xf numFmtId="0" fontId="46" fillId="20" borderId="182" xfId="6" applyFont="1" applyFill="1" applyBorder="1" applyAlignment="1">
      <alignment horizontal="left" vertical="center"/>
    </xf>
    <xf numFmtId="0" fontId="46" fillId="20" borderId="183" xfId="6" applyFont="1" applyFill="1" applyBorder="1" applyAlignment="1">
      <alignment horizontal="left" vertical="center"/>
    </xf>
    <xf numFmtId="0" fontId="46" fillId="20" borderId="183" xfId="6" applyFont="1" applyFill="1" applyBorder="1" applyAlignment="1">
      <alignment horizontal="left" indent="2"/>
    </xf>
    <xf numFmtId="4" fontId="46" fillId="20" borderId="183" xfId="6" applyNumberFormat="1" applyFont="1" applyFill="1" applyBorder="1" applyAlignment="1">
      <alignment horizontal="right" vertical="center"/>
    </xf>
    <xf numFmtId="0" fontId="46" fillId="20" borderId="183" xfId="6" applyFont="1" applyFill="1" applyBorder="1" applyAlignment="1">
      <alignment horizontal="center"/>
    </xf>
    <xf numFmtId="165" fontId="46" fillId="20" borderId="183" xfId="6" applyNumberFormat="1" applyFont="1" applyFill="1" applyBorder="1" applyAlignment="1">
      <alignment horizontal="center" vertical="center"/>
    </xf>
    <xf numFmtId="2" fontId="46" fillId="20" borderId="183" xfId="6" applyNumberFormat="1" applyFont="1" applyFill="1" applyBorder="1" applyAlignment="1">
      <alignment horizontal="right" vertical="center" indent="1"/>
    </xf>
    <xf numFmtId="0" fontId="46" fillId="20" borderId="184" xfId="6" applyFont="1" applyFill="1" applyBorder="1" applyAlignment="1">
      <alignment horizontal="center" vertical="center"/>
    </xf>
    <xf numFmtId="0" fontId="62" fillId="14" borderId="102" xfId="6" applyFont="1" applyFill="1" applyBorder="1" applyAlignment="1">
      <alignment horizontal="left" vertical="center" indent="2"/>
    </xf>
    <xf numFmtId="0" fontId="62" fillId="14" borderId="109" xfId="6" applyFont="1" applyFill="1" applyBorder="1"/>
    <xf numFmtId="0" fontId="62" fillId="14" borderId="50" xfId="6" applyFont="1" applyFill="1" applyBorder="1"/>
    <xf numFmtId="2" fontId="62" fillId="14" borderId="101" xfId="6" applyNumberFormat="1" applyFont="1" applyFill="1" applyBorder="1" applyAlignment="1">
      <alignment horizontal="right" vertical="center" indent="1"/>
    </xf>
    <xf numFmtId="0" fontId="62" fillId="14" borderId="101" xfId="6" applyFont="1" applyFill="1" applyBorder="1" applyAlignment="1">
      <alignment horizontal="center" vertical="center"/>
    </xf>
    <xf numFmtId="0" fontId="46" fillId="20" borderId="185" xfId="6" applyFont="1" applyFill="1" applyBorder="1" applyAlignment="1">
      <alignment horizontal="left" vertical="center"/>
    </xf>
    <xf numFmtId="0" fontId="62" fillId="14" borderId="51" xfId="6" applyFont="1" applyFill="1" applyBorder="1" applyAlignment="1">
      <alignment horizontal="left" vertical="center" indent="2"/>
    </xf>
    <xf numFmtId="0" fontId="46" fillId="0" borderId="177" xfId="6" applyFont="1" applyBorder="1" applyAlignment="1">
      <alignment horizontal="left" vertical="center"/>
    </xf>
    <xf numFmtId="0" fontId="62" fillId="0" borderId="0" xfId="6" applyFont="1"/>
    <xf numFmtId="177" fontId="46" fillId="0" borderId="0" xfId="6" applyNumberFormat="1" applyFont="1" applyAlignment="1">
      <alignment vertical="center"/>
    </xf>
    <xf numFmtId="0" fontId="46" fillId="0" borderId="0" xfId="6" applyFont="1" applyAlignment="1">
      <alignment vertical="center"/>
    </xf>
    <xf numFmtId="0" fontId="62" fillId="0" borderId="0" xfId="6" applyFont="1" applyAlignment="1">
      <alignment horizontal="right" vertical="center" indent="1"/>
    </xf>
    <xf numFmtId="0" fontId="62" fillId="0" borderId="49" xfId="6" applyFont="1" applyBorder="1" applyAlignment="1">
      <alignment horizontal="center" vertical="center"/>
    </xf>
    <xf numFmtId="0" fontId="46" fillId="20" borderId="181" xfId="6" applyFont="1" applyFill="1" applyBorder="1" applyAlignment="1">
      <alignment horizontal="center" vertical="center"/>
    </xf>
    <xf numFmtId="0" fontId="46" fillId="20" borderId="186" xfId="6" applyFont="1" applyFill="1" applyBorder="1" applyAlignment="1">
      <alignment horizontal="left" vertical="center"/>
    </xf>
    <xf numFmtId="0" fontId="46" fillId="20" borderId="187" xfId="6" applyFont="1" applyFill="1" applyBorder="1" applyAlignment="1">
      <alignment horizontal="left" vertical="center"/>
    </xf>
    <xf numFmtId="0" fontId="46" fillId="20" borderId="187" xfId="6" applyFont="1" applyFill="1" applyBorder="1" applyAlignment="1">
      <alignment horizontal="left" indent="2"/>
    </xf>
    <xf numFmtId="4" fontId="46" fillId="20" borderId="187" xfId="6" applyNumberFormat="1" applyFont="1" applyFill="1" applyBorder="1" applyAlignment="1">
      <alignment horizontal="right" vertical="center"/>
    </xf>
    <xf numFmtId="0" fontId="46" fillId="20" borderId="187" xfId="6" applyFont="1" applyFill="1" applyBorder="1" applyAlignment="1">
      <alignment horizontal="center"/>
    </xf>
    <xf numFmtId="165" fontId="46" fillId="20" borderId="187" xfId="6" applyNumberFormat="1" applyFont="1" applyFill="1" applyBorder="1" applyAlignment="1">
      <alignment horizontal="center" vertical="center"/>
    </xf>
    <xf numFmtId="2" fontId="46" fillId="20" borderId="187" xfId="6" applyNumberFormat="1" applyFont="1" applyFill="1" applyBorder="1" applyAlignment="1">
      <alignment horizontal="right" vertical="center" indent="1"/>
    </xf>
    <xf numFmtId="0" fontId="46" fillId="20" borderId="188" xfId="0" applyFont="1" applyFill="1" applyBorder="1" applyAlignment="1">
      <alignment horizontal="center" vertical="center"/>
    </xf>
    <xf numFmtId="0" fontId="46" fillId="20" borderId="189" xfId="6" applyFont="1" applyFill="1" applyBorder="1" applyAlignment="1">
      <alignment horizontal="left" vertical="center"/>
    </xf>
    <xf numFmtId="0" fontId="46" fillId="20" borderId="189" xfId="6" applyFont="1" applyFill="1" applyBorder="1" applyAlignment="1">
      <alignment horizontal="left" indent="2"/>
    </xf>
    <xf numFmtId="4" fontId="46" fillId="20" borderId="189" xfId="6" applyNumberFormat="1" applyFont="1" applyFill="1" applyBorder="1" applyAlignment="1">
      <alignment horizontal="right" vertical="center"/>
    </xf>
    <xf numFmtId="0" fontId="46" fillId="20" borderId="189" xfId="6" applyFont="1" applyFill="1" applyBorder="1" applyAlignment="1">
      <alignment horizontal="center"/>
    </xf>
    <xf numFmtId="165" fontId="46" fillId="20" borderId="189" xfId="6" applyNumberFormat="1" applyFont="1" applyFill="1" applyBorder="1" applyAlignment="1">
      <alignment horizontal="center" vertical="center"/>
    </xf>
    <xf numFmtId="0" fontId="62" fillId="14" borderId="104" xfId="6" applyFont="1" applyFill="1" applyBorder="1"/>
    <xf numFmtId="0" fontId="46" fillId="20" borderId="88" xfId="6" applyFont="1" applyFill="1" applyBorder="1" applyAlignment="1">
      <alignment horizontal="left" vertical="center"/>
    </xf>
    <xf numFmtId="0" fontId="46" fillId="20" borderId="0" xfId="6" applyFont="1" applyFill="1" applyAlignment="1">
      <alignment horizontal="left" vertical="center"/>
    </xf>
    <xf numFmtId="0" fontId="46" fillId="20" borderId="0" xfId="6" applyFont="1" applyFill="1" applyAlignment="1">
      <alignment horizontal="left" indent="2"/>
    </xf>
    <xf numFmtId="4" fontId="46" fillId="20" borderId="0" xfId="6" applyNumberFormat="1" applyFont="1" applyFill="1" applyAlignment="1">
      <alignment horizontal="right" vertical="center"/>
    </xf>
    <xf numFmtId="0" fontId="46" fillId="20" borderId="0" xfId="6" applyFont="1" applyFill="1" applyAlignment="1">
      <alignment horizontal="center"/>
    </xf>
    <xf numFmtId="165" fontId="46" fillId="20" borderId="0" xfId="6" applyNumberFormat="1" applyFont="1" applyFill="1" applyAlignment="1">
      <alignment horizontal="center" vertical="center"/>
    </xf>
    <xf numFmtId="0" fontId="62" fillId="14" borderId="109" xfId="6" applyFont="1" applyFill="1" applyBorder="1" applyAlignment="1">
      <alignment horizontal="left" vertical="center"/>
    </xf>
    <xf numFmtId="0" fontId="11" fillId="0" borderId="105" xfId="0" applyFont="1" applyBorder="1"/>
    <xf numFmtId="0" fontId="46" fillId="0" borderId="0" xfId="6" applyFont="1" applyAlignment="1">
      <alignment horizontal="left" vertical="center"/>
    </xf>
    <xf numFmtId="0" fontId="46" fillId="0" borderId="0" xfId="6" applyFont="1"/>
    <xf numFmtId="178" fontId="46" fillId="0" borderId="0" xfId="6" applyNumberFormat="1" applyFont="1" applyAlignment="1">
      <alignment vertical="center"/>
    </xf>
    <xf numFmtId="0" fontId="46" fillId="0" borderId="0" xfId="6" applyFont="1" applyAlignment="1">
      <alignment horizontal="right" vertical="center" indent="1"/>
    </xf>
    <xf numFmtId="0" fontId="46" fillId="0" borderId="49" xfId="6" applyFont="1" applyBorder="1" applyAlignment="1">
      <alignment horizontal="center" vertical="center"/>
    </xf>
    <xf numFmtId="0" fontId="62" fillId="14" borderId="102" xfId="6" applyFont="1" applyFill="1" applyBorder="1" applyAlignment="1">
      <alignment horizontal="center" vertical="center"/>
    </xf>
    <xf numFmtId="0" fontId="11" fillId="0" borderId="174" xfId="0" applyFont="1" applyBorder="1"/>
    <xf numFmtId="0" fontId="46" fillId="0" borderId="105" xfId="6" applyFont="1" applyBorder="1" applyAlignment="1">
      <alignment horizontal="left" vertical="center"/>
    </xf>
    <xf numFmtId="0" fontId="46" fillId="0" borderId="105" xfId="6" applyFont="1" applyBorder="1"/>
    <xf numFmtId="179" fontId="46" fillId="0" borderId="105" xfId="6" applyNumberFormat="1" applyFont="1" applyBorder="1" applyAlignment="1">
      <alignment vertical="center"/>
    </xf>
    <xf numFmtId="180" fontId="46" fillId="0" borderId="105" xfId="6" applyNumberFormat="1" applyFont="1" applyBorder="1" applyAlignment="1">
      <alignment vertical="center"/>
    </xf>
    <xf numFmtId="0" fontId="46" fillId="0" borderId="105" xfId="6" applyFont="1" applyBorder="1" applyAlignment="1">
      <alignment horizontal="right" vertical="center" indent="1"/>
    </xf>
    <xf numFmtId="0" fontId="46" fillId="0" borderId="106" xfId="6" applyFont="1" applyBorder="1" applyAlignment="1">
      <alignment horizontal="center" vertical="center"/>
    </xf>
    <xf numFmtId="0" fontId="62" fillId="0" borderId="190" xfId="6" applyFont="1" applyBorder="1" applyAlignment="1">
      <alignment horizontal="center" vertical="center"/>
    </xf>
    <xf numFmtId="0" fontId="62" fillId="0" borderId="190" xfId="6" applyFont="1" applyBorder="1" applyAlignment="1">
      <alignment horizontal="left" vertical="center"/>
    </xf>
    <xf numFmtId="0" fontId="62" fillId="0" borderId="190" xfId="6" applyFont="1" applyBorder="1"/>
    <xf numFmtId="181" fontId="46" fillId="0" borderId="190" xfId="6" applyNumberFormat="1" applyFont="1" applyBorder="1" applyAlignment="1">
      <alignment vertical="center"/>
    </xf>
    <xf numFmtId="0" fontId="46" fillId="0" borderId="190" xfId="6" applyFont="1" applyBorder="1" applyAlignment="1">
      <alignment horizontal="left" vertical="center"/>
    </xf>
    <xf numFmtId="2" fontId="62" fillId="0" borderId="190" xfId="6" applyNumberFormat="1" applyFont="1" applyBorder="1" applyAlignment="1">
      <alignment horizontal="right" vertical="center" indent="1"/>
    </xf>
    <xf numFmtId="0" fontId="62" fillId="0" borderId="191" xfId="6" applyFont="1" applyBorder="1" applyAlignment="1">
      <alignment horizontal="center" vertical="center"/>
    </xf>
    <xf numFmtId="2" fontId="46" fillId="20" borderId="188" xfId="6" applyNumberFormat="1" applyFont="1" applyFill="1" applyBorder="1" applyAlignment="1">
      <alignment horizontal="right" vertical="center" indent="1"/>
    </xf>
    <xf numFmtId="2" fontId="46" fillId="20" borderId="181" xfId="6" applyNumberFormat="1" applyFont="1" applyFill="1" applyBorder="1" applyAlignment="1">
      <alignment horizontal="right" vertical="center" indent="1"/>
    </xf>
    <xf numFmtId="0" fontId="62" fillId="14" borderId="102" xfId="6" applyFont="1" applyFill="1" applyBorder="1" applyAlignment="1">
      <alignment horizontal="left" vertical="center"/>
    </xf>
    <xf numFmtId="2" fontId="46" fillId="20" borderId="184" xfId="6" applyNumberFormat="1" applyFont="1" applyFill="1" applyBorder="1" applyAlignment="1">
      <alignment horizontal="right" vertical="center" indent="1"/>
    </xf>
    <xf numFmtId="2" fontId="46" fillId="20" borderId="189" xfId="6" applyNumberFormat="1" applyFont="1" applyFill="1" applyBorder="1" applyAlignment="1">
      <alignment horizontal="right" vertical="center" indent="1"/>
    </xf>
    <xf numFmtId="2" fontId="46" fillId="20" borderId="49" xfId="6" applyNumberFormat="1" applyFont="1" applyFill="1" applyBorder="1" applyAlignment="1">
      <alignment horizontal="right" vertical="center" indent="1"/>
    </xf>
    <xf numFmtId="0" fontId="11" fillId="0" borderId="192" xfId="0" applyFont="1" applyBorder="1"/>
    <xf numFmtId="0" fontId="46" fillId="0" borderId="193" xfId="6" applyFont="1" applyBorder="1" applyAlignment="1">
      <alignment horizontal="left" vertical="center"/>
    </xf>
    <xf numFmtId="0" fontId="46" fillId="0" borderId="193" xfId="6" applyFont="1" applyBorder="1" applyAlignment="1">
      <alignment horizontal="right" vertical="center"/>
    </xf>
    <xf numFmtId="2" fontId="46" fillId="0" borderId="193" xfId="6" applyNumberFormat="1" applyFont="1" applyBorder="1" applyAlignment="1">
      <alignment vertical="center"/>
    </xf>
    <xf numFmtId="0" fontId="46" fillId="0" borderId="193" xfId="6" applyFont="1" applyBorder="1"/>
    <xf numFmtId="180" fontId="46" fillId="0" borderId="193" xfId="6" applyNumberFormat="1" applyFont="1" applyBorder="1" applyAlignment="1">
      <alignment vertical="center"/>
    </xf>
    <xf numFmtId="0" fontId="46" fillId="0" borderId="193" xfId="6" applyFont="1" applyBorder="1" applyAlignment="1">
      <alignment horizontal="right" vertical="center" indent="1"/>
    </xf>
    <xf numFmtId="0" fontId="46" fillId="0" borderId="194" xfId="6" applyFont="1" applyBorder="1" applyAlignment="1">
      <alignment horizontal="center" vertical="center"/>
    </xf>
    <xf numFmtId="0" fontId="11" fillId="0" borderId="177" xfId="0" applyFont="1" applyBorder="1"/>
    <xf numFmtId="0" fontId="11" fillId="0" borderId="176" xfId="0" applyFont="1" applyBorder="1"/>
    <xf numFmtId="0" fontId="46" fillId="0" borderId="177" xfId="6" applyFont="1" applyBorder="1"/>
    <xf numFmtId="178" fontId="46" fillId="0" borderId="177" xfId="6" applyNumberFormat="1" applyFont="1" applyBorder="1" applyAlignment="1">
      <alignment vertical="center"/>
    </xf>
    <xf numFmtId="177" fontId="46" fillId="0" borderId="177" xfId="6" applyNumberFormat="1" applyFont="1" applyBorder="1" applyAlignment="1">
      <alignment vertical="center"/>
    </xf>
    <xf numFmtId="0" fontId="46" fillId="0" borderId="177" xfId="6" applyFont="1" applyBorder="1" applyAlignment="1">
      <alignment vertical="center"/>
    </xf>
    <xf numFmtId="0" fontId="46" fillId="0" borderId="177" xfId="6" applyFont="1" applyBorder="1" applyAlignment="1">
      <alignment horizontal="right" vertical="center" indent="1"/>
    </xf>
    <xf numFmtId="0" fontId="46" fillId="0" borderId="178" xfId="6" applyFont="1" applyBorder="1" applyAlignment="1">
      <alignment horizontal="center" vertical="center"/>
    </xf>
    <xf numFmtId="0" fontId="13" fillId="0" borderId="105" xfId="6" applyBorder="1"/>
    <xf numFmtId="0" fontId="13" fillId="0" borderId="105" xfId="6" applyBorder="1" applyAlignment="1">
      <alignment horizontal="right"/>
    </xf>
    <xf numFmtId="0" fontId="13" fillId="0" borderId="105" xfId="0" applyFont="1" applyBorder="1"/>
    <xf numFmtId="165" fontId="13" fillId="0" borderId="105" xfId="6" applyNumberFormat="1" applyBorder="1" applyAlignment="1">
      <alignment horizontal="right"/>
    </xf>
    <xf numFmtId="165" fontId="13" fillId="0" borderId="105" xfId="6" applyNumberFormat="1" applyBorder="1" applyAlignment="1">
      <alignment horizontal="right" vertical="center"/>
    </xf>
    <xf numFmtId="0" fontId="13" fillId="0" borderId="105" xfId="6" applyBorder="1" applyAlignment="1">
      <alignment horizontal="right" vertical="center" indent="1"/>
    </xf>
    <xf numFmtId="0" fontId="13" fillId="0" borderId="106" xfId="0" applyFont="1" applyBorder="1" applyAlignment="1">
      <alignment horizontal="center" vertical="center"/>
    </xf>
    <xf numFmtId="0" fontId="11" fillId="0" borderId="186" xfId="0" applyFont="1" applyBorder="1"/>
    <xf numFmtId="0" fontId="13" fillId="0" borderId="187" xfId="6" applyBorder="1"/>
    <xf numFmtId="0" fontId="13" fillId="0" borderId="187" xfId="6" applyBorder="1" applyAlignment="1">
      <alignment horizontal="right" vertical="center"/>
    </xf>
    <xf numFmtId="165" fontId="13" fillId="0" borderId="187" xfId="6" applyNumberFormat="1" applyBorder="1" applyAlignment="1">
      <alignment horizontal="right" vertical="center"/>
    </xf>
    <xf numFmtId="0" fontId="13" fillId="0" borderId="187" xfId="6" applyBorder="1" applyAlignment="1">
      <alignment horizontal="left" vertical="center"/>
    </xf>
    <xf numFmtId="165" fontId="13" fillId="0" borderId="187" xfId="6" applyNumberFormat="1" applyBorder="1" applyAlignment="1">
      <alignment horizontal="right"/>
    </xf>
    <xf numFmtId="0" fontId="13" fillId="0" borderId="187" xfId="6" applyBorder="1" applyAlignment="1">
      <alignment horizontal="right" vertical="center" indent="1"/>
    </xf>
    <xf numFmtId="0" fontId="13" fillId="0" borderId="188" xfId="0" applyFont="1" applyBorder="1" applyAlignment="1">
      <alignment horizontal="center" vertical="center"/>
    </xf>
    <xf numFmtId="0" fontId="82" fillId="0" borderId="0" xfId="6" applyFont="1"/>
    <xf numFmtId="0" fontId="13" fillId="0" borderId="187" xfId="0" applyFont="1" applyBorder="1"/>
    <xf numFmtId="0" fontId="13" fillId="0" borderId="187" xfId="0" applyFont="1" applyBorder="1" applyAlignment="1">
      <alignment horizontal="right" vertical="center"/>
    </xf>
    <xf numFmtId="2" fontId="13" fillId="0" borderId="187" xfId="0" applyNumberFormat="1" applyFont="1" applyBorder="1" applyAlignment="1">
      <alignment horizontal="center" vertical="center"/>
    </xf>
    <xf numFmtId="0" fontId="13" fillId="0" borderId="187" xfId="0" applyFont="1" applyBorder="1" applyAlignment="1">
      <alignment horizontal="center" vertical="center"/>
    </xf>
    <xf numFmtId="0" fontId="46" fillId="0" borderId="188" xfId="0" applyFont="1" applyBorder="1" applyAlignment="1">
      <alignment horizontal="center" vertical="center"/>
    </xf>
    <xf numFmtId="182" fontId="62" fillId="14" borderId="109" xfId="6" applyNumberFormat="1" applyFont="1" applyFill="1" applyBorder="1" applyAlignment="1">
      <alignment horizontal="right" vertical="center" indent="1"/>
    </xf>
    <xf numFmtId="0" fontId="13" fillId="0" borderId="105" xfId="0" applyFont="1" applyBorder="1" applyAlignment="1">
      <alignment horizontal="right" vertical="center"/>
    </xf>
    <xf numFmtId="2" fontId="13" fillId="0" borderId="105" xfId="0" applyNumberFormat="1" applyFont="1" applyBorder="1" applyAlignment="1">
      <alignment horizontal="right"/>
    </xf>
    <xf numFmtId="0" fontId="11" fillId="0" borderId="88" xfId="0" applyFont="1" applyBorder="1"/>
    <xf numFmtId="0" fontId="13" fillId="0" borderId="0" xfId="0" applyFont="1" applyAlignment="1">
      <alignment horizontal="right" vertical="center"/>
    </xf>
    <xf numFmtId="2" fontId="13" fillId="0" borderId="0" xfId="0" applyNumberFormat="1" applyFont="1" applyAlignment="1">
      <alignment horizontal="right"/>
    </xf>
    <xf numFmtId="0" fontId="13" fillId="0" borderId="0" xfId="0" applyFont="1"/>
    <xf numFmtId="0" fontId="13" fillId="0" borderId="0" xfId="0" quotePrefix="1" applyFont="1"/>
    <xf numFmtId="0" fontId="13" fillId="0" borderId="49" xfId="0" applyFont="1" applyBorder="1" applyAlignment="1">
      <alignment horizontal="center" vertical="center"/>
    </xf>
    <xf numFmtId="2" fontId="13" fillId="0" borderId="187" xfId="0" applyNumberFormat="1" applyFont="1" applyBorder="1" applyAlignment="1">
      <alignment horizontal="right"/>
    </xf>
    <xf numFmtId="0" fontId="13" fillId="0" borderId="187" xfId="0" applyFont="1" applyBorder="1" applyAlignment="1">
      <alignment horizontal="right"/>
    </xf>
    <xf numFmtId="0" fontId="13" fillId="0" borderId="187" xfId="0" applyFont="1" applyBorder="1" applyAlignment="1">
      <alignment horizontal="right" indent="1"/>
    </xf>
    <xf numFmtId="0" fontId="46" fillId="21" borderId="179" xfId="6" applyFont="1" applyFill="1" applyBorder="1" applyAlignment="1">
      <alignment horizontal="left" indent="2"/>
    </xf>
    <xf numFmtId="0" fontId="46" fillId="21" borderId="180" xfId="6" applyFont="1" applyFill="1" applyBorder="1" applyAlignment="1">
      <alignment horizontal="left" vertical="center"/>
    </xf>
    <xf numFmtId="0" fontId="46" fillId="21" borderId="180" xfId="6" applyFont="1" applyFill="1" applyBorder="1" applyAlignment="1">
      <alignment horizontal="centerContinuous"/>
    </xf>
    <xf numFmtId="4" fontId="46" fillId="21" borderId="180" xfId="6" applyNumberFormat="1" applyFont="1" applyFill="1" applyBorder="1" applyAlignment="1">
      <alignment horizontal="centerContinuous"/>
    </xf>
    <xf numFmtId="165" fontId="46" fillId="21" borderId="180" xfId="6" applyNumberFormat="1" applyFont="1" applyFill="1" applyBorder="1" applyAlignment="1">
      <alignment horizontal="centerContinuous"/>
    </xf>
    <xf numFmtId="2" fontId="46" fillId="21" borderId="180" xfId="6" applyNumberFormat="1" applyFont="1" applyFill="1" applyBorder="1" applyAlignment="1">
      <alignment horizontal="right" vertical="center" indent="1"/>
    </xf>
    <xf numFmtId="0" fontId="46" fillId="21" borderId="181" xfId="0" applyFont="1" applyFill="1" applyBorder="1" applyAlignment="1">
      <alignment horizontal="center" vertical="center"/>
    </xf>
    <xf numFmtId="0" fontId="21" fillId="0" borderId="0" xfId="6" applyFont="1"/>
    <xf numFmtId="0" fontId="11" fillId="0" borderId="102" xfId="0" applyFont="1" applyBorder="1"/>
    <xf numFmtId="0" fontId="13" fillId="0" borderId="109" xfId="0" applyFont="1" applyBorder="1" applyAlignment="1">
      <alignment horizontal="center" vertical="center"/>
    </xf>
    <xf numFmtId="2" fontId="13" fillId="0" borderId="109" xfId="0" applyNumberFormat="1" applyFont="1" applyBorder="1" applyAlignment="1">
      <alignment horizontal="right" vertical="center"/>
    </xf>
    <xf numFmtId="0" fontId="13" fillId="0" borderId="109" xfId="0" applyFont="1" applyBorder="1" applyAlignment="1">
      <alignment horizontal="left" vertical="center"/>
    </xf>
    <xf numFmtId="2" fontId="13" fillId="0" borderId="109" xfId="0" applyNumberFormat="1" applyFont="1" applyBorder="1" applyAlignment="1">
      <alignment horizontal="center" vertical="center"/>
    </xf>
    <xf numFmtId="0" fontId="13" fillId="0" borderId="109" xfId="0" applyFont="1" applyBorder="1" applyAlignment="1">
      <alignment horizontal="right" vertical="center"/>
    </xf>
    <xf numFmtId="0" fontId="13" fillId="0" borderId="109" xfId="0" applyFont="1" applyBorder="1" applyAlignment="1">
      <alignment horizontal="right" vertical="center" indent="1"/>
    </xf>
    <xf numFmtId="0" fontId="46" fillId="0" borderId="104" xfId="0" applyFont="1" applyBorder="1" applyAlignment="1">
      <alignment horizontal="center" vertical="center"/>
    </xf>
    <xf numFmtId="0" fontId="13" fillId="0" borderId="105" xfId="0" applyFont="1" applyBorder="1" applyAlignment="1">
      <alignment horizontal="center" vertical="center"/>
    </xf>
    <xf numFmtId="0" fontId="46" fillId="0" borderId="106" xfId="0" applyFont="1" applyBorder="1" applyAlignment="1">
      <alignment horizontal="center" vertical="center"/>
    </xf>
    <xf numFmtId="2" fontId="11" fillId="0" borderId="0" xfId="0" applyNumberFormat="1" applyFont="1" applyAlignment="1">
      <alignment horizontal="right" vertical="center"/>
    </xf>
    <xf numFmtId="0" fontId="46" fillId="21" borderId="179" xfId="6" applyFont="1" applyFill="1" applyBorder="1" applyAlignment="1">
      <alignment horizontal="centerContinuous"/>
    </xf>
    <xf numFmtId="0" fontId="62" fillId="14" borderId="109" xfId="6" applyFont="1" applyFill="1" applyBorder="1" applyAlignment="1">
      <alignment horizontal="center"/>
    </xf>
    <xf numFmtId="2" fontId="13" fillId="0" borderId="0" xfId="0" applyNumberFormat="1" applyFont="1" applyAlignment="1">
      <alignment horizontal="center" vertical="center"/>
    </xf>
    <xf numFmtId="0" fontId="13" fillId="0" borderId="0" xfId="0" applyFont="1" applyAlignment="1">
      <alignment horizontal="center" vertical="center"/>
    </xf>
    <xf numFmtId="0" fontId="46" fillId="0" borderId="49" xfId="0" applyFont="1" applyBorder="1" applyAlignment="1">
      <alignment horizontal="center" vertical="center"/>
    </xf>
    <xf numFmtId="0" fontId="11" fillId="0" borderId="51" xfId="0" applyFont="1" applyBorder="1"/>
    <xf numFmtId="0" fontId="11" fillId="0" borderId="50" xfId="0" applyFont="1" applyBorder="1" applyAlignment="1">
      <alignment horizontal="center" vertical="center"/>
    </xf>
    <xf numFmtId="183" fontId="11" fillId="0" borderId="50" xfId="0" applyNumberFormat="1" applyFont="1" applyBorder="1" applyAlignment="1">
      <alignment horizontal="center" vertical="center"/>
    </xf>
    <xf numFmtId="0" fontId="11" fillId="0" borderId="52" xfId="0" applyFont="1" applyBorder="1" applyAlignment="1">
      <alignment horizontal="center" vertical="center"/>
    </xf>
    <xf numFmtId="0" fontId="13" fillId="0" borderId="105" xfId="0" applyFont="1" applyBorder="1" applyAlignment="1">
      <alignment vertical="center"/>
    </xf>
    <xf numFmtId="0" fontId="13" fillId="0" borderId="0" xfId="0" applyFont="1" applyAlignment="1">
      <alignment vertical="center"/>
    </xf>
    <xf numFmtId="0" fontId="84" fillId="0" borderId="0" xfId="0" applyFont="1" applyAlignment="1">
      <alignment horizontal="right" indent="1"/>
    </xf>
    <xf numFmtId="2" fontId="62" fillId="17" borderId="67" xfId="3" applyNumberFormat="1" applyFont="1" applyFill="1" applyBorder="1" applyAlignment="1">
      <alignment horizontal="centerContinuous" vertical="center"/>
    </xf>
    <xf numFmtId="2" fontId="62" fillId="17" borderId="69" xfId="3" applyNumberFormat="1" applyFont="1" applyFill="1" applyBorder="1" applyAlignment="1">
      <alignment horizontal="centerContinuous" vertical="center"/>
    </xf>
    <xf numFmtId="0" fontId="11" fillId="17" borderId="69" xfId="0" applyFont="1" applyFill="1" applyBorder="1" applyAlignment="1">
      <alignment horizontal="centerContinuous"/>
    </xf>
    <xf numFmtId="0" fontId="11" fillId="17" borderId="195" xfId="0" applyFont="1" applyFill="1" applyBorder="1" applyAlignment="1">
      <alignment horizontal="centerContinuous" vertical="center"/>
    </xf>
    <xf numFmtId="0" fontId="62" fillId="17" borderId="87" xfId="3" applyFont="1" applyFill="1" applyBorder="1" applyAlignment="1">
      <alignment horizontal="center" vertical="center"/>
    </xf>
    <xf numFmtId="0" fontId="62" fillId="17" borderId="79" xfId="3" applyFont="1" applyFill="1" applyBorder="1" applyAlignment="1">
      <alignment horizontal="center" vertical="center"/>
    </xf>
    <xf numFmtId="0" fontId="62" fillId="17" borderId="80" xfId="3" applyFont="1" applyFill="1" applyBorder="1" applyAlignment="1">
      <alignment horizontal="left" vertical="center" indent="2"/>
    </xf>
    <xf numFmtId="0" fontId="11" fillId="17" borderId="196" xfId="0" applyFont="1" applyFill="1" applyBorder="1"/>
    <xf numFmtId="0" fontId="11" fillId="17" borderId="197" xfId="0" applyFont="1" applyFill="1" applyBorder="1"/>
    <xf numFmtId="0" fontId="62" fillId="17" borderId="79" xfId="3" applyFont="1" applyFill="1" applyBorder="1" applyAlignment="1">
      <alignment horizontal="center" vertical="center" wrapText="1"/>
    </xf>
    <xf numFmtId="0" fontId="62" fillId="17" borderId="198" xfId="3" applyFont="1" applyFill="1" applyBorder="1" applyAlignment="1">
      <alignment horizontal="center" vertical="center"/>
    </xf>
    <xf numFmtId="0" fontId="85" fillId="0" borderId="0" xfId="0" applyFont="1" applyAlignment="1">
      <alignment horizontal="right" vertical="center"/>
    </xf>
    <xf numFmtId="2" fontId="13" fillId="0" borderId="61" xfId="3" applyNumberFormat="1" applyBorder="1" applyAlignment="1">
      <alignment horizontal="center" vertical="center" wrapText="1"/>
    </xf>
    <xf numFmtId="0" fontId="13" fillId="0" borderId="199" xfId="2" applyFont="1" applyBorder="1" applyAlignment="1">
      <alignment horizontal="left" vertical="center"/>
    </xf>
    <xf numFmtId="4" fontId="13" fillId="0" borderId="2" xfId="3" applyNumberFormat="1" applyBorder="1" applyAlignment="1">
      <alignment horizontal="center" vertical="center"/>
    </xf>
    <xf numFmtId="4" fontId="34" fillId="0" borderId="2" xfId="0" applyNumberFormat="1" applyFont="1" applyBorder="1" applyAlignment="1">
      <alignment horizontal="right" vertical="center"/>
    </xf>
    <xf numFmtId="0" fontId="13" fillId="0" borderId="2" xfId="3" applyBorder="1" applyAlignment="1">
      <alignment horizontal="center" vertical="center"/>
    </xf>
    <xf numFmtId="4" fontId="13" fillId="0" borderId="200" xfId="3" applyNumberFormat="1" applyBorder="1" applyAlignment="1">
      <alignment horizontal="right" vertical="center" indent="1"/>
    </xf>
    <xf numFmtId="0" fontId="13" fillId="0" borderId="200" xfId="3" applyBorder="1" applyAlignment="1">
      <alignment horizontal="center" vertical="center"/>
    </xf>
    <xf numFmtId="0" fontId="13" fillId="0" borderId="73" xfId="3" applyBorder="1" applyAlignment="1">
      <alignment horizontal="center" vertical="center"/>
    </xf>
    <xf numFmtId="0" fontId="13" fillId="0" borderId="201" xfId="2" applyFont="1" applyBorder="1" applyAlignment="1">
      <alignment horizontal="left" vertical="center"/>
    </xf>
    <xf numFmtId="4" fontId="13" fillId="0" borderId="202" xfId="3" applyNumberFormat="1" applyBorder="1" applyAlignment="1">
      <alignment horizontal="center" vertical="center"/>
    </xf>
    <xf numFmtId="4" fontId="34" fillId="0" borderId="202" xfId="0" applyNumberFormat="1" applyFont="1" applyBorder="1" applyAlignment="1">
      <alignment horizontal="right" vertical="center"/>
    </xf>
    <xf numFmtId="0" fontId="13" fillId="0" borderId="202" xfId="3" applyBorder="1" applyAlignment="1">
      <alignment horizontal="center" vertical="center"/>
    </xf>
    <xf numFmtId="0" fontId="13" fillId="0" borderId="203" xfId="3" applyBorder="1" applyAlignment="1">
      <alignment horizontal="center" vertical="center"/>
    </xf>
    <xf numFmtId="2" fontId="13" fillId="14" borderId="61" xfId="3" applyNumberFormat="1" applyFill="1" applyBorder="1" applyAlignment="1">
      <alignment horizontal="center" vertical="center" wrapText="1"/>
    </xf>
    <xf numFmtId="0" fontId="13" fillId="14" borderId="73" xfId="3" applyFill="1" applyBorder="1" applyAlignment="1">
      <alignment horizontal="center" vertical="center"/>
    </xf>
    <xf numFmtId="0" fontId="13" fillId="14" borderId="201" xfId="2" applyFont="1" applyFill="1" applyBorder="1" applyAlignment="1">
      <alignment horizontal="left" vertical="center"/>
    </xf>
    <xf numFmtId="4" fontId="13" fillId="14" borderId="202" xfId="3" applyNumberFormat="1" applyFill="1" applyBorder="1" applyAlignment="1">
      <alignment horizontal="center" vertical="center"/>
    </xf>
    <xf numFmtId="4" fontId="34" fillId="14" borderId="202" xfId="0" applyNumberFormat="1" applyFont="1" applyFill="1" applyBorder="1" applyAlignment="1">
      <alignment horizontal="right" vertical="center"/>
    </xf>
    <xf numFmtId="0" fontId="13" fillId="14" borderId="202" xfId="3" applyFill="1" applyBorder="1" applyAlignment="1">
      <alignment horizontal="center" vertical="center"/>
    </xf>
    <xf numFmtId="0" fontId="13" fillId="14" borderId="203" xfId="3" applyFill="1" applyBorder="1" applyAlignment="1">
      <alignment horizontal="center" vertical="center"/>
    </xf>
    <xf numFmtId="4" fontId="13" fillId="14" borderId="200" xfId="3" applyNumberFormat="1" applyFill="1" applyBorder="1" applyAlignment="1">
      <alignment horizontal="right" vertical="center" indent="1"/>
    </xf>
    <xf numFmtId="0" fontId="13" fillId="14" borderId="200" xfId="3" applyFill="1" applyBorder="1" applyAlignment="1">
      <alignment horizontal="center" vertical="center"/>
    </xf>
    <xf numFmtId="0" fontId="11" fillId="0" borderId="0" xfId="0" applyFont="1" applyAlignment="1">
      <alignment horizontal="right" indent="1"/>
    </xf>
    <xf numFmtId="0" fontId="18" fillId="22" borderId="64" xfId="3" applyFont="1" applyFill="1" applyBorder="1" applyAlignment="1">
      <alignment horizontal="center" vertical="center"/>
    </xf>
    <xf numFmtId="0" fontId="18" fillId="19" borderId="64" xfId="3" applyFont="1" applyFill="1" applyBorder="1" applyAlignment="1">
      <alignment horizontal="left" vertical="center"/>
    </xf>
    <xf numFmtId="0" fontId="18" fillId="19" borderId="64" xfId="3" applyFont="1" applyFill="1" applyBorder="1" applyAlignment="1">
      <alignment horizontal="center" vertical="center"/>
    </xf>
    <xf numFmtId="0" fontId="18" fillId="19" borderId="0" xfId="3" applyFont="1" applyFill="1" applyAlignment="1">
      <alignment horizontal="center" vertical="center"/>
    </xf>
    <xf numFmtId="0" fontId="18" fillId="19" borderId="64" xfId="3" applyFont="1" applyFill="1" applyBorder="1" applyAlignment="1">
      <alignment horizontal="center" vertical="center" wrapText="1"/>
    </xf>
    <xf numFmtId="0" fontId="13" fillId="18" borderId="61" xfId="3" applyFill="1" applyBorder="1" applyAlignment="1">
      <alignment horizontal="center" vertical="center"/>
    </xf>
    <xf numFmtId="0" fontId="13" fillId="18" borderId="61" xfId="3" applyFill="1" applyBorder="1" applyAlignment="1">
      <alignment horizontal="left" vertical="center"/>
    </xf>
    <xf numFmtId="0" fontId="18" fillId="18" borderId="73" xfId="3" applyFont="1" applyFill="1" applyBorder="1" applyAlignment="1">
      <alignment horizontal="center" vertical="center"/>
    </xf>
    <xf numFmtId="0" fontId="18" fillId="18" borderId="83" xfId="3" applyFont="1" applyFill="1" applyBorder="1" applyAlignment="1">
      <alignment horizontal="center" vertical="center"/>
    </xf>
    <xf numFmtId="0" fontId="13" fillId="18" borderId="83" xfId="3" applyFill="1" applyBorder="1" applyAlignment="1">
      <alignment horizontal="center" vertical="center"/>
    </xf>
    <xf numFmtId="0" fontId="18" fillId="18" borderId="92" xfId="3" applyFont="1" applyFill="1" applyBorder="1" applyAlignment="1">
      <alignment horizontal="center" vertical="center"/>
    </xf>
    <xf numFmtId="0" fontId="13" fillId="0" borderId="61" xfId="3" applyBorder="1" applyAlignment="1">
      <alignment horizontal="left" vertical="center"/>
    </xf>
    <xf numFmtId="0" fontId="13" fillId="0" borderId="83" xfId="3" applyBorder="1" applyAlignment="1">
      <alignment horizontal="center" vertical="center"/>
    </xf>
    <xf numFmtId="0" fontId="13" fillId="0" borderId="92" xfId="3" applyBorder="1" applyAlignment="1">
      <alignment horizontal="center" vertical="center"/>
    </xf>
    <xf numFmtId="0" fontId="13" fillId="0" borderId="0" xfId="3" applyAlignment="1">
      <alignment horizontal="left" vertical="center"/>
    </xf>
    <xf numFmtId="0" fontId="28" fillId="0" borderId="0" xfId="3" applyFont="1" applyAlignment="1">
      <alignment horizontal="center" vertical="center"/>
    </xf>
    <xf numFmtId="0" fontId="13" fillId="18" borderId="73" xfId="3" applyFill="1" applyBorder="1" applyAlignment="1">
      <alignment horizontal="center" vertical="center"/>
    </xf>
    <xf numFmtId="0" fontId="30" fillId="0" borderId="61" xfId="14" applyBorder="1" applyAlignment="1">
      <alignment horizontal="center" vertical="center"/>
    </xf>
    <xf numFmtId="0" fontId="30" fillId="0" borderId="61" xfId="14" applyBorder="1" applyAlignment="1">
      <alignment horizontal="left" vertical="center"/>
    </xf>
    <xf numFmtId="0" fontId="13" fillId="0" borderId="61" xfId="10" applyFont="1" applyBorder="1" applyAlignment="1">
      <alignment horizontal="center" vertical="center"/>
    </xf>
    <xf numFmtId="0" fontId="13" fillId="0" borderId="61" xfId="2" applyFont="1" applyBorder="1" applyAlignment="1">
      <alignment horizontal="left" vertical="center" wrapText="1"/>
    </xf>
    <xf numFmtId="0" fontId="18" fillId="19" borderId="61" xfId="3" applyFont="1" applyFill="1" applyBorder="1" applyAlignment="1">
      <alignment horizontal="left" vertical="center" wrapText="1"/>
    </xf>
    <xf numFmtId="4" fontId="28" fillId="0" borderId="0" xfId="3" applyNumberFormat="1" applyFont="1" applyAlignment="1">
      <alignment horizontal="left" vertical="center"/>
    </xf>
    <xf numFmtId="0" fontId="13" fillId="0" borderId="117" xfId="2" applyFont="1" applyBorder="1" applyAlignment="1">
      <alignment horizontal="left" vertical="center" wrapText="1"/>
    </xf>
    <xf numFmtId="0" fontId="18" fillId="0" borderId="83" xfId="3" applyFont="1" applyBorder="1" applyAlignment="1">
      <alignment horizontal="center" vertical="center"/>
    </xf>
    <xf numFmtId="0" fontId="18" fillId="0" borderId="92" xfId="3" applyFont="1" applyBorder="1" applyAlignment="1">
      <alignment horizontal="center" vertical="center"/>
    </xf>
    <xf numFmtId="185" fontId="30" fillId="0" borderId="0" xfId="14" applyNumberFormat="1" applyAlignment="1">
      <alignment horizontal="right" vertical="center"/>
    </xf>
    <xf numFmtId="0" fontId="88" fillId="0" borderId="0" xfId="3" applyFont="1" applyAlignment="1">
      <alignment horizontal="left"/>
    </xf>
    <xf numFmtId="0" fontId="88" fillId="0" borderId="0" xfId="3" applyFont="1" applyAlignment="1">
      <alignment horizontal="center" vertical="center"/>
    </xf>
    <xf numFmtId="0" fontId="88" fillId="0" borderId="0" xfId="3" applyFont="1" applyAlignment="1">
      <alignment horizontal="right"/>
    </xf>
    <xf numFmtId="4" fontId="88" fillId="0" borderId="0" xfId="3" applyNumberFormat="1" applyFont="1" applyAlignment="1">
      <alignment horizontal="right"/>
    </xf>
    <xf numFmtId="0" fontId="88" fillId="8" borderId="0" xfId="3" applyFont="1" applyFill="1" applyAlignment="1">
      <alignment horizontal="left"/>
    </xf>
    <xf numFmtId="0" fontId="88" fillId="8" borderId="0" xfId="3" applyFont="1" applyFill="1" applyAlignment="1">
      <alignment horizontal="center" vertical="center"/>
    </xf>
    <xf numFmtId="4" fontId="88" fillId="8" borderId="0" xfId="3" applyNumberFormat="1" applyFont="1" applyFill="1" applyAlignment="1">
      <alignment horizontal="right"/>
    </xf>
    <xf numFmtId="0" fontId="88" fillId="6" borderId="0" xfId="3" applyFont="1" applyFill="1" applyAlignment="1">
      <alignment horizontal="left"/>
    </xf>
    <xf numFmtId="0" fontId="88" fillId="6" borderId="0" xfId="3" applyFont="1" applyFill="1" applyAlignment="1">
      <alignment horizontal="center" vertical="center"/>
    </xf>
    <xf numFmtId="0" fontId="88" fillId="6" borderId="0" xfId="3" applyFont="1" applyFill="1" applyAlignment="1">
      <alignment horizontal="right"/>
    </xf>
    <xf numFmtId="0" fontId="88" fillId="8" borderId="0" xfId="3" applyFont="1" applyFill="1" applyAlignment="1">
      <alignment horizontal="right"/>
    </xf>
    <xf numFmtId="0" fontId="88" fillId="14" borderId="0" xfId="3" applyFont="1" applyFill="1" applyAlignment="1">
      <alignment horizontal="left"/>
    </xf>
    <xf numFmtId="0" fontId="88" fillId="14" borderId="0" xfId="3" applyFont="1" applyFill="1" applyAlignment="1">
      <alignment horizontal="center" vertical="center"/>
    </xf>
    <xf numFmtId="0" fontId="88" fillId="14" borderId="0" xfId="3" applyFont="1" applyFill="1" applyAlignment="1">
      <alignment horizontal="right"/>
    </xf>
    <xf numFmtId="0" fontId="89" fillId="0" borderId="0" xfId="3" applyFont="1" applyAlignment="1">
      <alignment horizontal="left"/>
    </xf>
    <xf numFmtId="0" fontId="89" fillId="0" borderId="0" xfId="3" applyFont="1" applyAlignment="1">
      <alignment horizontal="center" vertical="center"/>
    </xf>
    <xf numFmtId="0" fontId="89" fillId="0" borderId="0" xfId="3" applyFont="1" applyAlignment="1">
      <alignment horizontal="right"/>
    </xf>
    <xf numFmtId="0" fontId="30" fillId="0" borderId="0" xfId="14"/>
    <xf numFmtId="185" fontId="32" fillId="0" borderId="0" xfId="14" applyNumberFormat="1" applyFont="1"/>
    <xf numFmtId="0" fontId="29" fillId="23" borderId="109" xfId="14" applyFont="1" applyFill="1" applyBorder="1" applyAlignment="1">
      <alignment horizontal="center"/>
    </xf>
    <xf numFmtId="0" fontId="29" fillId="23" borderId="109" xfId="14" applyFont="1" applyFill="1" applyBorder="1" applyAlignment="1">
      <alignment horizontal="center" wrapText="1"/>
    </xf>
    <xf numFmtId="0" fontId="29" fillId="24" borderId="109" xfId="14" applyFont="1" applyFill="1" applyBorder="1" applyAlignment="1">
      <alignment horizontal="center" wrapText="1"/>
    </xf>
    <xf numFmtId="4" fontId="29" fillId="24" borderId="109" xfId="14" applyNumberFormat="1" applyFont="1" applyFill="1" applyBorder="1" applyAlignment="1">
      <alignment horizontal="right" wrapText="1"/>
    </xf>
    <xf numFmtId="186" fontId="18" fillId="23" borderId="109" xfId="14" applyNumberFormat="1" applyFont="1" applyFill="1" applyBorder="1" applyAlignment="1">
      <alignment horizontal="center"/>
    </xf>
    <xf numFmtId="0" fontId="90" fillId="24" borderId="109" xfId="14" applyFont="1" applyFill="1" applyBorder="1" applyAlignment="1">
      <alignment wrapText="1"/>
    </xf>
    <xf numFmtId="0" fontId="90" fillId="24" borderId="109" xfId="14" applyFont="1" applyFill="1" applyBorder="1" applyAlignment="1">
      <alignment horizontal="center"/>
    </xf>
    <xf numFmtId="4" fontId="91" fillId="25" borderId="109" xfId="14" applyNumberFormat="1" applyFont="1" applyFill="1" applyBorder="1" applyAlignment="1">
      <alignment horizontal="right"/>
    </xf>
    <xf numFmtId="186" fontId="24" fillId="0" borderId="109" xfId="15" applyNumberFormat="1" applyFont="1" applyBorder="1" applyAlignment="1">
      <alignment horizontal="center" wrapText="1"/>
    </xf>
    <xf numFmtId="0" fontId="92" fillId="0" borderId="109" xfId="15" applyFont="1" applyBorder="1" applyAlignment="1">
      <alignment wrapText="1"/>
    </xf>
    <xf numFmtId="0" fontId="92" fillId="0" borderId="109" xfId="15" applyFont="1" applyBorder="1" applyAlignment="1">
      <alignment horizontal="center" wrapText="1"/>
    </xf>
    <xf numFmtId="4" fontId="91" fillId="0" borderId="109" xfId="15" applyNumberFormat="1" applyFont="1" applyBorder="1" applyAlignment="1">
      <alignment horizontal="right" wrapText="1"/>
    </xf>
    <xf numFmtId="186" fontId="22" fillId="0" borderId="109" xfId="15" applyNumberFormat="1" applyFont="1" applyBorder="1" applyAlignment="1">
      <alignment horizontal="center" wrapText="1"/>
    </xf>
    <xf numFmtId="0" fontId="90" fillId="0" borderId="109" xfId="15" applyFont="1" applyBorder="1" applyAlignment="1">
      <alignment wrapText="1"/>
    </xf>
    <xf numFmtId="0" fontId="90" fillId="0" borderId="109" xfId="15" applyFont="1" applyBorder="1" applyAlignment="1">
      <alignment horizontal="center" wrapText="1"/>
    </xf>
    <xf numFmtId="4" fontId="93" fillId="0" borderId="109" xfId="15" applyNumberFormat="1" applyFont="1" applyBorder="1" applyAlignment="1">
      <alignment horizontal="right" wrapText="1"/>
    </xf>
    <xf numFmtId="0" fontId="29" fillId="0" borderId="0" xfId="14" applyFont="1"/>
    <xf numFmtId="186" fontId="18" fillId="25" borderId="109" xfId="14" applyNumberFormat="1" applyFont="1" applyFill="1" applyBorder="1" applyAlignment="1">
      <alignment horizontal="center"/>
    </xf>
    <xf numFmtId="0" fontId="90" fillId="25" borderId="109" xfId="14" applyFont="1" applyFill="1" applyBorder="1" applyAlignment="1">
      <alignment wrapText="1"/>
    </xf>
    <xf numFmtId="0" fontId="90" fillId="25" borderId="109" xfId="14" applyFont="1" applyFill="1" applyBorder="1" applyAlignment="1">
      <alignment horizontal="center" wrapText="1"/>
    </xf>
    <xf numFmtId="0" fontId="90" fillId="24" borderId="109" xfId="14" applyFont="1" applyFill="1" applyBorder="1" applyAlignment="1">
      <alignment horizontal="center" wrapText="1"/>
    </xf>
    <xf numFmtId="186" fontId="0" fillId="0" borderId="109" xfId="15" applyNumberFormat="1" applyFont="1" applyBorder="1" applyAlignment="1">
      <alignment horizontal="center" wrapText="1"/>
    </xf>
    <xf numFmtId="0" fontId="94" fillId="0" borderId="109" xfId="15" applyFont="1" applyBorder="1" applyAlignment="1">
      <alignment wrapText="1"/>
    </xf>
    <xf numFmtId="0" fontId="94" fillId="0" borderId="109" xfId="15" applyFont="1" applyBorder="1" applyAlignment="1">
      <alignment horizontal="center" wrapText="1"/>
    </xf>
    <xf numFmtId="4" fontId="95" fillId="0" borderId="109" xfId="15" applyNumberFormat="1" applyFont="1" applyBorder="1" applyAlignment="1">
      <alignment horizontal="right" wrapText="1"/>
    </xf>
    <xf numFmtId="186" fontId="0" fillId="0" borderId="0" xfId="15" applyNumberFormat="1" applyFont="1" applyAlignment="1">
      <alignment horizontal="center" wrapText="1"/>
    </xf>
    <xf numFmtId="0" fontId="94" fillId="0" borderId="0" xfId="15" applyFont="1" applyAlignment="1">
      <alignment wrapText="1"/>
    </xf>
    <xf numFmtId="0" fontId="94" fillId="0" borderId="0" xfId="15" applyFont="1" applyAlignment="1">
      <alignment horizontal="center" wrapText="1"/>
    </xf>
    <xf numFmtId="4" fontId="95" fillId="0" borderId="0" xfId="15" applyNumberFormat="1" applyFont="1" applyAlignment="1">
      <alignment horizontal="right" wrapText="1"/>
    </xf>
    <xf numFmtId="186" fontId="0" fillId="0" borderId="50" xfId="15" applyNumberFormat="1" applyFont="1" applyBorder="1" applyAlignment="1">
      <alignment horizontal="center" wrapText="1"/>
    </xf>
    <xf numFmtId="0" fontId="94" fillId="0" borderId="50" xfId="15" applyFont="1" applyBorder="1" applyAlignment="1">
      <alignment wrapText="1"/>
    </xf>
    <xf numFmtId="0" fontId="94" fillId="0" borderId="50" xfId="15" applyFont="1" applyBorder="1" applyAlignment="1">
      <alignment horizontal="center" wrapText="1"/>
    </xf>
    <xf numFmtId="4" fontId="95" fillId="0" borderId="50" xfId="15" applyNumberFormat="1" applyFont="1" applyBorder="1" applyAlignment="1">
      <alignment horizontal="right" wrapText="1"/>
    </xf>
    <xf numFmtId="0" fontId="30" fillId="19" borderId="0" xfId="14" applyFill="1"/>
    <xf numFmtId="0" fontId="30" fillId="18" borderId="0" xfId="14" applyFill="1"/>
    <xf numFmtId="0" fontId="30" fillId="6" borderId="0" xfId="14" applyFill="1"/>
    <xf numFmtId="0" fontId="36" fillId="0" borderId="0" xfId="0" applyFont="1"/>
    <xf numFmtId="0" fontId="82" fillId="17" borderId="61" xfId="3" applyFont="1" applyFill="1" applyBorder="1" applyAlignment="1">
      <alignment horizontal="center" vertical="center"/>
    </xf>
    <xf numFmtId="0" fontId="82" fillId="17" borderId="61" xfId="3" applyFont="1" applyFill="1" applyBorder="1" applyAlignment="1">
      <alignment horizontal="left" vertical="center" indent="2"/>
    </xf>
    <xf numFmtId="0" fontId="36" fillId="0" borderId="61" xfId="0" applyFont="1" applyBorder="1" applyAlignment="1">
      <alignment vertical="center"/>
    </xf>
    <xf numFmtId="0" fontId="36" fillId="0" borderId="61" xfId="0" applyFont="1" applyBorder="1"/>
    <xf numFmtId="0" fontId="97" fillId="0" borderId="61" xfId="0" applyFont="1" applyBorder="1" applyAlignment="1">
      <alignment horizontal="center" vertical="center"/>
    </xf>
    <xf numFmtId="0" fontId="97" fillId="0" borderId="61" xfId="0" applyFont="1" applyBorder="1" applyAlignment="1">
      <alignment vertical="center"/>
    </xf>
    <xf numFmtId="0" fontId="36" fillId="0" borderId="61" xfId="0" applyFont="1" applyBorder="1" applyAlignment="1">
      <alignment horizontal="center" vertical="center"/>
    </xf>
    <xf numFmtId="0" fontId="21" fillId="0" borderId="61" xfId="10" applyFont="1" applyBorder="1" applyAlignment="1">
      <alignment horizontal="center" vertical="center"/>
    </xf>
    <xf numFmtId="0" fontId="36" fillId="0" borderId="61" xfId="0" applyFont="1" applyBorder="1" applyAlignment="1">
      <alignment horizontal="left" vertical="center" indent="1"/>
    </xf>
    <xf numFmtId="4" fontId="36" fillId="0" borderId="61" xfId="0" applyNumberFormat="1" applyFont="1" applyBorder="1" applyAlignment="1">
      <alignment horizontal="center" vertical="center"/>
    </xf>
    <xf numFmtId="0" fontId="97" fillId="0" borderId="61" xfId="0" applyFont="1" applyBorder="1" applyAlignment="1">
      <alignment horizontal="centerContinuous"/>
    </xf>
    <xf numFmtId="0" fontId="36" fillId="14" borderId="61" xfId="0" applyFont="1" applyFill="1" applyBorder="1"/>
    <xf numFmtId="0" fontId="96" fillId="14" borderId="61" xfId="0" applyFont="1" applyFill="1" applyBorder="1" applyAlignment="1">
      <alignment horizontal="center" vertical="center"/>
    </xf>
    <xf numFmtId="0" fontId="96" fillId="14" borderId="61" xfId="0" applyFont="1" applyFill="1" applyBorder="1" applyAlignment="1">
      <alignment vertical="center"/>
    </xf>
    <xf numFmtId="0" fontId="36" fillId="14" borderId="61" xfId="0" applyFont="1" applyFill="1" applyBorder="1" applyAlignment="1">
      <alignment vertical="center"/>
    </xf>
    <xf numFmtId="0" fontId="97" fillId="14" borderId="61" xfId="0" applyFont="1" applyFill="1" applyBorder="1" applyAlignment="1">
      <alignment horizontal="center" vertical="center"/>
    </xf>
    <xf numFmtId="0" fontId="97" fillId="14" borderId="61" xfId="0" applyFont="1" applyFill="1" applyBorder="1" applyAlignment="1">
      <alignment horizontal="left" vertical="center" indent="1"/>
    </xf>
    <xf numFmtId="0" fontId="97" fillId="14" borderId="61" xfId="0" applyFont="1" applyFill="1" applyBorder="1" applyAlignment="1">
      <alignment vertical="center"/>
    </xf>
    <xf numFmtId="0" fontId="82" fillId="14" borderId="61" xfId="3" applyFont="1" applyFill="1" applyBorder="1" applyAlignment="1">
      <alignment horizontal="center" vertical="center"/>
    </xf>
    <xf numFmtId="0" fontId="10" fillId="3" borderId="0" xfId="2" applyFont="1" applyFill="1" applyAlignment="1">
      <alignment horizontal="center" vertical="center"/>
    </xf>
    <xf numFmtId="0" fontId="35" fillId="0" borderId="0" xfId="0" applyFont="1" applyAlignment="1">
      <alignment horizontal="center" vertical="top"/>
    </xf>
    <xf numFmtId="0" fontId="13" fillId="0" borderId="125" xfId="10" applyFont="1" applyBorder="1" applyAlignment="1">
      <alignment horizontal="left" vertical="center" wrapText="1"/>
    </xf>
    <xf numFmtId="4" fontId="53" fillId="0" borderId="0" xfId="10" applyNumberFormat="1" applyAlignment="1">
      <alignment horizontal="left" vertical="top"/>
    </xf>
    <xf numFmtId="0" fontId="13" fillId="0" borderId="200" xfId="2" applyFont="1" applyBorder="1" applyAlignment="1">
      <alignment horizontal="center" vertical="center"/>
    </xf>
    <xf numFmtId="0" fontId="20" fillId="0" borderId="124" xfId="10" applyFont="1" applyBorder="1" applyAlignment="1">
      <alignment horizontal="left" vertical="center" wrapText="1"/>
    </xf>
    <xf numFmtId="43" fontId="13" fillId="0" borderId="124" xfId="3" applyNumberFormat="1" applyBorder="1" applyAlignment="1">
      <alignment vertical="center"/>
    </xf>
    <xf numFmtId="0" fontId="19" fillId="0" borderId="124" xfId="3" applyFont="1" applyBorder="1" applyAlignment="1">
      <alignment horizontal="center" vertical="center"/>
    </xf>
    <xf numFmtId="171" fontId="98" fillId="0" borderId="0" xfId="3" applyNumberFormat="1" applyFont="1" applyAlignment="1">
      <alignment horizontal="right"/>
    </xf>
    <xf numFmtId="0" fontId="18" fillId="13" borderId="205" xfId="10" applyFont="1" applyFill="1" applyBorder="1" applyAlignment="1">
      <alignment horizontal="center" vertical="center"/>
    </xf>
    <xf numFmtId="0" fontId="18" fillId="13" borderId="206" xfId="10" applyFont="1" applyFill="1" applyBorder="1" applyAlignment="1">
      <alignment horizontal="left" vertical="center"/>
    </xf>
    <xf numFmtId="0" fontId="18" fillId="13" borderId="109" xfId="10" applyFont="1" applyFill="1" applyBorder="1" applyAlignment="1">
      <alignment horizontal="left" vertical="center"/>
    </xf>
    <xf numFmtId="4" fontId="50" fillId="13" borderId="208" xfId="10" applyNumberFormat="1" applyFont="1" applyFill="1" applyBorder="1" applyAlignment="1">
      <alignment horizontal="right" vertical="center" wrapText="1"/>
    </xf>
    <xf numFmtId="0" fontId="20" fillId="0" borderId="39" xfId="10" applyFont="1" applyBorder="1" applyAlignment="1">
      <alignment horizontal="center" vertical="center"/>
    </xf>
    <xf numFmtId="0" fontId="13" fillId="0" borderId="209" xfId="10" applyFont="1" applyBorder="1" applyAlignment="1">
      <alignment horizontal="center" vertical="center"/>
    </xf>
    <xf numFmtId="4" fontId="20" fillId="0" borderId="210" xfId="10" applyNumberFormat="1" applyFont="1" applyBorder="1" applyAlignment="1">
      <alignment horizontal="right" vertical="center"/>
    </xf>
    <xf numFmtId="0" fontId="18" fillId="14" borderId="109" xfId="10" applyFont="1" applyFill="1" applyBorder="1" applyAlignment="1">
      <alignment horizontal="left" vertical="center"/>
    </xf>
    <xf numFmtId="4" fontId="50" fillId="14" borderId="104" xfId="10" applyNumberFormat="1" applyFont="1" applyFill="1" applyBorder="1" applyAlignment="1">
      <alignment horizontal="right" vertical="center" wrapText="1"/>
    </xf>
    <xf numFmtId="4" fontId="4" fillId="0" borderId="0" xfId="0" applyNumberFormat="1" applyFont="1" applyAlignment="1">
      <alignment vertical="center"/>
    </xf>
    <xf numFmtId="4" fontId="5" fillId="0" borderId="0" xfId="1" applyNumberFormat="1" applyFont="1" applyFill="1" applyAlignment="1" applyProtection="1">
      <alignment horizontal="right" vertical="center"/>
    </xf>
    <xf numFmtId="4" fontId="46" fillId="0" borderId="0" xfId="0" applyNumberFormat="1" applyFont="1" applyAlignment="1">
      <alignment horizontal="right" vertical="center"/>
    </xf>
    <xf numFmtId="4" fontId="25" fillId="2" borderId="146" xfId="1" applyNumberFormat="1" applyFont="1" applyFill="1" applyBorder="1" applyAlignment="1" applyProtection="1">
      <alignment horizontal="center" vertical="center"/>
    </xf>
    <xf numFmtId="4" fontId="8" fillId="2" borderId="153" xfId="1" applyNumberFormat="1" applyFont="1" applyFill="1" applyBorder="1" applyAlignment="1" applyProtection="1">
      <alignment vertical="center" wrapText="1"/>
    </xf>
    <xf numFmtId="4" fontId="8" fillId="2" borderId="147" xfId="1" applyNumberFormat="1" applyFont="1" applyFill="1" applyBorder="1" applyAlignment="1" applyProtection="1">
      <alignment horizontal="center" vertical="center"/>
    </xf>
    <xf numFmtId="4" fontId="25" fillId="2" borderId="148" xfId="1" applyNumberFormat="1" applyFont="1" applyFill="1" applyBorder="1" applyAlignment="1" applyProtection="1">
      <alignment horizontal="center" vertical="center"/>
    </xf>
    <xf numFmtId="4" fontId="20" fillId="10" borderId="131" xfId="10" applyNumberFormat="1" applyFont="1" applyFill="1" applyBorder="1" applyAlignment="1">
      <alignment horizontal="left" vertical="center"/>
    </xf>
    <xf numFmtId="4" fontId="20" fillId="10" borderId="135" xfId="10" applyNumberFormat="1" applyFont="1" applyFill="1" applyBorder="1" applyAlignment="1">
      <alignment horizontal="left" vertical="center"/>
    </xf>
    <xf numFmtId="4" fontId="50" fillId="13" borderId="131" xfId="10" applyNumberFormat="1" applyFont="1" applyFill="1" applyBorder="1" applyAlignment="1">
      <alignment horizontal="left" vertical="center"/>
    </xf>
    <xf numFmtId="4" fontId="50" fillId="10" borderId="131" xfId="10" applyNumberFormat="1" applyFont="1" applyFill="1" applyBorder="1" applyAlignment="1">
      <alignment horizontal="right" vertical="center"/>
    </xf>
    <xf numFmtId="4" fontId="50" fillId="10" borderId="139" xfId="10" applyNumberFormat="1" applyFont="1" applyFill="1" applyBorder="1" applyAlignment="1">
      <alignment horizontal="right" vertical="center"/>
    </xf>
    <xf numFmtId="4" fontId="50" fillId="13" borderId="109" xfId="10" applyNumberFormat="1" applyFont="1" applyFill="1" applyBorder="1" applyAlignment="1">
      <alignment horizontal="left" vertical="center"/>
    </xf>
    <xf numFmtId="4" fontId="50" fillId="10" borderId="109" xfId="10" applyNumberFormat="1" applyFont="1" applyFill="1" applyBorder="1" applyAlignment="1">
      <alignment horizontal="right" vertical="center"/>
    </xf>
    <xf numFmtId="4" fontId="50" fillId="10" borderId="207" xfId="10" applyNumberFormat="1" applyFont="1" applyFill="1" applyBorder="1" applyAlignment="1">
      <alignment horizontal="right" vertical="center"/>
    </xf>
    <xf numFmtId="4" fontId="13" fillId="0" borderId="117" xfId="10" applyNumberFormat="1" applyFont="1" applyBorder="1" applyAlignment="1">
      <alignment horizontal="right" vertical="center"/>
    </xf>
    <xf numFmtId="4" fontId="18" fillId="10" borderId="109" xfId="2" applyNumberFormat="1" applyFont="1" applyFill="1" applyBorder="1" applyAlignment="1">
      <alignment horizontal="center" vertical="center"/>
    </xf>
    <xf numFmtId="4" fontId="50" fillId="13" borderId="104" xfId="10" applyNumberFormat="1" applyFont="1" applyFill="1" applyBorder="1" applyAlignment="1">
      <alignment horizontal="left" vertical="center"/>
    </xf>
    <xf numFmtId="4" fontId="4" fillId="0" borderId="0" xfId="0" applyNumberFormat="1" applyFont="1"/>
    <xf numFmtId="4" fontId="5" fillId="0" borderId="0" xfId="0" applyNumberFormat="1" applyFont="1"/>
    <xf numFmtId="4" fontId="10" fillId="0" borderId="0" xfId="0" applyNumberFormat="1" applyFont="1" applyAlignment="1">
      <alignment horizontal="right"/>
    </xf>
    <xf numFmtId="4" fontId="2" fillId="0" borderId="0" xfId="0" applyNumberFormat="1" applyFont="1" applyAlignment="1">
      <alignment horizontal="right"/>
    </xf>
    <xf numFmtId="4" fontId="5" fillId="0" borderId="0" xfId="0" applyNumberFormat="1" applyFont="1" applyAlignment="1">
      <alignment vertical="center"/>
    </xf>
    <xf numFmtId="0" fontId="13" fillId="10" borderId="66" xfId="3" applyFill="1" applyBorder="1" applyAlignment="1">
      <alignment horizontal="left" vertical="center" indent="1"/>
    </xf>
    <xf numFmtId="184" fontId="13" fillId="10" borderId="66" xfId="3" applyNumberFormat="1" applyFill="1" applyBorder="1" applyAlignment="1">
      <alignment horizontal="center" vertical="center"/>
    </xf>
    <xf numFmtId="0" fontId="1" fillId="10" borderId="21" xfId="3" applyFont="1" applyFill="1" applyBorder="1" applyAlignment="1">
      <alignment horizontal="centerContinuous" vertical="center"/>
    </xf>
    <xf numFmtId="2" fontId="28" fillId="10" borderId="9" xfId="3" applyNumberFormat="1" applyFont="1" applyFill="1" applyBorder="1" applyAlignment="1">
      <alignment horizontal="centerContinuous" vertical="center"/>
    </xf>
    <xf numFmtId="0" fontId="50" fillId="14" borderId="102" xfId="10" applyFont="1" applyFill="1" applyBorder="1" applyAlignment="1">
      <alignment horizontal="center" vertical="center"/>
    </xf>
    <xf numFmtId="0" fontId="18" fillId="14" borderId="109" xfId="10" applyFont="1" applyFill="1" applyBorder="1" applyAlignment="1">
      <alignment horizontal="center" vertical="center"/>
    </xf>
    <xf numFmtId="0" fontId="50" fillId="14" borderId="109" xfId="10" applyFont="1" applyFill="1" applyBorder="1" applyAlignment="1">
      <alignment horizontal="left" vertical="center"/>
    </xf>
    <xf numFmtId="4" fontId="50" fillId="14" borderId="109" xfId="10" applyNumberFormat="1" applyFont="1" applyFill="1" applyBorder="1" applyAlignment="1">
      <alignment horizontal="left" vertical="center"/>
    </xf>
    <xf numFmtId="4" fontId="50" fillId="14" borderId="109" xfId="10" applyNumberFormat="1" applyFont="1" applyFill="1" applyBorder="1" applyAlignment="1">
      <alignment horizontal="right" vertical="center"/>
    </xf>
    <xf numFmtId="4" fontId="20" fillId="14" borderId="117" xfId="10" applyNumberFormat="1" applyFont="1" applyFill="1" applyBorder="1" applyAlignment="1">
      <alignment horizontal="right" vertical="center"/>
    </xf>
    <xf numFmtId="165" fontId="46" fillId="6" borderId="180" xfId="6" applyNumberFormat="1" applyFont="1" applyFill="1" applyBorder="1" applyAlignment="1">
      <alignment horizontal="center" vertical="center"/>
    </xf>
    <xf numFmtId="0" fontId="46" fillId="0" borderId="158" xfId="3" applyFont="1" applyBorder="1" applyAlignment="1">
      <alignment horizontal="left" vertical="center"/>
    </xf>
    <xf numFmtId="0" fontId="46" fillId="0" borderId="159" xfId="3" applyFont="1" applyBorder="1" applyAlignment="1">
      <alignment horizontal="left" vertical="center"/>
    </xf>
    <xf numFmtId="0" fontId="46" fillId="0" borderId="160" xfId="3" applyFont="1" applyBorder="1" applyAlignment="1">
      <alignment horizontal="left" vertical="center"/>
    </xf>
    <xf numFmtId="0" fontId="18" fillId="0" borderId="0" xfId="3" applyFont="1" applyAlignment="1">
      <alignment vertical="center"/>
    </xf>
    <xf numFmtId="0" fontId="23" fillId="3" borderId="0" xfId="3" applyFont="1" applyFill="1"/>
    <xf numFmtId="0" fontId="18" fillId="7" borderId="0" xfId="3" applyFont="1" applyFill="1" applyAlignment="1">
      <alignment vertical="center"/>
    </xf>
    <xf numFmtId="0" fontId="23" fillId="7" borderId="0" xfId="3" applyFont="1" applyFill="1" applyAlignment="1">
      <alignment horizontal="left" vertical="center"/>
    </xf>
    <xf numFmtId="188" fontId="23" fillId="7" borderId="0" xfId="4" applyNumberFormat="1" applyFont="1" applyFill="1" applyAlignment="1">
      <alignment horizontal="right" vertical="center"/>
    </xf>
    <xf numFmtId="187" fontId="23" fillId="7" borderId="0" xfId="3" applyNumberFormat="1" applyFont="1" applyFill="1" applyAlignment="1">
      <alignment horizontal="center" vertical="center"/>
    </xf>
    <xf numFmtId="189" fontId="23" fillId="7" borderId="0" xfId="3" applyNumberFormat="1" applyFont="1" applyFill="1" applyAlignment="1">
      <alignment horizontal="right" vertical="center"/>
    </xf>
    <xf numFmtId="0" fontId="13" fillId="0" borderId="211" xfId="3" applyBorder="1" applyAlignment="1">
      <alignment vertical="center"/>
    </xf>
    <xf numFmtId="0" fontId="19" fillId="3" borderId="212" xfId="3" applyFont="1" applyFill="1" applyBorder="1" applyAlignment="1">
      <alignment horizontal="left" vertical="center" indent="40"/>
    </xf>
    <xf numFmtId="164" fontId="19" fillId="3" borderId="212" xfId="4" applyFont="1" applyFill="1" applyBorder="1" applyAlignment="1">
      <alignment horizontal="right" vertical="center"/>
    </xf>
    <xf numFmtId="0" fontId="19" fillId="3" borderId="212" xfId="3" applyFont="1" applyFill="1" applyBorder="1" applyAlignment="1">
      <alignment horizontal="center"/>
    </xf>
    <xf numFmtId="0" fontId="19" fillId="3" borderId="213" xfId="3" applyFont="1" applyFill="1" applyBorder="1"/>
    <xf numFmtId="0" fontId="13" fillId="0" borderId="214" xfId="3" applyBorder="1" applyAlignment="1">
      <alignment vertical="center"/>
    </xf>
    <xf numFmtId="0" fontId="19" fillId="3" borderId="0" xfId="3" applyFont="1" applyFill="1" applyAlignment="1">
      <alignment horizontal="left" vertical="center" indent="40"/>
    </xf>
    <xf numFmtId="164" fontId="19" fillId="0" borderId="0" xfId="4" applyFont="1" applyFill="1" applyBorder="1" applyAlignment="1">
      <alignment horizontal="right" vertical="center"/>
    </xf>
    <xf numFmtId="0" fontId="19" fillId="3" borderId="215" xfId="3" applyFont="1" applyFill="1" applyBorder="1"/>
    <xf numFmtId="0" fontId="13" fillId="0" borderId="216" xfId="3" applyBorder="1" applyAlignment="1">
      <alignment vertical="center"/>
    </xf>
    <xf numFmtId="0" fontId="19" fillId="3" borderId="217" xfId="3" applyFont="1" applyFill="1" applyBorder="1" applyAlignment="1">
      <alignment horizontal="left" vertical="center" indent="40"/>
    </xf>
    <xf numFmtId="164" fontId="19" fillId="0" borderId="217" xfId="4" applyFont="1" applyFill="1" applyBorder="1" applyAlignment="1">
      <alignment horizontal="right" vertical="center"/>
    </xf>
    <xf numFmtId="0" fontId="19" fillId="3" borderId="217" xfId="3" applyFont="1" applyFill="1" applyBorder="1" applyAlignment="1">
      <alignment horizontal="center"/>
    </xf>
    <xf numFmtId="166" fontId="19" fillId="3" borderId="218" xfId="3" applyNumberFormat="1" applyFont="1" applyFill="1" applyBorder="1"/>
    <xf numFmtId="0" fontId="19" fillId="3" borderId="123" xfId="3" applyFont="1" applyFill="1" applyBorder="1" applyAlignment="1">
      <alignment horizontal="center" vertical="center"/>
    </xf>
    <xf numFmtId="2" fontId="11" fillId="0" borderId="0" xfId="0" applyNumberFormat="1" applyFont="1" applyAlignment="1">
      <alignment horizontal="center" vertical="center"/>
    </xf>
    <xf numFmtId="0" fontId="62" fillId="0" borderId="174" xfId="6" applyFont="1" applyBorder="1" applyAlignment="1">
      <alignment horizontal="left" vertical="center" indent="2"/>
    </xf>
    <xf numFmtId="0" fontId="62" fillId="0" borderId="105" xfId="6" applyFont="1" applyBorder="1"/>
    <xf numFmtId="2" fontId="62" fillId="0" borderId="105" xfId="6" applyNumberFormat="1" applyFont="1" applyBorder="1" applyAlignment="1">
      <alignment horizontal="right" vertical="center" indent="1"/>
    </xf>
    <xf numFmtId="0" fontId="62" fillId="0" borderId="106" xfId="6" applyFont="1" applyBorder="1" applyAlignment="1">
      <alignment horizontal="center" vertical="center"/>
    </xf>
    <xf numFmtId="2" fontId="62" fillId="14" borderId="39" xfId="6" applyNumberFormat="1" applyFont="1" applyFill="1" applyBorder="1" applyAlignment="1">
      <alignment horizontal="right" vertical="center" indent="1"/>
    </xf>
    <xf numFmtId="0" fontId="62" fillId="14" borderId="39" xfId="6" applyFont="1" applyFill="1" applyBorder="1" applyAlignment="1">
      <alignment horizontal="center" vertical="center"/>
    </xf>
    <xf numFmtId="0" fontId="62" fillId="0" borderId="102" xfId="6" applyFont="1" applyBorder="1" applyAlignment="1">
      <alignment horizontal="left" vertical="center" indent="2"/>
    </xf>
    <xf numFmtId="0" fontId="62" fillId="0" borderId="109" xfId="6" applyFont="1" applyBorder="1"/>
    <xf numFmtId="2" fontId="62" fillId="0" borderId="101" xfId="6" applyNumberFormat="1" applyFont="1" applyBorder="1" applyAlignment="1">
      <alignment horizontal="right" vertical="center" indent="1"/>
    </xf>
    <xf numFmtId="0" fontId="62" fillId="0" borderId="101" xfId="6" applyFont="1" applyBorder="1" applyAlignment="1">
      <alignment horizontal="center" vertical="center"/>
    </xf>
    <xf numFmtId="2" fontId="46" fillId="20" borderId="187" xfId="6" applyNumberFormat="1" applyFont="1" applyFill="1" applyBorder="1" applyAlignment="1">
      <alignment horizontal="right" vertical="center"/>
    </xf>
    <xf numFmtId="2" fontId="46" fillId="20" borderId="180" xfId="6" applyNumberFormat="1" applyFont="1" applyFill="1" applyBorder="1" applyAlignment="1">
      <alignment horizontal="right" vertical="center"/>
    </xf>
    <xf numFmtId="4" fontId="13" fillId="0" borderId="0" xfId="3" applyNumberFormat="1" applyAlignment="1">
      <alignment horizontal="center" vertical="center"/>
    </xf>
    <xf numFmtId="0" fontId="36" fillId="0" borderId="0" xfId="0" applyFont="1" applyAlignment="1">
      <alignment horizontal="center" vertical="center"/>
    </xf>
    <xf numFmtId="0" fontId="100" fillId="0" borderId="117" xfId="10" applyFont="1" applyBorder="1" applyAlignment="1">
      <alignment horizontal="center" vertical="center" wrapText="1"/>
    </xf>
    <xf numFmtId="0" fontId="46" fillId="20" borderId="186" xfId="6" applyFont="1" applyFill="1" applyBorder="1" applyAlignment="1">
      <alignment horizontal="center" vertical="center"/>
    </xf>
    <xf numFmtId="4" fontId="47" fillId="0" borderId="0" xfId="0" applyNumberFormat="1" applyFont="1" applyAlignment="1">
      <alignment horizontal="center" vertical="center"/>
    </xf>
    <xf numFmtId="2" fontId="11" fillId="20" borderId="0" xfId="0" applyNumberFormat="1" applyFont="1" applyFill="1" applyAlignment="1">
      <alignment horizontal="right" vertical="center"/>
    </xf>
    <xf numFmtId="2" fontId="11" fillId="20" borderId="180" xfId="0" applyNumberFormat="1" applyFont="1" applyFill="1" applyBorder="1" applyAlignment="1">
      <alignment horizontal="right" vertical="center"/>
    </xf>
    <xf numFmtId="2" fontId="11" fillId="20" borderId="189" xfId="0" applyNumberFormat="1" applyFont="1" applyFill="1" applyBorder="1" applyAlignment="1">
      <alignment horizontal="right" vertical="center"/>
    </xf>
    <xf numFmtId="0" fontId="46" fillId="20" borderId="219" xfId="0" applyFont="1" applyFill="1" applyBorder="1" applyAlignment="1">
      <alignment horizontal="center" vertical="center"/>
    </xf>
    <xf numFmtId="190" fontId="13" fillId="0" borderId="105" xfId="6" applyNumberFormat="1" applyBorder="1" applyAlignment="1" applyProtection="1">
      <alignment horizontal="right" vertical="center"/>
      <protection locked="0"/>
    </xf>
    <xf numFmtId="2" fontId="13" fillId="0" borderId="0" xfId="3" applyNumberFormat="1" applyAlignment="1">
      <alignment horizontal="left" vertical="center"/>
    </xf>
    <xf numFmtId="0" fontId="13" fillId="0" borderId="138" xfId="10" applyFont="1" applyBorder="1" applyAlignment="1">
      <alignment horizontal="center" vertical="center"/>
    </xf>
    <xf numFmtId="0" fontId="102" fillId="0" borderId="0" xfId="0" applyFont="1" applyAlignment="1">
      <alignment horizontal="center" vertical="center"/>
    </xf>
    <xf numFmtId="0" fontId="104" fillId="0" borderId="0" xfId="0" applyFont="1" applyAlignment="1">
      <alignment horizontal="center" vertical="center"/>
    </xf>
    <xf numFmtId="0" fontId="105" fillId="0" borderId="0" xfId="0" applyFont="1" applyAlignment="1">
      <alignment horizontal="center" vertical="center"/>
    </xf>
    <xf numFmtId="0" fontId="105" fillId="0" borderId="0" xfId="0" applyFont="1" applyAlignment="1">
      <alignment horizontal="center" vertical="center" wrapText="1"/>
    </xf>
    <xf numFmtId="0" fontId="106" fillId="0" borderId="0" xfId="0" applyFont="1" applyAlignment="1">
      <alignment horizontal="center" vertical="center"/>
    </xf>
    <xf numFmtId="0" fontId="106" fillId="0" borderId="0" xfId="0" applyFont="1" applyAlignment="1">
      <alignment horizontal="left" vertical="center" wrapText="1"/>
    </xf>
    <xf numFmtId="4" fontId="106" fillId="0" borderId="0" xfId="0" applyNumberFormat="1" applyFont="1" applyAlignment="1">
      <alignment horizontal="right" vertical="center"/>
    </xf>
    <xf numFmtId="10" fontId="62" fillId="5" borderId="101" xfId="3" applyNumberFormat="1" applyFont="1" applyFill="1" applyBorder="1" applyAlignment="1">
      <alignment horizontal="center" vertical="center" wrapText="1"/>
    </xf>
    <xf numFmtId="0" fontId="46" fillId="20" borderId="179" xfId="6" applyFont="1" applyFill="1" applyBorder="1" applyAlignment="1">
      <alignment horizontal="center" vertical="center"/>
    </xf>
    <xf numFmtId="0" fontId="66" fillId="6" borderId="0" xfId="0" applyFont="1" applyFill="1" applyAlignment="1">
      <alignment horizontal="center" vertical="center"/>
    </xf>
    <xf numFmtId="191" fontId="8" fillId="2" borderId="154" xfId="1" applyNumberFormat="1" applyFont="1" applyFill="1" applyBorder="1" applyAlignment="1" applyProtection="1">
      <alignment horizontal="center" vertical="center" wrapText="1"/>
    </xf>
    <xf numFmtId="0" fontId="13" fillId="0" borderId="117" xfId="2" applyFont="1" applyBorder="1" applyAlignment="1">
      <alignment horizontal="center" vertical="center" wrapText="1"/>
    </xf>
    <xf numFmtId="171" fontId="55" fillId="0" borderId="0" xfId="3" applyNumberFormat="1" applyFont="1" applyAlignment="1">
      <alignment horizontal="right" vertical="center"/>
    </xf>
    <xf numFmtId="171" fontId="99" fillId="0" borderId="0" xfId="3" applyNumberFormat="1" applyFont="1" applyAlignment="1">
      <alignment horizontal="right" vertical="center"/>
    </xf>
    <xf numFmtId="0" fontId="23" fillId="3" borderId="0" xfId="3" applyFont="1" applyFill="1" applyAlignment="1">
      <alignment horizontal="right" vertical="center"/>
    </xf>
    <xf numFmtId="0" fontId="19" fillId="3" borderId="0" xfId="3" applyFont="1" applyFill="1" applyAlignment="1">
      <alignment horizontal="right" vertical="center"/>
    </xf>
    <xf numFmtId="0" fontId="13" fillId="8" borderId="73" xfId="3" applyFill="1" applyBorder="1" applyAlignment="1">
      <alignment horizontal="center" vertical="center"/>
    </xf>
    <xf numFmtId="0" fontId="107" fillId="26" borderId="102" xfId="6" applyFont="1" applyFill="1" applyBorder="1" applyAlignment="1">
      <alignment horizontal="left" vertical="center" indent="2"/>
    </xf>
    <xf numFmtId="0" fontId="107" fillId="26" borderId="109" xfId="6" applyFont="1" applyFill="1" applyBorder="1"/>
    <xf numFmtId="2" fontId="107" fillId="26" borderId="101" xfId="6" applyNumberFormat="1" applyFont="1" applyFill="1" applyBorder="1" applyAlignment="1">
      <alignment horizontal="right" vertical="center" indent="1"/>
    </xf>
    <xf numFmtId="0" fontId="107" fillId="26" borderId="101" xfId="6" applyFont="1" applyFill="1" applyBorder="1" applyAlignment="1">
      <alignment horizontal="center" vertical="center"/>
    </xf>
    <xf numFmtId="0" fontId="20" fillId="0" borderId="0" xfId="10" applyFont="1" applyAlignment="1">
      <alignment vertical="center"/>
    </xf>
    <xf numFmtId="4" fontId="108" fillId="0" borderId="0" xfId="10" applyNumberFormat="1" applyFont="1" applyAlignment="1">
      <alignment vertical="center"/>
    </xf>
    <xf numFmtId="0" fontId="13" fillId="0" borderId="139" xfId="2" applyFont="1" applyBorder="1" applyAlignment="1">
      <alignment horizontal="left" vertical="center" wrapText="1"/>
    </xf>
    <xf numFmtId="0" fontId="50" fillId="10" borderId="220" xfId="10" applyFont="1" applyFill="1" applyBorder="1" applyAlignment="1">
      <alignment horizontal="center" vertical="center"/>
    </xf>
    <xf numFmtId="0" fontId="13" fillId="0" borderId="101" xfId="2" applyFont="1" applyBorder="1" applyAlignment="1">
      <alignment horizontal="center" vertical="center"/>
    </xf>
    <xf numFmtId="173" fontId="85" fillId="0" borderId="0" xfId="0" applyNumberFormat="1" applyFont="1" applyAlignment="1">
      <alignment horizontal="right" vertical="center"/>
    </xf>
    <xf numFmtId="165" fontId="20" fillId="0" borderId="0" xfId="10" applyNumberFormat="1" applyFont="1" applyAlignment="1">
      <alignment horizontal="left" vertical="center"/>
    </xf>
    <xf numFmtId="0" fontId="108" fillId="0" borderId="222" xfId="10" applyFont="1" applyBorder="1" applyAlignment="1">
      <alignment vertical="center"/>
    </xf>
    <xf numFmtId="0" fontId="20" fillId="0" borderId="222" xfId="10" applyFont="1" applyBorder="1" applyAlignment="1">
      <alignment vertical="center"/>
    </xf>
    <xf numFmtId="0" fontId="108" fillId="19" borderId="223" xfId="10" applyFont="1" applyFill="1" applyBorder="1" applyAlignment="1">
      <alignment horizontal="center" vertical="center"/>
    </xf>
    <xf numFmtId="4" fontId="108" fillId="18" borderId="223" xfId="10" applyNumberFormat="1" applyFont="1" applyFill="1" applyBorder="1" applyAlignment="1">
      <alignment vertical="center"/>
    </xf>
    <xf numFmtId="0" fontId="108" fillId="0" borderId="222" xfId="10" applyFont="1" applyBorder="1" applyAlignment="1">
      <alignment horizontal="left" vertical="center"/>
    </xf>
    <xf numFmtId="0" fontId="20" fillId="0" borderId="222" xfId="10" applyFont="1" applyBorder="1" applyAlignment="1">
      <alignment horizontal="left" vertical="center"/>
    </xf>
    <xf numFmtId="0" fontId="11" fillId="0" borderId="82" xfId="0" applyFont="1" applyBorder="1" applyAlignment="1">
      <alignment horizontal="left" vertical="center"/>
    </xf>
    <xf numFmtId="0" fontId="18" fillId="14" borderId="109" xfId="5" applyFont="1" applyFill="1" applyBorder="1" applyAlignment="1">
      <alignment horizontal="centerContinuous" vertical="center"/>
    </xf>
    <xf numFmtId="4" fontId="18" fillId="14" borderId="101" xfId="5" applyNumberFormat="1" applyFont="1" applyFill="1" applyBorder="1" applyAlignment="1">
      <alignment horizontal="centerContinuous" vertical="center"/>
    </xf>
    <xf numFmtId="0" fontId="18" fillId="14" borderId="101" xfId="5" applyFont="1" applyFill="1" applyBorder="1" applyAlignment="1">
      <alignment horizontal="centerContinuous" vertical="center"/>
    </xf>
    <xf numFmtId="0" fontId="18" fillId="14" borderId="174" xfId="5" applyFont="1" applyFill="1" applyBorder="1" applyAlignment="1">
      <alignment horizontal="centerContinuous" vertical="center"/>
    </xf>
    <xf numFmtId="0" fontId="109" fillId="0" borderId="0" xfId="10" applyFont="1" applyAlignment="1">
      <alignment horizontal="left" vertical="top"/>
    </xf>
    <xf numFmtId="0" fontId="73" fillId="27" borderId="117" xfId="10" applyFont="1" applyFill="1" applyBorder="1" applyAlignment="1">
      <alignment horizontal="left" vertical="top" wrapText="1"/>
    </xf>
    <xf numFmtId="0" fontId="73" fillId="27" borderId="117" xfId="10" applyFont="1" applyFill="1" applyBorder="1" applyAlignment="1">
      <alignment horizontal="center" vertical="top" wrapText="1"/>
    </xf>
    <xf numFmtId="0" fontId="73" fillId="0" borderId="118" xfId="10" applyFont="1" applyBorder="1" applyAlignment="1">
      <alignment horizontal="center" vertical="center" wrapText="1"/>
    </xf>
    <xf numFmtId="192" fontId="73" fillId="0" borderId="118" xfId="10" applyNumberFormat="1" applyFont="1" applyBorder="1" applyAlignment="1">
      <alignment horizontal="center" vertical="center"/>
    </xf>
    <xf numFmtId="192" fontId="73" fillId="0" borderId="224" xfId="10" applyNumberFormat="1" applyFont="1" applyBorder="1" applyAlignment="1">
      <alignment horizontal="center" vertical="top" wrapText="1"/>
    </xf>
    <xf numFmtId="0" fontId="53" fillId="0" borderId="224" xfId="10" applyBorder="1" applyAlignment="1">
      <alignment horizontal="left" vertical="center" wrapText="1"/>
    </xf>
    <xf numFmtId="0" fontId="73" fillId="0" borderId="150" xfId="10" applyFont="1" applyBorder="1" applyAlignment="1">
      <alignment horizontal="center" vertical="center" wrapText="1"/>
    </xf>
    <xf numFmtId="10" fontId="73" fillId="0" borderId="150" xfId="10" applyNumberFormat="1" applyFont="1" applyBorder="1" applyAlignment="1">
      <alignment horizontal="center" vertical="center" wrapText="1"/>
    </xf>
    <xf numFmtId="0" fontId="53" fillId="0" borderId="225" xfId="10" applyBorder="1" applyAlignment="1">
      <alignment horizontal="left" vertical="center" wrapText="1"/>
    </xf>
    <xf numFmtId="0" fontId="73" fillId="0" borderId="210" xfId="10" applyFont="1" applyBorder="1" applyAlignment="1">
      <alignment horizontal="center" vertical="center" wrapText="1"/>
    </xf>
    <xf numFmtId="0" fontId="53" fillId="0" borderId="210" xfId="10" applyBorder="1" applyAlignment="1">
      <alignment vertical="center" wrapText="1"/>
    </xf>
    <xf numFmtId="193" fontId="73" fillId="0" borderId="226" xfId="10" applyNumberFormat="1" applyFont="1" applyBorder="1" applyAlignment="1">
      <alignment horizontal="center" vertical="top" shrinkToFit="1"/>
    </xf>
    <xf numFmtId="0" fontId="53" fillId="0" borderId="226" xfId="10" applyBorder="1" applyAlignment="1">
      <alignment horizontal="left" vertical="center" wrapText="1"/>
    </xf>
    <xf numFmtId="193" fontId="110" fillId="0" borderId="226" xfId="10" applyNumberFormat="1" applyFont="1" applyBorder="1" applyAlignment="1">
      <alignment horizontal="center" vertical="top" shrinkToFit="1"/>
    </xf>
    <xf numFmtId="192" fontId="73" fillId="27" borderId="117" xfId="10" applyNumberFormat="1" applyFont="1" applyFill="1" applyBorder="1" applyAlignment="1">
      <alignment horizontal="center" vertical="top" wrapText="1"/>
    </xf>
    <xf numFmtId="0" fontId="111" fillId="0" borderId="0" xfId="10" applyFont="1" applyAlignment="1">
      <alignment horizontal="left" vertical="top"/>
    </xf>
    <xf numFmtId="192" fontId="111" fillId="0" borderId="0" xfId="10" applyNumberFormat="1" applyFont="1" applyAlignment="1">
      <alignment horizontal="left" vertical="top"/>
    </xf>
    <xf numFmtId="193" fontId="111" fillId="0" borderId="0" xfId="10" applyNumberFormat="1" applyFont="1" applyAlignment="1">
      <alignment horizontal="left" vertical="top"/>
    </xf>
    <xf numFmtId="174" fontId="85" fillId="0" borderId="0" xfId="0" applyNumberFormat="1" applyFont="1" applyAlignment="1">
      <alignment horizontal="right" vertical="center"/>
    </xf>
    <xf numFmtId="0" fontId="76" fillId="3" borderId="48" xfId="3" applyFont="1" applyFill="1" applyBorder="1" applyAlignment="1">
      <alignment horizontal="left" vertical="center"/>
    </xf>
    <xf numFmtId="0" fontId="105" fillId="0" borderId="222" xfId="10" applyFont="1" applyBorder="1" applyAlignment="1">
      <alignment horizontal="left" vertical="center"/>
    </xf>
    <xf numFmtId="0" fontId="50" fillId="0" borderId="222" xfId="10" applyFont="1" applyBorder="1" applyAlignment="1">
      <alignment horizontal="left" vertical="center"/>
    </xf>
    <xf numFmtId="0" fontId="13" fillId="0" borderId="0" xfId="10" applyFont="1" applyAlignment="1">
      <alignment horizontal="center" vertical="center"/>
    </xf>
    <xf numFmtId="4" fontId="14" fillId="0" borderId="10" xfId="4" applyNumberFormat="1" applyFont="1" applyFill="1" applyBorder="1"/>
    <xf numFmtId="4" fontId="0" fillId="0" borderId="0" xfId="0" applyNumberFormat="1"/>
    <xf numFmtId="4" fontId="108" fillId="0" borderId="222" xfId="10" applyNumberFormat="1" applyFont="1" applyBorder="1" applyAlignment="1">
      <alignment vertical="center"/>
    </xf>
    <xf numFmtId="0" fontId="0" fillId="28" borderId="0" xfId="0" applyFill="1" applyAlignment="1">
      <alignment horizontal="left" vertical="top" indent="1"/>
    </xf>
    <xf numFmtId="0" fontId="0" fillId="28" borderId="0" xfId="0" applyFill="1" applyAlignment="1">
      <alignment horizontal="left" wrapText="1" indent="1"/>
    </xf>
    <xf numFmtId="176" fontId="0" fillId="28" borderId="0" xfId="0" applyNumberFormat="1" applyFill="1" applyAlignment="1">
      <alignment horizontal="right" vertical="top"/>
    </xf>
    <xf numFmtId="194" fontId="19" fillId="3" borderId="123" xfId="3" applyNumberFormat="1" applyFont="1" applyFill="1" applyBorder="1" applyAlignment="1">
      <alignment horizontal="right" vertical="center"/>
    </xf>
    <xf numFmtId="0" fontId="106" fillId="6" borderId="0" xfId="0" applyFont="1" applyFill="1" applyAlignment="1">
      <alignment horizontal="center" vertical="center"/>
    </xf>
    <xf numFmtId="0" fontId="106" fillId="6" borderId="0" xfId="0" applyFont="1" applyFill="1" applyAlignment="1">
      <alignment horizontal="left" vertical="center" wrapText="1"/>
    </xf>
    <xf numFmtId="4" fontId="106" fillId="6" borderId="0" xfId="0" applyNumberFormat="1" applyFont="1" applyFill="1" applyAlignment="1">
      <alignment horizontal="right" vertical="center"/>
    </xf>
    <xf numFmtId="4" fontId="112" fillId="0" borderId="0" xfId="0" applyNumberFormat="1" applyFont="1" applyAlignment="1">
      <alignment horizontal="right" vertical="center"/>
    </xf>
    <xf numFmtId="0" fontId="13" fillId="7" borderId="122" xfId="10" applyFont="1" applyFill="1" applyBorder="1" applyAlignment="1">
      <alignment horizontal="centerContinuous" vertical="center"/>
    </xf>
    <xf numFmtId="0" fontId="13" fillId="7" borderId="123" xfId="10" applyFont="1" applyFill="1" applyBorder="1" applyAlignment="1">
      <alignment horizontal="centerContinuous" vertical="center"/>
    </xf>
    <xf numFmtId="43" fontId="13" fillId="7" borderId="123" xfId="3" applyNumberFormat="1" applyFill="1" applyBorder="1" applyAlignment="1">
      <alignment horizontal="centerContinuous" vertical="center"/>
    </xf>
    <xf numFmtId="0" fontId="19" fillId="7" borderId="124" xfId="3" applyFont="1" applyFill="1" applyBorder="1" applyAlignment="1">
      <alignment horizontal="centerContinuous" vertical="center"/>
    </xf>
    <xf numFmtId="0" fontId="19" fillId="7" borderId="123" xfId="3" applyFont="1" applyFill="1" applyBorder="1" applyAlignment="1">
      <alignment horizontal="centerContinuous"/>
    </xf>
    <xf numFmtId="0" fontId="50" fillId="14" borderId="174" xfId="10" applyFont="1" applyFill="1" applyBorder="1" applyAlignment="1">
      <alignment horizontal="center" vertical="center"/>
    </xf>
    <xf numFmtId="0" fontId="18" fillId="14" borderId="105" xfId="10" applyFont="1" applyFill="1" applyBorder="1" applyAlignment="1">
      <alignment horizontal="center" vertical="center"/>
    </xf>
    <xf numFmtId="0" fontId="18" fillId="14" borderId="105" xfId="10" applyFont="1" applyFill="1" applyBorder="1" applyAlignment="1">
      <alignment horizontal="left" vertical="center"/>
    </xf>
    <xf numFmtId="0" fontId="50" fillId="14" borderId="105" xfId="10" applyFont="1" applyFill="1" applyBorder="1" applyAlignment="1">
      <alignment horizontal="left" vertical="center"/>
    </xf>
    <xf numFmtId="4" fontId="50" fillId="14" borderId="105" xfId="10" applyNumberFormat="1" applyFont="1" applyFill="1" applyBorder="1" applyAlignment="1">
      <alignment horizontal="left" vertical="center"/>
    </xf>
    <xf numFmtId="4" fontId="50" fillId="14" borderId="105" xfId="10" applyNumberFormat="1" applyFont="1" applyFill="1" applyBorder="1" applyAlignment="1">
      <alignment horizontal="right" vertical="center"/>
    </xf>
    <xf numFmtId="4" fontId="20" fillId="14" borderId="118" xfId="10" applyNumberFormat="1" applyFont="1" applyFill="1" applyBorder="1" applyAlignment="1">
      <alignment horizontal="right" vertical="center"/>
    </xf>
    <xf numFmtId="4" fontId="50" fillId="14" borderId="106" xfId="10" applyNumberFormat="1" applyFont="1" applyFill="1" applyBorder="1" applyAlignment="1">
      <alignment horizontal="right" vertical="center" wrapText="1"/>
    </xf>
    <xf numFmtId="0" fontId="18" fillId="13" borderId="210" xfId="10" applyFont="1" applyFill="1" applyBorder="1" applyAlignment="1">
      <alignment horizontal="center" vertical="center"/>
    </xf>
    <xf numFmtId="0" fontId="18" fillId="13" borderId="227" xfId="10" applyFont="1" applyFill="1" applyBorder="1" applyAlignment="1">
      <alignment horizontal="left" vertical="center"/>
    </xf>
    <xf numFmtId="0" fontId="18" fillId="13" borderId="221" xfId="10" applyFont="1" applyFill="1" applyBorder="1" applyAlignment="1">
      <alignment horizontal="left" vertical="center"/>
    </xf>
    <xf numFmtId="0" fontId="50" fillId="13" borderId="221" xfId="10" applyFont="1" applyFill="1" applyBorder="1" applyAlignment="1">
      <alignment horizontal="left" vertical="center"/>
    </xf>
    <xf numFmtId="4" fontId="50" fillId="13" borderId="221" xfId="10" applyNumberFormat="1" applyFont="1" applyFill="1" applyBorder="1" applyAlignment="1">
      <alignment horizontal="left" vertical="center"/>
    </xf>
    <xf numFmtId="4" fontId="50" fillId="10" borderId="221" xfId="10" applyNumberFormat="1" applyFont="1" applyFill="1" applyBorder="1" applyAlignment="1">
      <alignment horizontal="right" vertical="center"/>
    </xf>
    <xf numFmtId="4" fontId="50" fillId="10" borderId="209" xfId="10" applyNumberFormat="1" applyFont="1" applyFill="1" applyBorder="1" applyAlignment="1">
      <alignment horizontal="right" vertical="center"/>
    </xf>
    <xf numFmtId="4" fontId="50" fillId="13" borderId="210" xfId="10" applyNumberFormat="1" applyFont="1" applyFill="1" applyBorder="1" applyAlignment="1">
      <alignment horizontal="right" vertical="center" wrapText="1"/>
    </xf>
    <xf numFmtId="0" fontId="65" fillId="0" borderId="101" xfId="10" applyFont="1" applyBorder="1" applyAlignment="1">
      <alignment horizontal="center" vertical="center"/>
    </xf>
    <xf numFmtId="0" fontId="13" fillId="0" borderId="101" xfId="2" applyFont="1" applyBorder="1" applyAlignment="1">
      <alignment horizontal="left" vertical="center" wrapText="1"/>
    </xf>
    <xf numFmtId="0" fontId="13" fillId="0" borderId="101" xfId="2" applyFont="1" applyBorder="1" applyAlignment="1">
      <alignment horizontal="center" vertical="center" wrapText="1"/>
    </xf>
    <xf numFmtId="4" fontId="20" fillId="0" borderId="101" xfId="10" applyNumberFormat="1" applyFont="1" applyBorder="1" applyAlignment="1">
      <alignment horizontal="right" vertical="center"/>
    </xf>
    <xf numFmtId="0" fontId="113" fillId="3" borderId="204" xfId="2" applyFont="1" applyFill="1" applyBorder="1" applyAlignment="1">
      <alignment horizontal="center" vertical="center"/>
    </xf>
    <xf numFmtId="2" fontId="44" fillId="0" borderId="0" xfId="3" applyNumberFormat="1" applyFont="1" applyAlignment="1">
      <alignment horizontal="center" vertical="center"/>
    </xf>
    <xf numFmtId="192" fontId="11" fillId="0" borderId="0" xfId="0" applyNumberFormat="1" applyFont="1" applyAlignment="1">
      <alignment horizontal="center" vertical="center"/>
    </xf>
    <xf numFmtId="0" fontId="88" fillId="9" borderId="0" xfId="3" applyFont="1" applyFill="1" applyAlignment="1">
      <alignment horizontal="left"/>
    </xf>
    <xf numFmtId="0" fontId="88" fillId="9" borderId="0" xfId="3" applyFont="1" applyFill="1" applyAlignment="1">
      <alignment horizontal="center" vertical="center"/>
    </xf>
    <xf numFmtId="0" fontId="88" fillId="9" borderId="0" xfId="3" applyFont="1" applyFill="1" applyAlignment="1">
      <alignment horizontal="right"/>
    </xf>
    <xf numFmtId="0" fontId="76" fillId="9" borderId="117" xfId="10" applyFont="1" applyFill="1" applyBorder="1" applyAlignment="1">
      <alignment horizontal="left" vertical="top" wrapText="1"/>
    </xf>
    <xf numFmtId="0" fontId="76" fillId="9" borderId="117" xfId="10" applyFont="1" applyFill="1" applyBorder="1" applyAlignment="1">
      <alignment horizontal="center" vertical="top" wrapText="1"/>
    </xf>
    <xf numFmtId="2" fontId="75" fillId="9" borderId="117" xfId="10" applyNumberFormat="1" applyFont="1" applyFill="1" applyBorder="1" applyAlignment="1">
      <alignment horizontal="right" vertical="top" shrinkToFit="1"/>
    </xf>
    <xf numFmtId="0" fontId="53" fillId="9" borderId="117" xfId="10" applyFill="1" applyBorder="1" applyAlignment="1">
      <alignment horizontal="left" wrapText="1"/>
    </xf>
    <xf numFmtId="0" fontId="53" fillId="9" borderId="117" xfId="10" applyFill="1" applyBorder="1" applyAlignment="1">
      <alignment horizontal="left" vertical="top" wrapText="1"/>
    </xf>
    <xf numFmtId="0" fontId="53" fillId="9" borderId="117" xfId="10" applyFill="1" applyBorder="1" applyAlignment="1">
      <alignment horizontal="left" vertical="center" wrapText="1"/>
    </xf>
    <xf numFmtId="49" fontId="0" fillId="0" borderId="0" xfId="0" applyNumberFormat="1" applyAlignment="1">
      <alignment horizontal="left" vertical="center"/>
    </xf>
    <xf numFmtId="0" fontId="0" fillId="0" borderId="0" xfId="0" applyAlignment="1">
      <alignment vertical="center"/>
    </xf>
    <xf numFmtId="49" fontId="13" fillId="0" borderId="0" xfId="3" applyNumberFormat="1" applyAlignment="1">
      <alignment horizontal="left" vertical="center"/>
    </xf>
    <xf numFmtId="0" fontId="59" fillId="3" borderId="0" xfId="0" applyFont="1" applyFill="1" applyAlignment="1">
      <alignment vertical="center"/>
    </xf>
    <xf numFmtId="0" fontId="0" fillId="3" borderId="0" xfId="0" applyFill="1" applyAlignment="1">
      <alignment vertical="center"/>
    </xf>
    <xf numFmtId="0" fontId="60" fillId="29" borderId="0" xfId="0" applyFont="1" applyFill="1" applyAlignment="1">
      <alignment horizontal="right" vertical="center"/>
    </xf>
    <xf numFmtId="0" fontId="13" fillId="0" borderId="0" xfId="3" applyAlignment="1">
      <alignment vertical="center" wrapText="1"/>
    </xf>
    <xf numFmtId="0" fontId="116" fillId="0" borderId="0" xfId="3" applyFont="1" applyAlignment="1">
      <alignment horizontal="center" vertical="center"/>
    </xf>
    <xf numFmtId="0" fontId="60" fillId="3" borderId="0" xfId="0" applyFont="1" applyFill="1" applyAlignment="1">
      <alignment horizontal="right" vertical="center"/>
    </xf>
    <xf numFmtId="49" fontId="1" fillId="29" borderId="0" xfId="0" applyNumberFormat="1" applyFont="1" applyFill="1" applyAlignment="1">
      <alignment horizontal="left" vertical="center"/>
    </xf>
    <xf numFmtId="0" fontId="117" fillId="0" borderId="0" xfId="3" applyFont="1" applyAlignment="1">
      <alignment horizontal="right" vertical="center"/>
    </xf>
    <xf numFmtId="10" fontId="117" fillId="29" borderId="0" xfId="3" applyNumberFormat="1" applyFont="1" applyFill="1" applyAlignment="1">
      <alignment horizontal="center" vertical="center"/>
    </xf>
    <xf numFmtId="4" fontId="117" fillId="3" borderId="0" xfId="4" applyNumberFormat="1" applyFont="1" applyFill="1" applyAlignment="1">
      <alignment horizontal="right" vertical="center"/>
    </xf>
    <xf numFmtId="4" fontId="88" fillId="6" borderId="0" xfId="3" applyNumberFormat="1" applyFont="1" applyFill="1" applyAlignment="1">
      <alignment horizontal="right"/>
    </xf>
    <xf numFmtId="0" fontId="76" fillId="6" borderId="117" xfId="10" applyFont="1" applyFill="1" applyBorder="1" applyAlignment="1">
      <alignment horizontal="left" vertical="top" wrapText="1"/>
    </xf>
    <xf numFmtId="0" fontId="76" fillId="6" borderId="117" xfId="10" applyFont="1" applyFill="1" applyBorder="1" applyAlignment="1">
      <alignment horizontal="center" vertical="top" wrapText="1"/>
    </xf>
    <xf numFmtId="2" fontId="75" fillId="6" borderId="117" xfId="10" applyNumberFormat="1" applyFont="1" applyFill="1" applyBorder="1" applyAlignment="1">
      <alignment horizontal="right" vertical="top" shrinkToFit="1"/>
    </xf>
    <xf numFmtId="0" fontId="13" fillId="10" borderId="0" xfId="10" applyFont="1" applyFill="1" applyAlignment="1">
      <alignment horizontal="center" vertical="center"/>
    </xf>
    <xf numFmtId="0" fontId="13" fillId="10" borderId="0" xfId="10" applyFont="1" applyFill="1" applyAlignment="1">
      <alignment horizontal="left" vertical="center"/>
    </xf>
    <xf numFmtId="4" fontId="50" fillId="13" borderId="118" xfId="10" applyNumberFormat="1" applyFont="1" applyFill="1" applyBorder="1" applyAlignment="1">
      <alignment horizontal="right" vertical="center" wrapText="1"/>
    </xf>
    <xf numFmtId="0" fontId="20" fillId="0" borderId="108" xfId="10" applyFont="1" applyBorder="1" applyAlignment="1">
      <alignment horizontal="center" vertical="center"/>
    </xf>
    <xf numFmtId="0" fontId="13" fillId="0" borderId="118" xfId="10" applyFont="1" applyBorder="1" applyAlignment="1">
      <alignment horizontal="center" vertical="center"/>
    </xf>
    <xf numFmtId="4" fontId="20" fillId="0" borderId="118" xfId="10" applyNumberFormat="1" applyFont="1" applyBorder="1" applyAlignment="1">
      <alignment horizontal="right" vertical="center"/>
    </xf>
    <xf numFmtId="0" fontId="13" fillId="0" borderId="210" xfId="10" applyFont="1" applyBorder="1" applyAlignment="1">
      <alignment horizontal="center" vertical="center"/>
    </xf>
    <xf numFmtId="4" fontId="88" fillId="9" borderId="0" xfId="3" applyNumberFormat="1" applyFont="1" applyFill="1" applyAlignment="1">
      <alignment horizontal="right"/>
    </xf>
    <xf numFmtId="0" fontId="13" fillId="0" borderId="210" xfId="2" applyFont="1" applyBorder="1" applyAlignment="1">
      <alignment horizontal="center" vertical="center" wrapText="1"/>
    </xf>
    <xf numFmtId="2" fontId="13" fillId="6" borderId="61" xfId="3" applyNumberFormat="1" applyFill="1" applyBorder="1" applyAlignment="1">
      <alignment horizontal="center" vertical="center" wrapText="1"/>
    </xf>
    <xf numFmtId="0" fontId="13" fillId="6" borderId="73" xfId="3" applyFill="1" applyBorder="1" applyAlignment="1">
      <alignment horizontal="center" vertical="center"/>
    </xf>
    <xf numFmtId="0" fontId="13" fillId="6" borderId="201" xfId="2" applyFont="1" applyFill="1" applyBorder="1" applyAlignment="1">
      <alignment horizontal="left" vertical="center"/>
    </xf>
    <xf numFmtId="4" fontId="13" fillId="6" borderId="202" xfId="3" applyNumberFormat="1" applyFill="1" applyBorder="1" applyAlignment="1">
      <alignment horizontal="center" vertical="center"/>
    </xf>
    <xf numFmtId="4" fontId="34" fillId="6" borderId="202" xfId="0" applyNumberFormat="1" applyFont="1" applyFill="1" applyBorder="1" applyAlignment="1">
      <alignment horizontal="right" vertical="center"/>
    </xf>
    <xf numFmtId="0" fontId="13" fillId="6" borderId="202" xfId="3" applyFill="1" applyBorder="1" applyAlignment="1">
      <alignment horizontal="center" vertical="center"/>
    </xf>
    <xf numFmtId="0" fontId="13" fillId="6" borderId="203" xfId="3" applyFill="1" applyBorder="1" applyAlignment="1">
      <alignment horizontal="center" vertical="center"/>
    </xf>
    <xf numFmtId="4" fontId="13" fillId="6" borderId="200" xfId="3" applyNumberFormat="1" applyFill="1" applyBorder="1" applyAlignment="1">
      <alignment horizontal="right" vertical="center" indent="1"/>
    </xf>
    <xf numFmtId="0" fontId="13" fillId="6" borderId="200" xfId="3" applyFill="1" applyBorder="1" applyAlignment="1">
      <alignment horizontal="center" vertical="center"/>
    </xf>
    <xf numFmtId="0" fontId="13" fillId="0" borderId="135" xfId="10" applyFont="1" applyBorder="1" applyAlignment="1">
      <alignment horizontal="center" vertical="center"/>
    </xf>
    <xf numFmtId="0" fontId="13" fillId="0" borderId="228" xfId="2" applyFont="1" applyBorder="1" applyAlignment="1">
      <alignment horizontal="left" vertical="center" wrapText="1"/>
    </xf>
    <xf numFmtId="0" fontId="13" fillId="0" borderId="104" xfId="2" applyFont="1" applyBorder="1" applyAlignment="1">
      <alignment horizontal="left" vertical="center" wrapText="1"/>
    </xf>
    <xf numFmtId="0" fontId="18" fillId="13" borderId="118" xfId="10" applyFont="1" applyFill="1" applyBorder="1" applyAlignment="1">
      <alignment horizontal="center" vertical="center"/>
    </xf>
    <xf numFmtId="0" fontId="18" fillId="13" borderId="149" xfId="10" applyFont="1" applyFill="1" applyBorder="1" applyAlignment="1">
      <alignment horizontal="left" vertical="center"/>
    </xf>
    <xf numFmtId="0" fontId="13" fillId="0" borderId="229" xfId="10" applyFont="1" applyBorder="1" applyAlignment="1">
      <alignment horizontal="center" vertical="center"/>
    </xf>
    <xf numFmtId="0" fontId="13" fillId="14" borderId="101" xfId="3" applyFill="1" applyBorder="1" applyAlignment="1">
      <alignment horizontal="center" vertical="center"/>
    </xf>
    <xf numFmtId="0" fontId="13" fillId="0" borderId="228" xfId="10" applyFont="1" applyBorder="1" applyAlignment="1">
      <alignment horizontal="center" vertical="center"/>
    </xf>
    <xf numFmtId="0" fontId="13" fillId="0" borderId="118" xfId="2" applyFont="1" applyBorder="1" applyAlignment="1">
      <alignment horizontal="left" vertical="center" wrapText="1"/>
    </xf>
    <xf numFmtId="0" fontId="13" fillId="0" borderId="118" xfId="2" applyFont="1" applyBorder="1" applyAlignment="1">
      <alignment horizontal="center" vertical="center" wrapText="1"/>
    </xf>
    <xf numFmtId="0" fontId="18" fillId="10" borderId="221" xfId="10" applyFont="1" applyFill="1" applyBorder="1" applyAlignment="1">
      <alignment horizontal="left" vertical="center"/>
    </xf>
    <xf numFmtId="0" fontId="20" fillId="10" borderId="221" xfId="10" applyFont="1" applyFill="1" applyBorder="1" applyAlignment="1">
      <alignment horizontal="left" vertical="center"/>
    </xf>
    <xf numFmtId="4" fontId="20" fillId="10" borderId="221" xfId="10" applyNumberFormat="1" applyFont="1" applyFill="1" applyBorder="1" applyAlignment="1">
      <alignment horizontal="left" vertical="center"/>
    </xf>
    <xf numFmtId="0" fontId="46" fillId="0" borderId="158" xfId="3" applyFont="1" applyBorder="1" applyAlignment="1">
      <alignment horizontal="left" vertical="center" wrapText="1"/>
    </xf>
    <xf numFmtId="0" fontId="46" fillId="0" borderId="159" xfId="3" applyFont="1" applyBorder="1" applyAlignment="1">
      <alignment horizontal="left" vertical="center" wrapText="1"/>
    </xf>
    <xf numFmtId="0" fontId="46" fillId="0" borderId="160" xfId="3" applyFont="1" applyBorder="1" applyAlignment="1">
      <alignment horizontal="left" vertical="center" wrapText="1"/>
    </xf>
    <xf numFmtId="4" fontId="20" fillId="0" borderId="0" xfId="10" applyNumberFormat="1" applyFont="1" applyAlignment="1">
      <alignment horizontal="right" vertical="center"/>
    </xf>
    <xf numFmtId="0" fontId="76" fillId="30" borderId="117" xfId="10" applyFont="1" applyFill="1" applyBorder="1" applyAlignment="1">
      <alignment horizontal="left" vertical="top" wrapText="1"/>
    </xf>
    <xf numFmtId="0" fontId="76" fillId="30" borderId="117" xfId="10" applyFont="1" applyFill="1" applyBorder="1" applyAlignment="1">
      <alignment horizontal="center" vertical="top" wrapText="1"/>
    </xf>
    <xf numFmtId="2" fontId="75" fillId="30" borderId="117" xfId="10" applyNumberFormat="1" applyFont="1" applyFill="1" applyBorder="1" applyAlignment="1">
      <alignment horizontal="right" vertical="top" shrinkToFit="1"/>
    </xf>
    <xf numFmtId="0" fontId="53" fillId="30" borderId="117" xfId="10" applyFill="1" applyBorder="1" applyAlignment="1">
      <alignment horizontal="left" vertical="top" wrapText="1"/>
    </xf>
    <xf numFmtId="4" fontId="75" fillId="30" borderId="117" xfId="10" applyNumberFormat="1" applyFont="1" applyFill="1" applyBorder="1" applyAlignment="1">
      <alignment horizontal="right" vertical="top" shrinkToFit="1"/>
    </xf>
    <xf numFmtId="195" fontId="23" fillId="13" borderId="109" xfId="10" applyNumberFormat="1" applyFont="1" applyFill="1" applyBorder="1" applyAlignment="1">
      <alignment horizontal="left" vertical="center"/>
    </xf>
    <xf numFmtId="0" fontId="13" fillId="0" borderId="230" xfId="10" applyFont="1" applyBorder="1" applyAlignment="1">
      <alignment horizontal="center" vertical="center"/>
    </xf>
    <xf numFmtId="196" fontId="73" fillId="27" borderId="117" xfId="10" applyNumberFormat="1" applyFont="1" applyFill="1" applyBorder="1" applyAlignment="1">
      <alignment horizontal="center" vertical="top" wrapText="1"/>
    </xf>
    <xf numFmtId="0" fontId="13" fillId="31" borderId="231" xfId="2" applyFont="1" applyFill="1" applyBorder="1" applyAlignment="1">
      <alignment horizontal="center" vertical="center" wrapText="1"/>
    </xf>
    <xf numFmtId="4" fontId="50" fillId="0" borderId="0" xfId="10" applyNumberFormat="1" applyFont="1" applyAlignment="1">
      <alignment horizontal="right" vertical="center" wrapText="1"/>
    </xf>
    <xf numFmtId="4" fontId="46" fillId="0" borderId="0" xfId="0" applyNumberFormat="1" applyFont="1" applyAlignment="1">
      <alignment horizontal="right" vertical="center" wrapText="1"/>
    </xf>
    <xf numFmtId="4" fontId="37" fillId="31" borderId="0" xfId="1" applyNumberFormat="1" applyFont="1" applyFill="1" applyBorder="1" applyAlignment="1" applyProtection="1">
      <alignment horizontal="center" vertical="center"/>
    </xf>
    <xf numFmtId="0" fontId="27" fillId="31" borderId="231" xfId="2" applyFont="1" applyFill="1" applyBorder="1" applyAlignment="1">
      <alignment horizontal="center" vertical="center" wrapText="1"/>
    </xf>
    <xf numFmtId="0" fontId="53" fillId="0" borderId="138" xfId="10" applyBorder="1" applyAlignment="1">
      <alignment horizontal="left" vertical="center" wrapText="1"/>
    </xf>
    <xf numFmtId="0" fontId="53" fillId="0" borderId="221" xfId="10" applyBorder="1" applyAlignment="1">
      <alignment horizontal="left" vertical="center" wrapText="1"/>
    </xf>
    <xf numFmtId="0" fontId="73" fillId="0" borderId="118" xfId="10" applyFont="1" applyBorder="1" applyAlignment="1">
      <alignment horizontal="left" vertical="top" wrapText="1" indent="1"/>
    </xf>
    <xf numFmtId="0" fontId="73" fillId="0" borderId="150" xfId="10" applyFont="1" applyBorder="1" applyAlignment="1">
      <alignment horizontal="left" vertical="top" wrapText="1" indent="1"/>
    </xf>
    <xf numFmtId="0" fontId="73" fillId="0" borderId="210" xfId="10" applyFont="1" applyBorder="1" applyAlignment="1">
      <alignment horizontal="left" vertical="top" wrapText="1" indent="1"/>
    </xf>
    <xf numFmtId="0" fontId="73" fillId="27" borderId="138" xfId="10" applyFont="1" applyFill="1" applyBorder="1" applyAlignment="1">
      <alignment horizontal="center" vertical="top" wrapText="1"/>
    </xf>
    <xf numFmtId="0" fontId="73" fillId="27" borderId="139" xfId="10" applyFont="1" applyFill="1" applyBorder="1" applyAlignment="1">
      <alignment horizontal="center" vertical="top" wrapText="1"/>
    </xf>
    <xf numFmtId="0" fontId="46" fillId="0" borderId="158" xfId="3" applyFont="1" applyBorder="1" applyAlignment="1">
      <alignment horizontal="left" vertical="center"/>
    </xf>
    <xf numFmtId="0" fontId="46" fillId="0" borderId="159" xfId="3" applyFont="1" applyBorder="1" applyAlignment="1">
      <alignment horizontal="left" vertical="center"/>
    </xf>
    <xf numFmtId="0" fontId="46" fillId="0" borderId="160" xfId="3" applyFont="1" applyBorder="1" applyAlignment="1">
      <alignment horizontal="left" vertical="center"/>
    </xf>
    <xf numFmtId="0" fontId="62" fillId="15" borderId="29" xfId="3" applyFont="1" applyFill="1" applyBorder="1" applyAlignment="1">
      <alignment horizontal="center" vertical="center"/>
    </xf>
    <xf numFmtId="0" fontId="62" fillId="15" borderId="105" xfId="3" applyFont="1" applyFill="1" applyBorder="1" applyAlignment="1">
      <alignment horizontal="center" vertical="center"/>
    </xf>
    <xf numFmtId="0" fontId="62" fillId="15" borderId="106" xfId="3" applyFont="1" applyFill="1" applyBorder="1" applyAlignment="1">
      <alignment horizontal="center" vertical="center"/>
    </xf>
    <xf numFmtId="0" fontId="62" fillId="15" borderId="88" xfId="3" applyFont="1" applyFill="1" applyBorder="1" applyAlignment="1">
      <alignment horizontal="center" vertical="center"/>
    </xf>
    <xf numFmtId="0" fontId="62" fillId="15" borderId="0" xfId="3" applyFont="1" applyFill="1" applyAlignment="1">
      <alignment horizontal="center" vertical="center"/>
    </xf>
    <xf numFmtId="0" fontId="62" fillId="15" borderId="49" xfId="3" applyFont="1" applyFill="1" applyBorder="1" applyAlignment="1">
      <alignment horizontal="center" vertical="center"/>
    </xf>
    <xf numFmtId="0" fontId="62" fillId="15" borderId="51" xfId="3" applyFont="1" applyFill="1" applyBorder="1" applyAlignment="1">
      <alignment horizontal="center" vertical="center"/>
    </xf>
    <xf numFmtId="0" fontId="62" fillId="15" borderId="50" xfId="3" applyFont="1" applyFill="1" applyBorder="1" applyAlignment="1">
      <alignment horizontal="center" vertical="center"/>
    </xf>
    <xf numFmtId="0" fontId="62" fillId="15" borderId="52" xfId="3" applyFont="1" applyFill="1" applyBorder="1" applyAlignment="1">
      <alignment horizontal="center" vertical="center"/>
    </xf>
    <xf numFmtId="0" fontId="62" fillId="0" borderId="155" xfId="3" applyFont="1" applyBorder="1" applyAlignment="1">
      <alignment horizontal="left" vertical="center"/>
    </xf>
    <xf numFmtId="0" fontId="62" fillId="0" borderId="156" xfId="3" applyFont="1" applyBorder="1" applyAlignment="1">
      <alignment horizontal="left" vertical="center"/>
    </xf>
    <xf numFmtId="0" fontId="62" fillId="0" borderId="157" xfId="3" applyFont="1" applyBorder="1" applyAlignment="1">
      <alignment horizontal="left" vertical="center"/>
    </xf>
    <xf numFmtId="0" fontId="46" fillId="0" borderId="158" xfId="3" applyFont="1" applyBorder="1" applyAlignment="1">
      <alignment horizontal="left" vertical="center" wrapText="1"/>
    </xf>
    <xf numFmtId="0" fontId="46" fillId="0" borderId="159" xfId="3" applyFont="1" applyBorder="1" applyAlignment="1">
      <alignment horizontal="left" vertical="center" wrapText="1"/>
    </xf>
    <xf numFmtId="0" fontId="46" fillId="0" borderId="160" xfId="3" applyFont="1" applyBorder="1" applyAlignment="1">
      <alignment horizontal="left" vertical="center" wrapText="1"/>
    </xf>
    <xf numFmtId="0" fontId="62" fillId="5" borderId="102" xfId="3" applyFont="1" applyFill="1" applyBorder="1" applyAlignment="1">
      <alignment horizontal="left" vertical="center" wrapText="1"/>
    </xf>
    <xf numFmtId="0" fontId="13" fillId="0" borderId="109" xfId="3" applyBorder="1" applyAlignment="1">
      <alignment horizontal="left" vertical="center" wrapText="1"/>
    </xf>
    <xf numFmtId="0" fontId="13" fillId="0" borderId="104" xfId="3" applyBorder="1" applyAlignment="1">
      <alignment horizontal="left" vertical="center" wrapText="1"/>
    </xf>
    <xf numFmtId="4" fontId="37" fillId="31" borderId="0" xfId="1" applyNumberFormat="1" applyFont="1" applyFill="1" applyBorder="1" applyAlignment="1" applyProtection="1">
      <alignment horizontal="center" vertical="center" wrapText="1"/>
    </xf>
    <xf numFmtId="4" fontId="18" fillId="10" borderId="61" xfId="0" applyNumberFormat="1" applyFont="1" applyFill="1" applyBorder="1" applyAlignment="1">
      <alignment horizontal="right" vertical="center" wrapText="1" indent="1"/>
    </xf>
    <xf numFmtId="4" fontId="18" fillId="10" borderId="61" xfId="0" applyNumberFormat="1" applyFont="1" applyFill="1" applyBorder="1" applyAlignment="1">
      <alignment horizontal="right" vertical="center" indent="1"/>
    </xf>
    <xf numFmtId="4" fontId="57" fillId="0" borderId="0" xfId="0" applyNumberFormat="1" applyFont="1" applyAlignment="1" applyProtection="1">
      <alignment horizontal="left" vertical="center" wrapText="1"/>
      <protection locked="0"/>
    </xf>
    <xf numFmtId="0" fontId="8" fillId="2" borderId="141" xfId="0" applyFont="1" applyFill="1" applyBorder="1" applyAlignment="1">
      <alignment horizontal="center" vertical="center"/>
    </xf>
    <xf numFmtId="0" fontId="8" fillId="2" borderId="142" xfId="0" applyFont="1" applyFill="1" applyBorder="1" applyAlignment="1">
      <alignment horizontal="center" vertical="center"/>
    </xf>
    <xf numFmtId="0" fontId="8" fillId="2" borderId="140" xfId="0" applyFont="1" applyFill="1" applyBorder="1" applyAlignment="1">
      <alignment horizontal="center" vertical="center"/>
    </xf>
    <xf numFmtId="0" fontId="8" fillId="2" borderId="0" xfId="0" applyFont="1" applyFill="1" applyAlignment="1">
      <alignment horizontal="center" vertical="center"/>
    </xf>
    <xf numFmtId="4" fontId="46" fillId="10" borderId="64" xfId="0" applyNumberFormat="1" applyFont="1" applyFill="1" applyBorder="1" applyAlignment="1">
      <alignment horizontal="right" vertical="center" wrapText="1"/>
    </xf>
    <xf numFmtId="4" fontId="46" fillId="10" borderId="66" xfId="0" applyNumberFormat="1" applyFont="1" applyFill="1" applyBorder="1" applyAlignment="1">
      <alignment horizontal="right" vertical="center" wrapText="1"/>
    </xf>
    <xf numFmtId="0" fontId="114" fillId="0" borderId="0" xfId="3" applyFont="1" applyAlignment="1">
      <alignment horizontal="center" vertical="center"/>
    </xf>
    <xf numFmtId="0" fontId="29" fillId="0" borderId="0" xfId="3" applyFont="1" applyAlignment="1">
      <alignment horizontal="center" vertical="center"/>
    </xf>
    <xf numFmtId="0" fontId="115" fillId="29" borderId="0" xfId="3" applyFont="1" applyFill="1" applyAlignment="1">
      <alignment horizontal="center" vertical="center"/>
    </xf>
    <xf numFmtId="0" fontId="59" fillId="0" borderId="0" xfId="0" applyFont="1" applyAlignment="1">
      <alignment horizontal="center"/>
    </xf>
    <xf numFmtId="0" fontId="60" fillId="0" borderId="0" xfId="0" applyFont="1" applyAlignment="1">
      <alignment horizontal="center"/>
    </xf>
    <xf numFmtId="0" fontId="61" fillId="0" borderId="0" xfId="0" applyFont="1" applyAlignment="1">
      <alignment horizontal="center"/>
    </xf>
    <xf numFmtId="0" fontId="34" fillId="0" borderId="0" xfId="0" applyFont="1" applyAlignment="1">
      <alignment horizontal="center"/>
    </xf>
    <xf numFmtId="0" fontId="103" fillId="0" borderId="0" xfId="0" applyFont="1" applyAlignment="1">
      <alignment horizontal="center" vertical="center"/>
    </xf>
    <xf numFmtId="0" fontId="12" fillId="0" borderId="1" xfId="0" applyFont="1" applyBorder="1" applyAlignment="1">
      <alignment horizontal="center"/>
    </xf>
    <xf numFmtId="0" fontId="12" fillId="0" borderId="3" xfId="0" applyFont="1" applyBorder="1" applyAlignment="1">
      <alignment horizontal="center"/>
    </xf>
    <xf numFmtId="0" fontId="15" fillId="3" borderId="4" xfId="3" applyFont="1" applyFill="1" applyBorder="1" applyAlignment="1">
      <alignment horizontal="center"/>
    </xf>
    <xf numFmtId="0" fontId="15" fillId="3" borderId="5" xfId="3" applyFont="1" applyFill="1" applyBorder="1" applyAlignment="1">
      <alignment horizontal="center"/>
    </xf>
    <xf numFmtId="0" fontId="15" fillId="3" borderId="6" xfId="3" applyFont="1" applyFill="1" applyBorder="1" applyAlignment="1">
      <alignment horizontal="center"/>
    </xf>
    <xf numFmtId="0" fontId="17" fillId="5" borderId="21" xfId="3" applyFont="1" applyFill="1" applyBorder="1" applyAlignment="1">
      <alignment horizontal="center"/>
    </xf>
    <xf numFmtId="0" fontId="17" fillId="5" borderId="9" xfId="3" applyFont="1" applyFill="1" applyBorder="1" applyAlignment="1">
      <alignment horizontal="center"/>
    </xf>
    <xf numFmtId="0" fontId="17" fillId="5" borderId="22" xfId="3" applyFont="1" applyFill="1" applyBorder="1" applyAlignment="1">
      <alignment horizontal="center"/>
    </xf>
    <xf numFmtId="0" fontId="13" fillId="0" borderId="0" xfId="0" quotePrefix="1" applyFont="1" applyAlignment="1">
      <alignment horizontal="right" vertical="center"/>
    </xf>
    <xf numFmtId="0" fontId="13" fillId="0" borderId="0" xfId="0" applyFont="1" applyAlignment="1">
      <alignment horizontal="right" vertical="center"/>
    </xf>
    <xf numFmtId="0" fontId="13" fillId="0" borderId="105" xfId="0" applyFont="1" applyBorder="1" applyAlignment="1">
      <alignment horizontal="right" vertical="center"/>
    </xf>
    <xf numFmtId="0" fontId="13" fillId="0" borderId="187" xfId="0" applyFont="1" applyBorder="1" applyAlignment="1">
      <alignment horizontal="right" vertical="center"/>
    </xf>
    <xf numFmtId="0" fontId="67" fillId="0" borderId="183" xfId="0" applyFont="1" applyBorder="1" applyAlignment="1">
      <alignment horizontal="left" vertical="center" wrapText="1"/>
    </xf>
    <xf numFmtId="0" fontId="67" fillId="0" borderId="184" xfId="0" applyFont="1" applyBorder="1" applyAlignment="1">
      <alignment horizontal="left" vertical="center" wrapText="1"/>
    </xf>
    <xf numFmtId="0" fontId="61" fillId="0" borderId="0" xfId="0" applyFont="1" applyAlignment="1">
      <alignment horizontal="center" vertical="center"/>
    </xf>
    <xf numFmtId="0" fontId="18" fillId="5" borderId="21" xfId="3" applyFont="1" applyFill="1" applyBorder="1" applyAlignment="1">
      <alignment horizontal="center"/>
    </xf>
    <xf numFmtId="0" fontId="18" fillId="5" borderId="9" xfId="3" applyFont="1" applyFill="1" applyBorder="1" applyAlignment="1">
      <alignment horizontal="center"/>
    </xf>
    <xf numFmtId="0" fontId="18" fillId="5" borderId="22" xfId="3" applyFont="1" applyFill="1" applyBorder="1" applyAlignment="1">
      <alignment horizontal="center"/>
    </xf>
    <xf numFmtId="0" fontId="11" fillId="11" borderId="64" xfId="0" applyFont="1" applyFill="1" applyBorder="1" applyAlignment="1">
      <alignment horizontal="center" vertical="center" wrapText="1"/>
    </xf>
    <xf numFmtId="0" fontId="11" fillId="11" borderId="66" xfId="0" applyFont="1" applyFill="1" applyBorder="1" applyAlignment="1">
      <alignment horizontal="center" vertical="center" wrapText="1"/>
    </xf>
    <xf numFmtId="0" fontId="46" fillId="0" borderId="61" xfId="0" applyFont="1" applyBorder="1" applyAlignment="1">
      <alignment horizontal="center" vertical="center"/>
    </xf>
    <xf numFmtId="2" fontId="29" fillId="0" borderId="27" xfId="3" applyNumberFormat="1" applyFont="1" applyBorder="1" applyAlignment="1">
      <alignment horizontal="center" vertical="center" wrapText="1"/>
    </xf>
    <xf numFmtId="2" fontId="29" fillId="0" borderId="24" xfId="3" applyNumberFormat="1" applyFont="1" applyBorder="1" applyAlignment="1">
      <alignment horizontal="center" vertical="center" wrapText="1"/>
    </xf>
    <xf numFmtId="2" fontId="29" fillId="0" borderId="25" xfId="3" applyNumberFormat="1" applyFont="1" applyBorder="1" applyAlignment="1">
      <alignment horizontal="center" vertical="center" wrapText="1"/>
    </xf>
    <xf numFmtId="2" fontId="29" fillId="0" borderId="37" xfId="3" applyNumberFormat="1" applyFont="1" applyBorder="1" applyAlignment="1">
      <alignment horizontal="center" vertical="center" wrapText="1"/>
    </xf>
    <xf numFmtId="2" fontId="29" fillId="0" borderId="31" xfId="3" applyNumberFormat="1" applyFont="1" applyBorder="1" applyAlignment="1">
      <alignment horizontal="center" vertical="center" wrapText="1"/>
    </xf>
    <xf numFmtId="2" fontId="29" fillId="0" borderId="32" xfId="3" applyNumberFormat="1" applyFont="1" applyBorder="1" applyAlignment="1">
      <alignment horizontal="center" vertical="center" wrapText="1"/>
    </xf>
    <xf numFmtId="0" fontId="23" fillId="0" borderId="0" xfId="3" applyFont="1" applyAlignment="1">
      <alignment horizontal="center" vertical="center"/>
    </xf>
    <xf numFmtId="0" fontId="29" fillId="0" borderId="41" xfId="3" applyFont="1" applyBorder="1" applyAlignment="1">
      <alignment horizontal="center" vertical="center"/>
    </xf>
    <xf numFmtId="0" fontId="13" fillId="0" borderId="42" xfId="3" applyBorder="1"/>
    <xf numFmtId="0" fontId="23" fillId="0" borderId="5" xfId="3" applyFont="1" applyBorder="1" applyAlignment="1">
      <alignment horizontal="center" vertical="center"/>
    </xf>
    <xf numFmtId="0" fontId="29" fillId="0" borderId="31" xfId="3" applyFont="1" applyBorder="1" applyAlignment="1">
      <alignment horizontal="center" vertical="center" wrapText="1"/>
    </xf>
    <xf numFmtId="0" fontId="29" fillId="0" borderId="32" xfId="3" applyFont="1" applyBorder="1" applyAlignment="1">
      <alignment horizontal="center" vertical="center" wrapText="1"/>
    </xf>
    <xf numFmtId="0" fontId="29" fillId="0" borderId="34" xfId="3" applyFont="1" applyBorder="1" applyAlignment="1">
      <alignment horizontal="center" vertical="center" wrapText="1"/>
    </xf>
    <xf numFmtId="0" fontId="29" fillId="0" borderId="38" xfId="3" applyFont="1" applyBorder="1" applyAlignment="1">
      <alignment horizontal="center" vertical="center" wrapText="1"/>
    </xf>
    <xf numFmtId="0" fontId="29" fillId="0" borderId="27" xfId="3" applyFont="1" applyBorder="1" applyAlignment="1">
      <alignment horizontal="center" vertical="center" wrapText="1"/>
    </xf>
    <xf numFmtId="2" fontId="29" fillId="0" borderId="35" xfId="3" applyNumberFormat="1" applyFont="1" applyBorder="1" applyAlignment="1">
      <alignment horizontal="center" vertical="center" wrapText="1"/>
    </xf>
    <xf numFmtId="2" fontId="29" fillId="0" borderId="39" xfId="3" applyNumberFormat="1" applyFont="1" applyBorder="1" applyAlignment="1">
      <alignment horizontal="center" vertical="center" wrapText="1"/>
    </xf>
    <xf numFmtId="0" fontId="13" fillId="0" borderId="26" xfId="3" applyBorder="1"/>
    <xf numFmtId="2" fontId="29" fillId="0" borderId="26" xfId="3" applyNumberFormat="1" applyFont="1" applyBorder="1" applyAlignment="1">
      <alignment horizontal="center" vertical="center" wrapText="1"/>
    </xf>
    <xf numFmtId="2" fontId="29" fillId="0" borderId="36" xfId="3" applyNumberFormat="1" applyFont="1" applyBorder="1" applyAlignment="1">
      <alignment horizontal="center" vertical="center" wrapText="1"/>
    </xf>
    <xf numFmtId="2" fontId="29" fillId="0" borderId="101" xfId="3" applyNumberFormat="1" applyFont="1" applyBorder="1" applyAlignment="1">
      <alignment horizontal="center" vertical="center" wrapText="1"/>
    </xf>
    <xf numFmtId="0" fontId="29" fillId="0" borderId="33" xfId="3" applyFont="1" applyBorder="1" applyAlignment="1">
      <alignment horizontal="center" vertical="center" wrapText="1"/>
    </xf>
    <xf numFmtId="2" fontId="29" fillId="0" borderId="33" xfId="3" applyNumberFormat="1" applyFont="1" applyBorder="1" applyAlignment="1">
      <alignment horizontal="center" vertical="center" wrapText="1"/>
    </xf>
    <xf numFmtId="0" fontId="18" fillId="5" borderId="1" xfId="3" applyFont="1" applyFill="1" applyBorder="1" applyAlignment="1">
      <alignment horizontal="center"/>
    </xf>
    <xf numFmtId="0" fontId="18" fillId="5" borderId="2" xfId="3" applyFont="1" applyFill="1" applyBorder="1" applyAlignment="1">
      <alignment horizontal="center"/>
    </xf>
    <xf numFmtId="0" fontId="18" fillId="5" borderId="3" xfId="3" applyFont="1" applyFill="1" applyBorder="1" applyAlignment="1">
      <alignment horizontal="center"/>
    </xf>
    <xf numFmtId="173" fontId="29" fillId="0" borderId="36" xfId="3" applyNumberFormat="1" applyFont="1" applyBorder="1" applyAlignment="1">
      <alignment horizontal="center" vertical="center" wrapText="1"/>
    </xf>
    <xf numFmtId="0" fontId="14" fillId="0" borderId="21" xfId="3" applyFont="1" applyBorder="1" applyAlignment="1">
      <alignment horizontal="center" vertical="center"/>
    </xf>
    <xf numFmtId="0" fontId="14" fillId="0" borderId="9" xfId="3" applyFont="1" applyBorder="1" applyAlignment="1">
      <alignment horizontal="center" vertical="center"/>
    </xf>
    <xf numFmtId="0" fontId="14" fillId="0" borderId="22" xfId="3" applyFont="1" applyBorder="1" applyAlignment="1">
      <alignment horizontal="center" vertical="center"/>
    </xf>
    <xf numFmtId="0" fontId="14" fillId="3" borderId="51" xfId="3" applyFont="1" applyFill="1" applyBorder="1" applyAlignment="1">
      <alignment horizontal="center" vertical="center"/>
    </xf>
    <xf numFmtId="0" fontId="14" fillId="3" borderId="50" xfId="3" applyFont="1" applyFill="1" applyBorder="1" applyAlignment="1">
      <alignment horizontal="center" vertical="center"/>
    </xf>
    <xf numFmtId="0" fontId="14" fillId="3" borderId="52" xfId="3" applyFont="1" applyFill="1" applyBorder="1" applyAlignment="1">
      <alignment horizontal="center" vertical="center"/>
    </xf>
    <xf numFmtId="2" fontId="13" fillId="3" borderId="27" xfId="3" applyNumberFormat="1" applyFill="1" applyBorder="1" applyAlignment="1">
      <alignment horizontal="center" vertical="center"/>
    </xf>
    <xf numFmtId="0" fontId="13" fillId="0" borderId="27" xfId="3" applyBorder="1" applyAlignment="1">
      <alignment horizontal="center" vertical="center"/>
    </xf>
    <xf numFmtId="1" fontId="12" fillId="3" borderId="35"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1" fontId="12" fillId="3" borderId="39" xfId="3" applyNumberFormat="1" applyFont="1" applyFill="1" applyBorder="1" applyAlignment="1">
      <alignment horizontal="center" vertical="center"/>
    </xf>
    <xf numFmtId="0" fontId="13" fillId="0" borderId="28" xfId="3" applyBorder="1" applyAlignment="1">
      <alignment horizontal="center" vertical="center"/>
    </xf>
    <xf numFmtId="0" fontId="13" fillId="0" borderId="30" xfId="3" applyBorder="1" applyAlignment="1">
      <alignment horizontal="center" vertical="center"/>
    </xf>
    <xf numFmtId="0" fontId="13" fillId="0" borderId="0" xfId="3" applyAlignment="1">
      <alignment horizontal="center" vertical="center"/>
    </xf>
    <xf numFmtId="0" fontId="13" fillId="0" borderId="49" xfId="3" applyBorder="1" applyAlignment="1">
      <alignment horizontal="center" vertical="center"/>
    </xf>
    <xf numFmtId="2" fontId="12" fillId="3" borderId="35" xfId="3" applyNumberFormat="1" applyFont="1" applyFill="1" applyBorder="1" applyAlignment="1">
      <alignment horizontal="center" vertical="center"/>
    </xf>
    <xf numFmtId="2" fontId="12" fillId="3" borderId="17" xfId="3" applyNumberFormat="1" applyFont="1" applyFill="1" applyBorder="1" applyAlignment="1">
      <alignment horizontal="center" vertical="center"/>
    </xf>
    <xf numFmtId="2" fontId="12" fillId="3" borderId="39" xfId="3" applyNumberFormat="1" applyFont="1" applyFill="1" applyBorder="1" applyAlignment="1">
      <alignment horizontal="center" vertical="center"/>
    </xf>
    <xf numFmtId="0" fontId="14" fillId="3" borderId="24" xfId="3" applyFont="1" applyFill="1" applyBorder="1" applyAlignment="1">
      <alignment horizontal="center" vertical="center"/>
    </xf>
    <xf numFmtId="0" fontId="14" fillId="3" borderId="25" xfId="3" applyFont="1" applyFill="1" applyBorder="1" applyAlignment="1">
      <alignment horizontal="center" vertical="center"/>
    </xf>
    <xf numFmtId="0" fontId="14" fillId="3" borderId="26" xfId="3" applyFont="1" applyFill="1" applyBorder="1" applyAlignment="1">
      <alignment horizontal="center" vertical="center"/>
    </xf>
    <xf numFmtId="0" fontId="14" fillId="3" borderId="27" xfId="3" applyFont="1" applyFill="1" applyBorder="1" applyAlignment="1">
      <alignment horizontal="center" vertical="center"/>
    </xf>
    <xf numFmtId="0" fontId="13" fillId="0" borderId="35" xfId="3" applyBorder="1" applyAlignment="1">
      <alignment horizontal="center" vertical="center"/>
    </xf>
    <xf numFmtId="0" fontId="13" fillId="0" borderId="17" xfId="3" applyBorder="1" applyAlignment="1">
      <alignment horizontal="center" vertical="center"/>
    </xf>
    <xf numFmtId="0" fontId="13" fillId="0" borderId="39" xfId="3" applyBorder="1" applyAlignment="1">
      <alignment horizontal="center" vertical="center"/>
    </xf>
    <xf numFmtId="2" fontId="13" fillId="3" borderId="35" xfId="3" applyNumberFormat="1" applyFill="1" applyBorder="1" applyAlignment="1">
      <alignment horizontal="center" vertical="center"/>
    </xf>
    <xf numFmtId="2" fontId="13" fillId="3" borderId="17" xfId="3" applyNumberFormat="1" applyFill="1" applyBorder="1" applyAlignment="1">
      <alignment horizontal="center" vertical="center"/>
    </xf>
    <xf numFmtId="2" fontId="13" fillId="3" borderId="39" xfId="3" applyNumberFormat="1" applyFill="1" applyBorder="1" applyAlignment="1">
      <alignment horizontal="center" vertical="center"/>
    </xf>
    <xf numFmtId="0" fontId="12" fillId="0" borderId="35" xfId="3" applyFont="1" applyBorder="1" applyAlignment="1">
      <alignment horizontal="center" vertical="center"/>
    </xf>
    <xf numFmtId="0" fontId="12" fillId="0" borderId="17" xfId="3" applyFont="1" applyBorder="1" applyAlignment="1">
      <alignment horizontal="center" vertical="center"/>
    </xf>
    <xf numFmtId="0" fontId="12" fillId="0" borderId="39" xfId="3" applyFont="1" applyBorder="1" applyAlignment="1">
      <alignment horizontal="center" vertical="center"/>
    </xf>
    <xf numFmtId="2" fontId="13" fillId="3" borderId="103" xfId="3" applyNumberFormat="1" applyFill="1" applyBorder="1" applyAlignment="1">
      <alignment horizontal="center" vertical="center"/>
    </xf>
    <xf numFmtId="0" fontId="29" fillId="0" borderId="107" xfId="3" applyFont="1" applyBorder="1" applyAlignment="1">
      <alignment horizontal="center" vertical="center" wrapText="1"/>
    </xf>
    <xf numFmtId="0" fontId="29" fillId="0" borderId="101" xfId="3" applyFont="1" applyBorder="1" applyAlignment="1">
      <alignment horizontal="center" vertical="center" wrapText="1"/>
    </xf>
    <xf numFmtId="2" fontId="29" fillId="0" borderId="108" xfId="3" applyNumberFormat="1" applyFont="1" applyBorder="1" applyAlignment="1">
      <alignment horizontal="center" vertical="center" wrapText="1"/>
    </xf>
    <xf numFmtId="2" fontId="29" fillId="0" borderId="105" xfId="3" applyNumberFormat="1" applyFont="1" applyBorder="1" applyAlignment="1">
      <alignment horizontal="center" vertical="center" wrapText="1"/>
    </xf>
    <xf numFmtId="2" fontId="29" fillId="0" borderId="106" xfId="3" applyNumberFormat="1" applyFont="1" applyBorder="1" applyAlignment="1">
      <alignment horizontal="center" vertical="center" wrapText="1"/>
    </xf>
    <xf numFmtId="2" fontId="29" fillId="0" borderId="50" xfId="3" applyNumberFormat="1" applyFont="1" applyBorder="1" applyAlignment="1">
      <alignment horizontal="center" vertical="center" wrapText="1"/>
    </xf>
    <xf numFmtId="2" fontId="29" fillId="0" borderId="52" xfId="3" applyNumberFormat="1" applyFont="1" applyBorder="1" applyAlignment="1">
      <alignment horizontal="center" vertical="center" wrapText="1"/>
    </xf>
    <xf numFmtId="2" fontId="29" fillId="0" borderId="104" xfId="3" applyNumberFormat="1" applyFont="1" applyBorder="1" applyAlignment="1">
      <alignment horizontal="center" vertical="center" wrapText="1"/>
    </xf>
    <xf numFmtId="2" fontId="29" fillId="0" borderId="102" xfId="3" applyNumberFormat="1" applyFont="1" applyBorder="1" applyAlignment="1">
      <alignment horizontal="center" vertical="center" wrapText="1"/>
    </xf>
    <xf numFmtId="2" fontId="29" fillId="0" borderId="109" xfId="3" applyNumberFormat="1" applyFont="1" applyBorder="1" applyAlignment="1">
      <alignment horizontal="center" vertical="center" wrapText="1"/>
    </xf>
    <xf numFmtId="2" fontId="29" fillId="0" borderId="110" xfId="3" applyNumberFormat="1" applyFont="1" applyBorder="1" applyAlignment="1">
      <alignment horizontal="center" vertical="center" wrapText="1"/>
    </xf>
    <xf numFmtId="0" fontId="29" fillId="0" borderId="21" xfId="3" applyFont="1" applyBorder="1" applyAlignment="1">
      <alignment horizontal="center" vertical="center"/>
    </xf>
    <xf numFmtId="0" fontId="13" fillId="0" borderId="9" xfId="3" applyBorder="1"/>
    <xf numFmtId="0" fontId="29" fillId="0" borderId="9" xfId="3" applyFont="1" applyBorder="1" applyAlignment="1">
      <alignment horizontal="center" vertical="center"/>
    </xf>
    <xf numFmtId="0" fontId="1" fillId="5" borderId="21" xfId="3" applyFont="1" applyFill="1" applyBorder="1" applyAlignment="1">
      <alignment horizontal="center" vertical="center"/>
    </xf>
    <xf numFmtId="0" fontId="1" fillId="5" borderId="9" xfId="3" applyFont="1" applyFill="1" applyBorder="1" applyAlignment="1">
      <alignment horizontal="center" vertical="center"/>
    </xf>
    <xf numFmtId="0" fontId="1" fillId="5" borderId="22" xfId="3" applyFont="1" applyFill="1" applyBorder="1" applyAlignment="1">
      <alignment horizontal="center" vertical="center"/>
    </xf>
    <xf numFmtId="4" fontId="75" fillId="6" borderId="117" xfId="10" applyNumberFormat="1" applyFont="1" applyFill="1" applyBorder="1" applyAlignment="1">
      <alignment horizontal="right" vertical="top" shrinkToFit="1"/>
    </xf>
    <xf numFmtId="0" fontId="53" fillId="6" borderId="0" xfId="10" applyFill="1" applyAlignment="1">
      <alignment horizontal="left" vertical="top"/>
    </xf>
    <xf numFmtId="164" fontId="13" fillId="3" borderId="0" xfId="3" applyNumberFormat="1" applyFill="1" applyAlignment="1">
      <alignment horizontal="left" vertical="top"/>
    </xf>
    <xf numFmtId="43" fontId="13" fillId="3" borderId="0" xfId="3" applyNumberFormat="1" applyFill="1" applyAlignment="1">
      <alignment horizontal="left" vertical="top"/>
    </xf>
  </cellXfs>
  <cellStyles count="16">
    <cellStyle name="Normal" xfId="0" builtinId="0"/>
    <cellStyle name="Normal 2" xfId="3" xr:uid="{00000000-0005-0000-0000-000001000000}"/>
    <cellStyle name="Normal 2 2" xfId="8" xr:uid="{00000000-0005-0000-0000-000002000000}"/>
    <cellStyle name="Normal 3" xfId="5" xr:uid="{00000000-0005-0000-0000-000003000000}"/>
    <cellStyle name="Normal 3 2" xfId="7" xr:uid="{00000000-0005-0000-0000-000004000000}"/>
    <cellStyle name="Normal 3 3" xfId="12" xr:uid="{F9038BEA-B72F-477A-839E-D7F858B9DBA2}"/>
    <cellStyle name="Normal 4" xfId="10" xr:uid="{4A2C632E-3297-488C-AE14-74EE0BA455E9}"/>
    <cellStyle name="Normal 5" xfId="11" xr:uid="{F6628E7C-D5A7-4EAF-9733-F62687059522}"/>
    <cellStyle name="Normal 5 2" xfId="14" xr:uid="{4D89283C-AC57-408A-B2E9-3C765FA07485}"/>
    <cellStyle name="Normal_Dispositivo" xfId="6" xr:uid="{00000000-0005-0000-0000-000005000000}"/>
    <cellStyle name="Normal_Plan1" xfId="15" xr:uid="{4E0365EE-789A-4FB2-8651-9A3789FBFCEA}"/>
    <cellStyle name="Normal_RFS - Planilha Orçamento ANTT" xfId="2" xr:uid="{00000000-0005-0000-0000-000006000000}"/>
    <cellStyle name="Vírgula" xfId="1" builtinId="3"/>
    <cellStyle name="Vírgula 2" xfId="4" xr:uid="{00000000-0005-0000-0000-000008000000}"/>
    <cellStyle name="Vírgula 2 2" xfId="9" xr:uid="{00000000-0005-0000-0000-000009000000}"/>
    <cellStyle name="Vírgula 3" xfId="13" xr:uid="{A9C449A4-4659-472A-9950-E3D5CB665AEC}"/>
  </cellStyles>
  <dxfs count="401">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C000"/>
        </patternFill>
      </fill>
    </dxf>
    <dxf>
      <fill>
        <patternFill>
          <bgColor rgb="FFFFC000"/>
        </patternFill>
      </fill>
    </dxf>
    <dxf>
      <fill>
        <patternFill>
          <bgColor rgb="FFFF0000"/>
        </patternFill>
      </fill>
    </dxf>
    <dxf>
      <fill>
        <patternFill>
          <bgColor rgb="FFC00000"/>
        </patternFill>
      </fill>
    </dxf>
    <dxf>
      <fill>
        <patternFill>
          <bgColor rgb="FFFFC000"/>
        </patternFill>
      </fill>
    </dxf>
    <dxf>
      <fill>
        <patternFill>
          <bgColor rgb="FFFFFF00"/>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ill>
        <patternFill>
          <bgColor rgb="FFFFC0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auto="1"/>
      </font>
      <fill>
        <patternFill>
          <bgColor rgb="FFFFFF00"/>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theme="0"/>
      </font>
      <fill>
        <patternFill>
          <bgColor theme="1"/>
        </patternFill>
      </fill>
    </dxf>
    <dxf>
      <font>
        <color theme="0"/>
      </font>
      <fill>
        <patternFill>
          <bgColor rgb="FFC00000"/>
        </patternFill>
      </fill>
    </dxf>
    <dxf>
      <font>
        <color auto="1"/>
      </font>
      <fill>
        <patternFill>
          <bgColor rgb="FFFFFF00"/>
        </patternFill>
      </fill>
    </dxf>
    <dxf>
      <fill>
        <patternFill>
          <bgColor theme="0" tint="-0.14996795556505021"/>
        </patternFill>
      </fill>
    </dxf>
    <dxf>
      <font>
        <color theme="0"/>
      </font>
      <fill>
        <patternFill>
          <bgColor rgb="FFFF0000"/>
        </patternFill>
      </fill>
    </dxf>
    <dxf>
      <fill>
        <patternFill>
          <bgColor theme="0" tint="-0.14996795556505021"/>
        </patternFill>
      </fill>
    </dxf>
    <dxf>
      <fill>
        <patternFill patternType="lightUp">
          <fgColor theme="0" tint="-0.24994659260841701"/>
          <bgColor auto="1"/>
        </patternFill>
      </fill>
    </dxf>
    <dxf>
      <fill>
        <patternFill>
          <bgColor rgb="FFC00000"/>
        </patternFill>
      </fill>
    </dxf>
    <dxf>
      <fill>
        <patternFill>
          <bgColor rgb="FFC00000"/>
        </patternFill>
      </fill>
    </dxf>
    <dxf>
      <fill>
        <patternFill>
          <bgColor rgb="FFFFC000"/>
        </patternFill>
      </fill>
    </dxf>
    <dxf>
      <fill>
        <patternFill patternType="solid">
          <fgColor theme="0" tint="-0.14993743705557422"/>
          <bgColor theme="0" tint="-0.14996795556505021"/>
        </patternFill>
      </fill>
    </dxf>
    <dxf>
      <fill>
        <patternFill>
          <bgColor rgb="FFC00000"/>
        </patternFill>
      </fill>
    </dxf>
    <dxf>
      <fill>
        <patternFill>
          <bgColor rgb="FFC00000"/>
        </patternFill>
      </fill>
    </dxf>
    <dxf>
      <fill>
        <patternFill>
          <bgColor rgb="FFFFC000"/>
        </patternFill>
      </fill>
    </dxf>
    <dxf>
      <fill>
        <patternFill>
          <bgColor rgb="FFFFFF00"/>
        </patternFill>
      </fill>
    </dxf>
    <dxf>
      <fill>
        <patternFill>
          <bgColor rgb="FFC00000"/>
        </patternFill>
      </fill>
    </dxf>
    <dxf>
      <fill>
        <patternFill>
          <bgColor rgb="FFFFC000"/>
        </patternFill>
      </fill>
    </dxf>
    <dxf>
      <fill>
        <patternFill>
          <bgColor rgb="FFFF0000"/>
        </patternFill>
      </fill>
    </dxf>
    <dxf>
      <fill>
        <patternFill patternType="lightUp">
          <fgColor theme="0" tint="-0.24994659260841701"/>
        </patternFill>
      </fill>
    </dxf>
    <dxf>
      <fill>
        <patternFill>
          <bgColor rgb="FFC00000"/>
        </patternFill>
      </fill>
    </dxf>
    <dxf>
      <fill>
        <patternFill>
          <bgColor rgb="FFFFC000"/>
        </patternFill>
      </fill>
    </dxf>
    <dxf>
      <fill>
        <patternFill>
          <bgColor rgb="FFFFC000"/>
        </patternFill>
      </fill>
    </dxf>
    <dxf>
      <fill>
        <patternFill patternType="solid">
          <fgColor theme="0" tint="-0.14993743705557422"/>
          <bgColor theme="0" tint="-0.14996795556505021"/>
        </patternFill>
      </fill>
    </dxf>
    <dxf>
      <fill>
        <patternFill>
          <bgColor rgb="FFC00000"/>
        </patternFill>
      </fill>
    </dxf>
    <dxf>
      <fill>
        <patternFill>
          <bgColor rgb="FFC00000"/>
        </patternFill>
      </fill>
    </dxf>
    <dxf>
      <fill>
        <patternFill>
          <bgColor rgb="FFFFC000"/>
        </patternFill>
      </fill>
    </dxf>
    <dxf>
      <fill>
        <patternFill>
          <bgColor rgb="FFFFC000"/>
        </patternFill>
      </fill>
    </dxf>
    <dxf>
      <fill>
        <patternFill>
          <bgColor rgb="FFFFC000"/>
        </patternFill>
      </fill>
    </dxf>
    <dxf>
      <fill>
        <patternFill patternType="solid">
          <fgColor theme="0" tint="-0.14993743705557422"/>
          <bgColor theme="0" tint="-0.14996795556505021"/>
        </patternFill>
      </fill>
    </dxf>
    <dxf>
      <fill>
        <patternFill>
          <bgColor rgb="FFC00000"/>
        </patternFill>
      </fill>
    </dxf>
    <dxf>
      <fill>
        <patternFill>
          <bgColor rgb="FFC00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colors>
    <mruColors>
      <color rgb="FFE1F2CE"/>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1085850</xdr:colOff>
      <xdr:row>12</xdr:row>
      <xdr:rowOff>33337</xdr:rowOff>
    </xdr:from>
    <xdr:ext cx="3449727" cy="376706"/>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1085850" y="2319337"/>
              <a:ext cx="3449727" cy="376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𝐵𝐷𝐼</m:t>
                    </m:r>
                    <m:r>
                      <a:rPr lang="pt-BR" sz="1100" b="0" i="1">
                        <a:latin typeface="Cambria Math" panose="02040503050406030204" pitchFamily="18" charset="0"/>
                      </a:rPr>
                      <m:t>=</m:t>
                    </m:r>
                    <m:d>
                      <m:dPr>
                        <m:begChr m:val="["/>
                        <m:endChr m:val="]"/>
                        <m:ctrlPr>
                          <a:rPr lang="pt-BR" sz="1100" b="0" i="1">
                            <a:latin typeface="Cambria Math" panose="02040503050406030204" pitchFamily="18" charset="0"/>
                          </a:rPr>
                        </m:ctrlPr>
                      </m:dPr>
                      <m:e>
                        <m:r>
                          <a:rPr lang="pt-BR" sz="1100" b="0" i="1">
                            <a:latin typeface="Cambria Math" panose="02040503050406030204" pitchFamily="18" charset="0"/>
                          </a:rPr>
                          <m:t> </m:t>
                        </m:r>
                        <m:f>
                          <m:fPr>
                            <m:ctrlPr>
                              <a:rPr lang="pt-BR" sz="1100" b="0" i="1">
                                <a:latin typeface="Cambria Math" panose="02040503050406030204" pitchFamily="18" charset="0"/>
                              </a:rPr>
                            </m:ctrlPr>
                          </m:fPr>
                          <m:num>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𝐴𝐶</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𝑆</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𝑅</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𝐺</m:t>
                                </m:r>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𝐷𝐹</m:t>
                                </m:r>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𝐿</m:t>
                                </m:r>
                              </m:e>
                            </m:d>
                            <m:r>
                              <a:rPr lang="pt-BR" sz="1100" b="0" i="1">
                                <a:solidFill>
                                  <a:schemeClr val="tx1"/>
                                </a:solidFill>
                                <a:effectLst/>
                                <a:latin typeface="Cambria Math" panose="02040503050406030204" pitchFamily="18" charset="0"/>
                                <a:ea typeface="+mn-ea"/>
                                <a:cs typeface="+mn-cs"/>
                              </a:rPr>
                              <m:t> </m:t>
                            </m:r>
                          </m:num>
                          <m:den>
                            <m:d>
                              <m:dPr>
                                <m:ctrlPr>
                                  <a:rPr lang="pt-BR" sz="1100" b="0" i="1">
                                    <a:latin typeface="Cambria Math" panose="02040503050406030204" pitchFamily="18" charset="0"/>
                                  </a:rPr>
                                </m:ctrlPr>
                              </m:dPr>
                              <m:e>
                                <m:r>
                                  <a:rPr lang="pt-BR" sz="1100" b="0" i="1">
                                    <a:latin typeface="Cambria Math" panose="02040503050406030204" pitchFamily="18" charset="0"/>
                                  </a:rPr>
                                  <m:t>1−</m:t>
                                </m:r>
                                <m:r>
                                  <a:rPr lang="pt-BR" sz="1100" b="0" i="1">
                                    <a:latin typeface="Cambria Math" panose="02040503050406030204" pitchFamily="18" charset="0"/>
                                  </a:rPr>
                                  <m:t>𝐼</m:t>
                                </m:r>
                                <m:r>
                                  <a:rPr lang="pt-BR" sz="1100" b="0" i="1">
                                    <a:latin typeface="Cambria Math" panose="02040503050406030204" pitchFamily="18" charset="0"/>
                                  </a:rPr>
                                  <m:t>1−</m:t>
                                </m:r>
                                <m:r>
                                  <a:rPr lang="pt-BR" sz="1100" b="0" i="1">
                                    <a:latin typeface="Cambria Math" panose="02040503050406030204" pitchFamily="18" charset="0"/>
                                  </a:rPr>
                                  <m:t>𝐼</m:t>
                                </m:r>
                                <m:r>
                                  <a:rPr lang="pt-BR" sz="1100" b="0" i="1">
                                    <a:latin typeface="Cambria Math" panose="02040503050406030204" pitchFamily="18" charset="0"/>
                                  </a:rPr>
                                  <m:t>2−</m:t>
                                </m:r>
                                <m:r>
                                  <a:rPr lang="pt-BR" sz="1100" b="0" i="1">
                                    <a:latin typeface="Cambria Math" panose="02040503050406030204" pitchFamily="18" charset="0"/>
                                  </a:rPr>
                                  <m:t>𝐼</m:t>
                                </m:r>
                                <m:r>
                                  <a:rPr lang="pt-BR" sz="1100" b="0" i="1">
                                    <a:latin typeface="Cambria Math" panose="02040503050406030204" pitchFamily="18" charset="0"/>
                                  </a:rPr>
                                  <m:t>3</m:t>
                                </m:r>
                              </m:e>
                            </m:d>
                          </m:den>
                        </m:f>
                      </m:e>
                    </m:d>
                    <m:r>
                      <a:rPr lang="pt-BR" sz="1100" b="0" i="1">
                        <a:latin typeface="Cambria Math" panose="02040503050406030204" pitchFamily="18" charset="0"/>
                      </a:rPr>
                      <m:t>−1</m:t>
                    </m:r>
                  </m:oMath>
                </m:oMathPara>
              </a14:m>
              <a:endParaRPr lang="pt-BR" sz="1100"/>
            </a:p>
          </xdr:txBody>
        </xdr:sp>
      </mc:Choice>
      <mc:Fallback xmlns="">
        <xdr:sp macro="" textlink="">
          <xdr:nvSpPr>
            <xdr:cNvPr id="2" name="CaixaDeTexto 1">
              <a:extLst>
                <a:ext uri="{FF2B5EF4-FFF2-40B4-BE49-F238E27FC236}">
                  <a16:creationId xmlns:a16="http://schemas.microsoft.com/office/drawing/2014/main" id="{22705969-83C0-C81C-73A4-D184343C3F04}"/>
                </a:ext>
              </a:extLst>
            </xdr:cNvPr>
            <xdr:cNvSpPr txBox="1"/>
          </xdr:nvSpPr>
          <xdr:spPr>
            <a:xfrm>
              <a:off x="1085850" y="2319337"/>
              <a:ext cx="3449727" cy="376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𝐵𝐷𝐼=[ (</a:t>
              </a:r>
              <a:r>
                <a:rPr lang="pt-BR" sz="1100" b="0" i="0">
                  <a:solidFill>
                    <a:schemeClr val="tx1"/>
                  </a:solidFill>
                  <a:effectLst/>
                  <a:latin typeface="+mn-lt"/>
                  <a:ea typeface="+mn-ea"/>
                  <a:cs typeface="+mn-cs"/>
                </a:rPr>
                <a:t>(1+𝐴𝐶+𝑆+𝑅+𝐺)∗(1+𝐷𝐹)∗(1+𝐿)</a:t>
              </a:r>
              <a:r>
                <a:rPr lang="pt-BR" sz="1100" b="0" i="0">
                  <a:solidFill>
                    <a:schemeClr val="tx1"/>
                  </a:solidFill>
                  <a:effectLst/>
                  <a:latin typeface="Cambria Math" panose="02040503050406030204" pitchFamily="18" charset="0"/>
                  <a:ea typeface="+mn-ea"/>
                  <a:cs typeface="+mn-cs"/>
                </a:rPr>
                <a:t>  )/((</a:t>
              </a:r>
              <a:r>
                <a:rPr lang="pt-BR" sz="1100" b="0" i="0">
                  <a:latin typeface="Cambria Math" panose="02040503050406030204" pitchFamily="18" charset="0"/>
                </a:rPr>
                <a:t>1−𝐼1−𝐼2−𝐼3) )]−1</a:t>
              </a:r>
              <a:endParaRPr lang="pt-B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371475</xdr:colOff>
          <xdr:row>0</xdr:row>
          <xdr:rowOff>0</xdr:rowOff>
        </xdr:from>
        <xdr:to>
          <xdr:col>16</xdr:col>
          <xdr:colOff>161925</xdr:colOff>
          <xdr:row>1</xdr:row>
          <xdr:rowOff>9525</xdr:rowOff>
        </xdr:to>
        <xdr:sp macro="" textlink="">
          <xdr:nvSpPr>
            <xdr:cNvPr id="15361" name="Quantidades"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ARQUIVO\1-ENCERRADOS\010-Encerrado-EF2013\13030%20-%20Fluminense%20-%20Dispositivos\009%20-%20BR-101%20-%20km%2065%20-%2067\Quantidades\Sinaliza&#231;&#227;o\Quantitativo%20vertic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Andamento/20010%20-%20Rod.Tiete%20SP-300%20e%20209%20-%20Rev%20Projetos/001%20-%20SP-209%20-%20Marginal%20P.%20Sul/Quantidades/CA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NTRATO\564\Etapa%205%20-%20Projeto%20Executivo\Volume%203%20-%20Orcamento\Orcam-PE-AT-R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rojetos\COLINAS\PROGRAMA%20DE%20OBRAS%202010\SP-127%20-%20SALTINHO%20e%20CORN&#201;LIO%20PIRES\CORN&#201;LIO%20PIRES%20-%20km%2049\02_PROJETO%20EXECUTIVO\2.10_TERRAPLENAGEM\MODELO\ORIENTA&#199;&#195;O%20DE%20TERRAPLENAGEM%20DISPOSITIV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Andamento\17001%20-%20CART%20-%20Pareceres%20e%20Projetos\018%20-%20SP-327%20-%20Marginal%20km%209%20ao%2010\Desenhos\Sinaliza&#231;&#227;o\Quantidades\Quantitativo%20horizontal%20(complementa&#231;&#227;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rojetos\COLINAS\PROGRAMA%20DE%20OBRAS%202010\SP-127%20-%20SALTINHO%20e%20CORN&#201;LIO%20PIRES\CORN&#201;LIO%20PIRES%20-%20km%2049\02_PROJETO%20EXECUTIVO\2.10_TERRAPLENAGEM\MODELO\ORIENTA&#199;&#195;O%20DE%20TERRAPLENAGEM%20TRON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as-F001"/>
      <sheetName val="Plan1"/>
    </sheetNames>
    <sheetDataSet>
      <sheetData sheetId="0"/>
      <sheetData sheetId="1">
        <row r="2">
          <cell r="A2" t="str">
            <v>A-1a</v>
          </cell>
        </row>
        <row r="3">
          <cell r="A3" t="str">
            <v>A-1b</v>
          </cell>
        </row>
        <row r="4">
          <cell r="A4" t="str">
            <v>A-2a</v>
          </cell>
        </row>
        <row r="5">
          <cell r="A5" t="str">
            <v>A-2b</v>
          </cell>
        </row>
        <row r="6">
          <cell r="A6" t="str">
            <v>A-3a</v>
          </cell>
        </row>
        <row r="7">
          <cell r="A7" t="str">
            <v>A-3b</v>
          </cell>
        </row>
        <row r="8">
          <cell r="A8" t="str">
            <v>A-4a</v>
          </cell>
        </row>
        <row r="9">
          <cell r="A9" t="str">
            <v>A-4b</v>
          </cell>
        </row>
        <row r="10">
          <cell r="A10" t="str">
            <v>A-5a</v>
          </cell>
        </row>
        <row r="11">
          <cell r="A11" t="str">
            <v>A-5b</v>
          </cell>
        </row>
        <row r="12">
          <cell r="A12" t="str">
            <v>A-6</v>
          </cell>
        </row>
        <row r="13">
          <cell r="A13" t="str">
            <v>A-7a</v>
          </cell>
        </row>
        <row r="14">
          <cell r="A14" t="str">
            <v>A-7b</v>
          </cell>
        </row>
        <row r="15">
          <cell r="A15" t="str">
            <v>A-8</v>
          </cell>
        </row>
        <row r="16">
          <cell r="A16" t="str">
            <v>A-9</v>
          </cell>
        </row>
        <row r="17">
          <cell r="A17" t="str">
            <v>A-10a</v>
          </cell>
        </row>
        <row r="18">
          <cell r="A18" t="str">
            <v>A-10b</v>
          </cell>
        </row>
        <row r="19">
          <cell r="A19" t="str">
            <v>A-11a</v>
          </cell>
        </row>
        <row r="20">
          <cell r="A20" t="str">
            <v>A-11b</v>
          </cell>
        </row>
        <row r="21">
          <cell r="A21" t="str">
            <v>A-12</v>
          </cell>
        </row>
        <row r="22">
          <cell r="A22" t="str">
            <v>A-13a</v>
          </cell>
        </row>
        <row r="23">
          <cell r="A23" t="str">
            <v>A-13b</v>
          </cell>
        </row>
        <row r="24">
          <cell r="A24" t="str">
            <v>A-14</v>
          </cell>
        </row>
        <row r="25">
          <cell r="A25" t="str">
            <v>A-15</v>
          </cell>
        </row>
        <row r="26">
          <cell r="A26" t="str">
            <v>A-16</v>
          </cell>
        </row>
        <row r="27">
          <cell r="A27" t="str">
            <v>A-17</v>
          </cell>
        </row>
        <row r="28">
          <cell r="A28" t="str">
            <v>A-18</v>
          </cell>
        </row>
        <row r="29">
          <cell r="A29" t="str">
            <v>A-19</v>
          </cell>
        </row>
        <row r="30">
          <cell r="A30" t="str">
            <v>A-20a</v>
          </cell>
        </row>
        <row r="31">
          <cell r="A31" t="str">
            <v>A-20b</v>
          </cell>
        </row>
        <row r="32">
          <cell r="A32" t="str">
            <v>A-20c</v>
          </cell>
        </row>
        <row r="33">
          <cell r="A33" t="str">
            <v>A-20d</v>
          </cell>
        </row>
        <row r="34">
          <cell r="A34" t="str">
            <v>A-21a</v>
          </cell>
        </row>
        <row r="35">
          <cell r="A35" t="str">
            <v>A-21b</v>
          </cell>
        </row>
        <row r="36">
          <cell r="A36" t="str">
            <v>A-21c</v>
          </cell>
        </row>
        <row r="37">
          <cell r="A37" t="str">
            <v>A-21d</v>
          </cell>
        </row>
        <row r="38">
          <cell r="A38" t="str">
            <v>A-21e</v>
          </cell>
        </row>
        <row r="39">
          <cell r="A39" t="str">
            <v>A-22</v>
          </cell>
        </row>
        <row r="40">
          <cell r="A40" t="str">
            <v>A-23</v>
          </cell>
        </row>
        <row r="41">
          <cell r="A41" t="str">
            <v>A-24</v>
          </cell>
        </row>
        <row r="42">
          <cell r="A42" t="str">
            <v>A-25</v>
          </cell>
        </row>
        <row r="43">
          <cell r="A43" t="str">
            <v>A-26a</v>
          </cell>
        </row>
        <row r="44">
          <cell r="A44" t="str">
            <v>A-27</v>
          </cell>
        </row>
        <row r="45">
          <cell r="A45" t="str">
            <v>A-28</v>
          </cell>
        </row>
        <row r="46">
          <cell r="A46" t="str">
            <v>A-29</v>
          </cell>
        </row>
        <row r="47">
          <cell r="A47" t="str">
            <v>A-30a</v>
          </cell>
        </row>
        <row r="48">
          <cell r="A48" t="str">
            <v>A-30b</v>
          </cell>
        </row>
        <row r="49">
          <cell r="A49" t="str">
            <v>A-31</v>
          </cell>
        </row>
        <row r="50">
          <cell r="A50" t="str">
            <v>A-32a</v>
          </cell>
        </row>
        <row r="51">
          <cell r="A51" t="str">
            <v>A-32b</v>
          </cell>
        </row>
        <row r="52">
          <cell r="A52" t="str">
            <v>A-33a</v>
          </cell>
        </row>
        <row r="53">
          <cell r="A53" t="str">
            <v>A-33b</v>
          </cell>
        </row>
        <row r="54">
          <cell r="A54" t="str">
            <v>A-34</v>
          </cell>
        </row>
        <row r="55">
          <cell r="A55" t="str">
            <v>A-35</v>
          </cell>
        </row>
        <row r="56">
          <cell r="A56" t="str">
            <v>A-36</v>
          </cell>
        </row>
        <row r="57">
          <cell r="A57" t="str">
            <v>A-37</v>
          </cell>
        </row>
        <row r="58">
          <cell r="A58" t="str">
            <v>A-38</v>
          </cell>
        </row>
        <row r="59">
          <cell r="A59" t="str">
            <v>A-39</v>
          </cell>
        </row>
        <row r="60">
          <cell r="A60" t="str">
            <v>A-40</v>
          </cell>
        </row>
        <row r="61">
          <cell r="A61" t="str">
            <v>A-41</v>
          </cell>
        </row>
        <row r="62">
          <cell r="A62" t="str">
            <v>A-42a</v>
          </cell>
        </row>
        <row r="63">
          <cell r="A63" t="str">
            <v>A-42b</v>
          </cell>
        </row>
        <row r="64">
          <cell r="A64" t="str">
            <v>A-42c</v>
          </cell>
        </row>
        <row r="65">
          <cell r="A65" t="str">
            <v>A-43</v>
          </cell>
        </row>
        <row r="66">
          <cell r="A66" t="str">
            <v>A-44</v>
          </cell>
        </row>
        <row r="67">
          <cell r="A67" t="str">
            <v>A-45</v>
          </cell>
        </row>
        <row r="68">
          <cell r="A68" t="str">
            <v>A-46</v>
          </cell>
        </row>
        <row r="69">
          <cell r="A69" t="str">
            <v>A-47</v>
          </cell>
        </row>
        <row r="70">
          <cell r="A70" t="str">
            <v>A-48</v>
          </cell>
        </row>
        <row r="71">
          <cell r="A71" t="str">
            <v>A-49</v>
          </cell>
        </row>
        <row r="72">
          <cell r="A72" t="str">
            <v>R-1</v>
          </cell>
        </row>
        <row r="73">
          <cell r="A73" t="str">
            <v>R-2</v>
          </cell>
        </row>
        <row r="74">
          <cell r="A74" t="str">
            <v>R-3</v>
          </cell>
        </row>
        <row r="75">
          <cell r="A75" t="str">
            <v>R-4a</v>
          </cell>
        </row>
        <row r="76">
          <cell r="A76" t="str">
            <v>R-4b</v>
          </cell>
        </row>
        <row r="77">
          <cell r="A77" t="str">
            <v>R-5a</v>
          </cell>
        </row>
        <row r="78">
          <cell r="A78" t="str">
            <v>R-5b</v>
          </cell>
        </row>
        <row r="79">
          <cell r="A79" t="str">
            <v>R-6a</v>
          </cell>
        </row>
        <row r="80">
          <cell r="A80" t="str">
            <v>R-6b</v>
          </cell>
        </row>
        <row r="81">
          <cell r="A81" t="str">
            <v>R-6c</v>
          </cell>
        </row>
        <row r="82">
          <cell r="A82" t="str">
            <v>R-7</v>
          </cell>
        </row>
        <row r="83">
          <cell r="A83" t="str">
            <v>R-8a</v>
          </cell>
        </row>
        <row r="84">
          <cell r="A84" t="str">
            <v>R-8b</v>
          </cell>
        </row>
        <row r="85">
          <cell r="A85" t="str">
            <v>R-9</v>
          </cell>
        </row>
        <row r="86">
          <cell r="A86" t="str">
            <v>R-10</v>
          </cell>
        </row>
        <row r="87">
          <cell r="A87" t="str">
            <v>R-11</v>
          </cell>
        </row>
        <row r="88">
          <cell r="A88" t="str">
            <v>R-12</v>
          </cell>
        </row>
        <row r="89">
          <cell r="A89" t="str">
            <v>R-13</v>
          </cell>
        </row>
        <row r="90">
          <cell r="A90" t="str">
            <v>R-14</v>
          </cell>
        </row>
        <row r="91">
          <cell r="A91" t="str">
            <v>R-15</v>
          </cell>
        </row>
        <row r="92">
          <cell r="A92" t="str">
            <v>R-16</v>
          </cell>
        </row>
        <row r="93">
          <cell r="A93" t="str">
            <v>R-17</v>
          </cell>
        </row>
        <row r="94">
          <cell r="A94" t="str">
            <v>R-18</v>
          </cell>
        </row>
        <row r="95">
          <cell r="A95" t="str">
            <v>R-19</v>
          </cell>
        </row>
        <row r="96">
          <cell r="A96" t="str">
            <v>R-20</v>
          </cell>
        </row>
        <row r="97">
          <cell r="A97" t="str">
            <v>R-21</v>
          </cell>
        </row>
        <row r="98">
          <cell r="A98" t="str">
            <v>R-22</v>
          </cell>
        </row>
        <row r="99">
          <cell r="A99" t="str">
            <v>R-23</v>
          </cell>
        </row>
        <row r="100">
          <cell r="A100" t="str">
            <v>R-24a</v>
          </cell>
        </row>
        <row r="101">
          <cell r="A101" t="str">
            <v>R-24b</v>
          </cell>
        </row>
        <row r="102">
          <cell r="A102" t="str">
            <v>R-25a</v>
          </cell>
        </row>
        <row r="103">
          <cell r="A103" t="str">
            <v>R-25b</v>
          </cell>
        </row>
        <row r="104">
          <cell r="A104" t="str">
            <v>R-25c</v>
          </cell>
        </row>
        <row r="105">
          <cell r="A105" t="str">
            <v>R-25d</v>
          </cell>
        </row>
        <row r="106">
          <cell r="A106" t="str">
            <v>R-26</v>
          </cell>
        </row>
        <row r="107">
          <cell r="A107" t="str">
            <v>R-27</v>
          </cell>
        </row>
        <row r="108">
          <cell r="A108" t="str">
            <v>R-28</v>
          </cell>
        </row>
        <row r="109">
          <cell r="A109" t="str">
            <v>R-29</v>
          </cell>
        </row>
        <row r="110">
          <cell r="A110" t="str">
            <v>R-30</v>
          </cell>
        </row>
        <row r="111">
          <cell r="A111" t="str">
            <v>R-31</v>
          </cell>
        </row>
        <row r="112">
          <cell r="A112" t="str">
            <v>R-32</v>
          </cell>
        </row>
        <row r="113">
          <cell r="A113" t="str">
            <v>R-33</v>
          </cell>
        </row>
        <row r="114">
          <cell r="A114" t="str">
            <v>R-35a</v>
          </cell>
        </row>
        <row r="115">
          <cell r="A115" t="str">
            <v>R-35b</v>
          </cell>
        </row>
        <row r="116">
          <cell r="A116" t="str">
            <v>R-36</v>
          </cell>
        </row>
        <row r="117">
          <cell r="A117" t="str">
            <v>R-37a</v>
          </cell>
        </row>
        <row r="118">
          <cell r="A118" t="str">
            <v>R-37b</v>
          </cell>
        </row>
        <row r="119">
          <cell r="A119" t="str">
            <v>R-38</v>
          </cell>
        </row>
        <row r="120">
          <cell r="A120" t="str">
            <v>R-39</v>
          </cell>
        </row>
        <row r="121">
          <cell r="A121" t="str">
            <v>R-40</v>
          </cell>
        </row>
        <row r="122">
          <cell r="A122" t="str">
            <v>IL-1</v>
          </cell>
        </row>
        <row r="123">
          <cell r="A123" t="str">
            <v>IL-2</v>
          </cell>
        </row>
        <row r="124">
          <cell r="A124" t="str">
            <v>IS-23</v>
          </cell>
        </row>
        <row r="125">
          <cell r="A125" t="str">
            <v>MP-1</v>
          </cell>
        </row>
        <row r="126">
          <cell r="A126" t="str">
            <v>MP-2</v>
          </cell>
        </row>
        <row r="127">
          <cell r="A127" t="str">
            <v>MP-3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1"/>
    </sheetNames>
    <definedNames>
      <definedName name="AA" refersTo="#REF!"/>
      <definedName name="AAA" refersTo="#REF!"/>
      <definedName name="Extenso" refersTo="#REF!"/>
      <definedName name="módulo1.Extenso" refersTo="#REF!"/>
      <definedName name="QQ_2" refersTo="#REF!"/>
      <definedName name="RESUMO" refersTo="#REF!"/>
      <definedName name="WEWRWR" refersTo="#REF!"/>
      <definedName name="XXX" refersTo="#REF!"/>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Viga_Benkellman"/>
      <sheetName val="Estudo_Estatístico"/>
      <sheetName val="Pro_-_10_norma_A"/>
      <sheetName val="Pró_-_11_norma_B"/>
      <sheetName val="Resumo_subtrechos_homgêneos"/>
      <sheetName val="Demonstrativo_Dimensionamento"/>
      <sheetName val="Camadas_Mat__Distintos"/>
      <sheetName val="ANALISES"/>
      <sheetName val="Custo do CM-30"/>
      <sheetName val="Cálculo"/>
      <sheetName val="Quadro + Gráfico"/>
      <sheetName val="memória de calculo_liquida"/>
      <sheetName val="Preços"/>
      <sheetName val="Desp. Apoio"/>
      <sheetName val="Proposta"/>
      <sheetName val="RELATA"/>
      <sheetName val="Carimbo de Nota"/>
      <sheetName val="Custo_do_CM-30"/>
      <sheetName val="memória_de_calculo_liquida"/>
      <sheetName val="Quadro_+_Gráfico"/>
      <sheetName val="Desp__Apoio"/>
      <sheetName val="Fresagem de Pista Ago-98"/>
      <sheetName val="COMPOS1"/>
      <sheetName val="P3"/>
      <sheetName val="PLANILHA ATUALIZADA"/>
      <sheetName val="Auxiliar"/>
      <sheetName val="Tela"/>
      <sheetName val="Atualizacao"/>
      <sheetName val="Chuvas"/>
      <sheetName val="Medição"/>
      <sheetName val="RP-1 SB (3)"/>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Custo da Imprimação"/>
      <sheetName val="Custo da Pintura de Ligação"/>
      <sheetName val="RESUMO_AUT1"/>
      <sheetName val="Resumo Geral"/>
      <sheetName val="Resumo Financeiro"/>
      <sheetName val=""/>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BD"/>
      <sheetName val="TABELAS"/>
      <sheetName val="Read Me!"/>
      <sheetName val="Curva S Financ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GERAL"/>
      <sheetName val="MOB"/>
      <sheetName val="DREN"/>
      <sheetName val="TERRA"/>
      <sheetName val="PAVIM"/>
      <sheetName val="CALÇ"/>
      <sheetName val="ILUM"/>
      <sheetName val="S-SEMA"/>
      <sheetName val="S-HV"/>
      <sheetName val="OAE"/>
      <sheetName val="OCOMP"/>
      <sheetName val="INTERF"/>
      <sheetName val="DESAP"/>
    </sheetNames>
    <sheetDataSet>
      <sheetData sheetId="0">
        <row r="23">
          <cell r="B23">
            <v>0.23780000000000001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resumo5"/>
      <sheetName val="R100"/>
      <sheetName val="R200"/>
      <sheetName val="R300"/>
      <sheetName val="R400"/>
      <sheetName val="R500"/>
      <sheetName val="R600"/>
      <sheetName val="R700"/>
      <sheetName val="R800"/>
      <sheetName val="R900"/>
      <sheetName val="R1000"/>
      <sheetName val="VOLUMES"/>
      <sheetName val="Nº CORTE ATERRO"/>
    </sheetNames>
    <sheetDataSet>
      <sheetData sheetId="0">
        <row r="1">
          <cell r="B1" t="str">
            <v>CONCESSIONÁRIA AUTO PISTA FLUMINENSE - OHL BRASIL</v>
          </cell>
        </row>
        <row r="2">
          <cell r="B2" t="str">
            <v>BR-101 MÁRIO COVAS</v>
          </cell>
        </row>
        <row r="8">
          <cell r="B8" t="str">
            <v>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 val="QuQuant"/>
      <sheetName val="BR-267_TR01"/>
      <sheetName val="BR-267_TR02"/>
      <sheetName val="BR-267_TR03"/>
      <sheetName val="BR-376"/>
      <sheetName val="BR-463"/>
      <sheetName val="BR-487"/>
      <sheetName val="Orçamentária"/>
      <sheetName val="Dados"/>
      <sheetName val="Materiais Betuminosos"/>
      <sheetName val="Plan1"/>
      <sheetName val="Plan2"/>
      <sheetName val="Plan3"/>
      <sheetName val="RELATA VÉIO"/>
      <sheetName val="#REF"/>
      <sheetName val="CUSTO LARANJEIRAS"/>
      <sheetName val="Qd05 Preço"/>
      <sheetName val="Qd06"/>
      <sheetName val="LOTE 6"/>
      <sheetName val="Acumulado"/>
      <sheetName val="DG"/>
      <sheetName val="TLMB"/>
      <sheetName val="SERVIÇOS"/>
      <sheetName val="[OR960887.XLS][OR960887.XLS][OR"/>
      <sheetName val="//localhost/@/DFBSA00535/dyna01"/>
      <sheetName val="Mat"/>
      <sheetName val="PGR"/>
      <sheetName val="CONS_CORR"/>
      <sheetName val="Mobra"/>
      <sheetName val="Micro Revest MAN"/>
      <sheetName val="Micro Revest REC 1ªMP"/>
      <sheetName val="REM.MEC MAT.BET.MAN"/>
      <sheetName val="TRANSPORTE REC"/>
      <sheetName val="alteração"/>
      <sheetName val="RECOMPOSIÇÃO MAN"/>
      <sheetName val="P1Q2"/>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 val="DBS"/>
      <sheetName val="\\DFBSA00535\dyna01\ClaudioFerr"/>
      <sheetName val="C"/>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DADES"/>
      <sheetName val="DADOS"/>
    </sheetNames>
    <sheetDataSet>
      <sheetData sheetId="0"/>
      <sheetData sheetId="1">
        <row r="2">
          <cell r="A2" t="str">
            <v>HOT SPRAY</v>
          </cell>
        </row>
        <row r="3">
          <cell r="A3" t="str">
            <v>EXTRUDADO</v>
          </cell>
        </row>
        <row r="4">
          <cell r="A4" t="str">
            <v>ACRÍLICA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resumo5"/>
      <sheetName val="TRONCO"/>
      <sheetName val="3acat"/>
      <sheetName val="VOLUMES"/>
      <sheetName val="Nº CORTE ATERRO"/>
    </sheetNames>
    <sheetDataSet>
      <sheetData sheetId="0">
        <row r="8">
          <cell r="B8" t="str">
            <v>Ø</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3.vml"/><Relationship Id="rId1" Type="http://schemas.openxmlformats.org/officeDocument/2006/relationships/drawing" Target="../drawings/drawing2.xml"/><Relationship Id="rId5" Type="http://schemas.openxmlformats.org/officeDocument/2006/relationships/comments" Target="../comments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50327-B4CC-438B-BC7A-5672B4661C5D}">
  <dimension ref="A2:N36"/>
  <sheetViews>
    <sheetView showGridLines="0" zoomScaleNormal="100" zoomScaleSheetLayoutView="85" workbookViewId="0">
      <selection activeCell="O15" sqref="O15"/>
    </sheetView>
  </sheetViews>
  <sheetFormatPr defaultRowHeight="12.75" x14ac:dyDescent="0.25"/>
  <cols>
    <col min="1" max="1" width="4.28515625" style="341" customWidth="1"/>
    <col min="2" max="2" width="40.7109375" style="341" customWidth="1"/>
    <col min="3" max="7" width="17.85546875" style="341" customWidth="1"/>
    <col min="8" max="13" width="16.140625" style="341" customWidth="1"/>
    <col min="14" max="14" width="13.42578125" style="1110" bestFit="1" customWidth="1"/>
    <col min="15" max="16384" width="9.140625" style="341"/>
  </cols>
  <sheetData>
    <row r="2" spans="1:14" ht="20.100000000000001" customHeight="1" x14ac:dyDescent="0.25">
      <c r="A2" s="1090"/>
      <c r="B2" s="1091" t="str">
        <f>Orçamento!B3</f>
        <v>T7 Aterro Rumo</v>
      </c>
      <c r="C2" s="1092"/>
      <c r="D2" s="1092"/>
      <c r="E2" s="1092"/>
      <c r="F2" s="1092"/>
      <c r="G2" s="1092"/>
      <c r="H2" s="1092"/>
      <c r="I2" s="1092"/>
      <c r="J2" s="1092"/>
      <c r="K2" s="1092"/>
      <c r="L2" s="1092"/>
      <c r="M2" s="1092"/>
    </row>
    <row r="3" spans="1:14" ht="20.100000000000001" customHeight="1" x14ac:dyDescent="0.25">
      <c r="A3" s="1093" t="s">
        <v>31543</v>
      </c>
      <c r="B3" s="1092"/>
      <c r="C3" s="1092"/>
      <c r="D3" s="1092"/>
      <c r="E3" s="1092"/>
      <c r="F3" s="1092"/>
      <c r="G3" s="1092"/>
      <c r="H3" s="1092"/>
      <c r="I3" s="1092"/>
      <c r="J3" s="1092"/>
      <c r="K3" s="1092"/>
      <c r="L3" s="1092"/>
      <c r="M3" s="1092"/>
    </row>
    <row r="4" spans="1:14" ht="5.0999999999999996" customHeight="1" x14ac:dyDescent="0.25">
      <c r="A4" s="1231"/>
      <c r="B4" s="1232"/>
      <c r="C4" s="1232"/>
      <c r="D4" s="1232"/>
      <c r="E4" s="1232"/>
      <c r="F4" s="1232"/>
      <c r="G4" s="1232"/>
      <c r="H4" s="1232"/>
      <c r="I4" s="1232"/>
      <c r="J4" s="1232"/>
      <c r="K4" s="1232"/>
      <c r="L4" s="1232"/>
      <c r="M4" s="1094"/>
    </row>
    <row r="5" spans="1:14" ht="13.5" customHeight="1" x14ac:dyDescent="0.25">
      <c r="A5" s="1095" t="s">
        <v>2449</v>
      </c>
      <c r="B5" s="1096" t="s">
        <v>2876</v>
      </c>
      <c r="C5" s="1096" t="s">
        <v>14</v>
      </c>
      <c r="D5" s="1225">
        <v>1</v>
      </c>
      <c r="E5" s="1225">
        <v>2</v>
      </c>
      <c r="F5" s="1225">
        <v>3</v>
      </c>
      <c r="G5" s="1225">
        <v>4</v>
      </c>
      <c r="H5" s="1225">
        <f>G5+1</f>
        <v>5</v>
      </c>
      <c r="I5" s="1225">
        <f t="shared" ref="I5:M5" si="0">H5+1</f>
        <v>6</v>
      </c>
      <c r="J5" s="1225">
        <f t="shared" si="0"/>
        <v>7</v>
      </c>
      <c r="K5" s="1225">
        <f t="shared" si="0"/>
        <v>8</v>
      </c>
      <c r="L5" s="1225">
        <f t="shared" si="0"/>
        <v>9</v>
      </c>
      <c r="M5" s="1225">
        <f t="shared" si="0"/>
        <v>10</v>
      </c>
    </row>
    <row r="6" spans="1:14" ht="15" customHeight="1" x14ac:dyDescent="0.25">
      <c r="A6" s="1097" t="s">
        <v>43958</v>
      </c>
      <c r="B6" s="1233" t="s">
        <v>44090</v>
      </c>
      <c r="C6" s="1098">
        <f>RESUMO!H10</f>
        <v>73726.94</v>
      </c>
      <c r="D6" s="1099">
        <f>$C6*ABS(D8)</f>
        <v>44236.163999999997</v>
      </c>
      <c r="E6" s="1099">
        <f>$C6*ABS(E8)</f>
        <v>14745.388000000001</v>
      </c>
      <c r="F6" s="1099">
        <f>$C6*ABS(F8)</f>
        <v>7372.6940000000004</v>
      </c>
      <c r="G6" s="1099">
        <f>$C6*ABS(G8)</f>
        <v>7372.6940000000004</v>
      </c>
      <c r="H6" s="1099"/>
      <c r="I6" s="1099">
        <f>$C6*ABS(I8)</f>
        <v>51608.858</v>
      </c>
      <c r="J6" s="1099">
        <f>$C6*ABS(J8)</f>
        <v>22118.081999999999</v>
      </c>
      <c r="K6" s="1100"/>
      <c r="M6" s="1099"/>
      <c r="N6" s="1111"/>
    </row>
    <row r="7" spans="1:14" ht="15" customHeight="1" x14ac:dyDescent="0.25">
      <c r="A7" s="1101"/>
      <c r="B7" s="1234"/>
      <c r="C7" s="1102">
        <f ca="1">C6/$C$36</f>
        <v>1.146335540803671E-2</v>
      </c>
      <c r="D7" s="1103"/>
      <c r="E7" s="1103"/>
      <c r="F7" s="1103"/>
      <c r="G7" s="1103"/>
      <c r="H7" s="1103"/>
      <c r="I7" s="1103"/>
      <c r="J7" s="1103"/>
      <c r="K7" s="1103"/>
      <c r="L7" s="1103"/>
      <c r="M7" s="1103"/>
      <c r="N7" s="1112"/>
    </row>
    <row r="8" spans="1:14" ht="15" customHeight="1" x14ac:dyDescent="0.25">
      <c r="A8" s="1104"/>
      <c r="B8" s="1235"/>
      <c r="C8" s="1105"/>
      <c r="D8" s="1108">
        <v>0.6</v>
      </c>
      <c r="E8" s="1108">
        <v>0.2</v>
      </c>
      <c r="F8" s="1108">
        <v>0.1</v>
      </c>
      <c r="G8" s="1108">
        <v>0.1</v>
      </c>
      <c r="H8" s="1108"/>
      <c r="I8" s="1108">
        <v>0.7</v>
      </c>
      <c r="J8" s="1108">
        <v>0.3</v>
      </c>
      <c r="K8" s="1106"/>
      <c r="M8" s="1108"/>
      <c r="N8" s="1112" t="str">
        <f>IF(SUM(H8:M8)&gt;1,"Distruição &gt; 100%",IF(SUM(H8:M8)&lt;1,"Distribuição &lt; 100%",""))</f>
        <v/>
      </c>
    </row>
    <row r="9" spans="1:14" ht="15" customHeight="1" x14ac:dyDescent="0.25">
      <c r="A9" s="1097" t="s">
        <v>43959</v>
      </c>
      <c r="B9" s="1233" t="s">
        <v>44091</v>
      </c>
      <c r="C9" s="1098">
        <f>RESUMO!H12</f>
        <v>42143.14</v>
      </c>
      <c r="D9" s="1100"/>
      <c r="E9" s="1100"/>
      <c r="F9" s="1100"/>
      <c r="G9" s="1100"/>
      <c r="H9" s="1099">
        <f>C9</f>
        <v>42143.14</v>
      </c>
      <c r="I9" s="1100"/>
      <c r="J9" s="1100"/>
      <c r="K9" s="1100"/>
      <c r="L9" s="1100"/>
      <c r="M9" s="1100"/>
      <c r="N9" s="1111"/>
    </row>
    <row r="10" spans="1:14" ht="15" customHeight="1" x14ac:dyDescent="0.25">
      <c r="A10" s="1101"/>
      <c r="B10" s="1234"/>
      <c r="C10" s="1102">
        <f ca="1">C9/$C$36</f>
        <v>6.5525816184782417E-3</v>
      </c>
      <c r="D10" s="1103"/>
      <c r="E10" s="1103"/>
      <c r="F10" s="1103"/>
      <c r="G10" s="1103"/>
      <c r="H10" s="1103"/>
      <c r="I10" s="1103"/>
      <c r="J10" s="1103"/>
      <c r="K10" s="1103"/>
      <c r="L10" s="1103"/>
      <c r="M10" s="1103"/>
    </row>
    <row r="11" spans="1:14" ht="15" customHeight="1" x14ac:dyDescent="0.25">
      <c r="A11" s="1104"/>
      <c r="B11" s="1235"/>
      <c r="C11" s="1105"/>
      <c r="D11" s="1107"/>
      <c r="E11" s="1107"/>
      <c r="F11" s="1107"/>
      <c r="G11" s="1107"/>
      <c r="H11" s="1108">
        <v>1</v>
      </c>
      <c r="I11" s="1107"/>
      <c r="J11" s="1107"/>
      <c r="K11" s="1107"/>
      <c r="L11" s="1107"/>
      <c r="M11" s="1107"/>
      <c r="N11" s="1112" t="str">
        <f>IF(SUM(H11:M11)&gt;1,"Distruição &gt; 100%",IF(SUM(H11:M11)&lt;1,"Distribuição &lt; 100%",""))</f>
        <v/>
      </c>
    </row>
    <row r="12" spans="1:14" ht="15" customHeight="1" x14ac:dyDescent="0.25">
      <c r="A12" s="1097">
        <v>2</v>
      </c>
      <c r="B12" s="1233" t="s">
        <v>2433</v>
      </c>
      <c r="C12" s="1098">
        <f ca="1">SUMIF(RESUMO!$C$8:$F$26,CRONOGRAMA!B12,RESUMO!$H$8:$H$27)</f>
        <v>2704246.36</v>
      </c>
      <c r="D12" s="1100"/>
      <c r="E12" s="1100"/>
      <c r="F12" s="1100"/>
      <c r="G12" s="1100"/>
      <c r="H12" s="1099">
        <f t="shared" ref="H12:I12" ca="1" si="1">$C12*ABS(H14)</f>
        <v>540849.272</v>
      </c>
      <c r="I12" s="1099">
        <f t="shared" ca="1" si="1"/>
        <v>2163397.088</v>
      </c>
      <c r="J12" s="1100"/>
      <c r="K12" s="1100"/>
      <c r="L12" s="1100"/>
      <c r="M12" s="1100"/>
      <c r="N12" s="1111"/>
    </row>
    <row r="13" spans="1:14" ht="15" customHeight="1" x14ac:dyDescent="0.25">
      <c r="A13" s="1101"/>
      <c r="B13" s="1234"/>
      <c r="C13" s="1102">
        <f ca="1">C12/$C$36</f>
        <v>0.42046688951921218</v>
      </c>
      <c r="D13" s="1103"/>
      <c r="E13" s="1103"/>
      <c r="F13" s="1103"/>
      <c r="G13" s="1103"/>
      <c r="H13" s="1103"/>
      <c r="I13" s="1103"/>
      <c r="J13" s="1103"/>
      <c r="K13" s="1103"/>
      <c r="L13" s="1103"/>
      <c r="M13" s="1103"/>
      <c r="N13" s="1112"/>
    </row>
    <row r="14" spans="1:14" ht="15" customHeight="1" x14ac:dyDescent="0.25">
      <c r="A14" s="1104"/>
      <c r="B14" s="1235"/>
      <c r="C14" s="1105"/>
      <c r="D14" s="1107"/>
      <c r="E14" s="1107"/>
      <c r="F14" s="1107"/>
      <c r="G14" s="1107"/>
      <c r="H14" s="1108">
        <v>0.2</v>
      </c>
      <c r="I14" s="1108">
        <v>0.8</v>
      </c>
      <c r="J14" s="1106"/>
      <c r="K14" s="1106"/>
      <c r="L14" s="1106"/>
      <c r="M14" s="1106"/>
      <c r="N14" s="1112" t="str">
        <f>IF(SUM(H14:M14)&gt;1,"Distruição &gt; 100%",IF(SUM(H14:M14)&lt;1,"Distribuição &lt; 100%",""))</f>
        <v/>
      </c>
    </row>
    <row r="15" spans="1:14" ht="15" customHeight="1" x14ac:dyDescent="0.25">
      <c r="A15" s="1097">
        <v>3</v>
      </c>
      <c r="B15" s="1233" t="s">
        <v>21631</v>
      </c>
      <c r="C15" s="1098">
        <f ca="1">SUMIF(RESUMO!$C$8:$F$26,CRONOGRAMA!B15,RESUMO!$H$8:$H$27)</f>
        <v>634025.88</v>
      </c>
      <c r="D15" s="1100"/>
      <c r="E15" s="1100"/>
      <c r="F15" s="1100"/>
      <c r="G15" s="1100"/>
      <c r="H15" s="1099">
        <f t="shared" ref="H15" ca="1" si="2">$C15*ABS(H17)</f>
        <v>634025.88</v>
      </c>
      <c r="I15" s="1099"/>
      <c r="J15" s="1099"/>
      <c r="K15" s="1099"/>
      <c r="L15" s="1100"/>
      <c r="M15" s="1100"/>
      <c r="N15" s="1111"/>
    </row>
    <row r="16" spans="1:14" ht="15" customHeight="1" x14ac:dyDescent="0.25">
      <c r="A16" s="1101"/>
      <c r="B16" s="1234"/>
      <c r="C16" s="1102">
        <f ca="1">C15/$C$36</f>
        <v>9.8580844401425505E-2</v>
      </c>
      <c r="D16" s="1103"/>
      <c r="E16" s="1103"/>
      <c r="F16" s="1103"/>
      <c r="G16" s="1103"/>
      <c r="H16" s="1103"/>
      <c r="I16" s="1103"/>
      <c r="J16" s="1103"/>
      <c r="K16" s="1103"/>
      <c r="L16" s="1103"/>
      <c r="M16" s="1103"/>
      <c r="N16" s="1112"/>
    </row>
    <row r="17" spans="1:14" ht="15" customHeight="1" x14ac:dyDescent="0.25">
      <c r="A17" s="1104"/>
      <c r="B17" s="1235"/>
      <c r="C17" s="1105"/>
      <c r="D17" s="1107"/>
      <c r="E17" s="1107"/>
      <c r="F17" s="1107"/>
      <c r="G17" s="1107"/>
      <c r="H17" s="1108">
        <v>1</v>
      </c>
      <c r="I17" s="1108"/>
      <c r="J17" s="1108"/>
      <c r="K17" s="1108"/>
      <c r="L17" s="1106"/>
      <c r="M17" s="1106"/>
      <c r="N17" s="1112" t="str">
        <f>IF(SUM(H17:M17)&gt;1,"Distruição &gt; 100%",IF(SUM(H17:M17)&lt;1,"Distribuição &lt; 100%",""))</f>
        <v/>
      </c>
    </row>
    <row r="18" spans="1:14" ht="15" customHeight="1" x14ac:dyDescent="0.25">
      <c r="A18" s="1097">
        <v>4</v>
      </c>
      <c r="B18" s="1233" t="s">
        <v>2439</v>
      </c>
      <c r="C18" s="1098">
        <f ca="1">SUMIF(RESUMO!$C$8:$F$26,CRONOGRAMA!B18,RESUMO!$H$8:$H$27)</f>
        <v>861942.23999999987</v>
      </c>
      <c r="D18" s="1100"/>
      <c r="E18" s="1100"/>
      <c r="F18" s="1100"/>
      <c r="G18" s="1100"/>
      <c r="H18" s="1099"/>
      <c r="I18" s="1099">
        <f t="shared" ref="I18:K18" ca="1" si="3">$C18*ABS(I20)</f>
        <v>603359.56799999985</v>
      </c>
      <c r="J18" s="1099">
        <f t="shared" ca="1" si="3"/>
        <v>172388.44799999997</v>
      </c>
      <c r="K18" s="1099">
        <f t="shared" ca="1" si="3"/>
        <v>86194.223999999987</v>
      </c>
      <c r="L18" s="1100"/>
      <c r="M18" s="1100"/>
      <c r="N18" s="1111"/>
    </row>
    <row r="19" spans="1:14" ht="15" customHeight="1" x14ac:dyDescent="0.25">
      <c r="A19" s="1101"/>
      <c r="B19" s="1234"/>
      <c r="C19" s="1102">
        <f ca="1">C18/$C$36</f>
        <v>0.13401817894950305</v>
      </c>
      <c r="D19" s="1103"/>
      <c r="E19" s="1103"/>
      <c r="F19" s="1103"/>
      <c r="G19" s="1103"/>
      <c r="H19" s="1103"/>
      <c r="I19" s="1103"/>
      <c r="J19" s="1103"/>
      <c r="K19" s="1103"/>
      <c r="L19" s="1103"/>
      <c r="M19" s="1103"/>
      <c r="N19" s="1112"/>
    </row>
    <row r="20" spans="1:14" ht="15" customHeight="1" x14ac:dyDescent="0.25">
      <c r="A20" s="1104"/>
      <c r="B20" s="1235"/>
      <c r="C20" s="1105"/>
      <c r="D20" s="1107"/>
      <c r="E20" s="1107"/>
      <c r="F20" s="1107"/>
      <c r="G20" s="1107"/>
      <c r="H20" s="1107"/>
      <c r="I20" s="1108">
        <v>0.7</v>
      </c>
      <c r="J20" s="1108">
        <v>0.2</v>
      </c>
      <c r="K20" s="1108">
        <v>0.1</v>
      </c>
      <c r="L20" s="1106"/>
      <c r="M20" s="1106"/>
      <c r="N20" s="1112" t="str">
        <f>IF(SUM(H20:M20)&gt;1,"Distruição &gt; 100%",IF(SUM(H20:M20)&lt;1,"Distribuição &lt; 100%",""))</f>
        <v/>
      </c>
    </row>
    <row r="21" spans="1:14" ht="15" customHeight="1" x14ac:dyDescent="0.25">
      <c r="A21" s="1097">
        <v>5</v>
      </c>
      <c r="B21" s="1233" t="s">
        <v>2440</v>
      </c>
      <c r="C21" s="1098">
        <f ca="1">SUMIF(RESUMO!$C$8:$F$26,CRONOGRAMA!B21,RESUMO!$H$8:$H$27)</f>
        <v>785027.42999999993</v>
      </c>
      <c r="D21" s="1100"/>
      <c r="E21" s="1100"/>
      <c r="F21" s="1100"/>
      <c r="G21" s="1100"/>
      <c r="H21" s="1100"/>
      <c r="I21" s="1100"/>
      <c r="J21" s="1099"/>
      <c r="K21" s="1099">
        <f t="shared" ref="K21:L21" ca="1" si="4">$C21*ABS(K23)</f>
        <v>235508.22899999996</v>
      </c>
      <c r="L21" s="1099">
        <f t="shared" ca="1" si="4"/>
        <v>549519.20099999988</v>
      </c>
      <c r="M21" s="1100"/>
      <c r="N21" s="1111"/>
    </row>
    <row r="22" spans="1:14" ht="15" customHeight="1" x14ac:dyDescent="0.25">
      <c r="A22" s="1101"/>
      <c r="B22" s="1234"/>
      <c r="C22" s="1102">
        <f ca="1">C21/$C$36</f>
        <v>0.12205916094100283</v>
      </c>
      <c r="D22" s="1103"/>
      <c r="E22" s="1103"/>
      <c r="F22" s="1103"/>
      <c r="G22" s="1103"/>
      <c r="H22" s="1103"/>
      <c r="I22" s="1103"/>
      <c r="J22" s="1103"/>
      <c r="K22" s="1103"/>
      <c r="L22" s="1103"/>
      <c r="M22" s="1103"/>
      <c r="N22" s="1112"/>
    </row>
    <row r="23" spans="1:14" ht="15" customHeight="1" x14ac:dyDescent="0.25">
      <c r="A23" s="1104"/>
      <c r="B23" s="1235"/>
      <c r="C23" s="1105"/>
      <c r="D23" s="1107"/>
      <c r="E23" s="1107"/>
      <c r="F23" s="1107"/>
      <c r="G23" s="1107"/>
      <c r="H23" s="1107"/>
      <c r="I23" s="1107"/>
      <c r="J23" s="1108"/>
      <c r="K23" s="1108">
        <v>0.3</v>
      </c>
      <c r="L23" s="1108">
        <v>0.7</v>
      </c>
      <c r="M23" s="1106"/>
      <c r="N23" s="1112" t="str">
        <f>IF(SUM(H23:M23)&gt;1,"Distruição &gt; 100%",IF(SUM(H23:M23)&lt;1,"Distribuição &lt; 100%",""))</f>
        <v/>
      </c>
    </row>
    <row r="24" spans="1:14" ht="15" customHeight="1" x14ac:dyDescent="0.25">
      <c r="A24" s="1097">
        <v>6</v>
      </c>
      <c r="B24" s="1233" t="s">
        <v>31544</v>
      </c>
      <c r="C24" s="1098">
        <f ca="1">SUMIF(RESUMO!$C$8:$F$26,CRONOGRAMA!B24,RESUMO!$H$8:$H$27)</f>
        <v>782512.08</v>
      </c>
      <c r="D24" s="1100"/>
      <c r="E24" s="1100"/>
      <c r="F24" s="1100"/>
      <c r="G24" s="1100"/>
      <c r="H24" s="1100"/>
      <c r="I24" s="1099"/>
      <c r="J24" s="1100"/>
      <c r="K24" s="1100"/>
      <c r="L24" s="1099">
        <f t="shared" ref="L24:M24" ca="1" si="5">$C24*ABS(L26)</f>
        <v>391256.04</v>
      </c>
      <c r="M24" s="1099">
        <f t="shared" ca="1" si="5"/>
        <v>391256.04</v>
      </c>
      <c r="N24" s="1111"/>
    </row>
    <row r="25" spans="1:14" ht="15" customHeight="1" x14ac:dyDescent="0.25">
      <c r="A25" s="1101"/>
      <c r="B25" s="1234"/>
      <c r="C25" s="1102">
        <f ca="1">C24/$C$36</f>
        <v>0.121668064402538</v>
      </c>
      <c r="D25" s="1103"/>
      <c r="E25" s="1103"/>
      <c r="F25" s="1103"/>
      <c r="G25" s="1103"/>
      <c r="H25" s="1103"/>
      <c r="I25" s="1103"/>
      <c r="J25" s="1103"/>
      <c r="K25" s="1103"/>
      <c r="L25" s="1103"/>
      <c r="M25" s="1103"/>
      <c r="N25" s="1112"/>
    </row>
    <row r="26" spans="1:14" ht="15" customHeight="1" x14ac:dyDescent="0.25">
      <c r="A26" s="1104"/>
      <c r="B26" s="1235"/>
      <c r="C26" s="1105"/>
      <c r="D26" s="1107"/>
      <c r="E26" s="1107"/>
      <c r="F26" s="1107"/>
      <c r="G26" s="1107"/>
      <c r="H26" s="1107"/>
      <c r="I26" s="1106"/>
      <c r="J26" s="1107"/>
      <c r="K26" s="1107"/>
      <c r="L26" s="1108">
        <v>0.5</v>
      </c>
      <c r="M26" s="1108">
        <v>0.5</v>
      </c>
      <c r="N26" s="1112" t="str">
        <f>IF(SUM(H26:M26)&gt;1,"Distruição &gt; 100%",IF(SUM(H26:M26)&lt;1,"Distribuição &lt; 100%",""))</f>
        <v/>
      </c>
    </row>
    <row r="27" spans="1:14" ht="15" customHeight="1" x14ac:dyDescent="0.25">
      <c r="A27" s="1097">
        <v>7</v>
      </c>
      <c r="B27" s="1233" t="s">
        <v>21344</v>
      </c>
      <c r="C27" s="1098">
        <f ca="1">SUMIF(RESUMO!$C$8:$F$26,CRONOGRAMA!B27,RESUMO!$H$8:$H$27)</f>
        <v>67727.199999999997</v>
      </c>
      <c r="D27" s="1100"/>
      <c r="E27" s="1100"/>
      <c r="F27" s="1100"/>
      <c r="G27" s="1100"/>
      <c r="H27" s="1100"/>
      <c r="I27" s="1100"/>
      <c r="J27" s="1100"/>
      <c r="K27" s="1099">
        <f ca="1">$C27*ABS(K29)</f>
        <v>67727.199999999997</v>
      </c>
      <c r="L27" s="1099"/>
      <c r="M27" s="1100"/>
      <c r="N27" s="1111"/>
    </row>
    <row r="28" spans="1:14" ht="15" customHeight="1" x14ac:dyDescent="0.25">
      <c r="A28" s="1101"/>
      <c r="B28" s="1234"/>
      <c r="C28" s="1102">
        <f ca="1">C27/$C$36</f>
        <v>1.0530492170042373E-2</v>
      </c>
      <c r="D28" s="1103"/>
      <c r="E28" s="1103"/>
      <c r="F28" s="1103"/>
      <c r="G28" s="1103"/>
      <c r="H28" s="1103"/>
      <c r="I28" s="1103"/>
      <c r="J28" s="1103"/>
      <c r="K28" s="1103"/>
      <c r="L28" s="1103"/>
      <c r="M28" s="1103"/>
      <c r="N28" s="1112"/>
    </row>
    <row r="29" spans="1:14" ht="15" customHeight="1" x14ac:dyDescent="0.25">
      <c r="A29" s="1104"/>
      <c r="B29" s="1235"/>
      <c r="C29" s="1105"/>
      <c r="D29" s="1107"/>
      <c r="E29" s="1107"/>
      <c r="F29" s="1107"/>
      <c r="G29" s="1107"/>
      <c r="H29" s="1107"/>
      <c r="I29" s="1106"/>
      <c r="J29" s="1107"/>
      <c r="K29" s="1108">
        <v>1</v>
      </c>
      <c r="L29" s="1108"/>
      <c r="M29" s="1106"/>
      <c r="N29" s="1112" t="str">
        <f>IF(SUM(H29:M29)&gt;1,"Distruição &gt; 100%",IF(SUM(H29:M29)&lt;1,"Distribuição &lt; 100%",""))</f>
        <v/>
      </c>
    </row>
    <row r="30" spans="1:14" ht="15" customHeight="1" x14ac:dyDescent="0.25">
      <c r="A30" s="1097">
        <v>8</v>
      </c>
      <c r="B30" s="1233" t="s">
        <v>21601</v>
      </c>
      <c r="C30" s="1098">
        <f ca="1">SUMIF(RESUMO!$C$8:$F$26,CRONOGRAMA!B30,RESUMO!$H$8:$H$27)</f>
        <v>122280.62999999999</v>
      </c>
      <c r="D30" s="1100"/>
      <c r="E30" s="1100"/>
      <c r="F30" s="1100"/>
      <c r="G30" s="1100"/>
      <c r="H30" s="1099"/>
      <c r="I30" s="1100"/>
      <c r="J30" s="1099"/>
      <c r="K30" s="1100"/>
      <c r="L30" s="1100"/>
      <c r="M30" s="1099">
        <f t="shared" ref="M30" ca="1" si="6">$C30*ABS(M32)</f>
        <v>122280.62999999999</v>
      </c>
      <c r="N30" s="1111"/>
    </row>
    <row r="31" spans="1:14" ht="15" customHeight="1" x14ac:dyDescent="0.25">
      <c r="A31" s="1101"/>
      <c r="B31" s="1234"/>
      <c r="C31" s="1102">
        <f ca="1">C30/$C$36</f>
        <v>1.9012674623531588E-2</v>
      </c>
      <c r="D31" s="1103"/>
      <c r="E31" s="1103"/>
      <c r="F31" s="1103"/>
      <c r="G31" s="1103"/>
      <c r="H31" s="1103"/>
      <c r="I31" s="1103"/>
      <c r="J31" s="1103"/>
      <c r="K31" s="1103"/>
      <c r="L31" s="1103"/>
      <c r="M31" s="1103"/>
      <c r="N31" s="1112"/>
    </row>
    <row r="32" spans="1:14" ht="15" customHeight="1" x14ac:dyDescent="0.25">
      <c r="A32" s="1104"/>
      <c r="B32" s="1235"/>
      <c r="C32" s="1105"/>
      <c r="D32" s="1107"/>
      <c r="E32" s="1107"/>
      <c r="F32" s="1107"/>
      <c r="G32" s="1107"/>
      <c r="H32" s="1108"/>
      <c r="I32" s="1106"/>
      <c r="J32" s="1108"/>
      <c r="K32" s="1106"/>
      <c r="L32" s="1106"/>
      <c r="M32" s="1108">
        <v>1</v>
      </c>
      <c r="N32" s="1112" t="str">
        <f>IF(SUM(H32:M32)&gt;1,"Distruição &gt; 100%",IF(SUM(H32:M32)&lt;1,"Distribuição &lt; 100%",""))</f>
        <v/>
      </c>
    </row>
    <row r="33" spans="1:14" ht="15" customHeight="1" x14ac:dyDescent="0.25">
      <c r="A33" s="1097">
        <v>9</v>
      </c>
      <c r="B33" s="1233" t="s">
        <v>21619</v>
      </c>
      <c r="C33" s="1098">
        <f ca="1">SUMIF(RESUMO!$C$8:$F$30,CRONOGRAMA!B33,RESUMO!$H$8:$H$30)</f>
        <v>357900.35</v>
      </c>
      <c r="D33" s="1100"/>
      <c r="E33" s="1100"/>
      <c r="F33" s="1100"/>
      <c r="G33" s="1100"/>
      <c r="H33" s="1099"/>
      <c r="I33" s="1099">
        <f t="shared" ref="I33:J33" ca="1" si="7">$C33*ABS(I35)</f>
        <v>250530.24499999997</v>
      </c>
      <c r="J33" s="1099">
        <f t="shared" ca="1" si="7"/>
        <v>107370.105</v>
      </c>
      <c r="K33" s="1100"/>
      <c r="M33" s="1099"/>
      <c r="N33" s="1111"/>
    </row>
    <row r="34" spans="1:14" ht="15" customHeight="1" x14ac:dyDescent="0.25">
      <c r="A34" s="1101"/>
      <c r="B34" s="1234"/>
      <c r="C34" s="1102">
        <f ca="1">C33/$C$36</f>
        <v>5.5647757966229588E-2</v>
      </c>
      <c r="D34" s="1103"/>
      <c r="E34" s="1103"/>
      <c r="F34" s="1103"/>
      <c r="G34" s="1103"/>
      <c r="H34" s="1103"/>
      <c r="I34" s="1103"/>
      <c r="J34" s="1103"/>
      <c r="K34" s="1103"/>
      <c r="L34" s="1103"/>
      <c r="M34" s="1103"/>
      <c r="N34" s="1112"/>
    </row>
    <row r="35" spans="1:14" ht="15" customHeight="1" x14ac:dyDescent="0.25">
      <c r="A35" s="1104"/>
      <c r="B35" s="1235"/>
      <c r="C35" s="1105"/>
      <c r="D35" s="1107"/>
      <c r="E35" s="1107"/>
      <c r="F35" s="1107"/>
      <c r="G35" s="1107"/>
      <c r="H35" s="1108"/>
      <c r="I35" s="1108">
        <v>0.7</v>
      </c>
      <c r="J35" s="1108">
        <v>0.3</v>
      </c>
      <c r="K35" s="1106"/>
      <c r="M35" s="1108"/>
      <c r="N35" s="1112" t="str">
        <f>IF(SUM(H35:M35)&gt;1,"Distruição &gt; 100%",IF(SUM(H35:M35)&lt;1,"Distribuição &lt; 100%",""))</f>
        <v/>
      </c>
    </row>
    <row r="36" spans="1:14" ht="15" customHeight="1" x14ac:dyDescent="0.25">
      <c r="A36" s="1236" t="s">
        <v>14</v>
      </c>
      <c r="B36" s="1237"/>
      <c r="C36" s="1109">
        <f ca="1">SUMIF($A6:$A35,"&lt;&gt;"&amp;"",C6:C35)</f>
        <v>6431532.2499999991</v>
      </c>
      <c r="D36" s="1109">
        <f>SUMIF($A6:$A35,"&lt;&gt;"&amp;"",D6:D35)</f>
        <v>44236.163999999997</v>
      </c>
      <c r="E36" s="1109">
        <f>SUMIF($A6:$A35,"&lt;&gt;"&amp;"",E6:E35)</f>
        <v>14745.388000000001</v>
      </c>
      <c r="F36" s="1109">
        <f>SUMIF($A6:$A35,"&lt;&gt;"&amp;"",F6:F35)</f>
        <v>7372.6940000000004</v>
      </c>
      <c r="G36" s="1109">
        <f>SUMIF($A6:$A35,"&lt;&gt;"&amp;"",G6:G35)</f>
        <v>7372.6940000000004</v>
      </c>
      <c r="H36" s="1109">
        <f t="shared" ref="H36:M36" ca="1" si="8">SUMIF($A9:$A35,"&lt;&gt;"&amp;"",H9:H35)</f>
        <v>1217018.2919999999</v>
      </c>
      <c r="I36" s="1109">
        <f t="shared" ca="1" si="8"/>
        <v>3017286.9010000001</v>
      </c>
      <c r="J36" s="1109">
        <f t="shared" ca="1" si="8"/>
        <v>279758.55299999996</v>
      </c>
      <c r="K36" s="1109">
        <f t="shared" ca="1" si="8"/>
        <v>389429.65299999999</v>
      </c>
      <c r="L36" s="1109">
        <f t="shared" ca="1" si="8"/>
        <v>940775.24099999992</v>
      </c>
      <c r="M36" s="1109">
        <f t="shared" ca="1" si="8"/>
        <v>513536.67</v>
      </c>
      <c r="N36" s="1111"/>
    </row>
  </sheetData>
  <mergeCells count="12">
    <mergeCell ref="B27:B29"/>
    <mergeCell ref="B30:B32"/>
    <mergeCell ref="B33:B35"/>
    <mergeCell ref="A36:B36"/>
    <mergeCell ref="B15:B17"/>
    <mergeCell ref="B24:B26"/>
    <mergeCell ref="A4:L4"/>
    <mergeCell ref="B9:B11"/>
    <mergeCell ref="B12:B14"/>
    <mergeCell ref="B18:B20"/>
    <mergeCell ref="B21:B23"/>
    <mergeCell ref="B6:B8"/>
  </mergeCells>
  <conditionalFormatting sqref="H16:M16">
    <cfRule type="expression" dxfId="400" priority="14">
      <formula>H17&lt;&gt;""</formula>
    </cfRule>
  </conditionalFormatting>
  <conditionalFormatting sqref="H13:M13">
    <cfRule type="expression" dxfId="399" priority="11">
      <formula>H14&lt;&gt;""</formula>
    </cfRule>
  </conditionalFormatting>
  <conditionalFormatting sqref="H10:M10">
    <cfRule type="expression" dxfId="398" priority="10">
      <formula>H11&lt;&gt;""</formula>
    </cfRule>
  </conditionalFormatting>
  <conditionalFormatting sqref="H19:M19">
    <cfRule type="expression" dxfId="397" priority="9">
      <formula>H20&lt;&gt;""</formula>
    </cfRule>
  </conditionalFormatting>
  <conditionalFormatting sqref="D22:M22 D25:G25 D28:G28 D31:G31 D34:G34">
    <cfRule type="expression" dxfId="396" priority="8">
      <formula>D23&lt;&gt;""</formula>
    </cfRule>
  </conditionalFormatting>
  <conditionalFormatting sqref="H25:M25">
    <cfRule type="expression" dxfId="395" priority="7">
      <formula>H26&lt;&gt;""</formula>
    </cfRule>
  </conditionalFormatting>
  <conditionalFormatting sqref="H28:M28">
    <cfRule type="expression" dxfId="394" priority="6">
      <formula>H29&lt;&gt;""</formula>
    </cfRule>
  </conditionalFormatting>
  <conditionalFormatting sqref="H31:M31">
    <cfRule type="expression" dxfId="393" priority="5">
      <formula>H32&lt;&gt;""</formula>
    </cfRule>
  </conditionalFormatting>
  <conditionalFormatting sqref="H34:M34">
    <cfRule type="expression" dxfId="392" priority="4">
      <formula>H35&lt;&gt;""</formula>
    </cfRule>
  </conditionalFormatting>
  <conditionalFormatting sqref="H7:M7">
    <cfRule type="expression" dxfId="391" priority="3">
      <formula>H8&lt;&gt;""</formula>
    </cfRule>
  </conditionalFormatting>
  <conditionalFormatting sqref="D7:G7">
    <cfRule type="expression" dxfId="390" priority="2">
      <formula>D8&lt;&gt;""</formula>
    </cfRule>
  </conditionalFormatting>
  <conditionalFormatting sqref="D10:G10 D13:G13 D16:G16 D19:G19">
    <cfRule type="expression" dxfId="389" priority="1">
      <formula>D11&lt;&gt;""</formula>
    </cfRule>
  </conditionalFormatting>
  <pageMargins left="0.7" right="0.7" top="0.75" bottom="0.75" header="0.3" footer="0.3"/>
  <pageSetup paperSize="9" scale="6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N60"/>
  <sheetViews>
    <sheetView showGridLines="0" topLeftCell="A46" zoomScale="130" zoomScaleNormal="130" zoomScaleSheetLayoutView="100" workbookViewId="0">
      <selection activeCell="C55" sqref="C55"/>
    </sheetView>
  </sheetViews>
  <sheetFormatPr defaultRowHeight="12.75" x14ac:dyDescent="0.2"/>
  <cols>
    <col min="1" max="1" width="10.7109375" style="14" customWidth="1"/>
    <col min="2" max="2" width="70.7109375" style="14" customWidth="1"/>
    <col min="3" max="11" width="13.7109375" style="14" customWidth="1"/>
    <col min="12" max="13" width="14.7109375" style="14" customWidth="1"/>
    <col min="14" max="256" width="9.140625" style="14"/>
    <col min="257" max="257" width="10.7109375" style="14" customWidth="1"/>
    <col min="258" max="258" width="70.7109375" style="14" customWidth="1"/>
    <col min="259" max="269" width="13.7109375" style="14" customWidth="1"/>
    <col min="270" max="512" width="9.140625" style="14"/>
    <col min="513" max="513" width="10.7109375" style="14" customWidth="1"/>
    <col min="514" max="514" width="70.7109375" style="14" customWidth="1"/>
    <col min="515" max="525" width="13.7109375" style="14" customWidth="1"/>
    <col min="526" max="768" width="9.140625" style="14"/>
    <col min="769" max="769" width="10.7109375" style="14" customWidth="1"/>
    <col min="770" max="770" width="70.7109375" style="14" customWidth="1"/>
    <col min="771" max="781" width="13.7109375" style="14" customWidth="1"/>
    <col min="782" max="1024" width="9.140625" style="14"/>
    <col min="1025" max="1025" width="10.7109375" style="14" customWidth="1"/>
    <col min="1026" max="1026" width="70.7109375" style="14" customWidth="1"/>
    <col min="1027" max="1037" width="13.7109375" style="14" customWidth="1"/>
    <col min="1038" max="1280" width="9.140625" style="14"/>
    <col min="1281" max="1281" width="10.7109375" style="14" customWidth="1"/>
    <col min="1282" max="1282" width="70.7109375" style="14" customWidth="1"/>
    <col min="1283" max="1293" width="13.7109375" style="14" customWidth="1"/>
    <col min="1294" max="1536" width="9.140625" style="14"/>
    <col min="1537" max="1537" width="10.7109375" style="14" customWidth="1"/>
    <col min="1538" max="1538" width="70.7109375" style="14" customWidth="1"/>
    <col min="1539" max="1549" width="13.7109375" style="14" customWidth="1"/>
    <col min="1550" max="1792" width="9.140625" style="14"/>
    <col min="1793" max="1793" width="10.7109375" style="14" customWidth="1"/>
    <col min="1794" max="1794" width="70.7109375" style="14" customWidth="1"/>
    <col min="1795" max="1805" width="13.7109375" style="14" customWidth="1"/>
    <col min="1806" max="2048" width="9.140625" style="14"/>
    <col min="2049" max="2049" width="10.7109375" style="14" customWidth="1"/>
    <col min="2050" max="2050" width="70.7109375" style="14" customWidth="1"/>
    <col min="2051" max="2061" width="13.7109375" style="14" customWidth="1"/>
    <col min="2062" max="2304" width="9.140625" style="14"/>
    <col min="2305" max="2305" width="10.7109375" style="14" customWidth="1"/>
    <col min="2306" max="2306" width="70.7109375" style="14" customWidth="1"/>
    <col min="2307" max="2317" width="13.7109375" style="14" customWidth="1"/>
    <col min="2318" max="2560" width="9.140625" style="14"/>
    <col min="2561" max="2561" width="10.7109375" style="14" customWidth="1"/>
    <col min="2562" max="2562" width="70.7109375" style="14" customWidth="1"/>
    <col min="2563" max="2573" width="13.7109375" style="14" customWidth="1"/>
    <col min="2574" max="2816" width="9.140625" style="14"/>
    <col min="2817" max="2817" width="10.7109375" style="14" customWidth="1"/>
    <col min="2818" max="2818" width="70.7109375" style="14" customWidth="1"/>
    <col min="2819" max="2829" width="13.7109375" style="14" customWidth="1"/>
    <col min="2830" max="3072" width="9.140625" style="14"/>
    <col min="3073" max="3073" width="10.7109375" style="14" customWidth="1"/>
    <col min="3074" max="3074" width="70.7109375" style="14" customWidth="1"/>
    <col min="3075" max="3085" width="13.7109375" style="14" customWidth="1"/>
    <col min="3086" max="3328" width="9.140625" style="14"/>
    <col min="3329" max="3329" width="10.7109375" style="14" customWidth="1"/>
    <col min="3330" max="3330" width="70.7109375" style="14" customWidth="1"/>
    <col min="3331" max="3341" width="13.7109375" style="14" customWidth="1"/>
    <col min="3342" max="3584" width="9.140625" style="14"/>
    <col min="3585" max="3585" width="10.7109375" style="14" customWidth="1"/>
    <col min="3586" max="3586" width="70.7109375" style="14" customWidth="1"/>
    <col min="3587" max="3597" width="13.7109375" style="14" customWidth="1"/>
    <col min="3598" max="3840" width="9.140625" style="14"/>
    <col min="3841" max="3841" width="10.7109375" style="14" customWidth="1"/>
    <col min="3842" max="3842" width="70.7109375" style="14" customWidth="1"/>
    <col min="3843" max="3853" width="13.7109375" style="14" customWidth="1"/>
    <col min="3854" max="4096" width="9.140625" style="14"/>
    <col min="4097" max="4097" width="10.7109375" style="14" customWidth="1"/>
    <col min="4098" max="4098" width="70.7109375" style="14" customWidth="1"/>
    <col min="4099" max="4109" width="13.7109375" style="14" customWidth="1"/>
    <col min="4110" max="4352" width="9.140625" style="14"/>
    <col min="4353" max="4353" width="10.7109375" style="14" customWidth="1"/>
    <col min="4354" max="4354" width="70.7109375" style="14" customWidth="1"/>
    <col min="4355" max="4365" width="13.7109375" style="14" customWidth="1"/>
    <col min="4366" max="4608" width="9.140625" style="14"/>
    <col min="4609" max="4609" width="10.7109375" style="14" customWidth="1"/>
    <col min="4610" max="4610" width="70.7109375" style="14" customWidth="1"/>
    <col min="4611" max="4621" width="13.7109375" style="14" customWidth="1"/>
    <col min="4622" max="4864" width="9.140625" style="14"/>
    <col min="4865" max="4865" width="10.7109375" style="14" customWidth="1"/>
    <col min="4866" max="4866" width="70.7109375" style="14" customWidth="1"/>
    <col min="4867" max="4877" width="13.7109375" style="14" customWidth="1"/>
    <col min="4878" max="5120" width="9.140625" style="14"/>
    <col min="5121" max="5121" width="10.7109375" style="14" customWidth="1"/>
    <col min="5122" max="5122" width="70.7109375" style="14" customWidth="1"/>
    <col min="5123" max="5133" width="13.7109375" style="14" customWidth="1"/>
    <col min="5134" max="5376" width="9.140625" style="14"/>
    <col min="5377" max="5377" width="10.7109375" style="14" customWidth="1"/>
    <col min="5378" max="5378" width="70.7109375" style="14" customWidth="1"/>
    <col min="5379" max="5389" width="13.7109375" style="14" customWidth="1"/>
    <col min="5390" max="5632" width="9.140625" style="14"/>
    <col min="5633" max="5633" width="10.7109375" style="14" customWidth="1"/>
    <col min="5634" max="5634" width="70.7109375" style="14" customWidth="1"/>
    <col min="5635" max="5645" width="13.7109375" style="14" customWidth="1"/>
    <col min="5646" max="5888" width="9.140625" style="14"/>
    <col min="5889" max="5889" width="10.7109375" style="14" customWidth="1"/>
    <col min="5890" max="5890" width="70.7109375" style="14" customWidth="1"/>
    <col min="5891" max="5901" width="13.7109375" style="14" customWidth="1"/>
    <col min="5902" max="6144" width="9.140625" style="14"/>
    <col min="6145" max="6145" width="10.7109375" style="14" customWidth="1"/>
    <col min="6146" max="6146" width="70.7109375" style="14" customWidth="1"/>
    <col min="6147" max="6157" width="13.7109375" style="14" customWidth="1"/>
    <col min="6158" max="6400" width="9.140625" style="14"/>
    <col min="6401" max="6401" width="10.7109375" style="14" customWidth="1"/>
    <col min="6402" max="6402" width="70.7109375" style="14" customWidth="1"/>
    <col min="6403" max="6413" width="13.7109375" style="14" customWidth="1"/>
    <col min="6414" max="6656" width="9.140625" style="14"/>
    <col min="6657" max="6657" width="10.7109375" style="14" customWidth="1"/>
    <col min="6658" max="6658" width="70.7109375" style="14" customWidth="1"/>
    <col min="6659" max="6669" width="13.7109375" style="14" customWidth="1"/>
    <col min="6670" max="6912" width="9.140625" style="14"/>
    <col min="6913" max="6913" width="10.7109375" style="14" customWidth="1"/>
    <col min="6914" max="6914" width="70.7109375" style="14" customWidth="1"/>
    <col min="6915" max="6925" width="13.7109375" style="14" customWidth="1"/>
    <col min="6926" max="7168" width="9.140625" style="14"/>
    <col min="7169" max="7169" width="10.7109375" style="14" customWidth="1"/>
    <col min="7170" max="7170" width="70.7109375" style="14" customWidth="1"/>
    <col min="7171" max="7181" width="13.7109375" style="14" customWidth="1"/>
    <col min="7182" max="7424" width="9.140625" style="14"/>
    <col min="7425" max="7425" width="10.7109375" style="14" customWidth="1"/>
    <col min="7426" max="7426" width="70.7109375" style="14" customWidth="1"/>
    <col min="7427" max="7437" width="13.7109375" style="14" customWidth="1"/>
    <col min="7438" max="7680" width="9.140625" style="14"/>
    <col min="7681" max="7681" width="10.7109375" style="14" customWidth="1"/>
    <col min="7682" max="7682" width="70.7109375" style="14" customWidth="1"/>
    <col min="7683" max="7693" width="13.7109375" style="14" customWidth="1"/>
    <col min="7694" max="7936" width="9.140625" style="14"/>
    <col min="7937" max="7937" width="10.7109375" style="14" customWidth="1"/>
    <col min="7938" max="7938" width="70.7109375" style="14" customWidth="1"/>
    <col min="7939" max="7949" width="13.7109375" style="14" customWidth="1"/>
    <col min="7950" max="8192" width="9.140625" style="14"/>
    <col min="8193" max="8193" width="10.7109375" style="14" customWidth="1"/>
    <col min="8194" max="8194" width="70.7109375" style="14" customWidth="1"/>
    <col min="8195" max="8205" width="13.7109375" style="14" customWidth="1"/>
    <col min="8206" max="8448" width="9.140625" style="14"/>
    <col min="8449" max="8449" width="10.7109375" style="14" customWidth="1"/>
    <col min="8450" max="8450" width="70.7109375" style="14" customWidth="1"/>
    <col min="8451" max="8461" width="13.7109375" style="14" customWidth="1"/>
    <col min="8462" max="8704" width="9.140625" style="14"/>
    <col min="8705" max="8705" width="10.7109375" style="14" customWidth="1"/>
    <col min="8706" max="8706" width="70.7109375" style="14" customWidth="1"/>
    <col min="8707" max="8717" width="13.7109375" style="14" customWidth="1"/>
    <col min="8718" max="8960" width="9.140625" style="14"/>
    <col min="8961" max="8961" width="10.7109375" style="14" customWidth="1"/>
    <col min="8962" max="8962" width="70.7109375" style="14" customWidth="1"/>
    <col min="8963" max="8973" width="13.7109375" style="14" customWidth="1"/>
    <col min="8974" max="9216" width="9.140625" style="14"/>
    <col min="9217" max="9217" width="10.7109375" style="14" customWidth="1"/>
    <col min="9218" max="9218" width="70.7109375" style="14" customWidth="1"/>
    <col min="9219" max="9229" width="13.7109375" style="14" customWidth="1"/>
    <col min="9230" max="9472" width="9.140625" style="14"/>
    <col min="9473" max="9473" width="10.7109375" style="14" customWidth="1"/>
    <col min="9474" max="9474" width="70.7109375" style="14" customWidth="1"/>
    <col min="9475" max="9485" width="13.7109375" style="14" customWidth="1"/>
    <col min="9486" max="9728" width="9.140625" style="14"/>
    <col min="9729" max="9729" width="10.7109375" style="14" customWidth="1"/>
    <col min="9730" max="9730" width="70.7109375" style="14" customWidth="1"/>
    <col min="9731" max="9741" width="13.7109375" style="14" customWidth="1"/>
    <col min="9742" max="9984" width="9.140625" style="14"/>
    <col min="9985" max="9985" width="10.7109375" style="14" customWidth="1"/>
    <col min="9986" max="9986" width="70.7109375" style="14" customWidth="1"/>
    <col min="9987" max="9997" width="13.7109375" style="14" customWidth="1"/>
    <col min="9998" max="10240" width="9.140625" style="14"/>
    <col min="10241" max="10241" width="10.7109375" style="14" customWidth="1"/>
    <col min="10242" max="10242" width="70.7109375" style="14" customWidth="1"/>
    <col min="10243" max="10253" width="13.7109375" style="14" customWidth="1"/>
    <col min="10254" max="10496" width="9.140625" style="14"/>
    <col min="10497" max="10497" width="10.7109375" style="14" customWidth="1"/>
    <col min="10498" max="10498" width="70.7109375" style="14" customWidth="1"/>
    <col min="10499" max="10509" width="13.7109375" style="14" customWidth="1"/>
    <col min="10510" max="10752" width="9.140625" style="14"/>
    <col min="10753" max="10753" width="10.7109375" style="14" customWidth="1"/>
    <col min="10754" max="10754" width="70.7109375" style="14" customWidth="1"/>
    <col min="10755" max="10765" width="13.7109375" style="14" customWidth="1"/>
    <col min="10766" max="11008" width="9.140625" style="14"/>
    <col min="11009" max="11009" width="10.7109375" style="14" customWidth="1"/>
    <col min="11010" max="11010" width="70.7109375" style="14" customWidth="1"/>
    <col min="11011" max="11021" width="13.7109375" style="14" customWidth="1"/>
    <col min="11022" max="11264" width="9.140625" style="14"/>
    <col min="11265" max="11265" width="10.7109375" style="14" customWidth="1"/>
    <col min="11266" max="11266" width="70.7109375" style="14" customWidth="1"/>
    <col min="11267" max="11277" width="13.7109375" style="14" customWidth="1"/>
    <col min="11278" max="11520" width="9.140625" style="14"/>
    <col min="11521" max="11521" width="10.7109375" style="14" customWidth="1"/>
    <col min="11522" max="11522" width="70.7109375" style="14" customWidth="1"/>
    <col min="11523" max="11533" width="13.7109375" style="14" customWidth="1"/>
    <col min="11534" max="11776" width="9.140625" style="14"/>
    <col min="11777" max="11777" width="10.7109375" style="14" customWidth="1"/>
    <col min="11778" max="11778" width="70.7109375" style="14" customWidth="1"/>
    <col min="11779" max="11789" width="13.7109375" style="14" customWidth="1"/>
    <col min="11790" max="12032" width="9.140625" style="14"/>
    <col min="12033" max="12033" width="10.7109375" style="14" customWidth="1"/>
    <col min="12034" max="12034" width="70.7109375" style="14" customWidth="1"/>
    <col min="12035" max="12045" width="13.7109375" style="14" customWidth="1"/>
    <col min="12046" max="12288" width="9.140625" style="14"/>
    <col min="12289" max="12289" width="10.7109375" style="14" customWidth="1"/>
    <col min="12290" max="12290" width="70.7109375" style="14" customWidth="1"/>
    <col min="12291" max="12301" width="13.7109375" style="14" customWidth="1"/>
    <col min="12302" max="12544" width="9.140625" style="14"/>
    <col min="12545" max="12545" width="10.7109375" style="14" customWidth="1"/>
    <col min="12546" max="12546" width="70.7109375" style="14" customWidth="1"/>
    <col min="12547" max="12557" width="13.7109375" style="14" customWidth="1"/>
    <col min="12558" max="12800" width="9.140625" style="14"/>
    <col min="12801" max="12801" width="10.7109375" style="14" customWidth="1"/>
    <col min="12802" max="12802" width="70.7109375" style="14" customWidth="1"/>
    <col min="12803" max="12813" width="13.7109375" style="14" customWidth="1"/>
    <col min="12814" max="13056" width="9.140625" style="14"/>
    <col min="13057" max="13057" width="10.7109375" style="14" customWidth="1"/>
    <col min="13058" max="13058" width="70.7109375" style="14" customWidth="1"/>
    <col min="13059" max="13069" width="13.7109375" style="14" customWidth="1"/>
    <col min="13070" max="13312" width="9.140625" style="14"/>
    <col min="13313" max="13313" width="10.7109375" style="14" customWidth="1"/>
    <col min="13314" max="13314" width="70.7109375" style="14" customWidth="1"/>
    <col min="13315" max="13325" width="13.7109375" style="14" customWidth="1"/>
    <col min="13326" max="13568" width="9.140625" style="14"/>
    <col min="13569" max="13569" width="10.7109375" style="14" customWidth="1"/>
    <col min="13570" max="13570" width="70.7109375" style="14" customWidth="1"/>
    <col min="13571" max="13581" width="13.7109375" style="14" customWidth="1"/>
    <col min="13582" max="13824" width="9.140625" style="14"/>
    <col min="13825" max="13825" width="10.7109375" style="14" customWidth="1"/>
    <col min="13826" max="13826" width="70.7109375" style="14" customWidth="1"/>
    <col min="13827" max="13837" width="13.7109375" style="14" customWidth="1"/>
    <col min="13838" max="14080" width="9.140625" style="14"/>
    <col min="14081" max="14081" width="10.7109375" style="14" customWidth="1"/>
    <col min="14082" max="14082" width="70.7109375" style="14" customWidth="1"/>
    <col min="14083" max="14093" width="13.7109375" style="14" customWidth="1"/>
    <col min="14094" max="14336" width="9.140625" style="14"/>
    <col min="14337" max="14337" width="10.7109375" style="14" customWidth="1"/>
    <col min="14338" max="14338" width="70.7109375" style="14" customWidth="1"/>
    <col min="14339" max="14349" width="13.7109375" style="14" customWidth="1"/>
    <col min="14350" max="14592" width="9.140625" style="14"/>
    <col min="14593" max="14593" width="10.7109375" style="14" customWidth="1"/>
    <col min="14594" max="14594" width="70.7109375" style="14" customWidth="1"/>
    <col min="14595" max="14605" width="13.7109375" style="14" customWidth="1"/>
    <col min="14606" max="14848" width="9.140625" style="14"/>
    <col min="14849" max="14849" width="10.7109375" style="14" customWidth="1"/>
    <col min="14850" max="14850" width="70.7109375" style="14" customWidth="1"/>
    <col min="14851" max="14861" width="13.7109375" style="14" customWidth="1"/>
    <col min="14862" max="15104" width="9.140625" style="14"/>
    <col min="15105" max="15105" width="10.7109375" style="14" customWidth="1"/>
    <col min="15106" max="15106" width="70.7109375" style="14" customWidth="1"/>
    <col min="15107" max="15117" width="13.7109375" style="14" customWidth="1"/>
    <col min="15118" max="15360" width="9.140625" style="14"/>
    <col min="15361" max="15361" width="10.7109375" style="14" customWidth="1"/>
    <col min="15362" max="15362" width="70.7109375" style="14" customWidth="1"/>
    <col min="15363" max="15373" width="13.7109375" style="14" customWidth="1"/>
    <col min="15374" max="15616" width="9.140625" style="14"/>
    <col min="15617" max="15617" width="10.7109375" style="14" customWidth="1"/>
    <col min="15618" max="15618" width="70.7109375" style="14" customWidth="1"/>
    <col min="15619" max="15629" width="13.7109375" style="14" customWidth="1"/>
    <col min="15630" max="15872" width="9.140625" style="14"/>
    <col min="15873" max="15873" width="10.7109375" style="14" customWidth="1"/>
    <col min="15874" max="15874" width="70.7109375" style="14" customWidth="1"/>
    <col min="15875" max="15885" width="13.7109375" style="14" customWidth="1"/>
    <col min="15886" max="16128" width="9.140625" style="14"/>
    <col min="16129" max="16129" width="10.7109375" style="14" customWidth="1"/>
    <col min="16130" max="16130" width="70.7109375" style="14" customWidth="1"/>
    <col min="16131" max="16141" width="13.7109375" style="14" customWidth="1"/>
    <col min="16142" max="16384" width="9.140625" style="14"/>
  </cols>
  <sheetData>
    <row r="1" spans="2:13" x14ac:dyDescent="0.2">
      <c r="B1" s="11"/>
      <c r="C1" s="12"/>
      <c r="D1" s="12"/>
      <c r="E1" s="12"/>
      <c r="F1" s="12"/>
      <c r="G1" s="12"/>
      <c r="H1" s="12"/>
      <c r="I1" s="12"/>
      <c r="J1" s="12"/>
      <c r="K1" s="12"/>
      <c r="L1" s="12"/>
      <c r="M1" s="13"/>
    </row>
    <row r="2" spans="2:13" ht="16.5" thickBot="1" x14ac:dyDescent="0.3">
      <c r="B2" s="1279" t="s">
        <v>22</v>
      </c>
      <c r="C2" s="1280"/>
      <c r="D2" s="1280"/>
      <c r="E2" s="1280"/>
      <c r="F2" s="1280"/>
      <c r="G2" s="1280"/>
      <c r="H2" s="1280"/>
      <c r="I2" s="1280"/>
      <c r="J2" s="1280"/>
      <c r="K2" s="1280"/>
      <c r="L2" s="1280"/>
      <c r="M2" s="1281"/>
    </row>
    <row r="3" spans="2:13" ht="16.5" thickBot="1" x14ac:dyDescent="0.3">
      <c r="B3" s="15"/>
      <c r="C3" s="16" t="s">
        <v>23</v>
      </c>
      <c r="D3" s="17"/>
      <c r="E3" s="17"/>
      <c r="F3" s="17"/>
      <c r="G3" s="17"/>
      <c r="H3" s="17"/>
      <c r="I3" s="18"/>
      <c r="J3" s="18"/>
      <c r="K3" s="18"/>
      <c r="L3" s="18"/>
      <c r="M3" s="19"/>
    </row>
    <row r="4" spans="2:13" ht="78.75" x14ac:dyDescent="0.2">
      <c r="B4" s="20"/>
      <c r="C4" s="514" t="s">
        <v>2474</v>
      </c>
      <c r="D4" s="21" t="s">
        <v>24</v>
      </c>
      <c r="E4" s="21" t="s">
        <v>2473</v>
      </c>
      <c r="F4" s="21" t="s">
        <v>2475</v>
      </c>
      <c r="G4" s="21" t="s">
        <v>25</v>
      </c>
      <c r="H4" s="21" t="s">
        <v>2476</v>
      </c>
      <c r="I4" s="21" t="s">
        <v>2477</v>
      </c>
      <c r="J4" s="21" t="s">
        <v>2478</v>
      </c>
      <c r="K4" s="21" t="s">
        <v>2479</v>
      </c>
      <c r="L4" s="21" t="s">
        <v>2480</v>
      </c>
      <c r="M4" s="22" t="s">
        <v>2481</v>
      </c>
    </row>
    <row r="5" spans="2:13" s="23" customFormat="1" ht="15.75" x14ac:dyDescent="0.25">
      <c r="B5" s="265" t="s">
        <v>2708</v>
      </c>
      <c r="C5" s="505">
        <v>1429.7815149999999</v>
      </c>
      <c r="D5" s="505"/>
      <c r="E5" s="506">
        <v>303.60000000000002</v>
      </c>
      <c r="F5" s="507"/>
      <c r="G5" s="507"/>
      <c r="H5" s="506">
        <v>48339.152669999981</v>
      </c>
      <c r="I5" s="578">
        <v>60423.940837499998</v>
      </c>
      <c r="J5" s="507"/>
      <c r="K5" s="508"/>
      <c r="L5" s="509">
        <f>IF(E5-I5&gt;0,E5-I5,0)</f>
        <v>0</v>
      </c>
      <c r="M5" s="510">
        <f>IF(H5&gt;E5,I5-E5,0)</f>
        <v>60120.3408375</v>
      </c>
    </row>
    <row r="6" spans="2:13" s="23" customFormat="1" ht="15.75" x14ac:dyDescent="0.25">
      <c r="B6" s="265"/>
      <c r="C6" s="505"/>
      <c r="D6" s="507"/>
      <c r="E6" s="506"/>
      <c r="F6" s="507"/>
      <c r="G6" s="507"/>
      <c r="H6" s="506"/>
      <c r="I6" s="506"/>
      <c r="J6" s="507"/>
      <c r="K6" s="508"/>
      <c r="L6" s="509">
        <f t="shared" ref="L6" si="0">IF(E6-I6&gt;0,E6-I6,0)</f>
        <v>0</v>
      </c>
      <c r="M6" s="510">
        <f t="shared" ref="M6" si="1">IF(I6&gt;E6,I6-E6,0)</f>
        <v>0</v>
      </c>
    </row>
    <row r="7" spans="2:13" s="23" customFormat="1" ht="15.75" x14ac:dyDescent="0.25">
      <c r="B7" s="265"/>
      <c r="C7" s="505"/>
      <c r="D7" s="507"/>
      <c r="E7" s="506"/>
      <c r="F7" s="507"/>
      <c r="G7" s="507"/>
      <c r="H7" s="506"/>
      <c r="I7" s="506"/>
      <c r="J7" s="507"/>
      <c r="K7" s="508"/>
      <c r="L7" s="509"/>
      <c r="M7" s="510"/>
    </row>
    <row r="8" spans="2:13" s="174" customFormat="1" ht="15.75" x14ac:dyDescent="0.25">
      <c r="B8" s="268"/>
      <c r="C8" s="269"/>
      <c r="D8" s="270"/>
      <c r="E8" s="271"/>
      <c r="F8" s="270"/>
      <c r="G8" s="270"/>
      <c r="H8" s="271"/>
      <c r="I8" s="271"/>
      <c r="J8" s="270"/>
      <c r="K8" s="511"/>
      <c r="L8" s="512"/>
      <c r="M8" s="513"/>
    </row>
    <row r="9" spans="2:13" ht="15.75" x14ac:dyDescent="0.25">
      <c r="B9" s="265"/>
      <c r="C9" s="266"/>
      <c r="D9" s="25"/>
      <c r="E9" s="267"/>
      <c r="F9" s="25"/>
      <c r="G9" s="25"/>
      <c r="H9" s="267"/>
      <c r="I9" s="267"/>
      <c r="J9" s="26"/>
      <c r="K9" s="26"/>
      <c r="L9" s="327"/>
      <c r="M9" s="328"/>
    </row>
    <row r="10" spans="2:13" s="174" customFormat="1" ht="15.75" x14ac:dyDescent="0.25">
      <c r="B10" s="268"/>
      <c r="C10" s="269"/>
      <c r="D10" s="270"/>
      <c r="E10" s="271"/>
      <c r="F10" s="270"/>
      <c r="G10" s="270"/>
      <c r="H10" s="271"/>
      <c r="I10" s="271"/>
      <c r="J10" s="270"/>
      <c r="K10" s="270"/>
      <c r="L10" s="329"/>
      <c r="M10" s="330"/>
    </row>
    <row r="11" spans="2:13" ht="15.75" x14ac:dyDescent="0.25">
      <c r="B11" s="265"/>
      <c r="C11" s="266"/>
      <c r="D11" s="25"/>
      <c r="E11" s="267"/>
      <c r="F11" s="25"/>
      <c r="G11" s="25"/>
      <c r="H11" s="267"/>
      <c r="I11" s="267"/>
      <c r="J11" s="26"/>
      <c r="K11" s="26"/>
      <c r="L11" s="327"/>
      <c r="M11" s="328"/>
    </row>
    <row r="12" spans="2:13" ht="15.75" x14ac:dyDescent="0.25">
      <c r="B12" s="27"/>
      <c r="C12" s="25"/>
      <c r="D12" s="25"/>
      <c r="E12" s="25"/>
      <c r="F12" s="25"/>
      <c r="G12" s="25"/>
      <c r="H12" s="25"/>
      <c r="I12" s="25"/>
      <c r="J12" s="26"/>
      <c r="K12" s="26"/>
      <c r="L12" s="331"/>
      <c r="M12" s="332"/>
    </row>
    <row r="13" spans="2:13" ht="15.75" x14ac:dyDescent="0.25">
      <c r="B13" s="24"/>
      <c r="C13" s="25"/>
      <c r="D13" s="25"/>
      <c r="E13" s="25"/>
      <c r="F13" s="25"/>
      <c r="G13" s="25"/>
      <c r="H13" s="25"/>
      <c r="I13" s="25"/>
      <c r="J13" s="25"/>
      <c r="K13" s="25"/>
      <c r="L13" s="331"/>
      <c r="M13" s="332"/>
    </row>
    <row r="14" spans="2:13" ht="15.75" x14ac:dyDescent="0.25">
      <c r="B14" s="24"/>
      <c r="C14" s="25"/>
      <c r="D14" s="25"/>
      <c r="E14" s="25"/>
      <c r="F14" s="25"/>
      <c r="G14" s="25"/>
      <c r="H14" s="25"/>
      <c r="I14" s="25"/>
      <c r="J14" s="25"/>
      <c r="K14" s="25"/>
      <c r="L14" s="331"/>
      <c r="M14" s="332"/>
    </row>
    <row r="15" spans="2:13" ht="15.75" x14ac:dyDescent="0.25">
      <c r="B15" s="28"/>
      <c r="C15" s="25"/>
      <c r="D15" s="25"/>
      <c r="E15" s="25"/>
      <c r="F15" s="25"/>
      <c r="G15" s="25"/>
      <c r="H15" s="25"/>
      <c r="I15" s="25"/>
      <c r="J15" s="25"/>
      <c r="K15" s="25"/>
      <c r="L15" s="333"/>
      <c r="M15" s="334"/>
    </row>
    <row r="16" spans="2:13" ht="16.5" thickBot="1" x14ac:dyDescent="0.3">
      <c r="B16" s="515" t="s">
        <v>26</v>
      </c>
      <c r="C16" s="516">
        <f>SUM(C5:C15)</f>
        <v>1429.7815149999999</v>
      </c>
      <c r="D16" s="516">
        <f>SUM(D15:D15)</f>
        <v>0</v>
      </c>
      <c r="E16" s="516">
        <f>SUM(E5:G15)</f>
        <v>303.60000000000002</v>
      </c>
      <c r="F16" s="516">
        <f>SUM(F15:F15)</f>
        <v>0</v>
      </c>
      <c r="G16" s="516">
        <f>SUM(G15:G15)</f>
        <v>0</v>
      </c>
      <c r="H16" s="516">
        <f>SUM(H5:H15)</f>
        <v>48339.152669999981</v>
      </c>
      <c r="I16" s="516">
        <f>SUM(I5:K15)</f>
        <v>60423.940837499998</v>
      </c>
      <c r="J16" s="516">
        <f>SUM(J15:J15)</f>
        <v>0</v>
      </c>
      <c r="K16" s="516">
        <f>SUM(K15:K15)</f>
        <v>0</v>
      </c>
      <c r="L16" s="516">
        <f>SUM(L5:L15)</f>
        <v>0</v>
      </c>
      <c r="M16" s="517">
        <f>SUM(M5:M15)</f>
        <v>60120.3408375</v>
      </c>
    </row>
    <row r="17" spans="1:14" ht="16.5" thickBot="1" x14ac:dyDescent="0.3">
      <c r="B17" s="518" t="s">
        <v>2482</v>
      </c>
      <c r="C17" s="1118"/>
      <c r="D17" s="519" t="s">
        <v>13</v>
      </c>
      <c r="E17" s="519" t="s">
        <v>13</v>
      </c>
      <c r="F17" s="519" t="s">
        <v>13</v>
      </c>
      <c r="G17" s="519" t="s">
        <v>13</v>
      </c>
      <c r="H17" s="519" t="s">
        <v>13</v>
      </c>
      <c r="I17" s="519" t="s">
        <v>13</v>
      </c>
      <c r="J17" s="519" t="s">
        <v>13</v>
      </c>
      <c r="K17" s="519" t="s">
        <v>13</v>
      </c>
      <c r="L17" s="519" t="s">
        <v>13</v>
      </c>
      <c r="M17" s="520" t="s">
        <v>13</v>
      </c>
    </row>
    <row r="18" spans="1:14" ht="16.5" thickBot="1" x14ac:dyDescent="0.3">
      <c r="B18" s="521"/>
      <c r="C18" s="522"/>
      <c r="D18" s="523"/>
      <c r="E18" s="523"/>
      <c r="F18" s="523"/>
      <c r="G18" s="523"/>
      <c r="H18" s="523"/>
      <c r="I18" s="523"/>
      <c r="J18" s="523"/>
      <c r="K18" s="523"/>
      <c r="L18" s="523"/>
      <c r="M18" s="524"/>
    </row>
    <row r="19" spans="1:14" ht="13.5" thickBot="1" x14ac:dyDescent="0.25"/>
    <row r="20" spans="1:14" ht="15.75" customHeight="1" thickBot="1" x14ac:dyDescent="0.3">
      <c r="B20" s="318" t="s">
        <v>27</v>
      </c>
      <c r="C20" s="29"/>
      <c r="J20" s="319" t="s">
        <v>223</v>
      </c>
      <c r="K20" s="320"/>
      <c r="L20" s="320"/>
      <c r="M20" s="321"/>
    </row>
    <row r="21" spans="1:14" s="36" customFormat="1" ht="15.75" customHeight="1" x14ac:dyDescent="0.2">
      <c r="B21" s="14" t="s">
        <v>2490</v>
      </c>
      <c r="J21" s="322"/>
      <c r="K21" s="316"/>
      <c r="L21" s="324" t="s">
        <v>36</v>
      </c>
      <c r="M21" s="326">
        <f>IF(L16-M16&lt;0,0,L16-M16)</f>
        <v>0</v>
      </c>
    </row>
    <row r="22" spans="1:14" s="36" customFormat="1" ht="15.75" customHeight="1" thickBot="1" x14ac:dyDescent="0.25">
      <c r="J22" s="323"/>
      <c r="K22" s="317"/>
      <c r="L22" s="325" t="s">
        <v>35</v>
      </c>
      <c r="M22" s="579">
        <f>IF((M16-L16)&lt;0,0,M16-L16)</f>
        <v>60120.3408375</v>
      </c>
    </row>
    <row r="23" spans="1:14" ht="16.5" thickBot="1" x14ac:dyDescent="0.3">
      <c r="A23" s="1282" t="s">
        <v>28</v>
      </c>
      <c r="B23" s="1283"/>
      <c r="C23" s="1283"/>
      <c r="D23" s="1283"/>
      <c r="E23" s="1284"/>
    </row>
    <row r="24" spans="1:14" ht="15" thickBot="1" x14ac:dyDescent="0.25">
      <c r="A24" s="30" t="s">
        <v>9</v>
      </c>
      <c r="B24" s="30" t="s">
        <v>29</v>
      </c>
      <c r="C24" s="30" t="s">
        <v>30</v>
      </c>
      <c r="D24" s="30" t="s">
        <v>0</v>
      </c>
      <c r="E24" s="30" t="s">
        <v>31</v>
      </c>
      <c r="F24" s="961" t="s">
        <v>169</v>
      </c>
      <c r="G24" s="370">
        <f>SUM(C16:H16,J16:M16,C17)-SUM(C25:C30,C43:C48)</f>
        <v>-9048.8300000000017</v>
      </c>
      <c r="H24" s="367"/>
      <c r="I24" s="367"/>
      <c r="J24" s="367"/>
    </row>
    <row r="25" spans="1:14" s="31" customFormat="1" ht="35.1" customHeight="1" x14ac:dyDescent="0.2">
      <c r="A25" s="371" t="s">
        <v>17365</v>
      </c>
      <c r="B25" s="372" t="s">
        <v>228</v>
      </c>
      <c r="C25" s="373"/>
      <c r="D25" s="374" t="s">
        <v>227</v>
      </c>
      <c r="E25" s="375"/>
      <c r="F25" s="1067">
        <f>SUMIF(Orçamento!$B$1:$B$102,A25,Orçamento!$F$1:$F$102)-C25</f>
        <v>7052.43</v>
      </c>
      <c r="G25" s="369"/>
      <c r="H25" s="367"/>
      <c r="I25" s="367"/>
      <c r="J25" s="367"/>
    </row>
    <row r="26" spans="1:14" s="31" customFormat="1" ht="39.950000000000003" customHeight="1" x14ac:dyDescent="0.2">
      <c r="A26" s="376" t="s">
        <v>229</v>
      </c>
      <c r="B26" s="377" t="s">
        <v>305</v>
      </c>
      <c r="C26" s="378"/>
      <c r="D26" s="379" t="s">
        <v>227</v>
      </c>
      <c r="E26" s="380"/>
      <c r="F26" s="1067">
        <f>SUMIF(Orçamento!$B$1:$B$102,A26,Orçamento!$F$1:$F$102)-C26</f>
        <v>0</v>
      </c>
      <c r="G26" s="369"/>
      <c r="H26" s="367"/>
      <c r="I26" s="367"/>
      <c r="J26" s="367"/>
      <c r="L26" s="368"/>
      <c r="N26" s="368"/>
    </row>
    <row r="27" spans="1:14" s="31" customFormat="1" ht="30" customHeight="1" x14ac:dyDescent="0.2">
      <c r="A27" s="376" t="s">
        <v>17365</v>
      </c>
      <c r="B27" s="377" t="s">
        <v>31557</v>
      </c>
      <c r="C27" s="378">
        <v>7052.43</v>
      </c>
      <c r="D27" s="379" t="s">
        <v>227</v>
      </c>
      <c r="E27" s="380"/>
      <c r="F27" s="1068">
        <f>SUMIF(Orçamento!$B$1:$B$102,A27,Orçamento!$F$1:$F$102)-C27</f>
        <v>0</v>
      </c>
      <c r="G27" s="369"/>
      <c r="H27" s="367"/>
      <c r="I27" s="367"/>
      <c r="J27" s="367"/>
    </row>
    <row r="28" spans="1:14" s="31" customFormat="1" ht="30" customHeight="1" x14ac:dyDescent="0.2">
      <c r="A28" s="376" t="s">
        <v>28103</v>
      </c>
      <c r="B28" s="377" t="s">
        <v>31556</v>
      </c>
      <c r="C28" s="378">
        <v>2212</v>
      </c>
      <c r="D28" s="379" t="s">
        <v>227</v>
      </c>
      <c r="E28" s="380"/>
      <c r="F28" s="1068">
        <f>SUMIF(Orçamento!$B$1:$B$102,A28,Orçamento!$F$1:$F$102)-C28</f>
        <v>0</v>
      </c>
      <c r="G28" s="369" t="s">
        <v>31555</v>
      </c>
      <c r="H28" s="367"/>
      <c r="I28" s="367"/>
      <c r="J28" s="367"/>
    </row>
    <row r="29" spans="1:14" s="31" customFormat="1" ht="30" customHeight="1" x14ac:dyDescent="0.2">
      <c r="A29" s="376" t="s">
        <v>28106</v>
      </c>
      <c r="B29" s="377" t="s">
        <v>31558</v>
      </c>
      <c r="C29" s="378">
        <f>ROUND(C28/25,0)</f>
        <v>88</v>
      </c>
      <c r="D29" s="379" t="s">
        <v>2444</v>
      </c>
      <c r="E29" s="380"/>
      <c r="F29" s="1068">
        <f>SUMIF(Orçamento!$B$1:$B$102,A29,Orçamento!$F$1:$F$102)-C29</f>
        <v>0</v>
      </c>
      <c r="G29" s="369"/>
      <c r="H29" s="367"/>
      <c r="I29" s="367"/>
      <c r="J29" s="367"/>
    </row>
    <row r="30" spans="1:14" s="31" customFormat="1" ht="30" customHeight="1" x14ac:dyDescent="0.2">
      <c r="A30" s="376" t="s">
        <v>28113</v>
      </c>
      <c r="B30" s="955" t="s">
        <v>21623</v>
      </c>
      <c r="C30" s="394">
        <f>C16</f>
        <v>1429.7815149999999</v>
      </c>
      <c r="D30" s="395" t="s">
        <v>159</v>
      </c>
      <c r="E30" s="396"/>
      <c r="F30" s="1068">
        <f>SUMIF(Orçamento!$B$1:$B$102,A30,Orçamento!$F$1:$F$102)-C30</f>
        <v>315.02848500000005</v>
      </c>
      <c r="G30" s="32" t="s">
        <v>2491</v>
      </c>
    </row>
    <row r="31" spans="1:14" s="31" customFormat="1" ht="30" customHeight="1" x14ac:dyDescent="0.2">
      <c r="A31" s="957" t="s">
        <v>17009</v>
      </c>
      <c r="B31" s="958" t="s">
        <v>21624</v>
      </c>
      <c r="C31" s="959">
        <f>C30*E31</f>
        <v>10723.3613625</v>
      </c>
      <c r="D31" s="960" t="s">
        <v>159</v>
      </c>
      <c r="E31" s="390">
        <v>7.5</v>
      </c>
      <c r="F31" s="1068">
        <f>SUMIF(Orçamento!$B$1:$B$102,A31,Orçamento!$F$1:$F$102)-C31</f>
        <v>10348.7286375</v>
      </c>
      <c r="G31" s="580" t="s">
        <v>21630</v>
      </c>
    </row>
    <row r="32" spans="1:14" s="31" customFormat="1" ht="30" customHeight="1" x14ac:dyDescent="0.2">
      <c r="A32" s="376" t="s">
        <v>32618</v>
      </c>
      <c r="B32" s="384" t="s">
        <v>239</v>
      </c>
      <c r="C32" s="382">
        <f>C30</f>
        <v>1429.7815149999999</v>
      </c>
      <c r="D32" s="392" t="s">
        <v>159</v>
      </c>
      <c r="E32" s="383"/>
      <c r="F32" s="1068">
        <f>SUMIF(Orçamento!$B$1:$B$217,A32,Orçamento!$F$1:$F$217)-C32</f>
        <v>315.02848500000005</v>
      </c>
      <c r="G32" s="34"/>
    </row>
    <row r="33" spans="1:8" s="31" customFormat="1" ht="30" customHeight="1" x14ac:dyDescent="0.2">
      <c r="A33" s="376" t="s">
        <v>14262</v>
      </c>
      <c r="B33" s="384" t="s">
        <v>31561</v>
      </c>
      <c r="C33" s="385">
        <f>E16</f>
        <v>303.60000000000002</v>
      </c>
      <c r="D33" s="392" t="s">
        <v>159</v>
      </c>
      <c r="E33" s="383"/>
      <c r="F33" s="1068">
        <f>SUMIF(Orçamento!$B$1:$B$102,A33,Orçamento!$F$1:$F$102)-C33</f>
        <v>0</v>
      </c>
      <c r="G33" s="34"/>
    </row>
    <row r="34" spans="1:8" s="31" customFormat="1" ht="30" customHeight="1" x14ac:dyDescent="0.2">
      <c r="A34" s="1129" t="s">
        <v>31560</v>
      </c>
      <c r="B34" s="1130"/>
      <c r="C34" s="1131"/>
      <c r="D34" s="1132"/>
      <c r="E34" s="1133"/>
      <c r="F34" s="1068"/>
      <c r="G34" s="34"/>
    </row>
    <row r="35" spans="1:8" s="31" customFormat="1" ht="19.5" customHeight="1" x14ac:dyDescent="0.2">
      <c r="A35" s="376"/>
      <c r="B35" s="384"/>
      <c r="C35" s="385"/>
      <c r="D35" s="392"/>
      <c r="E35" s="383"/>
      <c r="F35" s="1067">
        <f>SUMIF(Orçamento!$B$1:$B$102,A35,Orçamento!$F$1:$F$102)-C35</f>
        <v>0</v>
      </c>
      <c r="G35" s="34"/>
    </row>
    <row r="36" spans="1:8" s="31" customFormat="1" ht="30" customHeight="1" x14ac:dyDescent="0.2">
      <c r="A36" s="376" t="s">
        <v>230</v>
      </c>
      <c r="B36" s="381" t="s">
        <v>288</v>
      </c>
      <c r="C36" s="385"/>
      <c r="D36" s="386"/>
      <c r="E36" s="383"/>
      <c r="F36" s="1067">
        <f>SUMIF(Orçamento!$B$1:$B$102,A36,Orçamento!$F$1:$F$102)-C36</f>
        <v>0</v>
      </c>
      <c r="G36" s="34"/>
      <c r="H36" s="38"/>
    </row>
    <row r="37" spans="1:8" s="31" customFormat="1" ht="30" customHeight="1" x14ac:dyDescent="0.2">
      <c r="A37" s="376" t="s">
        <v>231</v>
      </c>
      <c r="B37" s="381" t="s">
        <v>289</v>
      </c>
      <c r="C37" s="378"/>
      <c r="D37" s="386"/>
      <c r="E37" s="383"/>
      <c r="F37" s="1067">
        <f>SUMIF(Orçamento!$B$1:$B$102,A37,Orçamento!$F$1:$F$102)-C37</f>
        <v>0</v>
      </c>
      <c r="G37" s="34"/>
    </row>
    <row r="38" spans="1:8" s="31" customFormat="1" ht="30" customHeight="1" x14ac:dyDescent="0.2">
      <c r="A38" s="376" t="s">
        <v>17009</v>
      </c>
      <c r="B38" s="389" t="s">
        <v>21628</v>
      </c>
      <c r="C38" s="391">
        <f>C43*(E38-1)</f>
        <v>330661.87460624997</v>
      </c>
      <c r="D38" s="386"/>
      <c r="E38" s="1124">
        <v>6.5</v>
      </c>
      <c r="F38" s="1068">
        <f>SUMIF(Orçamento!$B$1:$B$102,A38,Orçamento!$F$1:$F$102)-C38</f>
        <v>-309589.78460624994</v>
      </c>
      <c r="G38" s="34"/>
    </row>
    <row r="39" spans="1:8" s="31" customFormat="1" ht="30" customHeight="1" x14ac:dyDescent="0.2">
      <c r="A39" s="376" t="s">
        <v>232</v>
      </c>
      <c r="B39" s="381" t="s">
        <v>290</v>
      </c>
      <c r="C39" s="385"/>
      <c r="D39" s="386"/>
      <c r="E39" s="383"/>
      <c r="F39" s="1067">
        <f>SUMIF(Orçamento!$B$1:$B$102,A39,Orçamento!$F$1:$F$102)-C39</f>
        <v>0</v>
      </c>
      <c r="G39" s="34"/>
    </row>
    <row r="40" spans="1:8" s="31" customFormat="1" ht="30" customHeight="1" x14ac:dyDescent="0.2">
      <c r="A40" s="376" t="s">
        <v>233</v>
      </c>
      <c r="B40" s="381" t="s">
        <v>291</v>
      </c>
      <c r="C40" s="385"/>
      <c r="D40" s="386"/>
      <c r="E40" s="383"/>
      <c r="F40" s="1067">
        <f>SUMIF(Orçamento!$B$1:$B$102,A40,Orçamento!$F$1:$F$102)-C40</f>
        <v>0</v>
      </c>
      <c r="G40" s="34"/>
    </row>
    <row r="41" spans="1:8" s="31" customFormat="1" ht="30" customHeight="1" x14ac:dyDescent="0.2">
      <c r="A41" s="376" t="s">
        <v>234</v>
      </c>
      <c r="B41" s="400" t="s">
        <v>292</v>
      </c>
      <c r="C41" s="401"/>
      <c r="D41" s="402"/>
      <c r="E41" s="403"/>
      <c r="F41" s="1067">
        <f>SUMIF(Orçamento!$B$1:$B$102,A41,Orçamento!$F$1:$F$102)-C41</f>
        <v>330661.87</v>
      </c>
      <c r="G41" s="34"/>
    </row>
    <row r="42" spans="1:8" s="31" customFormat="1" ht="30" customHeight="1" x14ac:dyDescent="0.2">
      <c r="A42" s="376" t="s">
        <v>242</v>
      </c>
      <c r="B42" s="393" t="s">
        <v>297</v>
      </c>
      <c r="C42" s="405"/>
      <c r="D42" s="399"/>
      <c r="E42" s="396"/>
      <c r="F42" s="1067">
        <f>SUMIF(Orçamento!$B$1:$B$102,A42,Orçamento!$F$1:$F$102)-C42</f>
        <v>0</v>
      </c>
      <c r="G42" s="34"/>
    </row>
    <row r="43" spans="1:8" s="31" customFormat="1" ht="30" customHeight="1" x14ac:dyDescent="0.2">
      <c r="A43" s="376" t="s">
        <v>14196</v>
      </c>
      <c r="B43" s="407" t="s">
        <v>235</v>
      </c>
      <c r="C43" s="408">
        <f>M22</f>
        <v>60120.3408375</v>
      </c>
      <c r="D43" s="409"/>
      <c r="E43" s="410"/>
      <c r="F43" s="1068">
        <f>SUMIF(Orçamento!$B$1:$B$102,A43,Orçamento!$F$1:$F$102)-C43</f>
        <v>-58668.3408375</v>
      </c>
      <c r="G43" s="34"/>
    </row>
    <row r="44" spans="1:8" s="31" customFormat="1" ht="30" customHeight="1" x14ac:dyDescent="0.2">
      <c r="A44" s="376"/>
      <c r="B44" s="389"/>
      <c r="C44" s="388"/>
      <c r="D44" s="386"/>
      <c r="E44" s="390"/>
      <c r="F44" s="1068">
        <f>SUMIF(Orçamento!$B$1:$B$102,A44,Orçamento!$F$1:$F$102)-C44</f>
        <v>0</v>
      </c>
      <c r="G44" s="34"/>
    </row>
    <row r="45" spans="1:8" s="31" customFormat="1" ht="19.5" customHeight="1" x14ac:dyDescent="0.2">
      <c r="A45" s="376" t="s">
        <v>236</v>
      </c>
      <c r="B45" s="411" t="s">
        <v>293</v>
      </c>
      <c r="C45" s="405"/>
      <c r="D45" s="399"/>
      <c r="E45" s="412"/>
      <c r="F45" s="1067">
        <f>SUMIF(Orçamento!$B$1:$B$102,A45,Orçamento!$F$1:$F$102)-C45</f>
        <v>0</v>
      </c>
      <c r="G45" s="34"/>
    </row>
    <row r="46" spans="1:8" s="31" customFormat="1" ht="19.5" customHeight="1" x14ac:dyDescent="0.2">
      <c r="A46" s="376" t="s">
        <v>237</v>
      </c>
      <c r="B46" s="404" t="s">
        <v>238</v>
      </c>
      <c r="C46" s="397"/>
      <c r="D46" s="398"/>
      <c r="E46" s="406"/>
      <c r="F46" s="1067">
        <f>SUMIF(Orçamento!$B$1:$B$102,A46,Orçamento!$F$1:$F$102)-C46</f>
        <v>5665.7250000000004</v>
      </c>
      <c r="G46" s="34"/>
    </row>
    <row r="47" spans="1:8" s="31" customFormat="1" ht="30" customHeight="1" x14ac:dyDescent="0.2">
      <c r="A47" s="376" t="s">
        <v>240</v>
      </c>
      <c r="B47" s="381" t="s">
        <v>294</v>
      </c>
      <c r="C47" s="387"/>
      <c r="D47" s="386"/>
      <c r="E47" s="383"/>
      <c r="F47" s="1067">
        <f>SUMIF(Orçamento!$B$1:$B$102,A47,Orçamento!$F$1:$F$102)-C47</f>
        <v>0</v>
      </c>
      <c r="G47" s="34"/>
    </row>
    <row r="48" spans="1:8" s="31" customFormat="1" ht="30" customHeight="1" x14ac:dyDescent="0.2">
      <c r="A48" s="376" t="s">
        <v>28129</v>
      </c>
      <c r="B48" s="381" t="s">
        <v>295</v>
      </c>
      <c r="C48" s="391">
        <f>H16</f>
        <v>48339.152669999981</v>
      </c>
      <c r="D48" s="386"/>
      <c r="E48" s="387"/>
      <c r="F48" s="1068">
        <f>SUMIF(Orçamento!$B$1:$B$102,A48,Orçamento!$F$1:$F$102)-C48</f>
        <v>-46887.152669999981</v>
      </c>
      <c r="G48" s="34"/>
    </row>
    <row r="49" spans="1:11" s="31" customFormat="1" ht="30" customHeight="1" x14ac:dyDescent="0.2">
      <c r="A49" s="376" t="s">
        <v>241</v>
      </c>
      <c r="B49" s="381" t="s">
        <v>296</v>
      </c>
      <c r="C49" s="387"/>
      <c r="D49" s="386"/>
      <c r="E49" s="383"/>
      <c r="F49" s="1067">
        <f>SUMIF(Orçamento!$B$1:$B$102,A49,Orçamento!$F$1:$F$102)-C49</f>
        <v>0</v>
      </c>
      <c r="G49" s="34"/>
    </row>
    <row r="50" spans="1:11" s="1008" customFormat="1" ht="19.5" customHeight="1" x14ac:dyDescent="0.25">
      <c r="A50" s="1010"/>
      <c r="B50" s="1011" t="s">
        <v>21632</v>
      </c>
      <c r="C50" s="1012" t="s">
        <v>21633</v>
      </c>
      <c r="D50" s="1013" t="s">
        <v>21634</v>
      </c>
      <c r="E50" s="1014">
        <f>RIGHT(D50,5)*LEFT(D50,5)</f>
        <v>3060</v>
      </c>
      <c r="F50" s="1069"/>
      <c r="G50" s="1009"/>
      <c r="K50" s="570"/>
    </row>
    <row r="51" spans="1:11" s="31" customFormat="1" ht="19.5" customHeight="1" x14ac:dyDescent="0.2">
      <c r="A51" s="1015"/>
      <c r="B51" s="1016" t="s">
        <v>21635</v>
      </c>
      <c r="C51" s="1017">
        <v>60</v>
      </c>
      <c r="D51" s="1018" t="s">
        <v>2</v>
      </c>
      <c r="E51" s="1019"/>
      <c r="F51" s="1070"/>
      <c r="G51" s="34"/>
      <c r="K51" s="365"/>
    </row>
    <row r="52" spans="1:11" s="31" customFormat="1" ht="19.5" customHeight="1" x14ac:dyDescent="0.2">
      <c r="A52" s="1020"/>
      <c r="B52" s="1021" t="s">
        <v>21636</v>
      </c>
      <c r="C52" s="1022">
        <f>22+29</f>
        <v>51</v>
      </c>
      <c r="D52" s="33" t="s">
        <v>2</v>
      </c>
      <c r="E52" s="1023"/>
      <c r="F52" s="1070"/>
      <c r="G52" s="34"/>
      <c r="K52" s="366"/>
    </row>
    <row r="53" spans="1:11" s="31" customFormat="1" ht="19.5" customHeight="1" x14ac:dyDescent="0.2">
      <c r="A53" s="1024"/>
      <c r="B53" s="1025" t="s">
        <v>21637</v>
      </c>
      <c r="C53" s="1026">
        <f>C51*C52</f>
        <v>3060</v>
      </c>
      <c r="D53" s="1027" t="s">
        <v>39</v>
      </c>
      <c r="E53" s="1028"/>
      <c r="F53" s="1070"/>
      <c r="G53" s="34"/>
      <c r="K53" s="366"/>
    </row>
    <row r="54" spans="1:11" s="31" customFormat="1" ht="20.100000000000001" customHeight="1" x14ac:dyDescent="0.2">
      <c r="A54" s="376" t="s">
        <v>32673</v>
      </c>
      <c r="B54" s="381" t="s">
        <v>21638</v>
      </c>
      <c r="C54" s="391">
        <f>C53</f>
        <v>3060</v>
      </c>
      <c r="D54" s="1029" t="s">
        <v>39</v>
      </c>
      <c r="E54" s="387"/>
      <c r="F54" s="1067">
        <f>SUMIF(Orçamento!$B$1:$B$102,A54,Orçamento!$F$1:$F$102)-C54</f>
        <v>0</v>
      </c>
      <c r="G54" s="34"/>
    </row>
    <row r="55" spans="1:11" s="31" customFormat="1" ht="20.100000000000001" customHeight="1" x14ac:dyDescent="0.2">
      <c r="A55" s="376" t="s">
        <v>7585</v>
      </c>
      <c r="B55" s="381" t="s">
        <v>2879</v>
      </c>
      <c r="C55" s="391">
        <f>C54*0.2</f>
        <v>612</v>
      </c>
      <c r="D55" s="1029" t="s">
        <v>38</v>
      </c>
      <c r="E55" s="387" t="s">
        <v>21639</v>
      </c>
      <c r="F55" s="1067">
        <f>SUMIF(Orçamento!$B$1:$B$102,A55,Orçamento!$F$1:$F$102)-C55</f>
        <v>-548.6</v>
      </c>
      <c r="G55" s="34"/>
    </row>
    <row r="56" spans="1:11" s="31" customFormat="1" ht="20.100000000000001" customHeight="1" x14ac:dyDescent="0.2">
      <c r="A56" s="376" t="s">
        <v>28135</v>
      </c>
      <c r="B56" s="381" t="s">
        <v>21641</v>
      </c>
      <c r="C56" s="391">
        <f>C53</f>
        <v>3060</v>
      </c>
      <c r="D56" s="1029" t="s">
        <v>39</v>
      </c>
      <c r="E56" s="387"/>
      <c r="F56" s="1067">
        <f>SUMIF(Orçamento!$B$1:$B$102,A56,Orçamento!$F$1:$F$102)-C56</f>
        <v>0</v>
      </c>
      <c r="G56" s="34"/>
    </row>
    <row r="57" spans="1:11" s="31" customFormat="1" ht="20.100000000000001" customHeight="1" x14ac:dyDescent="0.2">
      <c r="A57" s="376">
        <v>4730</v>
      </c>
      <c r="B57" s="381" t="s">
        <v>2493</v>
      </c>
      <c r="C57" s="391">
        <f>C54*0.4</f>
        <v>1224</v>
      </c>
      <c r="D57" s="1029" t="s">
        <v>38</v>
      </c>
      <c r="E57" s="387" t="s">
        <v>21640</v>
      </c>
      <c r="F57" s="1067">
        <f>SUMIF(Orçamento!$B$1:$B$102,A57,Orçamento!$F$1:$F$102)-C57</f>
        <v>-1092</v>
      </c>
      <c r="G57" s="34"/>
    </row>
    <row r="58" spans="1:11" s="31" customFormat="1" ht="19.5" customHeight="1" x14ac:dyDescent="0.2">
      <c r="B58" s="32" t="s">
        <v>31553</v>
      </c>
      <c r="C58" s="37"/>
      <c r="D58" s="33"/>
      <c r="E58" s="34"/>
      <c r="F58" s="34"/>
      <c r="G58" s="34"/>
    </row>
    <row r="59" spans="1:11" s="31" customFormat="1" ht="19.5" customHeight="1" x14ac:dyDescent="0.2">
      <c r="B59" s="32" t="s">
        <v>31554</v>
      </c>
      <c r="C59" s="37">
        <v>20</v>
      </c>
      <c r="D59" s="33"/>
      <c r="E59" s="34"/>
      <c r="F59" s="34"/>
      <c r="G59" s="34"/>
    </row>
    <row r="60" spans="1:11" s="31" customFormat="1" ht="19.5" customHeight="1" x14ac:dyDescent="0.2">
      <c r="B60" s="32"/>
      <c r="C60" s="37"/>
      <c r="D60" s="33"/>
      <c r="E60" s="34"/>
      <c r="F60" s="34"/>
      <c r="G60" s="34"/>
    </row>
  </sheetData>
  <autoFilter ref="A24:G59" xr:uid="{00000000-0001-0000-0200-000000000000}"/>
  <mergeCells count="2">
    <mergeCell ref="B2:M2"/>
    <mergeCell ref="A23:E23"/>
  </mergeCells>
  <conditionalFormatting sqref="A32:A49 A25:A30">
    <cfRule type="duplicateValues" dxfId="381" priority="934"/>
  </conditionalFormatting>
  <conditionalFormatting sqref="A43:A44">
    <cfRule type="containsBlanks" dxfId="380" priority="13">
      <formula>LEN(TRIM(A43))=0</formula>
    </cfRule>
  </conditionalFormatting>
  <conditionalFormatting sqref="A43:A44">
    <cfRule type="containsErrors" dxfId="379" priority="12">
      <formula>ISERROR(A43)</formula>
    </cfRule>
  </conditionalFormatting>
  <conditionalFormatting sqref="A43:A44">
    <cfRule type="containsBlanks" dxfId="378" priority="11">
      <formula>LEN(TRIM(A43))=0</formula>
    </cfRule>
  </conditionalFormatting>
  <conditionalFormatting sqref="A48">
    <cfRule type="duplicateValues" dxfId="377" priority="10"/>
  </conditionalFormatting>
  <conditionalFormatting sqref="A33">
    <cfRule type="duplicateValues" dxfId="376" priority="9"/>
  </conditionalFormatting>
  <conditionalFormatting sqref="A31">
    <cfRule type="duplicateValues" dxfId="375" priority="7"/>
  </conditionalFormatting>
  <conditionalFormatting sqref="A38">
    <cfRule type="containsBlanks" dxfId="374" priority="6">
      <formula>LEN(TRIM(A38))=0</formula>
    </cfRule>
  </conditionalFormatting>
  <conditionalFormatting sqref="A38">
    <cfRule type="containsErrors" dxfId="373" priority="5">
      <formula>ISERROR(A38)</formula>
    </cfRule>
  </conditionalFormatting>
  <conditionalFormatting sqref="A38">
    <cfRule type="containsBlanks" dxfId="372" priority="4">
      <formula>LEN(TRIM(A38))=0</formula>
    </cfRule>
  </conditionalFormatting>
  <conditionalFormatting sqref="A54:A57">
    <cfRule type="duplicateValues" dxfId="371" priority="3"/>
  </conditionalFormatting>
  <conditionalFormatting sqref="A54:A57">
    <cfRule type="duplicateValues" dxfId="370" priority="2"/>
  </conditionalFormatting>
  <pageMargins left="0.51181102362204722" right="0.51181102362204722" top="0.78740157480314965" bottom="0.78740157480314965" header="0.31496062992125984" footer="0.31496062992125984"/>
  <pageSetup paperSize="9" scale="58" orientation="landscape" r:id="rId1"/>
  <ignoredErrors>
    <ignoredError sqref="E16" 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F56BA-DFFE-4E78-872A-3E4055F2BF1C}">
  <sheetPr codeName="Planilha18"/>
  <dimension ref="A1:AU541"/>
  <sheetViews>
    <sheetView showGridLines="0" zoomScale="115" zoomScaleNormal="115" workbookViewId="0">
      <pane ySplit="1" topLeftCell="A506" activePane="bottomLeft" state="frozen"/>
      <selection activeCell="A5" sqref="A5:D5"/>
      <selection pane="bottomLeft" activeCell="A520" sqref="A520"/>
    </sheetView>
  </sheetViews>
  <sheetFormatPr defaultColWidth="9.140625" defaultRowHeight="12" x14ac:dyDescent="0.2"/>
  <cols>
    <col min="1" max="4" width="10.7109375" style="202" customWidth="1"/>
    <col min="5" max="6" width="5.7109375" style="202" customWidth="1"/>
    <col min="7" max="8" width="10.7109375" style="202" customWidth="1"/>
    <col min="9" max="9" width="10.7109375" style="850" customWidth="1"/>
    <col min="10" max="10" width="6.7109375" style="203" customWidth="1"/>
    <col min="11" max="11" width="9.140625" style="648"/>
    <col min="12" max="12" width="9.85546875" style="202" bestFit="1" customWidth="1"/>
    <col min="13" max="13" width="9.42578125" style="202" bestFit="1" customWidth="1"/>
    <col min="14" max="14" width="9.140625" style="202"/>
    <col min="15" max="15" width="9.140625" style="203"/>
    <col min="16" max="16" width="9.140625" style="649"/>
    <col min="17" max="16384" width="9.140625" style="202"/>
  </cols>
  <sheetData>
    <row r="1" spans="1:16" s="211" customFormat="1" ht="20.100000000000001" customHeight="1" thickBot="1" x14ac:dyDescent="0.25">
      <c r="A1" s="636" t="s">
        <v>2751</v>
      </c>
      <c r="B1" s="637"/>
      <c r="C1" s="637"/>
      <c r="D1" s="637"/>
      <c r="E1" s="638"/>
      <c r="F1" s="638"/>
      <c r="G1" s="638"/>
      <c r="H1" s="638"/>
      <c r="I1" s="639" t="s">
        <v>212</v>
      </c>
      <c r="J1" s="640" t="s">
        <v>2752</v>
      </c>
      <c r="K1" s="641"/>
      <c r="O1" s="642"/>
      <c r="P1" s="643"/>
    </row>
    <row r="2" spans="1:16" s="211" customFormat="1" ht="15" customHeight="1" x14ac:dyDescent="0.2">
      <c r="A2" s="644" t="s">
        <v>2753</v>
      </c>
      <c r="B2" s="645"/>
      <c r="C2" s="645"/>
      <c r="D2" s="645"/>
      <c r="E2" s="645"/>
      <c r="F2" s="645"/>
      <c r="G2" s="645"/>
      <c r="H2" s="645"/>
      <c r="I2" s="646">
        <f>118.5+132+112.5+112.5+30+31</f>
        <v>536.5</v>
      </c>
      <c r="J2" s="647" t="s">
        <v>2</v>
      </c>
      <c r="K2" s="648" t="str">
        <f t="shared" ref="K2:K16" ca="1" si="0">IF(AND(B2&lt;&gt;"",I2&lt;&gt;"",COUNTIF($C$490:$C$1030,B2)=0),"adic. à qtd","")</f>
        <v/>
      </c>
      <c r="O2" s="203"/>
      <c r="P2" s="649"/>
    </row>
    <row r="3" spans="1:16" ht="15" customHeight="1" x14ac:dyDescent="0.2">
      <c r="A3" s="650"/>
      <c r="B3" s="651" t="s">
        <v>2747</v>
      </c>
      <c r="C3" s="652"/>
      <c r="D3" s="653">
        <f>I2</f>
        <v>536.5</v>
      </c>
      <c r="E3" s="654" t="s">
        <v>2</v>
      </c>
      <c r="F3" s="654" t="s">
        <v>106</v>
      </c>
      <c r="G3" s="655">
        <v>0.13300000000000001</v>
      </c>
      <c r="H3" s="654" t="s">
        <v>163</v>
      </c>
      <c r="I3" s="656"/>
      <c r="J3" s="657" t="s">
        <v>2755</v>
      </c>
      <c r="K3" s="648" t="str">
        <f t="shared" ca="1" si="0"/>
        <v/>
      </c>
    </row>
    <row r="4" spans="1:16" ht="15" customHeight="1" x14ac:dyDescent="0.2">
      <c r="A4" s="658" t="s">
        <v>266</v>
      </c>
      <c r="B4" s="659" t="s">
        <v>2757</v>
      </c>
      <c r="C4" s="660"/>
      <c r="D4" s="661">
        <f>I2</f>
        <v>536.5</v>
      </c>
      <c r="E4" s="662" t="s">
        <v>2</v>
      </c>
      <c r="F4" s="662" t="s">
        <v>106</v>
      </c>
      <c r="G4" s="663">
        <v>1</v>
      </c>
      <c r="H4" s="662" t="s">
        <v>163</v>
      </c>
      <c r="I4" s="664"/>
      <c r="J4" s="665" t="s">
        <v>2755</v>
      </c>
      <c r="K4" s="648" t="str">
        <f t="shared" ca="1" si="0"/>
        <v/>
      </c>
    </row>
    <row r="5" spans="1:16" ht="15" customHeight="1" x14ac:dyDescent="0.2">
      <c r="A5" s="666" t="s">
        <v>268</v>
      </c>
      <c r="B5" s="667" t="s">
        <v>39763</v>
      </c>
      <c r="C5" s="668"/>
      <c r="D5" s="669">
        <f>D3</f>
        <v>536.5</v>
      </c>
      <c r="E5" s="670" t="s">
        <v>2</v>
      </c>
      <c r="F5" s="670" t="s">
        <v>106</v>
      </c>
      <c r="G5" s="671">
        <v>1</v>
      </c>
      <c r="H5" s="670" t="s">
        <v>163</v>
      </c>
      <c r="I5" s="672">
        <f>D5*G5</f>
        <v>536.5</v>
      </c>
      <c r="J5" s="673" t="s">
        <v>2</v>
      </c>
      <c r="K5" s="648" t="str">
        <f t="shared" ca="1" si="0"/>
        <v/>
      </c>
    </row>
    <row r="6" spans="1:16" s="211" customFormat="1" ht="15" customHeight="1" x14ac:dyDescent="0.2">
      <c r="A6" s="674" t="s">
        <v>2758</v>
      </c>
      <c r="B6" s="675"/>
      <c r="C6" s="676"/>
      <c r="D6" s="676"/>
      <c r="E6" s="676"/>
      <c r="F6" s="676"/>
      <c r="G6" s="676"/>
      <c r="H6" s="676"/>
      <c r="I6" s="677"/>
      <c r="J6" s="678" t="s">
        <v>2</v>
      </c>
      <c r="K6" s="648" t="str">
        <f t="shared" ca="1" si="0"/>
        <v/>
      </c>
      <c r="O6" s="203"/>
      <c r="P6" s="649"/>
    </row>
    <row r="7" spans="1:16" ht="15" customHeight="1" x14ac:dyDescent="0.2">
      <c r="A7" s="658"/>
      <c r="B7" s="659" t="s">
        <v>2754</v>
      </c>
      <c r="C7" s="660"/>
      <c r="D7" s="661">
        <f>I6</f>
        <v>0</v>
      </c>
      <c r="E7" s="662" t="s">
        <v>2</v>
      </c>
      <c r="F7" s="662" t="s">
        <v>106</v>
      </c>
      <c r="G7" s="663">
        <v>0.13300000000000001</v>
      </c>
      <c r="H7" s="662" t="s">
        <v>163</v>
      </c>
      <c r="I7" s="664">
        <f>D7*G7</f>
        <v>0</v>
      </c>
      <c r="J7" s="665" t="s">
        <v>2755</v>
      </c>
      <c r="K7" s="648" t="str">
        <f t="shared" ca="1" si="0"/>
        <v/>
      </c>
    </row>
    <row r="8" spans="1:16" ht="15" customHeight="1" x14ac:dyDescent="0.2">
      <c r="A8" s="658"/>
      <c r="B8" s="659" t="s">
        <v>2756</v>
      </c>
      <c r="C8" s="660"/>
      <c r="D8" s="661">
        <f>I6</f>
        <v>0</v>
      </c>
      <c r="E8" s="662" t="s">
        <v>2</v>
      </c>
      <c r="F8" s="662" t="s">
        <v>106</v>
      </c>
      <c r="G8" s="663">
        <v>7.6999999999999999E-2</v>
      </c>
      <c r="H8" s="662" t="s">
        <v>163</v>
      </c>
      <c r="I8" s="664">
        <f>D8*G8</f>
        <v>0</v>
      </c>
      <c r="J8" s="665" t="s">
        <v>2755</v>
      </c>
      <c r="K8" s="648" t="str">
        <f t="shared" ca="1" si="0"/>
        <v>adic. à qtd</v>
      </c>
    </row>
    <row r="9" spans="1:16" ht="15" customHeight="1" x14ac:dyDescent="0.2">
      <c r="A9" s="679"/>
      <c r="B9" s="667" t="s">
        <v>2757</v>
      </c>
      <c r="C9" s="668"/>
      <c r="D9" s="669">
        <f>D7</f>
        <v>0</v>
      </c>
      <c r="E9" s="670" t="s">
        <v>2</v>
      </c>
      <c r="F9" s="670" t="s">
        <v>106</v>
      </c>
      <c r="G9" s="671">
        <v>1</v>
      </c>
      <c r="H9" s="670" t="s">
        <v>163</v>
      </c>
      <c r="I9" s="672">
        <f>D9*G9</f>
        <v>0</v>
      </c>
      <c r="J9" s="673" t="s">
        <v>2</v>
      </c>
      <c r="K9" s="648" t="str">
        <f t="shared" ca="1" si="0"/>
        <v/>
      </c>
    </row>
    <row r="10" spans="1:16" s="211" customFormat="1" ht="15" customHeight="1" x14ac:dyDescent="0.2">
      <c r="A10" s="680" t="s">
        <v>2759</v>
      </c>
      <c r="B10" s="675"/>
      <c r="C10" s="676"/>
      <c r="D10" s="676"/>
      <c r="E10" s="676"/>
      <c r="F10" s="676"/>
      <c r="G10" s="676"/>
      <c r="H10" s="676"/>
      <c r="I10" s="677"/>
      <c r="J10" s="678" t="s">
        <v>2</v>
      </c>
      <c r="K10" s="648" t="str">
        <f t="shared" ca="1" si="0"/>
        <v/>
      </c>
      <c r="O10" s="203"/>
      <c r="P10" s="649"/>
    </row>
    <row r="11" spans="1:16" ht="15" customHeight="1" x14ac:dyDescent="0.2">
      <c r="B11" s="681" t="s">
        <v>2760</v>
      </c>
      <c r="C11" s="682"/>
      <c r="D11" s="682"/>
      <c r="E11" s="682"/>
      <c r="F11" s="682"/>
      <c r="G11" s="683">
        <v>1.5</v>
      </c>
      <c r="H11" s="684" t="s">
        <v>2</v>
      </c>
      <c r="I11" s="685"/>
      <c r="J11" s="686"/>
      <c r="K11" s="648" t="str">
        <f t="shared" ca="1" si="0"/>
        <v/>
      </c>
    </row>
    <row r="12" spans="1:16" ht="15" customHeight="1" x14ac:dyDescent="0.2">
      <c r="A12" s="658"/>
      <c r="B12" s="659" t="s">
        <v>2746</v>
      </c>
      <c r="C12" s="660"/>
      <c r="D12" s="661">
        <f>I10</f>
        <v>0</v>
      </c>
      <c r="E12" s="662" t="s">
        <v>2</v>
      </c>
      <c r="F12" s="662" t="s">
        <v>106</v>
      </c>
      <c r="G12" s="663">
        <f>1+(SQRT(((G11^2)+((G11*0.25)^2))))</f>
        <v>2.5461646096066226</v>
      </c>
      <c r="H12" s="662" t="s">
        <v>163</v>
      </c>
      <c r="I12" s="664">
        <f>D12*G12</f>
        <v>0</v>
      </c>
      <c r="J12" s="687" t="s">
        <v>313</v>
      </c>
      <c r="K12" s="648" t="str">
        <f t="shared" ca="1" si="0"/>
        <v/>
      </c>
    </row>
    <row r="13" spans="1:16" s="211" customFormat="1" ht="15" customHeight="1" x14ac:dyDescent="0.2">
      <c r="A13" s="680" t="s">
        <v>2761</v>
      </c>
      <c r="B13" s="675"/>
      <c r="C13" s="676"/>
      <c r="D13" s="676"/>
      <c r="E13" s="676"/>
      <c r="F13" s="676"/>
      <c r="G13" s="676"/>
      <c r="H13" s="676"/>
      <c r="I13" s="677"/>
      <c r="J13" s="678" t="s">
        <v>2</v>
      </c>
      <c r="K13" s="648" t="str">
        <f t="shared" ca="1" si="0"/>
        <v/>
      </c>
      <c r="O13" s="203"/>
      <c r="P13" s="649"/>
    </row>
    <row r="14" spans="1:16" ht="15" customHeight="1" x14ac:dyDescent="0.2">
      <c r="B14" s="681" t="s">
        <v>2760</v>
      </c>
      <c r="C14" s="682"/>
      <c r="D14" s="682"/>
      <c r="E14" s="682"/>
      <c r="F14" s="682"/>
      <c r="G14" s="683">
        <v>1.5</v>
      </c>
      <c r="H14" s="684" t="s">
        <v>2</v>
      </c>
      <c r="I14" s="685"/>
      <c r="J14" s="686"/>
      <c r="K14" s="648" t="str">
        <f t="shared" ca="1" si="0"/>
        <v/>
      </c>
    </row>
    <row r="15" spans="1:16" ht="15" customHeight="1" x14ac:dyDescent="0.2">
      <c r="A15" s="658"/>
      <c r="B15" s="659" t="s">
        <v>2746</v>
      </c>
      <c r="C15" s="660"/>
      <c r="D15" s="661">
        <f>I13</f>
        <v>0</v>
      </c>
      <c r="E15" s="662" t="s">
        <v>2</v>
      </c>
      <c r="F15" s="662" t="s">
        <v>106</v>
      </c>
      <c r="G15" s="663">
        <v>1</v>
      </c>
      <c r="H15" s="662" t="s">
        <v>163</v>
      </c>
      <c r="I15" s="664">
        <f>D15*G15</f>
        <v>0</v>
      </c>
      <c r="J15" s="687" t="s">
        <v>313</v>
      </c>
      <c r="K15" s="648" t="str">
        <f t="shared" ca="1" si="0"/>
        <v/>
      </c>
    </row>
    <row r="16" spans="1:16" ht="15" customHeight="1" x14ac:dyDescent="0.2">
      <c r="A16" s="688"/>
      <c r="B16" s="689" t="s">
        <v>2754</v>
      </c>
      <c r="C16" s="690"/>
      <c r="D16" s="691">
        <f>I13</f>
        <v>0</v>
      </c>
      <c r="E16" s="692" t="s">
        <v>2</v>
      </c>
      <c r="F16" s="692" t="s">
        <v>106</v>
      </c>
      <c r="G16" s="693">
        <v>0.114</v>
      </c>
      <c r="H16" s="692" t="s">
        <v>163</v>
      </c>
      <c r="I16" s="694">
        <f>D16*G16</f>
        <v>0</v>
      </c>
      <c r="J16" s="695" t="s">
        <v>309</v>
      </c>
      <c r="K16" s="648" t="str">
        <f t="shared" ca="1" si="0"/>
        <v/>
      </c>
    </row>
    <row r="17" spans="1:16" ht="15" customHeight="1" x14ac:dyDescent="0.2">
      <c r="A17" s="679"/>
      <c r="B17" s="667" t="s">
        <v>21651</v>
      </c>
      <c r="C17" s="668"/>
      <c r="D17" s="669">
        <f>I13</f>
        <v>0</v>
      </c>
      <c r="E17" s="670" t="s">
        <v>2</v>
      </c>
      <c r="F17" s="670" t="s">
        <v>106</v>
      </c>
      <c r="G17" s="671">
        <v>0.01</v>
      </c>
      <c r="H17" s="670" t="s">
        <v>163</v>
      </c>
      <c r="I17" s="672">
        <f>D17*G17</f>
        <v>0</v>
      </c>
      <c r="J17" s="673" t="s">
        <v>313</v>
      </c>
    </row>
    <row r="18" spans="1:16" s="211" customFormat="1" ht="15" customHeight="1" x14ac:dyDescent="0.2">
      <c r="A18" s="680" t="s">
        <v>2762</v>
      </c>
      <c r="B18" s="675"/>
      <c r="C18" s="676"/>
      <c r="D18" s="676"/>
      <c r="E18" s="676"/>
      <c r="F18" s="676"/>
      <c r="G18" s="676"/>
      <c r="H18" s="676"/>
      <c r="I18" s="677"/>
      <c r="J18" s="678" t="s">
        <v>2</v>
      </c>
      <c r="K18" s="648" t="str">
        <f ca="1">IF(AND(B18&lt;&gt;"",I18&lt;&gt;"",COUNTIF($C$490:$C$1030,B18)=0),"adic. à qtd","")</f>
        <v/>
      </c>
      <c r="O18" s="203"/>
      <c r="P18" s="649"/>
    </row>
    <row r="19" spans="1:16" ht="15" customHeight="1" x14ac:dyDescent="0.2">
      <c r="B19" s="681" t="s">
        <v>2760</v>
      </c>
      <c r="C19" s="682"/>
      <c r="D19" s="682"/>
      <c r="E19" s="682"/>
      <c r="F19" s="682"/>
      <c r="G19" s="683">
        <v>1.5</v>
      </c>
      <c r="H19" s="684" t="s">
        <v>2</v>
      </c>
      <c r="I19" s="685"/>
      <c r="J19" s="686"/>
      <c r="K19" s="648" t="str">
        <f ca="1">IF(AND(B19&lt;&gt;"",I19&lt;&gt;"",COUNTIF($C$490:$C$1030,B19)=0),"adic. à qtd","")</f>
        <v/>
      </c>
    </row>
    <row r="20" spans="1:16" ht="15" customHeight="1" x14ac:dyDescent="0.2">
      <c r="A20" s="658"/>
      <c r="B20" s="659" t="s">
        <v>2746</v>
      </c>
      <c r="C20" s="660"/>
      <c r="D20" s="661">
        <f>I18</f>
        <v>0</v>
      </c>
      <c r="E20" s="662" t="s">
        <v>2</v>
      </c>
      <c r="F20" s="662" t="s">
        <v>106</v>
      </c>
      <c r="G20" s="663">
        <f>G19-1</f>
        <v>0.5</v>
      </c>
      <c r="H20" s="662" t="s">
        <v>163</v>
      </c>
      <c r="I20" s="664">
        <f>D20*G20</f>
        <v>0</v>
      </c>
      <c r="J20" s="687" t="s">
        <v>313</v>
      </c>
      <c r="K20" s="648" t="str">
        <f ca="1">IF(AND(B20&lt;&gt;"",I20&lt;&gt;"",COUNTIF($C$490:$C$1030,B20)=0),"adic. à qtd","")</f>
        <v/>
      </c>
    </row>
    <row r="21" spans="1:16" ht="15" customHeight="1" x14ac:dyDescent="0.2">
      <c r="A21" s="688"/>
      <c r="B21" s="689" t="s">
        <v>2754</v>
      </c>
      <c r="C21" s="690"/>
      <c r="D21" s="691">
        <f>I18</f>
        <v>0</v>
      </c>
      <c r="E21" s="692" t="s">
        <v>2</v>
      </c>
      <c r="F21" s="692" t="s">
        <v>106</v>
      </c>
      <c r="G21" s="693">
        <v>0.16900000000000001</v>
      </c>
      <c r="H21" s="692" t="s">
        <v>163</v>
      </c>
      <c r="I21" s="694">
        <f>D21*G21</f>
        <v>0</v>
      </c>
      <c r="J21" s="695" t="s">
        <v>309</v>
      </c>
      <c r="K21" s="648" t="str">
        <f ca="1">IF(AND(B21&lt;&gt;"",I21&lt;&gt;"",COUNTIF($C$490:$C$1030,B21)=0),"adic. à qtd","")</f>
        <v/>
      </c>
    </row>
    <row r="22" spans="1:16" ht="15" customHeight="1" x14ac:dyDescent="0.2">
      <c r="A22" s="679"/>
      <c r="B22" s="667" t="s">
        <v>21651</v>
      </c>
      <c r="C22" s="668"/>
      <c r="D22" s="669">
        <f>I18</f>
        <v>0</v>
      </c>
      <c r="E22" s="670" t="s">
        <v>2</v>
      </c>
      <c r="F22" s="670" t="s">
        <v>106</v>
      </c>
      <c r="G22" s="671">
        <v>1.4E-2</v>
      </c>
      <c r="H22" s="670" t="s">
        <v>163</v>
      </c>
      <c r="I22" s="672">
        <f>D22*G22</f>
        <v>0</v>
      </c>
      <c r="J22" s="673" t="s">
        <v>313</v>
      </c>
    </row>
    <row r="23" spans="1:16" s="211" customFormat="1" ht="15" customHeight="1" x14ac:dyDescent="0.2">
      <c r="A23" s="680" t="s">
        <v>2763</v>
      </c>
      <c r="B23" s="675"/>
      <c r="C23" s="676"/>
      <c r="D23" s="676"/>
      <c r="E23" s="676"/>
      <c r="F23" s="676"/>
      <c r="G23" s="676"/>
      <c r="H23" s="676"/>
      <c r="I23" s="677"/>
      <c r="J23" s="678" t="s">
        <v>2</v>
      </c>
      <c r="K23" s="648" t="str">
        <f ca="1">IF(AND(B23&lt;&gt;"",I23&lt;&gt;"",COUNTIF($C$490:$C$1030,B23)=0),"adic. à qtd","")</f>
        <v/>
      </c>
      <c r="O23" s="203"/>
      <c r="P23" s="649"/>
    </row>
    <row r="24" spans="1:16" ht="15" customHeight="1" x14ac:dyDescent="0.2">
      <c r="A24" s="658"/>
      <c r="B24" s="659" t="s">
        <v>2748</v>
      </c>
      <c r="C24" s="660"/>
      <c r="D24" s="661">
        <f>I23</f>
        <v>0</v>
      </c>
      <c r="E24" s="662" t="s">
        <v>2</v>
      </c>
      <c r="F24" s="662" t="s">
        <v>106</v>
      </c>
      <c r="G24" s="663">
        <f>(0.15*0.3)+(0.6*0.3/2)</f>
        <v>0.13500000000000001</v>
      </c>
      <c r="H24" s="662" t="s">
        <v>163</v>
      </c>
      <c r="I24" s="664">
        <f>D24*G24</f>
        <v>0</v>
      </c>
      <c r="J24" s="665" t="s">
        <v>309</v>
      </c>
      <c r="K24" s="648" t="str">
        <f ca="1">IF(AND(B24&lt;&gt;"",I24&lt;&gt;"",COUNTIF($C$490:$C$1030,B24)=0),"adic. à qtd","")</f>
        <v/>
      </c>
    </row>
    <row r="25" spans="1:16" ht="15" customHeight="1" x14ac:dyDescent="0.2">
      <c r="A25" s="658"/>
      <c r="B25" s="659" t="s">
        <v>311</v>
      </c>
      <c r="C25" s="660"/>
      <c r="D25" s="661">
        <f>I23</f>
        <v>0</v>
      </c>
      <c r="E25" s="662" t="s">
        <v>2</v>
      </c>
      <c r="F25" s="662" t="s">
        <v>106</v>
      </c>
      <c r="G25" s="663">
        <f>0.75*0.055</f>
        <v>4.1250000000000002E-2</v>
      </c>
      <c r="H25" s="662" t="s">
        <v>163</v>
      </c>
      <c r="I25" s="664">
        <f>D25*G25</f>
        <v>0</v>
      </c>
      <c r="J25" s="665" t="s">
        <v>309</v>
      </c>
      <c r="K25" s="648" t="str">
        <f ca="1">IF(AND(B25&lt;&gt;"",I25&lt;&gt;"",COUNTIF($C$490:$C$1030,B25)=0),"adic. à qtd","")</f>
        <v/>
      </c>
    </row>
    <row r="26" spans="1:16" ht="15" customHeight="1" x14ac:dyDescent="0.2">
      <c r="A26" s="658"/>
      <c r="B26" s="659" t="s">
        <v>2746</v>
      </c>
      <c r="C26" s="660"/>
      <c r="D26" s="661">
        <f>I23</f>
        <v>0</v>
      </c>
      <c r="E26" s="662" t="s">
        <v>2</v>
      </c>
      <c r="F26" s="662" t="s">
        <v>106</v>
      </c>
      <c r="G26" s="663">
        <f>1.75</f>
        <v>1.75</v>
      </c>
      <c r="H26" s="662" t="s">
        <v>163</v>
      </c>
      <c r="I26" s="664">
        <f>D26*G26</f>
        <v>0</v>
      </c>
      <c r="J26" s="665" t="s">
        <v>313</v>
      </c>
      <c r="K26" s="648" t="str">
        <f ca="1">IF(AND(B26&lt;&gt;"",I26&lt;&gt;"",COUNTIF($C$490:$C$1030,B26)=0),"adic. à qtd","")</f>
        <v/>
      </c>
    </row>
    <row r="27" spans="1:16" ht="15" customHeight="1" x14ac:dyDescent="0.2">
      <c r="A27" s="658"/>
      <c r="B27" s="659" t="s">
        <v>2754</v>
      </c>
      <c r="C27" s="660"/>
      <c r="D27" s="661">
        <f>I23</f>
        <v>0</v>
      </c>
      <c r="E27" s="662" t="s">
        <v>2</v>
      </c>
      <c r="F27" s="662" t="s">
        <v>106</v>
      </c>
      <c r="G27" s="663">
        <v>0.10199999999999999</v>
      </c>
      <c r="H27" s="662" t="s">
        <v>163</v>
      </c>
      <c r="I27" s="664">
        <f>D27*G27</f>
        <v>0</v>
      </c>
      <c r="J27" s="665" t="s">
        <v>309</v>
      </c>
      <c r="K27" s="648" t="str">
        <f ca="1">IF(AND(B27&lt;&gt;"",I27&lt;&gt;"",COUNTIF($C$490:$C$1030,B27)=0),"adic. à qtd","")</f>
        <v/>
      </c>
    </row>
    <row r="28" spans="1:16" ht="15" customHeight="1" x14ac:dyDescent="0.2">
      <c r="A28" s="666"/>
      <c r="B28" s="696" t="s">
        <v>21651</v>
      </c>
      <c r="C28" s="697"/>
      <c r="D28" s="698">
        <f>I23</f>
        <v>0</v>
      </c>
      <c r="E28" s="699" t="s">
        <v>2</v>
      </c>
      <c r="F28" s="699" t="s">
        <v>106</v>
      </c>
      <c r="G28" s="700">
        <v>0.40300000000000002</v>
      </c>
      <c r="H28" s="699" t="s">
        <v>163</v>
      </c>
      <c r="I28" s="664">
        <f>D28*G28</f>
        <v>0</v>
      </c>
      <c r="J28" s="665" t="s">
        <v>313</v>
      </c>
    </row>
    <row r="29" spans="1:16" s="211" customFormat="1" ht="15" customHeight="1" x14ac:dyDescent="0.2">
      <c r="A29" s="674" t="s">
        <v>2764</v>
      </c>
      <c r="B29" s="675"/>
      <c r="C29" s="675"/>
      <c r="D29" s="675"/>
      <c r="E29" s="675"/>
      <c r="F29" s="675"/>
      <c r="G29" s="675"/>
      <c r="H29" s="701"/>
      <c r="I29" s="677"/>
      <c r="J29" s="678" t="s">
        <v>2</v>
      </c>
      <c r="K29" s="648" t="str">
        <f t="shared" ref="K29:K73" ca="1" si="1">IF(AND(B29&lt;&gt;"",I29&lt;&gt;"",COUNTIF($C$490:$C$1030,B29)=0),"adic. à qtd","")</f>
        <v/>
      </c>
      <c r="O29" s="203"/>
      <c r="P29" s="649"/>
    </row>
    <row r="30" spans="1:16" ht="15" customHeight="1" x14ac:dyDescent="0.2">
      <c r="A30" s="658"/>
      <c r="B30" s="659" t="s">
        <v>2746</v>
      </c>
      <c r="C30" s="660"/>
      <c r="D30" s="661">
        <f>I29</f>
        <v>0</v>
      </c>
      <c r="E30" s="662" t="s">
        <v>2</v>
      </c>
      <c r="F30" s="662" t="s">
        <v>106</v>
      </c>
      <c r="G30" s="663">
        <v>3</v>
      </c>
      <c r="H30" s="662" t="s">
        <v>163</v>
      </c>
      <c r="I30" s="664">
        <f>D30*G30</f>
        <v>0</v>
      </c>
      <c r="J30" s="665" t="s">
        <v>313</v>
      </c>
      <c r="K30" s="648" t="str">
        <f t="shared" ca="1" si="1"/>
        <v/>
      </c>
    </row>
    <row r="31" spans="1:16" ht="15" customHeight="1" x14ac:dyDescent="0.2">
      <c r="A31" s="658"/>
      <c r="B31" s="659" t="s">
        <v>2754</v>
      </c>
      <c r="C31" s="660"/>
      <c r="D31" s="661">
        <f>I29</f>
        <v>0</v>
      </c>
      <c r="E31" s="662" t="s">
        <v>2</v>
      </c>
      <c r="F31" s="662" t="s">
        <v>106</v>
      </c>
      <c r="G31" s="663">
        <v>8.1000000000000003E-2</v>
      </c>
      <c r="H31" s="662" t="s">
        <v>163</v>
      </c>
      <c r="I31" s="664">
        <f>D31*G31</f>
        <v>0</v>
      </c>
      <c r="J31" s="665" t="s">
        <v>309</v>
      </c>
      <c r="K31" s="648" t="str">
        <f t="shared" ca="1" si="1"/>
        <v/>
      </c>
    </row>
    <row r="32" spans="1:16" ht="15" customHeight="1" x14ac:dyDescent="0.2">
      <c r="A32" s="658"/>
      <c r="B32" s="659" t="s">
        <v>2748</v>
      </c>
      <c r="C32" s="660"/>
      <c r="D32" s="661">
        <f>I29</f>
        <v>0</v>
      </c>
      <c r="E32" s="662" t="s">
        <v>2</v>
      </c>
      <c r="F32" s="662" t="s">
        <v>106</v>
      </c>
      <c r="G32" s="663">
        <v>0.18099999999999999</v>
      </c>
      <c r="H32" s="662" t="s">
        <v>163</v>
      </c>
      <c r="I32" s="664">
        <f>D32*G32</f>
        <v>0</v>
      </c>
      <c r="J32" s="665" t="s">
        <v>309</v>
      </c>
      <c r="K32" s="648" t="str">
        <f t="shared" ca="1" si="1"/>
        <v/>
      </c>
    </row>
    <row r="33" spans="1:16" ht="15" customHeight="1" x14ac:dyDescent="0.2">
      <c r="A33" s="666"/>
      <c r="B33" s="696" t="s">
        <v>311</v>
      </c>
      <c r="C33" s="697"/>
      <c r="D33" s="698">
        <f>I29</f>
        <v>0</v>
      </c>
      <c r="E33" s="699" t="s">
        <v>2</v>
      </c>
      <c r="F33" s="699" t="s">
        <v>106</v>
      </c>
      <c r="G33" s="700">
        <v>0.18099999999999999</v>
      </c>
      <c r="H33" s="699" t="s">
        <v>163</v>
      </c>
      <c r="I33" s="664">
        <f>D33*G33</f>
        <v>0</v>
      </c>
      <c r="J33" s="665" t="s">
        <v>309</v>
      </c>
      <c r="K33" s="648" t="str">
        <f t="shared" ca="1" si="1"/>
        <v/>
      </c>
    </row>
    <row r="34" spans="1:16" s="211" customFormat="1" ht="15" customHeight="1" x14ac:dyDescent="0.2">
      <c r="A34" s="674" t="s">
        <v>2765</v>
      </c>
      <c r="B34" s="675"/>
      <c r="C34" s="675"/>
      <c r="D34" s="675"/>
      <c r="E34" s="675"/>
      <c r="F34" s="675"/>
      <c r="G34" s="675"/>
      <c r="H34" s="701"/>
      <c r="I34" s="677"/>
      <c r="J34" s="678" t="s">
        <v>2</v>
      </c>
      <c r="K34" s="648" t="str">
        <f t="shared" ca="1" si="1"/>
        <v/>
      </c>
      <c r="O34" s="203"/>
      <c r="P34" s="649"/>
    </row>
    <row r="35" spans="1:16" ht="15" customHeight="1" x14ac:dyDescent="0.2">
      <c r="A35" s="658"/>
      <c r="B35" s="659" t="s">
        <v>2746</v>
      </c>
      <c r="C35" s="660"/>
      <c r="D35" s="661">
        <f>I34</f>
        <v>0</v>
      </c>
      <c r="E35" s="662" t="s">
        <v>2</v>
      </c>
      <c r="F35" s="662" t="s">
        <v>106</v>
      </c>
      <c r="G35" s="663">
        <v>3</v>
      </c>
      <c r="H35" s="662" t="s">
        <v>163</v>
      </c>
      <c r="I35" s="664">
        <f>D35*G35</f>
        <v>0</v>
      </c>
      <c r="J35" s="665" t="s">
        <v>313</v>
      </c>
      <c r="K35" s="648" t="str">
        <f t="shared" ca="1" si="1"/>
        <v/>
      </c>
    </row>
    <row r="36" spans="1:16" ht="15" customHeight="1" x14ac:dyDescent="0.2">
      <c r="A36" s="658"/>
      <c r="B36" s="659" t="s">
        <v>2754</v>
      </c>
      <c r="C36" s="660"/>
      <c r="D36" s="661">
        <f>I34</f>
        <v>0</v>
      </c>
      <c r="E36" s="662" t="s">
        <v>2</v>
      </c>
      <c r="F36" s="662" t="s">
        <v>106</v>
      </c>
      <c r="G36" s="663">
        <v>0.104</v>
      </c>
      <c r="H36" s="662" t="s">
        <v>163</v>
      </c>
      <c r="I36" s="664">
        <f>D36*G36</f>
        <v>0</v>
      </c>
      <c r="J36" s="665" t="s">
        <v>309</v>
      </c>
      <c r="K36" s="648" t="str">
        <f t="shared" ca="1" si="1"/>
        <v/>
      </c>
    </row>
    <row r="37" spans="1:16" ht="15" customHeight="1" x14ac:dyDescent="0.2">
      <c r="A37" s="658"/>
      <c r="B37" s="659" t="s">
        <v>2748</v>
      </c>
      <c r="C37" s="660"/>
      <c r="D37" s="661">
        <f>I34</f>
        <v>0</v>
      </c>
      <c r="E37" s="662" t="s">
        <v>2</v>
      </c>
      <c r="F37" s="662" t="s">
        <v>106</v>
      </c>
      <c r="G37" s="663">
        <v>0.28399999999999997</v>
      </c>
      <c r="H37" s="662" t="s">
        <v>163</v>
      </c>
      <c r="I37" s="664">
        <f>D37*G37</f>
        <v>0</v>
      </c>
      <c r="J37" s="665" t="s">
        <v>309</v>
      </c>
      <c r="K37" s="648" t="str">
        <f t="shared" ca="1" si="1"/>
        <v/>
      </c>
    </row>
    <row r="38" spans="1:16" ht="15" customHeight="1" x14ac:dyDescent="0.2">
      <c r="A38" s="666"/>
      <c r="B38" s="696" t="s">
        <v>311</v>
      </c>
      <c r="C38" s="697"/>
      <c r="D38" s="698">
        <f>I34</f>
        <v>0</v>
      </c>
      <c r="E38" s="699" t="s">
        <v>2</v>
      </c>
      <c r="F38" s="699" t="s">
        <v>106</v>
      </c>
      <c r="G38" s="700">
        <v>0.28399999999999997</v>
      </c>
      <c r="H38" s="699" t="s">
        <v>163</v>
      </c>
      <c r="I38" s="664">
        <f>D38*G38</f>
        <v>0</v>
      </c>
      <c r="J38" s="665" t="s">
        <v>309</v>
      </c>
      <c r="K38" s="648" t="str">
        <f t="shared" ca="1" si="1"/>
        <v/>
      </c>
    </row>
    <row r="39" spans="1:16" s="211" customFormat="1" ht="15" customHeight="1" x14ac:dyDescent="0.2">
      <c r="A39" s="674" t="s">
        <v>2766</v>
      </c>
      <c r="B39" s="675"/>
      <c r="C39" s="675"/>
      <c r="D39" s="675"/>
      <c r="E39" s="675"/>
      <c r="F39" s="675"/>
      <c r="G39" s="675"/>
      <c r="H39" s="701"/>
      <c r="I39" s="677"/>
      <c r="J39" s="678" t="s">
        <v>2</v>
      </c>
      <c r="K39" s="648" t="str">
        <f t="shared" ca="1" si="1"/>
        <v/>
      </c>
      <c r="O39" s="203"/>
      <c r="P39" s="649"/>
    </row>
    <row r="40" spans="1:16" ht="15" customHeight="1" x14ac:dyDescent="0.2">
      <c r="A40" s="658"/>
      <c r="B40" s="659" t="s">
        <v>2746</v>
      </c>
      <c r="C40" s="660"/>
      <c r="D40" s="661">
        <f>I39</f>
        <v>0</v>
      </c>
      <c r="E40" s="662" t="s">
        <v>2</v>
      </c>
      <c r="F40" s="662" t="s">
        <v>106</v>
      </c>
      <c r="G40" s="663">
        <v>3</v>
      </c>
      <c r="H40" s="662" t="s">
        <v>163</v>
      </c>
      <c r="I40" s="664">
        <f>D40*G40</f>
        <v>0</v>
      </c>
      <c r="J40" s="665" t="s">
        <v>313</v>
      </c>
      <c r="K40" s="648" t="str">
        <f t="shared" ca="1" si="1"/>
        <v/>
      </c>
    </row>
    <row r="41" spans="1:16" ht="15" customHeight="1" x14ac:dyDescent="0.2">
      <c r="A41" s="658"/>
      <c r="B41" s="659" t="s">
        <v>2754</v>
      </c>
      <c r="C41" s="660"/>
      <c r="D41" s="661">
        <f>I39</f>
        <v>0</v>
      </c>
      <c r="E41" s="662" t="s">
        <v>2</v>
      </c>
      <c r="F41" s="662" t="s">
        <v>106</v>
      </c>
      <c r="G41" s="663">
        <v>0.112</v>
      </c>
      <c r="H41" s="662" t="s">
        <v>163</v>
      </c>
      <c r="I41" s="664">
        <f>D41*G41</f>
        <v>0</v>
      </c>
      <c r="J41" s="665" t="s">
        <v>309</v>
      </c>
      <c r="K41" s="648" t="str">
        <f t="shared" ca="1" si="1"/>
        <v/>
      </c>
    </row>
    <row r="42" spans="1:16" ht="15" customHeight="1" x14ac:dyDescent="0.2">
      <c r="A42" s="658"/>
      <c r="B42" s="659" t="s">
        <v>2748</v>
      </c>
      <c r="C42" s="660"/>
      <c r="D42" s="661">
        <f>I39</f>
        <v>0</v>
      </c>
      <c r="E42" s="662" t="s">
        <v>2</v>
      </c>
      <c r="F42" s="662" t="s">
        <v>106</v>
      </c>
      <c r="G42" s="663">
        <v>0.32200000000000001</v>
      </c>
      <c r="H42" s="662" t="s">
        <v>163</v>
      </c>
      <c r="I42" s="664">
        <f>D42*G42</f>
        <v>0</v>
      </c>
      <c r="J42" s="665" t="s">
        <v>309</v>
      </c>
      <c r="K42" s="648" t="str">
        <f t="shared" ca="1" si="1"/>
        <v/>
      </c>
    </row>
    <row r="43" spans="1:16" ht="15" customHeight="1" x14ac:dyDescent="0.2">
      <c r="A43" s="666"/>
      <c r="B43" s="696" t="s">
        <v>311</v>
      </c>
      <c r="C43" s="697"/>
      <c r="D43" s="698">
        <f>I39</f>
        <v>0</v>
      </c>
      <c r="E43" s="699" t="s">
        <v>2</v>
      </c>
      <c r="F43" s="699" t="s">
        <v>106</v>
      </c>
      <c r="G43" s="700">
        <v>0.32200000000000001</v>
      </c>
      <c r="H43" s="699" t="s">
        <v>163</v>
      </c>
      <c r="I43" s="664">
        <f>D43*G43</f>
        <v>0</v>
      </c>
      <c r="J43" s="665" t="s">
        <v>309</v>
      </c>
      <c r="K43" s="648" t="str">
        <f t="shared" ca="1" si="1"/>
        <v/>
      </c>
    </row>
    <row r="44" spans="1:16" s="211" customFormat="1" ht="15" customHeight="1" x14ac:dyDescent="0.2">
      <c r="A44" s="674" t="s">
        <v>2767</v>
      </c>
      <c r="B44" s="675"/>
      <c r="C44" s="675"/>
      <c r="D44" s="675"/>
      <c r="E44" s="675"/>
      <c r="F44" s="675"/>
      <c r="G44" s="675"/>
      <c r="H44" s="701"/>
      <c r="I44" s="677"/>
      <c r="J44" s="678" t="s">
        <v>2</v>
      </c>
      <c r="K44" s="648" t="str">
        <f t="shared" ca="1" si="1"/>
        <v/>
      </c>
      <c r="O44" s="203"/>
      <c r="P44" s="649"/>
    </row>
    <row r="45" spans="1:16" ht="15" customHeight="1" x14ac:dyDescent="0.2">
      <c r="A45" s="658"/>
      <c r="B45" s="659" t="s">
        <v>2746</v>
      </c>
      <c r="C45" s="660"/>
      <c r="D45" s="661">
        <f>I44</f>
        <v>0</v>
      </c>
      <c r="E45" s="662" t="s">
        <v>2</v>
      </c>
      <c r="F45" s="662" t="s">
        <v>106</v>
      </c>
      <c r="G45" s="663">
        <v>3</v>
      </c>
      <c r="H45" s="662" t="s">
        <v>163</v>
      </c>
      <c r="I45" s="664">
        <f>D45*G45</f>
        <v>0</v>
      </c>
      <c r="J45" s="665" t="s">
        <v>313</v>
      </c>
      <c r="K45" s="648" t="str">
        <f t="shared" ca="1" si="1"/>
        <v/>
      </c>
    </row>
    <row r="46" spans="1:16" ht="15" customHeight="1" x14ac:dyDescent="0.2">
      <c r="A46" s="658"/>
      <c r="B46" s="659" t="s">
        <v>2754</v>
      </c>
      <c r="C46" s="660"/>
      <c r="D46" s="661">
        <f>I44</f>
        <v>0</v>
      </c>
      <c r="E46" s="662" t="s">
        <v>2</v>
      </c>
      <c r="F46" s="662" t="s">
        <v>106</v>
      </c>
      <c r="G46" s="663">
        <v>0.13400000000000001</v>
      </c>
      <c r="H46" s="662" t="s">
        <v>163</v>
      </c>
      <c r="I46" s="664">
        <f>D46*G46</f>
        <v>0</v>
      </c>
      <c r="J46" s="665" t="s">
        <v>309</v>
      </c>
      <c r="K46" s="648" t="str">
        <f t="shared" ca="1" si="1"/>
        <v/>
      </c>
    </row>
    <row r="47" spans="1:16" ht="15" customHeight="1" x14ac:dyDescent="0.2">
      <c r="A47" s="658"/>
      <c r="B47" s="659" t="s">
        <v>2748</v>
      </c>
      <c r="C47" s="660"/>
      <c r="D47" s="661">
        <f>I44</f>
        <v>0</v>
      </c>
      <c r="E47" s="662" t="s">
        <v>2</v>
      </c>
      <c r="F47" s="662" t="s">
        <v>106</v>
      </c>
      <c r="G47" s="663">
        <v>0.45500000000000002</v>
      </c>
      <c r="H47" s="662" t="s">
        <v>163</v>
      </c>
      <c r="I47" s="664">
        <f>D47*G47</f>
        <v>0</v>
      </c>
      <c r="J47" s="665" t="s">
        <v>309</v>
      </c>
      <c r="K47" s="648" t="str">
        <f t="shared" ca="1" si="1"/>
        <v/>
      </c>
    </row>
    <row r="48" spans="1:16" ht="15" customHeight="1" x14ac:dyDescent="0.2">
      <c r="A48" s="666"/>
      <c r="B48" s="696" t="s">
        <v>311</v>
      </c>
      <c r="C48" s="697"/>
      <c r="D48" s="698">
        <f>I44</f>
        <v>0</v>
      </c>
      <c r="E48" s="699" t="s">
        <v>2</v>
      </c>
      <c r="F48" s="699" t="s">
        <v>106</v>
      </c>
      <c r="G48" s="700">
        <v>0.45500000000000002</v>
      </c>
      <c r="H48" s="699" t="s">
        <v>163</v>
      </c>
      <c r="I48" s="664">
        <f>D48*G48</f>
        <v>0</v>
      </c>
      <c r="J48" s="665" t="s">
        <v>309</v>
      </c>
      <c r="K48" s="648" t="str">
        <f t="shared" ca="1" si="1"/>
        <v/>
      </c>
    </row>
    <row r="49" spans="1:16" s="211" customFormat="1" ht="15" customHeight="1" x14ac:dyDescent="0.2">
      <c r="A49" s="674" t="s">
        <v>2768</v>
      </c>
      <c r="B49" s="675"/>
      <c r="C49" s="675"/>
      <c r="D49" s="675"/>
      <c r="E49" s="675"/>
      <c r="F49" s="675"/>
      <c r="G49" s="675"/>
      <c r="H49" s="701"/>
      <c r="I49" s="677"/>
      <c r="J49" s="678" t="s">
        <v>2</v>
      </c>
      <c r="K49" s="648" t="str">
        <f t="shared" ca="1" si="1"/>
        <v/>
      </c>
      <c r="O49" s="203"/>
      <c r="P49" s="649"/>
    </row>
    <row r="50" spans="1:16" ht="15" customHeight="1" x14ac:dyDescent="0.2">
      <c r="A50" s="658"/>
      <c r="B50" s="659" t="s">
        <v>2746</v>
      </c>
      <c r="C50" s="660"/>
      <c r="D50" s="661">
        <f>I49</f>
        <v>0</v>
      </c>
      <c r="E50" s="662" t="s">
        <v>2</v>
      </c>
      <c r="F50" s="662" t="s">
        <v>106</v>
      </c>
      <c r="G50" s="663">
        <v>3</v>
      </c>
      <c r="H50" s="662" t="s">
        <v>163</v>
      </c>
      <c r="I50" s="664">
        <f>D50*G50</f>
        <v>0</v>
      </c>
      <c r="J50" s="665" t="s">
        <v>313</v>
      </c>
      <c r="K50" s="648" t="str">
        <f t="shared" ca="1" si="1"/>
        <v/>
      </c>
    </row>
    <row r="51" spans="1:16" ht="15" customHeight="1" x14ac:dyDescent="0.2">
      <c r="A51" s="658"/>
      <c r="B51" s="659" t="s">
        <v>2754</v>
      </c>
      <c r="C51" s="660"/>
      <c r="D51" s="661">
        <f>I49</f>
        <v>0</v>
      </c>
      <c r="E51" s="662" t="s">
        <v>2</v>
      </c>
      <c r="F51" s="662" t="s">
        <v>106</v>
      </c>
      <c r="G51" s="663">
        <v>0.14199999999999999</v>
      </c>
      <c r="H51" s="662" t="s">
        <v>163</v>
      </c>
      <c r="I51" s="664">
        <f>D51*G51</f>
        <v>0</v>
      </c>
      <c r="J51" s="665" t="s">
        <v>309</v>
      </c>
      <c r="K51" s="648" t="str">
        <f t="shared" ca="1" si="1"/>
        <v/>
      </c>
    </row>
    <row r="52" spans="1:16" ht="15" customHeight="1" x14ac:dyDescent="0.2">
      <c r="A52" s="658"/>
      <c r="B52" s="659" t="s">
        <v>2748</v>
      </c>
      <c r="C52" s="660"/>
      <c r="D52" s="661">
        <f>I49</f>
        <v>0</v>
      </c>
      <c r="E52" s="662" t="s">
        <v>2</v>
      </c>
      <c r="F52" s="662" t="s">
        <v>106</v>
      </c>
      <c r="G52" s="663">
        <v>0.503</v>
      </c>
      <c r="H52" s="662" t="s">
        <v>163</v>
      </c>
      <c r="I52" s="664">
        <f>D52*G52</f>
        <v>0</v>
      </c>
      <c r="J52" s="665" t="s">
        <v>309</v>
      </c>
      <c r="K52" s="648" t="str">
        <f t="shared" ca="1" si="1"/>
        <v/>
      </c>
    </row>
    <row r="53" spans="1:16" ht="15" customHeight="1" x14ac:dyDescent="0.2">
      <c r="A53" s="666"/>
      <c r="B53" s="696" t="s">
        <v>311</v>
      </c>
      <c r="C53" s="697"/>
      <c r="D53" s="698">
        <f>I49</f>
        <v>0</v>
      </c>
      <c r="E53" s="699" t="s">
        <v>2</v>
      </c>
      <c r="F53" s="699" t="s">
        <v>106</v>
      </c>
      <c r="G53" s="700">
        <v>0.503</v>
      </c>
      <c r="H53" s="699" t="s">
        <v>163</v>
      </c>
      <c r="I53" s="664">
        <f>D53*G53</f>
        <v>0</v>
      </c>
      <c r="J53" s="665" t="s">
        <v>309</v>
      </c>
      <c r="K53" s="648" t="str">
        <f t="shared" ca="1" si="1"/>
        <v/>
      </c>
    </row>
    <row r="54" spans="1:16" s="211" customFormat="1" ht="15" customHeight="1" x14ac:dyDescent="0.2">
      <c r="A54" s="674" t="s">
        <v>2769</v>
      </c>
      <c r="B54" s="675"/>
      <c r="C54" s="675"/>
      <c r="D54" s="675"/>
      <c r="E54" s="675"/>
      <c r="F54" s="675"/>
      <c r="G54" s="675"/>
      <c r="H54" s="701"/>
      <c r="I54" s="677"/>
      <c r="J54" s="678" t="s">
        <v>2</v>
      </c>
      <c r="K54" s="648" t="str">
        <f t="shared" ca="1" si="1"/>
        <v/>
      </c>
      <c r="O54" s="203"/>
      <c r="P54" s="649"/>
    </row>
    <row r="55" spans="1:16" ht="15" customHeight="1" x14ac:dyDescent="0.2">
      <c r="A55" s="658"/>
      <c r="B55" s="659" t="s">
        <v>2746</v>
      </c>
      <c r="C55" s="660"/>
      <c r="D55" s="661">
        <f>I54</f>
        <v>0</v>
      </c>
      <c r="E55" s="662" t="s">
        <v>2</v>
      </c>
      <c r="F55" s="662" t="s">
        <v>106</v>
      </c>
      <c r="G55" s="663">
        <v>3</v>
      </c>
      <c r="H55" s="662" t="s">
        <v>163</v>
      </c>
      <c r="I55" s="664">
        <f>D55*G55</f>
        <v>0</v>
      </c>
      <c r="J55" s="665" t="s">
        <v>313</v>
      </c>
      <c r="K55" s="648" t="str">
        <f t="shared" ca="1" si="1"/>
        <v/>
      </c>
    </row>
    <row r="56" spans="1:16" ht="15" customHeight="1" x14ac:dyDescent="0.2">
      <c r="A56" s="658"/>
      <c r="B56" s="659" t="s">
        <v>2754</v>
      </c>
      <c r="C56" s="660"/>
      <c r="D56" s="661">
        <f>I54</f>
        <v>0</v>
      </c>
      <c r="E56" s="662" t="s">
        <v>2</v>
      </c>
      <c r="F56" s="662" t="s">
        <v>106</v>
      </c>
      <c r="G56" s="663">
        <v>0.16500000000000001</v>
      </c>
      <c r="H56" s="662" t="s">
        <v>163</v>
      </c>
      <c r="I56" s="664">
        <f>D56*G56</f>
        <v>0</v>
      </c>
      <c r="J56" s="665" t="s">
        <v>309</v>
      </c>
      <c r="K56" s="648" t="str">
        <f t="shared" ca="1" si="1"/>
        <v/>
      </c>
    </row>
    <row r="57" spans="1:16" ht="15" customHeight="1" x14ac:dyDescent="0.2">
      <c r="A57" s="658"/>
      <c r="B57" s="659" t="s">
        <v>2748</v>
      </c>
      <c r="C57" s="660"/>
      <c r="D57" s="661">
        <f>I54</f>
        <v>0</v>
      </c>
      <c r="E57" s="662" t="s">
        <v>2</v>
      </c>
      <c r="F57" s="662" t="s">
        <v>106</v>
      </c>
      <c r="G57" s="663">
        <v>0.66600000000000004</v>
      </c>
      <c r="H57" s="662" t="s">
        <v>163</v>
      </c>
      <c r="I57" s="664">
        <f>D57*G57</f>
        <v>0</v>
      </c>
      <c r="J57" s="665" t="s">
        <v>309</v>
      </c>
      <c r="K57" s="648" t="str">
        <f t="shared" ca="1" si="1"/>
        <v/>
      </c>
    </row>
    <row r="58" spans="1:16" ht="15" customHeight="1" x14ac:dyDescent="0.2">
      <c r="A58" s="666"/>
      <c r="B58" s="696" t="s">
        <v>311</v>
      </c>
      <c r="C58" s="697"/>
      <c r="D58" s="698">
        <f>I54</f>
        <v>0</v>
      </c>
      <c r="E58" s="699" t="s">
        <v>2</v>
      </c>
      <c r="F58" s="699" t="s">
        <v>106</v>
      </c>
      <c r="G58" s="700">
        <v>0.66600000000000004</v>
      </c>
      <c r="H58" s="699" t="s">
        <v>163</v>
      </c>
      <c r="I58" s="664">
        <f>D58*G58</f>
        <v>0</v>
      </c>
      <c r="J58" s="665" t="s">
        <v>309</v>
      </c>
      <c r="K58" s="648" t="str">
        <f t="shared" ca="1" si="1"/>
        <v/>
      </c>
    </row>
    <row r="59" spans="1:16" s="211" customFormat="1" ht="15" customHeight="1" x14ac:dyDescent="0.2">
      <c r="A59" s="674" t="s">
        <v>2745</v>
      </c>
      <c r="B59" s="675"/>
      <c r="C59" s="675"/>
      <c r="D59" s="675"/>
      <c r="E59" s="675"/>
      <c r="F59" s="675"/>
      <c r="G59" s="675"/>
      <c r="H59" s="701"/>
      <c r="I59" s="677">
        <f>112.5+116+112.5+116</f>
        <v>457</v>
      </c>
      <c r="J59" s="678" t="s">
        <v>2</v>
      </c>
      <c r="K59" s="648" t="str">
        <f t="shared" ca="1" si="1"/>
        <v/>
      </c>
      <c r="O59" s="203"/>
      <c r="P59" s="649"/>
    </row>
    <row r="60" spans="1:16" ht="15" customHeight="1" x14ac:dyDescent="0.2">
      <c r="A60" s="658"/>
      <c r="B60" s="659" t="s">
        <v>2746</v>
      </c>
      <c r="C60" s="660"/>
      <c r="D60" s="661">
        <f>$I$59</f>
        <v>457</v>
      </c>
      <c r="E60" s="662"/>
      <c r="F60" s="662" t="s">
        <v>106</v>
      </c>
      <c r="G60" s="663">
        <v>0.6</v>
      </c>
      <c r="H60" s="662"/>
      <c r="I60" s="664">
        <f t="shared" ref="I60:I64" si="2">D60*G60</f>
        <v>274.2</v>
      </c>
      <c r="J60" s="665" t="s">
        <v>313</v>
      </c>
      <c r="K60" s="648" t="str">
        <f t="shared" ca="1" si="1"/>
        <v/>
      </c>
    </row>
    <row r="61" spans="1:16" ht="15" customHeight="1" x14ac:dyDescent="0.2">
      <c r="A61" s="658"/>
      <c r="B61" s="659" t="s">
        <v>2747</v>
      </c>
      <c r="C61" s="660"/>
      <c r="D61" s="661">
        <f t="shared" ref="D61:D64" si="3">$I$59</f>
        <v>457</v>
      </c>
      <c r="E61" s="662"/>
      <c r="F61" s="662" t="s">
        <v>106</v>
      </c>
      <c r="G61" s="663">
        <v>9.1999999999999998E-2</v>
      </c>
      <c r="H61" s="662"/>
      <c r="I61" s="664">
        <f t="shared" si="2"/>
        <v>42.043999999999997</v>
      </c>
      <c r="J61" s="665" t="s">
        <v>309</v>
      </c>
      <c r="K61" s="648" t="str">
        <f t="shared" ca="1" si="1"/>
        <v/>
      </c>
    </row>
    <row r="62" spans="1:16" ht="15" customHeight="1" x14ac:dyDescent="0.2">
      <c r="A62" s="658"/>
      <c r="B62" s="659" t="s">
        <v>2748</v>
      </c>
      <c r="C62" s="660"/>
      <c r="D62" s="661">
        <f t="shared" si="3"/>
        <v>457</v>
      </c>
      <c r="E62" s="662"/>
      <c r="F62" s="662" t="s">
        <v>106</v>
      </c>
      <c r="G62" s="663">
        <v>0.23</v>
      </c>
      <c r="H62" s="662"/>
      <c r="I62" s="664">
        <f t="shared" si="2"/>
        <v>105.11</v>
      </c>
      <c r="J62" s="665" t="s">
        <v>309</v>
      </c>
      <c r="K62" s="648" t="str">
        <f t="shared" ca="1" si="1"/>
        <v/>
      </c>
    </row>
    <row r="63" spans="1:16" ht="15" customHeight="1" x14ac:dyDescent="0.2">
      <c r="A63" s="666"/>
      <c r="B63" s="696" t="s">
        <v>2749</v>
      </c>
      <c r="C63" s="697"/>
      <c r="D63" s="661">
        <f t="shared" si="3"/>
        <v>457</v>
      </c>
      <c r="E63" s="699"/>
      <c r="F63" s="699" t="s">
        <v>106</v>
      </c>
      <c r="G63" s="700">
        <v>2.41</v>
      </c>
      <c r="H63" s="699"/>
      <c r="I63" s="664">
        <f t="shared" si="2"/>
        <v>1101.3700000000001</v>
      </c>
      <c r="J63" s="665" t="s">
        <v>6</v>
      </c>
      <c r="K63" s="648" t="str">
        <f t="shared" ca="1" si="1"/>
        <v/>
      </c>
    </row>
    <row r="64" spans="1:16" ht="15" customHeight="1" x14ac:dyDescent="0.2">
      <c r="A64" s="658"/>
      <c r="B64" s="659" t="s">
        <v>2750</v>
      </c>
      <c r="C64" s="660"/>
      <c r="D64" s="661">
        <f t="shared" si="3"/>
        <v>457</v>
      </c>
      <c r="E64" s="662"/>
      <c r="F64" s="662" t="s">
        <v>106</v>
      </c>
      <c r="G64" s="663">
        <v>1.1000000000000001</v>
      </c>
      <c r="H64" s="662"/>
      <c r="I64" s="664">
        <f t="shared" si="2"/>
        <v>502.70000000000005</v>
      </c>
      <c r="J64" s="665" t="s">
        <v>313</v>
      </c>
      <c r="K64" s="648" t="str">
        <f t="shared" ca="1" si="1"/>
        <v/>
      </c>
    </row>
    <row r="65" spans="1:16" s="211" customFormat="1" ht="15" customHeight="1" x14ac:dyDescent="0.2">
      <c r="A65" s="674" t="s">
        <v>2770</v>
      </c>
      <c r="B65" s="675"/>
      <c r="C65" s="675"/>
      <c r="D65" s="675"/>
      <c r="E65" s="675"/>
      <c r="F65" s="675"/>
      <c r="G65" s="675"/>
      <c r="H65" s="701"/>
      <c r="I65" s="677"/>
      <c r="J65" s="678" t="s">
        <v>2</v>
      </c>
      <c r="K65" s="648" t="str">
        <f t="shared" ca="1" si="1"/>
        <v/>
      </c>
      <c r="O65" s="203"/>
      <c r="P65" s="649"/>
    </row>
    <row r="66" spans="1:16" ht="15" customHeight="1" x14ac:dyDescent="0.2">
      <c r="A66" s="658"/>
      <c r="B66" s="659" t="s">
        <v>2746</v>
      </c>
      <c r="C66" s="660"/>
      <c r="D66" s="661">
        <f>$I$65</f>
        <v>0</v>
      </c>
      <c r="E66" s="662"/>
      <c r="F66" s="662" t="s">
        <v>106</v>
      </c>
      <c r="G66" s="663">
        <v>0.6</v>
      </c>
      <c r="H66" s="662"/>
      <c r="I66" s="664">
        <f t="shared" ref="I66:I70" si="4">D66*G66</f>
        <v>0</v>
      </c>
      <c r="J66" s="665" t="s">
        <v>313</v>
      </c>
      <c r="K66" s="648" t="str">
        <f t="shared" ca="1" si="1"/>
        <v/>
      </c>
    </row>
    <row r="67" spans="1:16" ht="15" customHeight="1" x14ac:dyDescent="0.2">
      <c r="A67" s="658"/>
      <c r="B67" s="659" t="s">
        <v>2747</v>
      </c>
      <c r="C67" s="660"/>
      <c r="D67" s="661">
        <f t="shared" ref="D67:D70" si="5">$I$65</f>
        <v>0</v>
      </c>
      <c r="E67" s="662"/>
      <c r="F67" s="662" t="s">
        <v>106</v>
      </c>
      <c r="G67" s="663">
        <v>0.13400000000000001</v>
      </c>
      <c r="H67" s="662"/>
      <c r="I67" s="664">
        <f t="shared" si="4"/>
        <v>0</v>
      </c>
      <c r="J67" s="665" t="s">
        <v>309</v>
      </c>
      <c r="K67" s="648" t="str">
        <f t="shared" ca="1" si="1"/>
        <v/>
      </c>
    </row>
    <row r="68" spans="1:16" ht="15" customHeight="1" x14ac:dyDescent="0.2">
      <c r="A68" s="658"/>
      <c r="B68" s="659" t="s">
        <v>2748</v>
      </c>
      <c r="C68" s="660"/>
      <c r="D68" s="661">
        <f t="shared" si="5"/>
        <v>0</v>
      </c>
      <c r="E68" s="662"/>
      <c r="F68" s="662" t="s">
        <v>106</v>
      </c>
      <c r="G68" s="663">
        <v>0.45500000000000002</v>
      </c>
      <c r="H68" s="662"/>
      <c r="I68" s="664">
        <f t="shared" si="4"/>
        <v>0</v>
      </c>
      <c r="J68" s="665" t="s">
        <v>309</v>
      </c>
      <c r="K68" s="648" t="str">
        <f t="shared" ca="1" si="1"/>
        <v/>
      </c>
    </row>
    <row r="69" spans="1:16" ht="15" customHeight="1" x14ac:dyDescent="0.2">
      <c r="A69" s="666"/>
      <c r="B69" s="696" t="s">
        <v>2749</v>
      </c>
      <c r="C69" s="697"/>
      <c r="D69" s="698">
        <f t="shared" si="5"/>
        <v>0</v>
      </c>
      <c r="E69" s="699"/>
      <c r="F69" s="699" t="s">
        <v>106</v>
      </c>
      <c r="G69" s="700">
        <v>3.57</v>
      </c>
      <c r="H69" s="699"/>
      <c r="I69" s="664">
        <f t="shared" si="4"/>
        <v>0</v>
      </c>
      <c r="J69" s="665" t="s">
        <v>6</v>
      </c>
      <c r="K69" s="648" t="str">
        <f t="shared" ca="1" si="1"/>
        <v/>
      </c>
    </row>
    <row r="70" spans="1:16" ht="15" customHeight="1" x14ac:dyDescent="0.2">
      <c r="A70" s="658"/>
      <c r="B70" s="659" t="s">
        <v>2750</v>
      </c>
      <c r="C70" s="660"/>
      <c r="D70" s="661">
        <f t="shared" si="5"/>
        <v>0</v>
      </c>
      <c r="E70" s="662"/>
      <c r="F70" s="662" t="s">
        <v>106</v>
      </c>
      <c r="G70" s="663">
        <v>1.62</v>
      </c>
      <c r="H70" s="662"/>
      <c r="I70" s="664">
        <f t="shared" si="4"/>
        <v>0</v>
      </c>
      <c r="J70" s="665" t="s">
        <v>313</v>
      </c>
      <c r="K70" s="648" t="str">
        <f t="shared" ca="1" si="1"/>
        <v/>
      </c>
    </row>
    <row r="71" spans="1:16" s="211" customFormat="1" ht="15" customHeight="1" x14ac:dyDescent="0.2">
      <c r="A71" s="674" t="s">
        <v>2771</v>
      </c>
      <c r="B71" s="675"/>
      <c r="C71" s="675"/>
      <c r="D71" s="675"/>
      <c r="E71" s="675"/>
      <c r="F71" s="675"/>
      <c r="G71" s="675"/>
      <c r="H71" s="701"/>
      <c r="I71" s="677"/>
      <c r="J71" s="678" t="s">
        <v>2</v>
      </c>
      <c r="K71" s="648" t="str">
        <f t="shared" ca="1" si="1"/>
        <v/>
      </c>
      <c r="O71" s="203"/>
      <c r="P71" s="649"/>
    </row>
    <row r="72" spans="1:16" ht="15" customHeight="1" x14ac:dyDescent="0.2">
      <c r="A72" s="658"/>
      <c r="B72" s="659" t="s">
        <v>2746</v>
      </c>
      <c r="C72" s="660"/>
      <c r="D72" s="661">
        <f>I71</f>
        <v>0</v>
      </c>
      <c r="E72" s="662" t="s">
        <v>2</v>
      </c>
      <c r="F72" s="662" t="s">
        <v>106</v>
      </c>
      <c r="G72" s="663">
        <v>1.5</v>
      </c>
      <c r="H72" s="662" t="s">
        <v>163</v>
      </c>
      <c r="I72" s="664">
        <f>D72*G72</f>
        <v>0</v>
      </c>
      <c r="J72" s="665" t="s">
        <v>2772</v>
      </c>
      <c r="K72" s="648" t="str">
        <f t="shared" ca="1" si="1"/>
        <v/>
      </c>
    </row>
    <row r="73" spans="1:16" ht="15" customHeight="1" x14ac:dyDescent="0.2">
      <c r="A73" s="658"/>
      <c r="B73" s="659" t="s">
        <v>2754</v>
      </c>
      <c r="C73" s="660"/>
      <c r="D73" s="661">
        <f>I71</f>
        <v>0</v>
      </c>
      <c r="E73" s="662" t="s">
        <v>2</v>
      </c>
      <c r="F73" s="662" t="s">
        <v>106</v>
      </c>
      <c r="G73" s="663">
        <v>8.5000000000000006E-2</v>
      </c>
      <c r="H73" s="662" t="s">
        <v>163</v>
      </c>
      <c r="I73" s="664">
        <f>D73*G73</f>
        <v>0</v>
      </c>
      <c r="J73" s="665" t="s">
        <v>2773</v>
      </c>
      <c r="K73" s="648" t="str">
        <f t="shared" ca="1" si="1"/>
        <v/>
      </c>
    </row>
    <row r="74" spans="1:16" ht="15" customHeight="1" x14ac:dyDescent="0.2">
      <c r="A74" s="658"/>
      <c r="B74" s="659" t="s">
        <v>21651</v>
      </c>
      <c r="C74" s="660"/>
      <c r="D74" s="661">
        <f>I71</f>
        <v>0</v>
      </c>
      <c r="E74" s="662" t="s">
        <v>2</v>
      </c>
      <c r="F74" s="662" t="s">
        <v>106</v>
      </c>
      <c r="G74" s="663">
        <v>0.6</v>
      </c>
      <c r="H74" s="662" t="s">
        <v>163</v>
      </c>
      <c r="I74" s="664">
        <f>D74*G74</f>
        <v>0</v>
      </c>
      <c r="J74" s="665" t="s">
        <v>2772</v>
      </c>
    </row>
    <row r="75" spans="1:16" ht="15" customHeight="1" x14ac:dyDescent="0.2">
      <c r="A75" s="658"/>
      <c r="B75" s="659" t="s">
        <v>2774</v>
      </c>
      <c r="C75" s="660"/>
      <c r="D75" s="661">
        <f>I71</f>
        <v>0</v>
      </c>
      <c r="E75" s="662" t="s">
        <v>2</v>
      </c>
      <c r="F75" s="662" t="s">
        <v>106</v>
      </c>
      <c r="G75" s="663">
        <v>1.05</v>
      </c>
      <c r="H75" s="662" t="s">
        <v>163</v>
      </c>
      <c r="I75" s="664">
        <f>D75*G75</f>
        <v>0</v>
      </c>
      <c r="J75" s="665" t="s">
        <v>2772</v>
      </c>
      <c r="K75" s="648" t="str">
        <f ca="1">IF(AND(B75&lt;&gt;"",I75&lt;&gt;"",COUNTIF($C$490:$C$1030,B75)=0),"adic. à qtd","")</f>
        <v/>
      </c>
    </row>
    <row r="76" spans="1:16" ht="15" customHeight="1" x14ac:dyDescent="0.2">
      <c r="A76" s="666"/>
      <c r="B76" s="696" t="s">
        <v>310</v>
      </c>
      <c r="C76" s="697"/>
      <c r="D76" s="698">
        <f>I71</f>
        <v>0</v>
      </c>
      <c r="E76" s="699" t="s">
        <v>2</v>
      </c>
      <c r="F76" s="699" t="s">
        <v>106</v>
      </c>
      <c r="G76" s="700">
        <v>0.17499999999999999</v>
      </c>
      <c r="H76" s="699" t="s">
        <v>163</v>
      </c>
      <c r="I76" s="664">
        <f>D76*G76</f>
        <v>0</v>
      </c>
      <c r="J76" s="665" t="s">
        <v>2773</v>
      </c>
      <c r="K76" s="648" t="str">
        <f ca="1">IF(AND(B76&lt;&gt;"",I76&lt;&gt;"",COUNTIF($C$490:$C$1030,B76)=0),"adic. à qtd","")</f>
        <v/>
      </c>
    </row>
    <row r="77" spans="1:16" s="211" customFormat="1" ht="15" customHeight="1" x14ac:dyDescent="0.2">
      <c r="A77" s="674" t="s">
        <v>2775</v>
      </c>
      <c r="B77" s="675"/>
      <c r="C77" s="675"/>
      <c r="D77" s="675"/>
      <c r="E77" s="675"/>
      <c r="F77" s="675"/>
      <c r="G77" s="675"/>
      <c r="H77" s="701"/>
      <c r="I77" s="677"/>
      <c r="J77" s="678" t="s">
        <v>2</v>
      </c>
      <c r="K77" s="648" t="str">
        <f ca="1">IF(AND(B77&lt;&gt;"",I77&lt;&gt;"",COUNTIF($C$490:$C$1030,B77)=0),"adic. à qtd","")</f>
        <v/>
      </c>
      <c r="O77" s="203"/>
      <c r="P77" s="649"/>
    </row>
    <row r="78" spans="1:16" ht="15" customHeight="1" x14ac:dyDescent="0.2">
      <c r="A78" s="658"/>
      <c r="B78" s="659" t="s">
        <v>2748</v>
      </c>
      <c r="C78" s="660"/>
      <c r="D78" s="661">
        <f>I77</f>
        <v>0</v>
      </c>
      <c r="E78" s="662"/>
      <c r="F78" s="662" t="s">
        <v>2776</v>
      </c>
      <c r="G78" s="663">
        <v>0.09</v>
      </c>
      <c r="H78" s="662" t="s">
        <v>163</v>
      </c>
      <c r="I78" s="664">
        <f>(D78*G78)</f>
        <v>0</v>
      </c>
      <c r="J78" s="665" t="s">
        <v>309</v>
      </c>
      <c r="K78" s="648" t="str">
        <f ca="1">IF(AND(B78&lt;&gt;"",I78&lt;&gt;"",COUNTIF($C$490:$C$1030,B78)=0),"adic. à qtd","")</f>
        <v/>
      </c>
    </row>
    <row r="79" spans="1:16" ht="15" customHeight="1" x14ac:dyDescent="0.2">
      <c r="A79" s="658"/>
      <c r="B79" s="659" t="s">
        <v>2777</v>
      </c>
      <c r="C79" s="660"/>
      <c r="D79" s="661">
        <f>D78</f>
        <v>0</v>
      </c>
      <c r="E79" s="662"/>
      <c r="F79" s="662" t="s">
        <v>2776</v>
      </c>
      <c r="G79" s="663">
        <v>1.43</v>
      </c>
      <c r="H79" s="662" t="s">
        <v>163</v>
      </c>
      <c r="I79" s="664">
        <f>(D79*G79)</f>
        <v>0</v>
      </c>
      <c r="J79" s="665" t="s">
        <v>313</v>
      </c>
      <c r="K79" s="648" t="str">
        <f ca="1">IF(AND(B79&lt;&gt;"",I79&lt;&gt;"",COUNTIF($C$490:$C$1030,B79)=0),"adic. à qtd","")</f>
        <v/>
      </c>
    </row>
    <row r="80" spans="1:16" ht="15" customHeight="1" x14ac:dyDescent="0.2">
      <c r="A80" s="658"/>
      <c r="B80" s="659" t="s">
        <v>2778</v>
      </c>
      <c r="C80" s="660"/>
      <c r="D80" s="661">
        <f>D78</f>
        <v>0</v>
      </c>
      <c r="E80" s="662"/>
      <c r="F80" s="662" t="s">
        <v>2776</v>
      </c>
      <c r="G80" s="663">
        <v>0.08</v>
      </c>
      <c r="H80" s="662" t="s">
        <v>163</v>
      </c>
      <c r="I80" s="664">
        <f>(D80*G80)</f>
        <v>0</v>
      </c>
      <c r="J80" s="665" t="s">
        <v>309</v>
      </c>
    </row>
    <row r="81" spans="1:16" ht="15" customHeight="1" x14ac:dyDescent="0.2">
      <c r="A81" s="666"/>
      <c r="B81" s="696" t="s">
        <v>2779</v>
      </c>
      <c r="C81" s="697"/>
      <c r="D81" s="698">
        <f>D79</f>
        <v>0</v>
      </c>
      <c r="E81" s="699"/>
      <c r="F81" s="699" t="s">
        <v>2776</v>
      </c>
      <c r="G81" s="700">
        <v>1</v>
      </c>
      <c r="H81" s="699" t="s">
        <v>163</v>
      </c>
      <c r="I81" s="664">
        <f>(D81*G81)</f>
        <v>0</v>
      </c>
      <c r="J81" s="665" t="s">
        <v>2</v>
      </c>
      <c r="K81" s="648" t="str">
        <f ca="1">IF(AND(B81&lt;&gt;"",I81&lt;&gt;"",COUNTIF($C$490:$C$1030,B81)=0),"adic. à qtd","")</f>
        <v/>
      </c>
    </row>
    <row r="82" spans="1:16" s="211" customFormat="1" ht="15" customHeight="1" x14ac:dyDescent="0.2">
      <c r="A82" s="674" t="s">
        <v>2780</v>
      </c>
      <c r="B82" s="675"/>
      <c r="C82" s="675"/>
      <c r="D82" s="675"/>
      <c r="E82" s="675"/>
      <c r="F82" s="675"/>
      <c r="G82" s="675"/>
      <c r="H82" s="701"/>
      <c r="I82" s="677"/>
      <c r="J82" s="678" t="s">
        <v>2</v>
      </c>
      <c r="K82" s="648" t="str">
        <f ca="1">IF(AND(B82&lt;&gt;"",I82&lt;&gt;"",COUNTIF($C$490:$C$1030,B82)=0),"adic. à qtd","")</f>
        <v/>
      </c>
      <c r="O82" s="203"/>
      <c r="P82" s="649"/>
    </row>
    <row r="83" spans="1:16" ht="15" customHeight="1" x14ac:dyDescent="0.2">
      <c r="A83" s="658"/>
      <c r="B83" s="659" t="s">
        <v>2781</v>
      </c>
      <c r="C83" s="660"/>
      <c r="D83" s="661">
        <f>I82</f>
        <v>0</v>
      </c>
      <c r="E83" s="662"/>
      <c r="F83" s="662" t="s">
        <v>2776</v>
      </c>
      <c r="G83" s="663">
        <v>0.08</v>
      </c>
      <c r="H83" s="662" t="s">
        <v>163</v>
      </c>
      <c r="I83" s="664">
        <f>(D83*G83)</f>
        <v>0</v>
      </c>
      <c r="J83" s="665" t="s">
        <v>309</v>
      </c>
      <c r="K83" s="648" t="str">
        <f ca="1">IF(AND(B83&lt;&gt;"",I83&lt;&gt;"",COUNTIF($C$490:$C$1030,B83)=0),"adic. à qtd","")</f>
        <v/>
      </c>
    </row>
    <row r="84" spans="1:16" ht="15" customHeight="1" x14ac:dyDescent="0.2">
      <c r="A84" s="658"/>
      <c r="B84" s="659" t="s">
        <v>2777</v>
      </c>
      <c r="C84" s="660"/>
      <c r="D84" s="661">
        <f>D83</f>
        <v>0</v>
      </c>
      <c r="E84" s="662"/>
      <c r="F84" s="662" t="s">
        <v>2776</v>
      </c>
      <c r="G84" s="663">
        <v>1.43</v>
      </c>
      <c r="H84" s="662" t="s">
        <v>163</v>
      </c>
      <c r="I84" s="664">
        <f>(D84*G84)</f>
        <v>0</v>
      </c>
      <c r="J84" s="665" t="s">
        <v>313</v>
      </c>
      <c r="K84" s="648" t="str">
        <f ca="1">IF(AND(B84&lt;&gt;"",I84&lt;&gt;"",COUNTIF($C$490:$C$1030,B84)=0),"adic. à qtd","")</f>
        <v/>
      </c>
    </row>
    <row r="85" spans="1:16" ht="15" customHeight="1" x14ac:dyDescent="0.2">
      <c r="A85" s="658"/>
      <c r="B85" s="659" t="s">
        <v>2778</v>
      </c>
      <c r="C85" s="660"/>
      <c r="D85" s="661">
        <f>D83</f>
        <v>0</v>
      </c>
      <c r="E85" s="662"/>
      <c r="F85" s="662" t="s">
        <v>2776</v>
      </c>
      <c r="G85" s="663">
        <v>7.9649999999999999E-2</v>
      </c>
      <c r="H85" s="662" t="s">
        <v>163</v>
      </c>
      <c r="I85" s="664">
        <f>(D85*G85)</f>
        <v>0</v>
      </c>
      <c r="J85" s="665" t="s">
        <v>309</v>
      </c>
    </row>
    <row r="86" spans="1:16" ht="15" customHeight="1" x14ac:dyDescent="0.2">
      <c r="A86" s="666"/>
      <c r="B86" s="696" t="s">
        <v>2779</v>
      </c>
      <c r="C86" s="697"/>
      <c r="D86" s="698">
        <f>D84</f>
        <v>0</v>
      </c>
      <c r="E86" s="699"/>
      <c r="F86" s="699" t="s">
        <v>2776</v>
      </c>
      <c r="G86" s="700">
        <v>1</v>
      </c>
      <c r="H86" s="699" t="s">
        <v>163</v>
      </c>
      <c r="I86" s="664">
        <f>(D86*G86)</f>
        <v>0</v>
      </c>
      <c r="J86" s="665" t="s">
        <v>2</v>
      </c>
      <c r="K86" s="648" t="str">
        <f t="shared" ref="K86:K91" ca="1" si="6">IF(AND(B86&lt;&gt;"",I86&lt;&gt;"",COUNTIF($C$490:$C$1030,B86)=0),"adic. à qtd","")</f>
        <v/>
      </c>
    </row>
    <row r="87" spans="1:16" s="211" customFormat="1" ht="15" customHeight="1" x14ac:dyDescent="0.2">
      <c r="A87" s="674" t="s">
        <v>2782</v>
      </c>
      <c r="B87" s="675"/>
      <c r="C87" s="675"/>
      <c r="D87" s="675"/>
      <c r="E87" s="675"/>
      <c r="F87" s="675"/>
      <c r="G87" s="675"/>
      <c r="H87" s="701"/>
      <c r="I87" s="677"/>
      <c r="J87" s="678" t="s">
        <v>2</v>
      </c>
      <c r="K87" s="648" t="str">
        <f t="shared" ca="1" si="6"/>
        <v/>
      </c>
      <c r="O87" s="203"/>
      <c r="P87" s="649"/>
    </row>
    <row r="88" spans="1:16" ht="15" customHeight="1" x14ac:dyDescent="0.2">
      <c r="A88" s="666"/>
      <c r="B88" s="696" t="s">
        <v>2783</v>
      </c>
      <c r="C88" s="697"/>
      <c r="D88" s="698">
        <f>$I$87</f>
        <v>0</v>
      </c>
      <c r="E88" s="699"/>
      <c r="F88" s="699" t="s">
        <v>2776</v>
      </c>
      <c r="G88" s="700">
        <v>0.14000000000000001</v>
      </c>
      <c r="H88" s="699" t="s">
        <v>163</v>
      </c>
      <c r="I88" s="664">
        <f t="shared" ref="I88:I92" si="7">(D88*G88)</f>
        <v>0</v>
      </c>
      <c r="J88" s="665"/>
      <c r="K88" s="648" t="str">
        <f t="shared" ca="1" si="6"/>
        <v/>
      </c>
    </row>
    <row r="89" spans="1:16" ht="15" customHeight="1" x14ac:dyDescent="0.2">
      <c r="A89" s="666"/>
      <c r="B89" s="696" t="s">
        <v>2754</v>
      </c>
      <c r="C89" s="697"/>
      <c r="D89" s="698">
        <f t="shared" ref="D89:D92" si="8">$I$87</f>
        <v>0</v>
      </c>
      <c r="E89" s="699"/>
      <c r="F89" s="699" t="s">
        <v>2776</v>
      </c>
      <c r="G89" s="700">
        <v>0.16</v>
      </c>
      <c r="H89" s="699" t="s">
        <v>163</v>
      </c>
      <c r="I89" s="664">
        <f t="shared" si="7"/>
        <v>0</v>
      </c>
      <c r="J89" s="665"/>
      <c r="K89" s="648" t="str">
        <f t="shared" ca="1" si="6"/>
        <v/>
      </c>
    </row>
    <row r="90" spans="1:16" ht="15" customHeight="1" x14ac:dyDescent="0.2">
      <c r="A90" s="666"/>
      <c r="B90" s="696" t="s">
        <v>2747</v>
      </c>
      <c r="C90" s="697"/>
      <c r="D90" s="698">
        <f t="shared" si="8"/>
        <v>0</v>
      </c>
      <c r="E90" s="699"/>
      <c r="F90" s="699" t="s">
        <v>2776</v>
      </c>
      <c r="G90" s="700">
        <v>0.14000000000000001</v>
      </c>
      <c r="H90" s="699" t="s">
        <v>163</v>
      </c>
      <c r="I90" s="664">
        <f t="shared" si="7"/>
        <v>0</v>
      </c>
      <c r="J90" s="665"/>
      <c r="K90" s="648" t="str">
        <f t="shared" ca="1" si="6"/>
        <v/>
      </c>
    </row>
    <row r="91" spans="1:16" ht="15" customHeight="1" x14ac:dyDescent="0.2">
      <c r="A91" s="666"/>
      <c r="B91" s="696" t="s">
        <v>318</v>
      </c>
      <c r="C91" s="697"/>
      <c r="D91" s="698">
        <f t="shared" si="8"/>
        <v>0</v>
      </c>
      <c r="E91" s="699"/>
      <c r="F91" s="699" t="s">
        <v>2776</v>
      </c>
      <c r="G91" s="700">
        <v>14.25</v>
      </c>
      <c r="H91" s="699" t="s">
        <v>163</v>
      </c>
      <c r="I91" s="664">
        <f t="shared" si="7"/>
        <v>0</v>
      </c>
      <c r="J91" s="665"/>
      <c r="K91" s="648" t="str">
        <f t="shared" ca="1" si="6"/>
        <v/>
      </c>
    </row>
    <row r="92" spans="1:16" ht="15" customHeight="1" x14ac:dyDescent="0.2">
      <c r="A92" s="666"/>
      <c r="B92" s="696" t="s">
        <v>21651</v>
      </c>
      <c r="C92" s="697"/>
      <c r="D92" s="698">
        <f t="shared" si="8"/>
        <v>0</v>
      </c>
      <c r="E92" s="699"/>
      <c r="F92" s="699" t="s">
        <v>2776</v>
      </c>
      <c r="G92" s="700">
        <v>2.1</v>
      </c>
      <c r="H92" s="699" t="s">
        <v>163</v>
      </c>
      <c r="I92" s="664">
        <f t="shared" si="7"/>
        <v>0</v>
      </c>
      <c r="J92" s="665"/>
    </row>
    <row r="93" spans="1:16" s="211" customFormat="1" ht="15" customHeight="1" x14ac:dyDescent="0.2">
      <c r="A93" s="674" t="s">
        <v>2784</v>
      </c>
      <c r="B93" s="675"/>
      <c r="C93" s="675"/>
      <c r="D93" s="675"/>
      <c r="E93" s="675"/>
      <c r="F93" s="675"/>
      <c r="G93" s="675"/>
      <c r="H93" s="701"/>
      <c r="I93" s="677"/>
      <c r="J93" s="678" t="s">
        <v>3</v>
      </c>
      <c r="K93" s="648" t="str">
        <f ca="1">IF(AND(B93&lt;&gt;"",I93&lt;&gt;"",COUNTIF($C$490:$C$1030,B93)=0),"adic. à qtd","")</f>
        <v/>
      </c>
      <c r="O93" s="203"/>
      <c r="P93" s="649"/>
    </row>
    <row r="94" spans="1:16" ht="15" customHeight="1" x14ac:dyDescent="0.2">
      <c r="A94" s="658"/>
      <c r="B94" s="659" t="s">
        <v>2446</v>
      </c>
      <c r="C94" s="660"/>
      <c r="D94" s="661">
        <f>I93</f>
        <v>0</v>
      </c>
      <c r="E94" s="662"/>
      <c r="F94" s="662" t="s">
        <v>2776</v>
      </c>
      <c r="G94" s="663">
        <v>0.01</v>
      </c>
      <c r="H94" s="662" t="s">
        <v>163</v>
      </c>
      <c r="I94" s="664">
        <f>(D94*G94)</f>
        <v>0</v>
      </c>
      <c r="J94" s="665" t="s">
        <v>313</v>
      </c>
      <c r="K94" s="648" t="str">
        <f ca="1">IF(AND(B94&lt;&gt;"",I94&lt;&gt;"",COUNTIF($C$490:$C$1030,B94)=0),"adic. à qtd","")</f>
        <v/>
      </c>
    </row>
    <row r="95" spans="1:16" ht="15" customHeight="1" x14ac:dyDescent="0.2">
      <c r="A95" s="658"/>
      <c r="B95" s="659" t="s">
        <v>2754</v>
      </c>
      <c r="C95" s="660"/>
      <c r="D95" s="661">
        <f>D94</f>
        <v>0</v>
      </c>
      <c r="E95" s="662"/>
      <c r="F95" s="662" t="s">
        <v>2776</v>
      </c>
      <c r="G95" s="663">
        <v>0.04</v>
      </c>
      <c r="H95" s="662" t="s">
        <v>163</v>
      </c>
      <c r="I95" s="664">
        <f>(D95*G95)</f>
        <v>0</v>
      </c>
      <c r="J95" s="665" t="s">
        <v>309</v>
      </c>
      <c r="K95" s="648" t="str">
        <f ca="1">IF(AND(B95&lt;&gt;"",I95&lt;&gt;"",COUNTIF($C$490:$C$1030,B95)=0),"adic. à qtd","")</f>
        <v/>
      </c>
    </row>
    <row r="96" spans="1:16" ht="15" customHeight="1" x14ac:dyDescent="0.2">
      <c r="A96" s="666"/>
      <c r="B96" s="696" t="s">
        <v>21651</v>
      </c>
      <c r="C96" s="697"/>
      <c r="D96" s="698">
        <f>D95</f>
        <v>0</v>
      </c>
      <c r="E96" s="699"/>
      <c r="F96" s="699" t="s">
        <v>2776</v>
      </c>
      <c r="G96" s="700">
        <v>0.75</v>
      </c>
      <c r="H96" s="699" t="s">
        <v>163</v>
      </c>
      <c r="I96" s="664">
        <f>(D96*G96)</f>
        <v>0</v>
      </c>
      <c r="J96" s="665" t="s">
        <v>313</v>
      </c>
    </row>
    <row r="97" spans="1:16" s="211" customFormat="1" ht="15" customHeight="1" x14ac:dyDescent="0.2">
      <c r="A97" s="674" t="s">
        <v>2785</v>
      </c>
      <c r="B97" s="708"/>
      <c r="C97" s="675"/>
      <c r="D97" s="675"/>
      <c r="E97" s="675"/>
      <c r="F97" s="675"/>
      <c r="G97" s="675"/>
      <c r="H97" s="701"/>
      <c r="I97" s="677"/>
      <c r="J97" s="678" t="s">
        <v>2</v>
      </c>
      <c r="K97" s="648" t="str">
        <f t="shared" ref="K97:K103" ca="1" si="9">IF(AND(B97&lt;&gt;"",I97&lt;&gt;"",COUNTIF($C$490:$C$1030,B97)=0),"adic. à qtd","")</f>
        <v/>
      </c>
      <c r="O97" s="203"/>
      <c r="P97" s="649"/>
    </row>
    <row r="98" spans="1:16" ht="20.100000000000001" customHeight="1" x14ac:dyDescent="0.2">
      <c r="A98" s="709"/>
      <c r="B98" s="710" t="s">
        <v>2786</v>
      </c>
      <c r="C98" s="711"/>
      <c r="D98" s="712"/>
      <c r="E98" s="710"/>
      <c r="F98" s="711"/>
      <c r="G98" s="683"/>
      <c r="H98" s="684"/>
      <c r="I98" s="713"/>
      <c r="J98" s="714"/>
      <c r="K98" s="648" t="str">
        <f t="shared" ca="1" si="9"/>
        <v/>
      </c>
    </row>
    <row r="99" spans="1:16" ht="15" customHeight="1" x14ac:dyDescent="0.2">
      <c r="A99" s="658"/>
      <c r="B99" s="659" t="s">
        <v>2748</v>
      </c>
      <c r="C99" s="660"/>
      <c r="D99" s="661">
        <f>I97</f>
        <v>0</v>
      </c>
      <c r="E99" s="662"/>
      <c r="F99" s="662" t="s">
        <v>2776</v>
      </c>
      <c r="G99" s="663">
        <f>(0.8+2*0.15+2*0.2)*0.95</f>
        <v>1.4249999999999998</v>
      </c>
      <c r="H99" s="662" t="s">
        <v>163</v>
      </c>
      <c r="I99" s="664">
        <f t="shared" ref="I99:I106" si="10">(D99*G99)</f>
        <v>0</v>
      </c>
      <c r="J99" s="665" t="s">
        <v>309</v>
      </c>
      <c r="K99" s="648" t="str">
        <f t="shared" ca="1" si="9"/>
        <v/>
      </c>
    </row>
    <row r="100" spans="1:16" ht="15" customHeight="1" x14ac:dyDescent="0.2">
      <c r="A100" s="658"/>
      <c r="B100" s="659" t="s">
        <v>311</v>
      </c>
      <c r="C100" s="660"/>
      <c r="D100" s="661">
        <f>I97</f>
        <v>0</v>
      </c>
      <c r="E100" s="662"/>
      <c r="F100" s="662" t="s">
        <v>2776</v>
      </c>
      <c r="G100" s="663">
        <f>2*0.2*0.95</f>
        <v>0.38</v>
      </c>
      <c r="H100" s="662" t="s">
        <v>163</v>
      </c>
      <c r="I100" s="664">
        <f t="shared" si="10"/>
        <v>0</v>
      </c>
      <c r="J100" s="665" t="s">
        <v>309</v>
      </c>
      <c r="K100" s="648" t="str">
        <f t="shared" ca="1" si="9"/>
        <v/>
      </c>
    </row>
    <row r="101" spans="1:16" ht="15" customHeight="1" x14ac:dyDescent="0.2">
      <c r="A101" s="658"/>
      <c r="B101" s="659" t="s">
        <v>316</v>
      </c>
      <c r="C101" s="660"/>
      <c r="D101" s="661">
        <f>I97</f>
        <v>0</v>
      </c>
      <c r="E101" s="662"/>
      <c r="F101" s="662" t="s">
        <v>2776</v>
      </c>
      <c r="G101" s="663">
        <f>0.2/3.6</f>
        <v>5.5555555555555559E-2</v>
      </c>
      <c r="H101" s="662" t="s">
        <v>163</v>
      </c>
      <c r="I101" s="664">
        <f t="shared" si="10"/>
        <v>0</v>
      </c>
      <c r="J101" s="665" t="s">
        <v>309</v>
      </c>
      <c r="K101" s="648" t="str">
        <f t="shared" ca="1" si="9"/>
        <v/>
      </c>
    </row>
    <row r="102" spans="1:16" ht="15" customHeight="1" x14ac:dyDescent="0.2">
      <c r="A102" s="658"/>
      <c r="B102" s="659" t="s">
        <v>2747</v>
      </c>
      <c r="C102" s="660"/>
      <c r="D102" s="661">
        <f>I97</f>
        <v>0</v>
      </c>
      <c r="E102" s="662"/>
      <c r="F102" s="662" t="s">
        <v>2776</v>
      </c>
      <c r="G102" s="663">
        <f>2.24/3.6</f>
        <v>0.62222222222222223</v>
      </c>
      <c r="H102" s="662" t="s">
        <v>163</v>
      </c>
      <c r="I102" s="664">
        <f t="shared" si="10"/>
        <v>0</v>
      </c>
      <c r="J102" s="665" t="s">
        <v>309</v>
      </c>
      <c r="K102" s="648" t="str">
        <f t="shared" ca="1" si="9"/>
        <v/>
      </c>
    </row>
    <row r="103" spans="1:16" ht="15" customHeight="1" x14ac:dyDescent="0.2">
      <c r="A103" s="658"/>
      <c r="B103" s="659" t="s">
        <v>318</v>
      </c>
      <c r="C103" s="660"/>
      <c r="D103" s="661">
        <f>I97</f>
        <v>0</v>
      </c>
      <c r="E103" s="662"/>
      <c r="F103" s="662" t="s">
        <v>2776</v>
      </c>
      <c r="G103" s="663">
        <f>136/3.6</f>
        <v>37.777777777777779</v>
      </c>
      <c r="H103" s="662" t="s">
        <v>163</v>
      </c>
      <c r="I103" s="664">
        <f t="shared" si="10"/>
        <v>0</v>
      </c>
      <c r="J103" s="665" t="s">
        <v>6</v>
      </c>
      <c r="K103" s="648" t="str">
        <f t="shared" ca="1" si="9"/>
        <v/>
      </c>
    </row>
    <row r="104" spans="1:16" ht="15" customHeight="1" x14ac:dyDescent="0.2">
      <c r="A104" s="658"/>
      <c r="B104" s="659" t="s">
        <v>21651</v>
      </c>
      <c r="C104" s="660"/>
      <c r="D104" s="661">
        <f>I97</f>
        <v>0</v>
      </c>
      <c r="E104" s="662"/>
      <c r="F104" s="662" t="s">
        <v>2776</v>
      </c>
      <c r="G104" s="663">
        <f>22.86/3.6</f>
        <v>6.35</v>
      </c>
      <c r="H104" s="662" t="s">
        <v>163</v>
      </c>
      <c r="I104" s="664">
        <f t="shared" si="10"/>
        <v>0</v>
      </c>
      <c r="J104" s="665" t="s">
        <v>313</v>
      </c>
    </row>
    <row r="105" spans="1:16" ht="15" customHeight="1" x14ac:dyDescent="0.2">
      <c r="A105" s="658"/>
      <c r="B105" s="659" t="s">
        <v>2787</v>
      </c>
      <c r="C105" s="660"/>
      <c r="D105" s="661">
        <f>I97</f>
        <v>0</v>
      </c>
      <c r="E105" s="662"/>
      <c r="F105" s="662" t="s">
        <v>2776</v>
      </c>
      <c r="G105" s="663">
        <f>2.5/3.6</f>
        <v>0.69444444444444442</v>
      </c>
      <c r="H105" s="662" t="s">
        <v>163</v>
      </c>
      <c r="I105" s="664">
        <f t="shared" si="10"/>
        <v>0</v>
      </c>
      <c r="J105" s="665" t="s">
        <v>2</v>
      </c>
      <c r="K105" s="648" t="str">
        <f t="shared" ref="K105:K136" ca="1" si="11">IF(AND(B105&lt;&gt;"",I105&lt;&gt;"",COUNTIF($C$490:$C$1030,B105)=0),"adic. à qtd","")</f>
        <v/>
      </c>
    </row>
    <row r="106" spans="1:16" ht="15" customHeight="1" x14ac:dyDescent="0.2">
      <c r="A106" s="658"/>
      <c r="B106" s="659" t="s">
        <v>2746</v>
      </c>
      <c r="C106" s="660"/>
      <c r="D106" s="661">
        <f>D105</f>
        <v>0</v>
      </c>
      <c r="E106" s="662"/>
      <c r="F106" s="662" t="s">
        <v>2776</v>
      </c>
      <c r="G106" s="663">
        <f>1/3.6</f>
        <v>0.27777777777777779</v>
      </c>
      <c r="H106" s="662" t="s">
        <v>163</v>
      </c>
      <c r="I106" s="664">
        <f t="shared" si="10"/>
        <v>0</v>
      </c>
      <c r="J106" s="665" t="s">
        <v>313</v>
      </c>
      <c r="K106" s="648" t="str">
        <f t="shared" ca="1" si="11"/>
        <v/>
      </c>
    </row>
    <row r="107" spans="1:16" s="211" customFormat="1" ht="15" customHeight="1" x14ac:dyDescent="0.2">
      <c r="A107" s="674" t="s">
        <v>2788</v>
      </c>
      <c r="B107" s="708"/>
      <c r="C107" s="675"/>
      <c r="D107" s="675"/>
      <c r="E107" s="675"/>
      <c r="F107" s="675"/>
      <c r="G107" s="675"/>
      <c r="H107" s="701"/>
      <c r="I107" s="677">
        <v>7.8</v>
      </c>
      <c r="J107" s="678" t="s">
        <v>2</v>
      </c>
      <c r="K107" s="648" t="str">
        <f t="shared" ca="1" si="11"/>
        <v/>
      </c>
      <c r="O107" s="203"/>
      <c r="P107" s="649"/>
    </row>
    <row r="108" spans="1:16" ht="20.100000000000001" customHeight="1" x14ac:dyDescent="0.2">
      <c r="A108" s="709"/>
      <c r="B108" s="710" t="s">
        <v>2786</v>
      </c>
      <c r="C108" s="711"/>
      <c r="D108" s="712"/>
      <c r="E108" s="710"/>
      <c r="F108" s="711"/>
      <c r="G108" s="683"/>
      <c r="H108" s="684"/>
      <c r="I108" s="713"/>
      <c r="J108" s="714"/>
      <c r="K108" s="648" t="str">
        <f t="shared" ca="1" si="11"/>
        <v/>
      </c>
    </row>
    <row r="109" spans="1:16" ht="15" customHeight="1" x14ac:dyDescent="0.2">
      <c r="A109" s="658"/>
      <c r="B109" s="659" t="s">
        <v>2783</v>
      </c>
      <c r="C109" s="660"/>
      <c r="D109" s="661">
        <f>I107</f>
        <v>7.8</v>
      </c>
      <c r="E109" s="662"/>
      <c r="F109" s="662" t="s">
        <v>2776</v>
      </c>
      <c r="G109" s="663">
        <f>(0.98+2*0.15+2*0.2)*0.95</f>
        <v>1.5960000000000001</v>
      </c>
      <c r="H109" s="662" t="s">
        <v>163</v>
      </c>
      <c r="I109" s="664">
        <f t="shared" ref="I109:I115" si="12">(D109*G109)</f>
        <v>12.4488</v>
      </c>
      <c r="J109" s="665" t="s">
        <v>309</v>
      </c>
      <c r="K109" s="648" t="str">
        <f t="shared" ca="1" si="11"/>
        <v/>
      </c>
    </row>
    <row r="110" spans="1:16" ht="15" customHeight="1" x14ac:dyDescent="0.2">
      <c r="A110" s="658"/>
      <c r="B110" s="659" t="s">
        <v>311</v>
      </c>
      <c r="C110" s="660"/>
      <c r="D110" s="661">
        <f>I107</f>
        <v>7.8</v>
      </c>
      <c r="E110" s="662"/>
      <c r="F110" s="662" t="s">
        <v>2776</v>
      </c>
      <c r="G110" s="663">
        <f>G109-((2*0.15+0.98)*0.95)</f>
        <v>0.38000000000000012</v>
      </c>
      <c r="H110" s="662" t="s">
        <v>163</v>
      </c>
      <c r="I110" s="664">
        <f t="shared" si="12"/>
        <v>2.9640000000000009</v>
      </c>
      <c r="J110" s="665" t="s">
        <v>309</v>
      </c>
      <c r="K110" s="648" t="str">
        <f t="shared" ca="1" si="11"/>
        <v/>
      </c>
    </row>
    <row r="111" spans="1:16" ht="15" customHeight="1" x14ac:dyDescent="0.2">
      <c r="A111" s="658"/>
      <c r="B111" s="659" t="s">
        <v>316</v>
      </c>
      <c r="C111" s="660"/>
      <c r="D111" s="661">
        <f>I107</f>
        <v>7.8</v>
      </c>
      <c r="E111" s="662"/>
      <c r="F111" s="662" t="s">
        <v>2776</v>
      </c>
      <c r="G111" s="663">
        <f>0.23/(3*1.2)</f>
        <v>6.3888888888888898E-2</v>
      </c>
      <c r="H111" s="662" t="s">
        <v>163</v>
      </c>
      <c r="I111" s="664">
        <f t="shared" si="12"/>
        <v>0.49833333333333341</v>
      </c>
      <c r="J111" s="665" t="s">
        <v>309</v>
      </c>
      <c r="K111" s="648" t="str">
        <f t="shared" ca="1" si="11"/>
        <v/>
      </c>
    </row>
    <row r="112" spans="1:16" ht="15" customHeight="1" x14ac:dyDescent="0.2">
      <c r="A112" s="658"/>
      <c r="B112" s="659" t="s">
        <v>2747</v>
      </c>
      <c r="C112" s="660"/>
      <c r="D112" s="661">
        <f>I107</f>
        <v>7.8</v>
      </c>
      <c r="E112" s="662"/>
      <c r="F112" s="662" t="s">
        <v>2776</v>
      </c>
      <c r="G112" s="663">
        <f>2.86/(3*1.2)</f>
        <v>0.79444444444444451</v>
      </c>
      <c r="H112" s="662" t="s">
        <v>163</v>
      </c>
      <c r="I112" s="664">
        <f t="shared" si="12"/>
        <v>6.1966666666666672</v>
      </c>
      <c r="J112" s="665" t="s">
        <v>309</v>
      </c>
      <c r="K112" s="648" t="str">
        <f t="shared" ca="1" si="11"/>
        <v/>
      </c>
    </row>
    <row r="113" spans="1:16" ht="15" customHeight="1" x14ac:dyDescent="0.2">
      <c r="A113" s="658"/>
      <c r="B113" s="659" t="s">
        <v>318</v>
      </c>
      <c r="C113" s="660"/>
      <c r="D113" s="661">
        <f>I107</f>
        <v>7.8</v>
      </c>
      <c r="E113" s="662"/>
      <c r="F113" s="662" t="s">
        <v>2776</v>
      </c>
      <c r="G113" s="663">
        <f>153/(3*1.2)</f>
        <v>42.500000000000007</v>
      </c>
      <c r="H113" s="662" t="s">
        <v>163</v>
      </c>
      <c r="I113" s="664">
        <f t="shared" si="12"/>
        <v>331.50000000000006</v>
      </c>
      <c r="J113" s="665" t="s">
        <v>6</v>
      </c>
      <c r="K113" s="648" t="str">
        <f t="shared" ca="1" si="11"/>
        <v/>
      </c>
    </row>
    <row r="114" spans="1:16" ht="15" customHeight="1" x14ac:dyDescent="0.2">
      <c r="A114" s="658"/>
      <c r="B114" s="659" t="s">
        <v>21651</v>
      </c>
      <c r="C114" s="660"/>
      <c r="D114" s="661">
        <f>I107</f>
        <v>7.8</v>
      </c>
      <c r="E114" s="662"/>
      <c r="F114" s="662" t="s">
        <v>2776</v>
      </c>
      <c r="G114" s="663">
        <f>24.66/(3*1.2)</f>
        <v>6.8500000000000005</v>
      </c>
      <c r="H114" s="662" t="s">
        <v>163</v>
      </c>
      <c r="I114" s="664">
        <f t="shared" si="12"/>
        <v>53.43</v>
      </c>
      <c r="J114" s="665" t="s">
        <v>313</v>
      </c>
      <c r="K114" s="648" t="str">
        <f t="shared" ca="1" si="11"/>
        <v/>
      </c>
    </row>
    <row r="115" spans="1:16" ht="15" customHeight="1" x14ac:dyDescent="0.2">
      <c r="A115" s="658"/>
      <c r="B115" s="659" t="s">
        <v>2746</v>
      </c>
      <c r="C115" s="660"/>
      <c r="D115" s="661">
        <f>I107</f>
        <v>7.8</v>
      </c>
      <c r="E115" s="662"/>
      <c r="F115" s="662" t="s">
        <v>2776</v>
      </c>
      <c r="G115" s="663">
        <f>1/(3*1.2)</f>
        <v>0.27777777777777779</v>
      </c>
      <c r="H115" s="662" t="s">
        <v>163</v>
      </c>
      <c r="I115" s="664">
        <f t="shared" si="12"/>
        <v>2.1666666666666665</v>
      </c>
      <c r="J115" s="665" t="s">
        <v>2</v>
      </c>
      <c r="K115" s="648" t="str">
        <f t="shared" ca="1" si="11"/>
        <v/>
      </c>
    </row>
    <row r="116" spans="1:16" s="211" customFormat="1" ht="15" customHeight="1" x14ac:dyDescent="0.2">
      <c r="A116" s="715" t="s">
        <v>2789</v>
      </c>
      <c r="B116" s="708" t="s">
        <v>2790</v>
      </c>
      <c r="C116" s="675"/>
      <c r="D116" s="675"/>
      <c r="E116" s="675"/>
      <c r="F116" s="675"/>
      <c r="G116" s="675"/>
      <c r="H116" s="701"/>
      <c r="I116" s="677"/>
      <c r="J116" s="678" t="s">
        <v>3</v>
      </c>
      <c r="K116" s="648" t="str">
        <f t="shared" ca="1" si="11"/>
        <v/>
      </c>
      <c r="O116" s="203"/>
      <c r="P116" s="649"/>
    </row>
    <row r="117" spans="1:16" ht="15" customHeight="1" x14ac:dyDescent="0.2">
      <c r="A117" s="716"/>
      <c r="B117" s="717" t="s">
        <v>2760</v>
      </c>
      <c r="C117" s="718"/>
      <c r="D117" s="719">
        <f>1+0.8+0.15+0.15</f>
        <v>2.1</v>
      </c>
      <c r="E117" s="717" t="s">
        <v>2</v>
      </c>
      <c r="F117" s="718"/>
      <c r="G117" s="720">
        <v>3</v>
      </c>
      <c r="H117" s="717" t="s">
        <v>2</v>
      </c>
      <c r="I117" s="721"/>
      <c r="J117" s="722"/>
      <c r="K117" s="648" t="str">
        <f t="shared" ca="1" si="11"/>
        <v/>
      </c>
    </row>
    <row r="118" spans="1:16" s="211" customFormat="1" ht="15" customHeight="1" x14ac:dyDescent="0.2">
      <c r="A118" s="723"/>
      <c r="B118" s="724"/>
      <c r="C118" s="725"/>
      <c r="D118" s="726">
        <v>0.3</v>
      </c>
      <c r="E118" s="727" t="s">
        <v>2</v>
      </c>
      <c r="F118" s="725"/>
      <c r="G118" s="725"/>
      <c r="H118" s="725"/>
      <c r="I118" s="728"/>
      <c r="J118" s="729"/>
      <c r="K118" s="648" t="str">
        <f t="shared" ca="1" si="11"/>
        <v/>
      </c>
      <c r="O118" s="203"/>
      <c r="P118" s="649"/>
    </row>
    <row r="119" spans="1:16" ht="15" customHeight="1" x14ac:dyDescent="0.2">
      <c r="A119" s="688"/>
      <c r="B119" s="689" t="s">
        <v>2748</v>
      </c>
      <c r="C119" s="690"/>
      <c r="D119" s="691">
        <f>I116</f>
        <v>0</v>
      </c>
      <c r="E119" s="692"/>
      <c r="F119" s="662" t="s">
        <v>2776</v>
      </c>
      <c r="G119" s="692">
        <f>D117*G117</f>
        <v>6.3000000000000007</v>
      </c>
      <c r="H119" s="693" t="s">
        <v>163</v>
      </c>
      <c r="I119" s="664">
        <f>(D119*G119)</f>
        <v>0</v>
      </c>
      <c r="J119" s="730" t="s">
        <v>309</v>
      </c>
      <c r="K119" s="648" t="str">
        <f t="shared" ca="1" si="11"/>
        <v/>
      </c>
    </row>
    <row r="120" spans="1:16" ht="15" customHeight="1" x14ac:dyDescent="0.2">
      <c r="A120" s="658"/>
      <c r="B120" s="659" t="s">
        <v>2791</v>
      </c>
      <c r="C120" s="660"/>
      <c r="D120" s="661">
        <f>I116</f>
        <v>0</v>
      </c>
      <c r="E120" s="662"/>
      <c r="F120" s="662" t="s">
        <v>2776</v>
      </c>
      <c r="G120" s="662">
        <f>G119*D118</f>
        <v>1.8900000000000001</v>
      </c>
      <c r="H120" s="663" t="s">
        <v>163</v>
      </c>
      <c r="I120" s="664">
        <f>(D120*G120)</f>
        <v>0</v>
      </c>
      <c r="J120" s="731" t="s">
        <v>309</v>
      </c>
      <c r="K120" s="648" t="str">
        <f t="shared" ca="1" si="11"/>
        <v/>
      </c>
    </row>
    <row r="121" spans="1:16" s="211" customFormat="1" ht="15" customHeight="1" x14ac:dyDescent="0.2">
      <c r="A121" s="674" t="s">
        <v>2792</v>
      </c>
      <c r="B121" s="708"/>
      <c r="C121" s="675"/>
      <c r="D121" s="675"/>
      <c r="E121" s="675"/>
      <c r="F121" s="675"/>
      <c r="G121" s="675"/>
      <c r="H121" s="701"/>
      <c r="I121" s="677">
        <v>1</v>
      </c>
      <c r="J121" s="678" t="s">
        <v>3</v>
      </c>
      <c r="K121" s="648" t="str">
        <f t="shared" ca="1" si="11"/>
        <v/>
      </c>
      <c r="O121" s="203"/>
      <c r="P121" s="649"/>
    </row>
    <row r="122" spans="1:16" ht="15" customHeight="1" x14ac:dyDescent="0.2">
      <c r="A122" s="716"/>
      <c r="B122" s="717" t="s">
        <v>2760</v>
      </c>
      <c r="C122" s="718"/>
      <c r="D122" s="719">
        <f>1+0.8+0.15+0.15</f>
        <v>2.1</v>
      </c>
      <c r="E122" s="717" t="s">
        <v>2</v>
      </c>
      <c r="F122" s="718"/>
      <c r="G122" s="720">
        <v>3</v>
      </c>
      <c r="H122" s="717" t="s">
        <v>2</v>
      </c>
      <c r="I122" s="721"/>
      <c r="J122" s="722"/>
      <c r="K122" s="648" t="str">
        <f t="shared" ca="1" si="11"/>
        <v/>
      </c>
    </row>
    <row r="123" spans="1:16" s="211" customFormat="1" ht="15" customHeight="1" x14ac:dyDescent="0.2">
      <c r="A123" s="723"/>
      <c r="B123" s="724"/>
      <c r="C123" s="725"/>
      <c r="D123" s="726">
        <v>0.3</v>
      </c>
      <c r="E123" s="727" t="s">
        <v>2</v>
      </c>
      <c r="F123" s="725"/>
      <c r="G123" s="725"/>
      <c r="H123" s="725"/>
      <c r="I123" s="728"/>
      <c r="J123" s="729"/>
      <c r="K123" s="648" t="str">
        <f t="shared" ca="1" si="11"/>
        <v/>
      </c>
      <c r="O123" s="203"/>
      <c r="P123" s="649"/>
    </row>
    <row r="124" spans="1:16" ht="15" customHeight="1" x14ac:dyDescent="0.2">
      <c r="A124" s="658"/>
      <c r="B124" s="659" t="s">
        <v>2748</v>
      </c>
      <c r="C124" s="660"/>
      <c r="D124" s="661">
        <f>I121</f>
        <v>1</v>
      </c>
      <c r="E124" s="662"/>
      <c r="F124" s="662" t="s">
        <v>2776</v>
      </c>
      <c r="G124" s="662">
        <f>D122*G122</f>
        <v>6.3000000000000007</v>
      </c>
      <c r="H124" s="663" t="s">
        <v>163</v>
      </c>
      <c r="I124" s="664">
        <f>D124*G124</f>
        <v>6.3000000000000007</v>
      </c>
      <c r="J124" s="731" t="s">
        <v>309</v>
      </c>
      <c r="K124" s="648" t="str">
        <f t="shared" ca="1" si="11"/>
        <v/>
      </c>
    </row>
    <row r="125" spans="1:16" ht="15" customHeight="1" x14ac:dyDescent="0.2">
      <c r="A125" s="658"/>
      <c r="B125" s="659" t="s">
        <v>2793</v>
      </c>
      <c r="C125" s="660"/>
      <c r="D125" s="661">
        <f>I121</f>
        <v>1</v>
      </c>
      <c r="E125" s="662"/>
      <c r="F125" s="662" t="s">
        <v>2776</v>
      </c>
      <c r="G125" s="662">
        <f>D122*D123</f>
        <v>0.63</v>
      </c>
      <c r="H125" s="663" t="s">
        <v>163</v>
      </c>
      <c r="I125" s="664">
        <f>D125*G125</f>
        <v>0.63</v>
      </c>
      <c r="J125" s="731" t="s">
        <v>309</v>
      </c>
      <c r="K125" s="648" t="str">
        <f t="shared" ca="1" si="11"/>
        <v/>
      </c>
    </row>
    <row r="126" spans="1:16" s="211" customFormat="1" ht="15" customHeight="1" x14ac:dyDescent="0.2">
      <c r="A126" s="732" t="s">
        <v>2794</v>
      </c>
      <c r="B126" s="708"/>
      <c r="C126" s="675"/>
      <c r="D126" s="675"/>
      <c r="E126" s="675"/>
      <c r="F126" s="675"/>
      <c r="G126" s="675"/>
      <c r="H126" s="701"/>
      <c r="I126" s="677">
        <v>1</v>
      </c>
      <c r="J126" s="678" t="s">
        <v>3</v>
      </c>
      <c r="K126" s="648" t="str">
        <f t="shared" ca="1" si="11"/>
        <v/>
      </c>
      <c r="O126" s="203"/>
      <c r="P126" s="649"/>
    </row>
    <row r="127" spans="1:16" s="211" customFormat="1" ht="15" customHeight="1" x14ac:dyDescent="0.2">
      <c r="A127" s="723"/>
      <c r="B127" s="724"/>
      <c r="C127" s="725"/>
      <c r="D127" s="726"/>
      <c r="E127" s="727"/>
      <c r="F127" s="725"/>
      <c r="G127" s="725"/>
      <c r="H127" s="725"/>
      <c r="I127" s="728"/>
      <c r="J127" s="729"/>
      <c r="K127" s="648" t="str">
        <f t="shared" ca="1" si="11"/>
        <v/>
      </c>
      <c r="O127" s="203"/>
      <c r="P127" s="649"/>
    </row>
    <row r="128" spans="1:16" ht="15" customHeight="1" x14ac:dyDescent="0.2">
      <c r="A128" s="688"/>
      <c r="B128" s="689" t="s">
        <v>2748</v>
      </c>
      <c r="C128" s="690"/>
      <c r="D128" s="691">
        <f>I126</f>
        <v>1</v>
      </c>
      <c r="E128" s="692"/>
      <c r="F128" s="662" t="s">
        <v>2776</v>
      </c>
      <c r="G128" s="692">
        <v>1</v>
      </c>
      <c r="H128" s="693" t="s">
        <v>163</v>
      </c>
      <c r="I128" s="664">
        <f>(D128*G128)</f>
        <v>1</v>
      </c>
      <c r="J128" s="730" t="s">
        <v>309</v>
      </c>
      <c r="K128" s="648" t="str">
        <f t="shared" ca="1" si="11"/>
        <v/>
      </c>
    </row>
    <row r="129" spans="1:16" ht="15" customHeight="1" x14ac:dyDescent="0.2">
      <c r="A129" s="658"/>
      <c r="B129" s="659" t="s">
        <v>2791</v>
      </c>
      <c r="C129" s="660"/>
      <c r="D129" s="661">
        <f>I126</f>
        <v>1</v>
      </c>
      <c r="E129" s="662"/>
      <c r="F129" s="662" t="s">
        <v>2776</v>
      </c>
      <c r="G129" s="662">
        <v>1</v>
      </c>
      <c r="H129" s="663" t="s">
        <v>163</v>
      </c>
      <c r="I129" s="664">
        <f>(D129*G129)</f>
        <v>1</v>
      </c>
      <c r="J129" s="731" t="s">
        <v>309</v>
      </c>
      <c r="K129" s="648" t="str">
        <f t="shared" ca="1" si="11"/>
        <v/>
      </c>
    </row>
    <row r="130" spans="1:16" s="211" customFormat="1" ht="15" customHeight="1" x14ac:dyDescent="0.2">
      <c r="A130" s="674" t="s">
        <v>2795</v>
      </c>
      <c r="B130" s="708"/>
      <c r="C130" s="675"/>
      <c r="D130" s="675"/>
      <c r="E130" s="675"/>
      <c r="F130" s="675"/>
      <c r="G130" s="675"/>
      <c r="H130" s="701"/>
      <c r="I130" s="677">
        <v>1</v>
      </c>
      <c r="J130" s="678" t="s">
        <v>3</v>
      </c>
      <c r="K130" s="648" t="str">
        <f t="shared" ca="1" si="11"/>
        <v/>
      </c>
      <c r="O130" s="203"/>
      <c r="P130" s="649"/>
    </row>
    <row r="131" spans="1:16" s="211" customFormat="1" ht="15" customHeight="1" x14ac:dyDescent="0.2">
      <c r="A131" s="723"/>
      <c r="B131" s="724"/>
      <c r="C131" s="725"/>
      <c r="D131" s="726"/>
      <c r="E131" s="727"/>
      <c r="F131" s="725"/>
      <c r="G131" s="725"/>
      <c r="H131" s="725"/>
      <c r="I131" s="728"/>
      <c r="J131" s="729"/>
      <c r="K131" s="648" t="str">
        <f t="shared" ca="1" si="11"/>
        <v/>
      </c>
      <c r="O131" s="203"/>
      <c r="P131" s="649"/>
    </row>
    <row r="132" spans="1:16" ht="15" customHeight="1" x14ac:dyDescent="0.2">
      <c r="A132" s="688"/>
      <c r="B132" s="689" t="s">
        <v>2748</v>
      </c>
      <c r="C132" s="690"/>
      <c r="D132" s="691">
        <f>I130</f>
        <v>1</v>
      </c>
      <c r="E132" s="692"/>
      <c r="F132" s="662" t="s">
        <v>2776</v>
      </c>
      <c r="G132" s="693" t="s">
        <v>163</v>
      </c>
      <c r="H132" s="692">
        <v>1</v>
      </c>
      <c r="I132" s="664">
        <f>(D132*H132)</f>
        <v>1</v>
      </c>
      <c r="J132" s="730" t="s">
        <v>309</v>
      </c>
      <c r="K132" s="648" t="str">
        <f t="shared" ca="1" si="11"/>
        <v/>
      </c>
    </row>
    <row r="133" spans="1:16" ht="15" customHeight="1" x14ac:dyDescent="0.2">
      <c r="A133" s="679"/>
      <c r="B133" s="667" t="s">
        <v>2793</v>
      </c>
      <c r="C133" s="668"/>
      <c r="D133" s="669">
        <f>I130</f>
        <v>1</v>
      </c>
      <c r="E133" s="670"/>
      <c r="F133" s="670" t="s">
        <v>2776</v>
      </c>
      <c r="G133" s="671" t="s">
        <v>163</v>
      </c>
      <c r="H133" s="670">
        <v>1</v>
      </c>
      <c r="I133" s="672">
        <f>(D133*H133)</f>
        <v>1</v>
      </c>
      <c r="J133" s="733" t="s">
        <v>309</v>
      </c>
      <c r="K133" s="648" t="str">
        <f t="shared" ca="1" si="11"/>
        <v/>
      </c>
    </row>
    <row r="134" spans="1:16" s="211" customFormat="1" ht="15" customHeight="1" x14ac:dyDescent="0.2">
      <c r="A134" s="674" t="s">
        <v>2796</v>
      </c>
      <c r="B134" s="708"/>
      <c r="C134" s="675"/>
      <c r="D134" s="675"/>
      <c r="E134" s="675"/>
      <c r="F134" s="675"/>
      <c r="G134" s="675"/>
      <c r="H134" s="701"/>
      <c r="I134" s="677"/>
      <c r="J134" s="678" t="s">
        <v>2</v>
      </c>
      <c r="K134" s="648" t="str">
        <f t="shared" ca="1" si="11"/>
        <v/>
      </c>
      <c r="O134" s="203"/>
      <c r="P134" s="649"/>
    </row>
    <row r="135" spans="1:16" ht="15" customHeight="1" x14ac:dyDescent="0.2">
      <c r="A135" s="688"/>
      <c r="B135" s="689" t="s">
        <v>2748</v>
      </c>
      <c r="C135" s="690"/>
      <c r="D135" s="691">
        <f>I134</f>
        <v>0</v>
      </c>
      <c r="E135" s="692"/>
      <c r="F135" s="662" t="s">
        <v>2776</v>
      </c>
      <c r="G135" s="692">
        <f>(1+2*0.15+2*0.2)*0.95</f>
        <v>1.615</v>
      </c>
      <c r="H135" s="693" t="s">
        <v>163</v>
      </c>
      <c r="I135" s="664">
        <f t="shared" ref="I135:I141" si="13">(D135*G135)</f>
        <v>0</v>
      </c>
      <c r="J135" s="730" t="s">
        <v>309</v>
      </c>
      <c r="K135" s="648" t="str">
        <f t="shared" ca="1" si="11"/>
        <v/>
      </c>
    </row>
    <row r="136" spans="1:16" ht="15" customHeight="1" x14ac:dyDescent="0.2">
      <c r="A136" s="688"/>
      <c r="B136" s="689" t="s">
        <v>311</v>
      </c>
      <c r="C136" s="690"/>
      <c r="D136" s="691">
        <f>D135</f>
        <v>0</v>
      </c>
      <c r="E136" s="692"/>
      <c r="F136" s="662" t="s">
        <v>2776</v>
      </c>
      <c r="G136" s="692">
        <f>2*0.2*0.95</f>
        <v>0.38</v>
      </c>
      <c r="H136" s="693" t="s">
        <v>163</v>
      </c>
      <c r="I136" s="664">
        <f t="shared" si="13"/>
        <v>0</v>
      </c>
      <c r="J136" s="730" t="s">
        <v>309</v>
      </c>
      <c r="K136" s="648" t="str">
        <f t="shared" ca="1" si="11"/>
        <v/>
      </c>
    </row>
    <row r="137" spans="1:16" ht="15" customHeight="1" x14ac:dyDescent="0.2">
      <c r="A137" s="688"/>
      <c r="B137" s="689" t="s">
        <v>2747</v>
      </c>
      <c r="C137" s="690"/>
      <c r="D137" s="691">
        <f>D136</f>
        <v>0</v>
      </c>
      <c r="E137" s="692"/>
      <c r="F137" s="662" t="s">
        <v>2776</v>
      </c>
      <c r="G137" s="692">
        <f>0.78</f>
        <v>0.78</v>
      </c>
      <c r="H137" s="693" t="s">
        <v>163</v>
      </c>
      <c r="I137" s="664">
        <f t="shared" si="13"/>
        <v>0</v>
      </c>
      <c r="J137" s="730" t="s">
        <v>309</v>
      </c>
      <c r="K137" s="648" t="str">
        <f t="shared" ref="K137:K168" ca="1" si="14">IF(AND(B137&lt;&gt;"",I137&lt;&gt;"",COUNTIF($C$490:$C$1030,B137)=0),"adic. à qtd","")</f>
        <v/>
      </c>
    </row>
    <row r="138" spans="1:16" ht="15" customHeight="1" x14ac:dyDescent="0.2">
      <c r="A138" s="688"/>
      <c r="B138" s="689" t="s">
        <v>318</v>
      </c>
      <c r="C138" s="690"/>
      <c r="D138" s="691">
        <f>D137</f>
        <v>0</v>
      </c>
      <c r="E138" s="692"/>
      <c r="F138" s="662" t="s">
        <v>2776</v>
      </c>
      <c r="G138" s="692">
        <v>48</v>
      </c>
      <c r="H138" s="693" t="s">
        <v>163</v>
      </c>
      <c r="I138" s="664">
        <f t="shared" si="13"/>
        <v>0</v>
      </c>
      <c r="J138" s="730" t="s">
        <v>6</v>
      </c>
      <c r="K138" s="648" t="str">
        <f t="shared" ca="1" si="14"/>
        <v/>
      </c>
    </row>
    <row r="139" spans="1:16" ht="15" customHeight="1" x14ac:dyDescent="0.2">
      <c r="A139" s="688"/>
      <c r="B139" s="689" t="s">
        <v>21651</v>
      </c>
      <c r="C139" s="690"/>
      <c r="D139" s="691">
        <f>D137</f>
        <v>0</v>
      </c>
      <c r="E139" s="692"/>
      <c r="F139" s="662" t="s">
        <v>2776</v>
      </c>
      <c r="G139" s="692">
        <f>7.78</f>
        <v>7.78</v>
      </c>
      <c r="H139" s="693" t="s">
        <v>163</v>
      </c>
      <c r="I139" s="664">
        <f t="shared" si="13"/>
        <v>0</v>
      </c>
      <c r="J139" s="730" t="s">
        <v>313</v>
      </c>
      <c r="K139" s="648" t="str">
        <f t="shared" ca="1" si="14"/>
        <v/>
      </c>
    </row>
    <row r="140" spans="1:16" ht="15" customHeight="1" x14ac:dyDescent="0.2">
      <c r="A140" s="688"/>
      <c r="B140" s="689" t="s">
        <v>2746</v>
      </c>
      <c r="C140" s="690"/>
      <c r="D140" s="691">
        <f>D139</f>
        <v>0</v>
      </c>
      <c r="E140" s="692"/>
      <c r="F140" s="662" t="s">
        <v>2776</v>
      </c>
      <c r="G140" s="692">
        <f>1</f>
        <v>1</v>
      </c>
      <c r="H140" s="693" t="s">
        <v>163</v>
      </c>
      <c r="I140" s="664">
        <f t="shared" si="13"/>
        <v>0</v>
      </c>
      <c r="J140" s="730" t="s">
        <v>313</v>
      </c>
      <c r="K140" s="648" t="str">
        <f t="shared" ca="1" si="14"/>
        <v/>
      </c>
    </row>
    <row r="141" spans="1:16" ht="15" customHeight="1" x14ac:dyDescent="0.2">
      <c r="A141" s="702"/>
      <c r="B141" s="703" t="s">
        <v>2787</v>
      </c>
      <c r="C141" s="704"/>
      <c r="D141" s="705">
        <f>D135</f>
        <v>0</v>
      </c>
      <c r="E141" s="706"/>
      <c r="F141" s="699" t="s">
        <v>2776</v>
      </c>
      <c r="G141" s="706">
        <f>2.4/1.2</f>
        <v>2</v>
      </c>
      <c r="H141" s="707" t="s">
        <v>163</v>
      </c>
      <c r="I141" s="734">
        <f t="shared" si="13"/>
        <v>0</v>
      </c>
      <c r="J141" s="735" t="s">
        <v>2</v>
      </c>
      <c r="K141" s="648" t="str">
        <f t="shared" ca="1" si="14"/>
        <v/>
      </c>
    </row>
    <row r="142" spans="1:16" ht="20.100000000000001" customHeight="1" x14ac:dyDescent="0.2">
      <c r="A142" s="736"/>
      <c r="B142" s="737"/>
      <c r="C142" s="738" t="s">
        <v>2797</v>
      </c>
      <c r="D142" s="739">
        <f>COUNTA(I134)</f>
        <v>0</v>
      </c>
      <c r="E142" s="737" t="s">
        <v>2798</v>
      </c>
      <c r="F142" s="740"/>
      <c r="G142" s="741"/>
      <c r="H142" s="737"/>
      <c r="I142" s="742"/>
      <c r="J142" s="743"/>
      <c r="K142" s="648" t="str">
        <f t="shared" ca="1" si="14"/>
        <v/>
      </c>
    </row>
    <row r="143" spans="1:16" ht="15" customHeight="1" x14ac:dyDescent="0.2">
      <c r="A143" s="688"/>
      <c r="B143" s="689" t="s">
        <v>316</v>
      </c>
      <c r="C143" s="690"/>
      <c r="D143" s="691">
        <f>D142</f>
        <v>0</v>
      </c>
      <c r="E143" s="692"/>
      <c r="F143" s="692" t="s">
        <v>2776</v>
      </c>
      <c r="G143" s="692">
        <v>0.91800000000000004</v>
      </c>
      <c r="H143" s="693" t="s">
        <v>163</v>
      </c>
      <c r="I143" s="694">
        <f>(D143*G143)</f>
        <v>0</v>
      </c>
      <c r="J143" s="730" t="s">
        <v>38</v>
      </c>
      <c r="K143" s="648" t="str">
        <f t="shared" ca="1" si="14"/>
        <v/>
      </c>
    </row>
    <row r="144" spans="1:16" ht="15" customHeight="1" x14ac:dyDescent="0.2">
      <c r="A144" s="688"/>
      <c r="B144" s="689" t="s">
        <v>2747</v>
      </c>
      <c r="C144" s="690"/>
      <c r="D144" s="691">
        <f>D142</f>
        <v>0</v>
      </c>
      <c r="E144" s="692"/>
      <c r="F144" s="662" t="s">
        <v>2776</v>
      </c>
      <c r="G144" s="692">
        <v>3.45</v>
      </c>
      <c r="H144" s="693" t="s">
        <v>163</v>
      </c>
      <c r="I144" s="664">
        <f>(D144*G144)</f>
        <v>0</v>
      </c>
      <c r="J144" s="730" t="s">
        <v>38</v>
      </c>
      <c r="K144" s="648" t="str">
        <f t="shared" ca="1" si="14"/>
        <v/>
      </c>
    </row>
    <row r="145" spans="1:16" ht="20.100000000000001" customHeight="1" x14ac:dyDescent="0.2">
      <c r="A145" s="736"/>
      <c r="B145" s="737"/>
      <c r="C145" s="738" t="s">
        <v>2799</v>
      </c>
      <c r="D145" s="739">
        <v>0</v>
      </c>
      <c r="E145" s="737" t="s">
        <v>2798</v>
      </c>
      <c r="F145" s="740"/>
      <c r="G145" s="741"/>
      <c r="H145" s="737"/>
      <c r="I145" s="742"/>
      <c r="J145" s="743"/>
      <c r="K145" s="648" t="str">
        <f t="shared" ca="1" si="14"/>
        <v/>
      </c>
    </row>
    <row r="146" spans="1:16" ht="15" customHeight="1" x14ac:dyDescent="0.2">
      <c r="A146" s="688"/>
      <c r="B146" s="689" t="s">
        <v>318</v>
      </c>
      <c r="C146" s="690"/>
      <c r="D146" s="691">
        <f>D145</f>
        <v>0</v>
      </c>
      <c r="E146" s="692"/>
      <c r="F146" s="662" t="s">
        <v>2776</v>
      </c>
      <c r="G146" s="692">
        <v>129</v>
      </c>
      <c r="H146" s="693" t="s">
        <v>163</v>
      </c>
      <c r="I146" s="664">
        <f>(D146*G146)</f>
        <v>0</v>
      </c>
      <c r="J146" s="730" t="s">
        <v>6</v>
      </c>
      <c r="K146" s="648" t="str">
        <f t="shared" ca="1" si="14"/>
        <v/>
      </c>
    </row>
    <row r="147" spans="1:16" s="211" customFormat="1" ht="15" customHeight="1" x14ac:dyDescent="0.2">
      <c r="A147" s="674" t="s">
        <v>2800</v>
      </c>
      <c r="B147" s="675"/>
      <c r="C147" s="675"/>
      <c r="D147" s="675"/>
      <c r="E147" s="675"/>
      <c r="F147" s="675"/>
      <c r="G147" s="675"/>
      <c r="H147" s="701"/>
      <c r="I147" s="677">
        <v>3</v>
      </c>
      <c r="J147" s="678" t="s">
        <v>3</v>
      </c>
      <c r="K147" s="648" t="str">
        <f t="shared" ca="1" si="14"/>
        <v/>
      </c>
      <c r="O147" s="203"/>
      <c r="P147" s="649"/>
    </row>
    <row r="148" spans="1:16" ht="20.100000000000001" customHeight="1" x14ac:dyDescent="0.2">
      <c r="A148" s="744"/>
      <c r="B148" s="710" t="s">
        <v>2760</v>
      </c>
      <c r="C148" s="711"/>
      <c r="D148" s="712">
        <v>2.76</v>
      </c>
      <c r="E148" s="710" t="s">
        <v>2</v>
      </c>
      <c r="F148" s="711"/>
      <c r="G148" s="683"/>
      <c r="H148" s="684"/>
      <c r="I148" s="713"/>
      <c r="J148" s="714"/>
      <c r="K148" s="648" t="str">
        <f t="shared" ca="1" si="14"/>
        <v/>
      </c>
    </row>
    <row r="149" spans="1:16" ht="15" customHeight="1" x14ac:dyDescent="0.2">
      <c r="A149" s="658"/>
      <c r="B149" s="659" t="s">
        <v>2781</v>
      </c>
      <c r="C149" s="660"/>
      <c r="D149" s="661">
        <f>I147</f>
        <v>3</v>
      </c>
      <c r="E149" s="662"/>
      <c r="F149" s="662" t="s">
        <v>106</v>
      </c>
      <c r="G149" s="663">
        <f>3.4*2*D148</f>
        <v>18.767999999999997</v>
      </c>
      <c r="H149" s="662" t="s">
        <v>163</v>
      </c>
      <c r="I149" s="664">
        <f t="shared" ref="I149:I158" si="15">(D149*G149)</f>
        <v>56.303999999999988</v>
      </c>
      <c r="J149" s="665" t="s">
        <v>309</v>
      </c>
      <c r="K149" s="648" t="str">
        <f t="shared" ca="1" si="14"/>
        <v/>
      </c>
    </row>
    <row r="150" spans="1:16" ht="15" customHeight="1" x14ac:dyDescent="0.2">
      <c r="A150" s="658"/>
      <c r="B150" s="659" t="s">
        <v>2801</v>
      </c>
      <c r="C150" s="660"/>
      <c r="D150" s="661">
        <f>I147</f>
        <v>3</v>
      </c>
      <c r="E150" s="662"/>
      <c r="F150" s="662" t="s">
        <v>106</v>
      </c>
      <c r="G150" s="663">
        <f>IF(D148&lt;=2,0,IF(D148&gt;2,(2*3.4*(D148-2))))</f>
        <v>5.1679999999999984</v>
      </c>
      <c r="H150" s="662" t="s">
        <v>163</v>
      </c>
      <c r="I150" s="664">
        <f t="shared" si="15"/>
        <v>15.503999999999994</v>
      </c>
      <c r="J150" s="665" t="s">
        <v>309</v>
      </c>
      <c r="K150" s="648" t="str">
        <f t="shared" ca="1" si="14"/>
        <v/>
      </c>
    </row>
    <row r="151" spans="1:16" ht="15" customHeight="1" x14ac:dyDescent="0.2">
      <c r="A151" s="658"/>
      <c r="B151" s="659" t="s">
        <v>311</v>
      </c>
      <c r="C151" s="660"/>
      <c r="D151" s="661">
        <f>I147</f>
        <v>3</v>
      </c>
      <c r="E151" s="662"/>
      <c r="F151" s="662" t="s">
        <v>106</v>
      </c>
      <c r="G151" s="663">
        <f>(2*((3.4*0.4)+(1.2*0.4)))*D148</f>
        <v>10.1568</v>
      </c>
      <c r="H151" s="662" t="s">
        <v>163</v>
      </c>
      <c r="I151" s="664">
        <f t="shared" si="15"/>
        <v>30.470400000000001</v>
      </c>
      <c r="J151" s="665" t="s">
        <v>309</v>
      </c>
      <c r="K151" s="648" t="str">
        <f t="shared" ca="1" si="14"/>
        <v/>
      </c>
    </row>
    <row r="152" spans="1:16" ht="15" customHeight="1" x14ac:dyDescent="0.2">
      <c r="A152" s="658"/>
      <c r="B152" s="659" t="s">
        <v>314</v>
      </c>
      <c r="C152" s="660"/>
      <c r="D152" s="661">
        <f>I147</f>
        <v>3</v>
      </c>
      <c r="E152" s="662"/>
      <c r="F152" s="662" t="s">
        <v>106</v>
      </c>
      <c r="G152" s="663">
        <f>IF(D148&gt;=2,10.8*D148,0)</f>
        <v>29.808</v>
      </c>
      <c r="H152" s="662" t="s">
        <v>163</v>
      </c>
      <c r="I152" s="664">
        <f t="shared" si="15"/>
        <v>89.424000000000007</v>
      </c>
      <c r="J152" s="665" t="s">
        <v>313</v>
      </c>
      <c r="K152" s="648" t="str">
        <f t="shared" ca="1" si="14"/>
        <v/>
      </c>
      <c r="L152" s="202" t="s">
        <v>106</v>
      </c>
    </row>
    <row r="153" spans="1:16" ht="15" customHeight="1" x14ac:dyDescent="0.2">
      <c r="A153" s="658"/>
      <c r="B153" s="659" t="s">
        <v>2754</v>
      </c>
      <c r="C153" s="660"/>
      <c r="D153" s="661">
        <f>I147</f>
        <v>3</v>
      </c>
      <c r="E153" s="662"/>
      <c r="F153" s="662" t="s">
        <v>106</v>
      </c>
      <c r="G153" s="663">
        <f>0.16*D148</f>
        <v>0.44159999999999999</v>
      </c>
      <c r="H153" s="662" t="s">
        <v>163</v>
      </c>
      <c r="I153" s="664">
        <f t="shared" si="15"/>
        <v>1.3248</v>
      </c>
      <c r="J153" s="665" t="s">
        <v>309</v>
      </c>
      <c r="K153" s="648" t="str">
        <f t="shared" ca="1" si="14"/>
        <v/>
      </c>
    </row>
    <row r="154" spans="1:16" ht="15" customHeight="1" x14ac:dyDescent="0.2">
      <c r="A154" s="658"/>
      <c r="B154" s="659" t="s">
        <v>2445</v>
      </c>
      <c r="C154" s="660"/>
      <c r="D154" s="661">
        <f>I147</f>
        <v>3</v>
      </c>
      <c r="E154" s="662"/>
      <c r="F154" s="662" t="s">
        <v>106</v>
      </c>
      <c r="G154" s="663">
        <f>((1+0.19+1)+(0.38)+0.6)*(0.8+(0.38)+0.6)</f>
        <v>5.6426000000000007</v>
      </c>
      <c r="H154" s="662" t="s">
        <v>163</v>
      </c>
      <c r="I154" s="664">
        <f t="shared" si="15"/>
        <v>16.927800000000001</v>
      </c>
      <c r="J154" s="665" t="s">
        <v>313</v>
      </c>
      <c r="K154" s="648" t="str">
        <f t="shared" ca="1" si="14"/>
        <v/>
      </c>
    </row>
    <row r="155" spans="1:16" ht="15" customHeight="1" x14ac:dyDescent="0.2">
      <c r="A155" s="658"/>
      <c r="B155" s="659" t="s">
        <v>317</v>
      </c>
      <c r="C155" s="660"/>
      <c r="D155" s="661">
        <f>I147</f>
        <v>3</v>
      </c>
      <c r="E155" s="662"/>
      <c r="F155" s="662" t="s">
        <v>106</v>
      </c>
      <c r="G155" s="663">
        <v>0.88</v>
      </c>
      <c r="H155" s="662" t="s">
        <v>163</v>
      </c>
      <c r="I155" s="664">
        <f t="shared" si="15"/>
        <v>2.64</v>
      </c>
      <c r="J155" s="665" t="s">
        <v>309</v>
      </c>
      <c r="K155" s="648" t="str">
        <f t="shared" ca="1" si="14"/>
        <v/>
      </c>
    </row>
    <row r="156" spans="1:16" ht="15" customHeight="1" x14ac:dyDescent="0.2">
      <c r="A156" s="658"/>
      <c r="B156" s="659" t="s">
        <v>316</v>
      </c>
      <c r="C156" s="660"/>
      <c r="D156" s="661">
        <f>I147</f>
        <v>3</v>
      </c>
      <c r="E156" s="662"/>
      <c r="F156" s="662" t="s">
        <v>106</v>
      </c>
      <c r="G156" s="663">
        <v>0.41</v>
      </c>
      <c r="H156" s="662" t="s">
        <v>163</v>
      </c>
      <c r="I156" s="664">
        <f t="shared" si="15"/>
        <v>1.23</v>
      </c>
      <c r="J156" s="665" t="s">
        <v>309</v>
      </c>
      <c r="K156" s="648" t="str">
        <f t="shared" ca="1" si="14"/>
        <v/>
      </c>
    </row>
    <row r="157" spans="1:16" ht="15" customHeight="1" x14ac:dyDescent="0.2">
      <c r="A157" s="658"/>
      <c r="B157" s="659" t="s">
        <v>318</v>
      </c>
      <c r="C157" s="660"/>
      <c r="D157" s="661">
        <f>I147</f>
        <v>3</v>
      </c>
      <c r="E157" s="662"/>
      <c r="F157" s="662" t="s">
        <v>106</v>
      </c>
      <c r="G157" s="663">
        <f>69+24*D148</f>
        <v>135.24</v>
      </c>
      <c r="H157" s="662" t="s">
        <v>163</v>
      </c>
      <c r="I157" s="664">
        <f t="shared" si="15"/>
        <v>405.72</v>
      </c>
      <c r="J157" s="665" t="s">
        <v>6</v>
      </c>
      <c r="K157" s="648" t="str">
        <f t="shared" ca="1" si="14"/>
        <v/>
      </c>
    </row>
    <row r="158" spans="1:16" ht="15" customHeight="1" x14ac:dyDescent="0.2">
      <c r="A158" s="658"/>
      <c r="B158" s="659" t="s">
        <v>21651</v>
      </c>
      <c r="C158" s="660"/>
      <c r="D158" s="661">
        <f>I147</f>
        <v>3</v>
      </c>
      <c r="E158" s="662"/>
      <c r="F158" s="662" t="s">
        <v>106</v>
      </c>
      <c r="G158" s="663">
        <v>6.39</v>
      </c>
      <c r="H158" s="662" t="s">
        <v>163</v>
      </c>
      <c r="I158" s="664">
        <f t="shared" si="15"/>
        <v>19.169999999999998</v>
      </c>
      <c r="J158" s="665" t="s">
        <v>313</v>
      </c>
      <c r="K158" s="648" t="str">
        <f t="shared" ca="1" si="14"/>
        <v/>
      </c>
    </row>
    <row r="159" spans="1:16" ht="15" customHeight="1" x14ac:dyDescent="0.2">
      <c r="A159" s="658"/>
      <c r="B159" s="659" t="s">
        <v>2802</v>
      </c>
      <c r="C159" s="660"/>
      <c r="D159" s="661">
        <f>I147</f>
        <v>3</v>
      </c>
      <c r="E159" s="662"/>
      <c r="F159" s="662" t="s">
        <v>106</v>
      </c>
      <c r="G159" s="663">
        <f>6.93*D148*0.19</f>
        <v>3.6340919999999999</v>
      </c>
      <c r="H159" s="662" t="s">
        <v>163</v>
      </c>
      <c r="I159" s="664">
        <f>(D159*G159)*0.19</f>
        <v>2.0714324400000002</v>
      </c>
      <c r="J159" s="665" t="s">
        <v>309</v>
      </c>
      <c r="K159" s="648" t="str">
        <f t="shared" ca="1" si="14"/>
        <v/>
      </c>
    </row>
    <row r="160" spans="1:16" ht="15" customHeight="1" x14ac:dyDescent="0.2">
      <c r="A160" s="658"/>
      <c r="B160" s="659" t="s">
        <v>2803</v>
      </c>
      <c r="C160" s="660"/>
      <c r="D160" s="661">
        <f>I147</f>
        <v>3</v>
      </c>
      <c r="E160" s="662"/>
      <c r="F160" s="662" t="s">
        <v>106</v>
      </c>
      <c r="G160" s="663">
        <f>6.36*D148</f>
        <v>17.553599999999999</v>
      </c>
      <c r="H160" s="662" t="s">
        <v>163</v>
      </c>
      <c r="I160" s="664">
        <f>(D160*G160)</f>
        <v>52.660799999999995</v>
      </c>
      <c r="J160" s="665" t="s">
        <v>313</v>
      </c>
      <c r="K160" s="648" t="str">
        <f t="shared" ca="1" si="14"/>
        <v/>
      </c>
    </row>
    <row r="161" spans="1:16" ht="15" customHeight="1" x14ac:dyDescent="0.2">
      <c r="A161" s="666"/>
      <c r="B161" s="696" t="s">
        <v>2757</v>
      </c>
      <c r="C161" s="697"/>
      <c r="D161" s="698">
        <f>I147</f>
        <v>3</v>
      </c>
      <c r="E161" s="699"/>
      <c r="F161" s="699" t="s">
        <v>106</v>
      </c>
      <c r="G161" s="700">
        <v>2</v>
      </c>
      <c r="H161" s="699" t="s">
        <v>163</v>
      </c>
      <c r="I161" s="664">
        <f>(D161*G161)</f>
        <v>6</v>
      </c>
      <c r="J161" s="665" t="s">
        <v>2</v>
      </c>
      <c r="K161" s="648" t="str">
        <f t="shared" ca="1" si="14"/>
        <v/>
      </c>
    </row>
    <row r="162" spans="1:16" s="211" customFormat="1" ht="15" customHeight="1" x14ac:dyDescent="0.2">
      <c r="A162" s="674" t="s">
        <v>2883</v>
      </c>
      <c r="B162" s="675"/>
      <c r="C162" s="675"/>
      <c r="D162" s="675"/>
      <c r="E162" s="675"/>
      <c r="F162" s="675"/>
      <c r="G162" s="675"/>
      <c r="H162" s="701"/>
      <c r="I162" s="677">
        <v>2</v>
      </c>
      <c r="J162" s="678" t="s">
        <v>3</v>
      </c>
      <c r="K162" s="648" t="str">
        <f t="shared" ca="1" si="14"/>
        <v/>
      </c>
      <c r="O162" s="203"/>
      <c r="P162" s="649"/>
    </row>
    <row r="163" spans="1:16" ht="20.100000000000001" customHeight="1" x14ac:dyDescent="0.2">
      <c r="A163" s="745"/>
      <c r="B163" s="681" t="s">
        <v>2760</v>
      </c>
      <c r="C163" s="746"/>
      <c r="D163" s="747">
        <v>2.5</v>
      </c>
      <c r="E163" s="681" t="s">
        <v>2</v>
      </c>
      <c r="F163" s="746"/>
      <c r="G163" s="748"/>
      <c r="H163" s="749"/>
      <c r="I163" s="750"/>
      <c r="J163" s="751"/>
      <c r="K163" s="648" t="str">
        <f t="shared" ca="1" si="14"/>
        <v/>
      </c>
    </row>
    <row r="164" spans="1:16" ht="15" customHeight="1" x14ac:dyDescent="0.2">
      <c r="A164" s="688"/>
      <c r="B164" s="689" t="s">
        <v>310</v>
      </c>
      <c r="C164" s="690"/>
      <c r="D164" s="691">
        <f>I162</f>
        <v>2</v>
      </c>
      <c r="E164" s="692"/>
      <c r="F164" s="692" t="s">
        <v>106</v>
      </c>
      <c r="G164" s="693">
        <f>4.6*2*D163</f>
        <v>23</v>
      </c>
      <c r="H164" s="692" t="s">
        <v>163</v>
      </c>
      <c r="I164" s="694">
        <f t="shared" ref="I164:I173" si="16">(D164*G164)</f>
        <v>46</v>
      </c>
      <c r="J164" s="695" t="s">
        <v>309</v>
      </c>
      <c r="K164" s="648" t="str">
        <f t="shared" ca="1" si="14"/>
        <v/>
      </c>
    </row>
    <row r="165" spans="1:16" ht="15" customHeight="1" x14ac:dyDescent="0.2">
      <c r="A165" s="658"/>
      <c r="B165" s="659" t="s">
        <v>2801</v>
      </c>
      <c r="C165" s="660"/>
      <c r="D165" s="661">
        <f>I162</f>
        <v>2</v>
      </c>
      <c r="E165" s="662"/>
      <c r="F165" s="662" t="s">
        <v>106</v>
      </c>
      <c r="G165" s="663">
        <f>IF(D163&lt;=2,0,IF(D163&gt;2,(2*4.6*(D163-2))))</f>
        <v>4.5999999999999996</v>
      </c>
      <c r="H165" s="662" t="s">
        <v>163</v>
      </c>
      <c r="I165" s="664">
        <f t="shared" si="16"/>
        <v>9.1999999999999993</v>
      </c>
      <c r="J165" s="665" t="s">
        <v>309</v>
      </c>
      <c r="K165" s="648" t="str">
        <f t="shared" ca="1" si="14"/>
        <v/>
      </c>
    </row>
    <row r="166" spans="1:16" ht="15" customHeight="1" x14ac:dyDescent="0.2">
      <c r="A166" s="658"/>
      <c r="B166" s="659" t="s">
        <v>311</v>
      </c>
      <c r="C166" s="660"/>
      <c r="D166" s="661">
        <f>I162</f>
        <v>2</v>
      </c>
      <c r="E166" s="662"/>
      <c r="F166" s="662" t="s">
        <v>106</v>
      </c>
      <c r="G166" s="663">
        <f>(2*((4.6*0.4)+(1.2*0.4)))*D163</f>
        <v>11.6</v>
      </c>
      <c r="H166" s="662" t="s">
        <v>163</v>
      </c>
      <c r="I166" s="664">
        <f t="shared" si="16"/>
        <v>23.2</v>
      </c>
      <c r="J166" s="665" t="s">
        <v>309</v>
      </c>
      <c r="K166" s="648" t="str">
        <f t="shared" ca="1" si="14"/>
        <v/>
      </c>
    </row>
    <row r="167" spans="1:16" ht="15" customHeight="1" x14ac:dyDescent="0.2">
      <c r="A167" s="658"/>
      <c r="B167" s="659" t="s">
        <v>314</v>
      </c>
      <c r="C167" s="660"/>
      <c r="D167" s="661">
        <f>I162</f>
        <v>2</v>
      </c>
      <c r="E167" s="662"/>
      <c r="F167" s="662" t="s">
        <v>106</v>
      </c>
      <c r="G167" s="663">
        <f>IF(D163&gt;=2,13.2*D163,0)</f>
        <v>33</v>
      </c>
      <c r="H167" s="662" t="s">
        <v>163</v>
      </c>
      <c r="I167" s="664">
        <f t="shared" si="16"/>
        <v>66</v>
      </c>
      <c r="J167" s="665" t="s">
        <v>313</v>
      </c>
      <c r="K167" s="648" t="str">
        <f t="shared" ca="1" si="14"/>
        <v/>
      </c>
      <c r="L167" s="202" t="s">
        <v>106</v>
      </c>
    </row>
    <row r="168" spans="1:16" ht="15" customHeight="1" x14ac:dyDescent="0.2">
      <c r="A168" s="658"/>
      <c r="B168" s="659" t="s">
        <v>2754</v>
      </c>
      <c r="C168" s="660"/>
      <c r="D168" s="661">
        <f>I162</f>
        <v>2</v>
      </c>
      <c r="E168" s="662"/>
      <c r="F168" s="662" t="s">
        <v>106</v>
      </c>
      <c r="G168" s="663">
        <f>0.27*D163</f>
        <v>0.67500000000000004</v>
      </c>
      <c r="H168" s="662" t="s">
        <v>163</v>
      </c>
      <c r="I168" s="664">
        <f t="shared" si="16"/>
        <v>1.35</v>
      </c>
      <c r="J168" s="665" t="s">
        <v>309</v>
      </c>
      <c r="K168" s="648" t="str">
        <f t="shared" ca="1" si="14"/>
        <v/>
      </c>
    </row>
    <row r="169" spans="1:16" ht="15" customHeight="1" x14ac:dyDescent="0.2">
      <c r="A169" s="658"/>
      <c r="B169" s="659" t="s">
        <v>2445</v>
      </c>
      <c r="C169" s="660"/>
      <c r="D169" s="661">
        <f>I162</f>
        <v>2</v>
      </c>
      <c r="E169" s="662"/>
      <c r="F169" s="662" t="s">
        <v>106</v>
      </c>
      <c r="G169" s="663">
        <f>((1+0.19+1+0.19+1)+(0.38)+0.6)*(0.8+(0.38)+0.6)</f>
        <v>7.7607999999999997</v>
      </c>
      <c r="H169" s="662" t="s">
        <v>163</v>
      </c>
      <c r="I169" s="664">
        <f t="shared" si="16"/>
        <v>15.521599999999999</v>
      </c>
      <c r="J169" s="665" t="s">
        <v>313</v>
      </c>
      <c r="K169" s="648" t="str">
        <f t="shared" ref="K169:K177" ca="1" si="17">IF(AND(B169&lt;&gt;"",I169&lt;&gt;"",COUNTIF($C$490:$C$1030,B169)=0),"adic. à qtd","")</f>
        <v/>
      </c>
    </row>
    <row r="170" spans="1:16" ht="15" customHeight="1" x14ac:dyDescent="0.2">
      <c r="A170" s="658"/>
      <c r="B170" s="659" t="s">
        <v>317</v>
      </c>
      <c r="C170" s="660"/>
      <c r="D170" s="661">
        <f>I162</f>
        <v>2</v>
      </c>
      <c r="E170" s="662"/>
      <c r="F170" s="662" t="s">
        <v>106</v>
      </c>
      <c r="G170" s="663">
        <v>1.26</v>
      </c>
      <c r="H170" s="662" t="s">
        <v>163</v>
      </c>
      <c r="I170" s="664">
        <f t="shared" si="16"/>
        <v>2.52</v>
      </c>
      <c r="J170" s="665" t="s">
        <v>309</v>
      </c>
      <c r="K170" s="648" t="str">
        <f t="shared" ca="1" si="17"/>
        <v/>
      </c>
    </row>
    <row r="171" spans="1:16" ht="15" customHeight="1" x14ac:dyDescent="0.2">
      <c r="A171" s="658"/>
      <c r="B171" s="659" t="s">
        <v>316</v>
      </c>
      <c r="C171" s="660"/>
      <c r="D171" s="661">
        <f>I162</f>
        <v>2</v>
      </c>
      <c r="E171" s="662"/>
      <c r="F171" s="662" t="s">
        <v>106</v>
      </c>
      <c r="G171" s="663">
        <v>0.62</v>
      </c>
      <c r="H171" s="662" t="s">
        <v>163</v>
      </c>
      <c r="I171" s="664">
        <f t="shared" si="16"/>
        <v>1.24</v>
      </c>
      <c r="J171" s="665" t="s">
        <v>309</v>
      </c>
      <c r="K171" s="648" t="str">
        <f t="shared" ca="1" si="17"/>
        <v/>
      </c>
    </row>
    <row r="172" spans="1:16" ht="15" customHeight="1" x14ac:dyDescent="0.2">
      <c r="A172" s="658"/>
      <c r="B172" s="659" t="s">
        <v>318</v>
      </c>
      <c r="C172" s="660"/>
      <c r="D172" s="661">
        <f>I162</f>
        <v>2</v>
      </c>
      <c r="E172" s="662"/>
      <c r="F172" s="662" t="s">
        <v>106</v>
      </c>
      <c r="G172" s="663">
        <f>99+32*D163</f>
        <v>179</v>
      </c>
      <c r="H172" s="662" t="s">
        <v>163</v>
      </c>
      <c r="I172" s="664">
        <f t="shared" si="16"/>
        <v>358</v>
      </c>
      <c r="J172" s="665" t="s">
        <v>6</v>
      </c>
      <c r="K172" s="648" t="str">
        <f t="shared" ca="1" si="17"/>
        <v/>
      </c>
    </row>
    <row r="173" spans="1:16" ht="15" customHeight="1" x14ac:dyDescent="0.2">
      <c r="A173" s="658"/>
      <c r="B173" s="659" t="s">
        <v>21651</v>
      </c>
      <c r="C173" s="660"/>
      <c r="D173" s="661">
        <f>I162</f>
        <v>2</v>
      </c>
      <c r="E173" s="662"/>
      <c r="F173" s="662" t="s">
        <v>106</v>
      </c>
      <c r="G173" s="663">
        <v>9.2200000000000006</v>
      </c>
      <c r="H173" s="662" t="s">
        <v>163</v>
      </c>
      <c r="I173" s="664">
        <f t="shared" si="16"/>
        <v>18.440000000000001</v>
      </c>
      <c r="J173" s="665" t="s">
        <v>313</v>
      </c>
      <c r="K173" s="648" t="str">
        <f t="shared" ca="1" si="17"/>
        <v/>
      </c>
    </row>
    <row r="174" spans="1:16" ht="15" customHeight="1" x14ac:dyDescent="0.2">
      <c r="A174" s="658"/>
      <c r="B174" s="659" t="s">
        <v>2802</v>
      </c>
      <c r="C174" s="660"/>
      <c r="D174" s="661">
        <f>I162</f>
        <v>2</v>
      </c>
      <c r="E174" s="662"/>
      <c r="F174" s="662" t="s">
        <v>106</v>
      </c>
      <c r="G174" s="663">
        <f>9.5*D163</f>
        <v>23.75</v>
      </c>
      <c r="H174" s="662" t="s">
        <v>163</v>
      </c>
      <c r="I174" s="664">
        <f>(D174*G174)*0.19</f>
        <v>9.0250000000000004</v>
      </c>
      <c r="J174" s="665" t="s">
        <v>309</v>
      </c>
      <c r="K174" s="648" t="str">
        <f t="shared" ca="1" si="17"/>
        <v/>
      </c>
    </row>
    <row r="175" spans="1:16" ht="15" customHeight="1" x14ac:dyDescent="0.2">
      <c r="A175" s="658"/>
      <c r="B175" s="659" t="s">
        <v>2803</v>
      </c>
      <c r="C175" s="660"/>
      <c r="D175" s="661">
        <f>I162</f>
        <v>2</v>
      </c>
      <c r="E175" s="662"/>
      <c r="F175" s="662" t="s">
        <v>106</v>
      </c>
      <c r="G175" s="663">
        <f>9.12*D163</f>
        <v>22.799999999999997</v>
      </c>
      <c r="H175" s="662" t="s">
        <v>163</v>
      </c>
      <c r="I175" s="664">
        <f>(D175*G175)</f>
        <v>45.599999999999994</v>
      </c>
      <c r="J175" s="665" t="s">
        <v>313</v>
      </c>
      <c r="K175" s="648" t="str">
        <f t="shared" ca="1" si="17"/>
        <v/>
      </c>
    </row>
    <row r="176" spans="1:16" ht="15" customHeight="1" x14ac:dyDescent="0.2">
      <c r="A176" s="666"/>
      <c r="B176" s="696" t="s">
        <v>2757</v>
      </c>
      <c r="C176" s="697"/>
      <c r="D176" s="698">
        <f>I162</f>
        <v>2</v>
      </c>
      <c r="E176" s="699"/>
      <c r="F176" s="699" t="s">
        <v>106</v>
      </c>
      <c r="G176" s="700">
        <v>3</v>
      </c>
      <c r="H176" s="699" t="s">
        <v>163</v>
      </c>
      <c r="I176" s="664">
        <f>(D176*G176)</f>
        <v>6</v>
      </c>
      <c r="J176" s="665" t="s">
        <v>2</v>
      </c>
      <c r="K176" s="648" t="str">
        <f t="shared" ca="1" si="17"/>
        <v/>
      </c>
    </row>
    <row r="177" spans="1:16" s="211" customFormat="1" ht="15" customHeight="1" x14ac:dyDescent="0.2">
      <c r="A177" s="674" t="s">
        <v>2804</v>
      </c>
      <c r="B177" s="675"/>
      <c r="C177" s="675"/>
      <c r="D177" s="675"/>
      <c r="E177" s="675"/>
      <c r="F177" s="675"/>
      <c r="G177" s="675"/>
      <c r="H177" s="701"/>
      <c r="I177" s="677"/>
      <c r="J177" s="678" t="s">
        <v>3</v>
      </c>
      <c r="K177" s="648" t="str">
        <f t="shared" ca="1" si="17"/>
        <v/>
      </c>
      <c r="O177" s="203"/>
      <c r="P177" s="649"/>
    </row>
    <row r="178" spans="1:16" ht="15" customHeight="1" x14ac:dyDescent="0.2">
      <c r="A178" s="658"/>
      <c r="B178" s="659" t="s">
        <v>2805</v>
      </c>
      <c r="C178" s="660"/>
      <c r="D178" s="661">
        <f>I177</f>
        <v>0</v>
      </c>
      <c r="E178" s="662"/>
      <c r="F178" s="662" t="s">
        <v>2776</v>
      </c>
      <c r="G178" s="663">
        <v>0.11</v>
      </c>
      <c r="H178" s="662" t="s">
        <v>163</v>
      </c>
      <c r="I178" s="664">
        <f>(D178*G178)</f>
        <v>0</v>
      </c>
      <c r="J178" s="665" t="s">
        <v>309</v>
      </c>
    </row>
    <row r="179" spans="1:16" ht="15" customHeight="1" x14ac:dyDescent="0.2">
      <c r="A179" s="658"/>
      <c r="B179" s="659" t="s">
        <v>317</v>
      </c>
      <c r="C179" s="660"/>
      <c r="D179" s="661">
        <f>I177</f>
        <v>0</v>
      </c>
      <c r="E179" s="662"/>
      <c r="F179" s="662" t="s">
        <v>2776</v>
      </c>
      <c r="G179" s="663">
        <v>0.91</v>
      </c>
      <c r="H179" s="662" t="s">
        <v>163</v>
      </c>
      <c r="I179" s="664">
        <f>(D179*G179)</f>
        <v>0</v>
      </c>
      <c r="J179" s="665" t="s">
        <v>309</v>
      </c>
      <c r="K179" s="648" t="str">
        <f t="shared" ref="K179:K210" ca="1" si="18">IF(AND(B179&lt;&gt;"",I179&lt;&gt;"",COUNTIF($C$490:$C$1030,B179)=0),"adic. à qtd","")</f>
        <v/>
      </c>
    </row>
    <row r="180" spans="1:16" ht="15" customHeight="1" x14ac:dyDescent="0.2">
      <c r="A180" s="658"/>
      <c r="B180" s="659" t="s">
        <v>318</v>
      </c>
      <c r="C180" s="660"/>
      <c r="D180" s="661">
        <f>I177</f>
        <v>0</v>
      </c>
      <c r="E180" s="662"/>
      <c r="F180" s="662" t="s">
        <v>2776</v>
      </c>
      <c r="G180" s="663">
        <v>49.85</v>
      </c>
      <c r="H180" s="662" t="s">
        <v>163</v>
      </c>
      <c r="I180" s="664">
        <f>(D180*G180)</f>
        <v>0</v>
      </c>
      <c r="J180" s="665" t="s">
        <v>6</v>
      </c>
      <c r="K180" s="648" t="str">
        <f t="shared" ca="1" si="18"/>
        <v/>
      </c>
    </row>
    <row r="181" spans="1:16" ht="15" customHeight="1" x14ac:dyDescent="0.2">
      <c r="A181" s="658"/>
      <c r="B181" s="659" t="s">
        <v>21651</v>
      </c>
      <c r="C181" s="660"/>
      <c r="D181" s="661">
        <f>I177</f>
        <v>0</v>
      </c>
      <c r="E181" s="662"/>
      <c r="F181" s="662" t="s">
        <v>2776</v>
      </c>
      <c r="G181" s="663">
        <v>9.2100000000000009</v>
      </c>
      <c r="H181" s="662" t="s">
        <v>163</v>
      </c>
      <c r="I181" s="664">
        <f>(D181*G181)</f>
        <v>0</v>
      </c>
      <c r="J181" s="665" t="s">
        <v>313</v>
      </c>
      <c r="K181" s="648" t="str">
        <f t="shared" ca="1" si="18"/>
        <v/>
      </c>
    </row>
    <row r="182" spans="1:16" ht="15" customHeight="1" x14ac:dyDescent="0.2">
      <c r="A182" s="666"/>
      <c r="B182" s="696" t="s">
        <v>2757</v>
      </c>
      <c r="C182" s="697"/>
      <c r="D182" s="698">
        <f>I177</f>
        <v>0</v>
      </c>
      <c r="E182" s="699"/>
      <c r="F182" s="699" t="s">
        <v>2776</v>
      </c>
      <c r="G182" s="700">
        <v>2</v>
      </c>
      <c r="H182" s="699" t="s">
        <v>163</v>
      </c>
      <c r="I182" s="664">
        <f>(D182*G182)</f>
        <v>0</v>
      </c>
      <c r="J182" s="665" t="s">
        <v>2</v>
      </c>
      <c r="K182" s="648" t="str">
        <f t="shared" ca="1" si="18"/>
        <v/>
      </c>
    </row>
    <row r="183" spans="1:16" s="211" customFormat="1" ht="15" customHeight="1" x14ac:dyDescent="0.2">
      <c r="A183" s="674" t="s">
        <v>2806</v>
      </c>
      <c r="B183" s="675"/>
      <c r="C183" s="675"/>
      <c r="D183" s="675"/>
      <c r="E183" s="675"/>
      <c r="F183" s="675"/>
      <c r="G183" s="675"/>
      <c r="H183" s="701"/>
      <c r="I183" s="677"/>
      <c r="J183" s="678" t="s">
        <v>3</v>
      </c>
      <c r="K183" s="648" t="str">
        <f t="shared" ca="1" si="18"/>
        <v/>
      </c>
      <c r="O183" s="203"/>
      <c r="P183" s="649"/>
    </row>
    <row r="184" spans="1:16" ht="20.100000000000001" customHeight="1" x14ac:dyDescent="0.2">
      <c r="A184" s="716"/>
      <c r="B184" s="752" t="s">
        <v>46</v>
      </c>
      <c r="C184" s="753"/>
      <c r="D184" s="754"/>
      <c r="E184" s="754"/>
      <c r="F184" s="755"/>
      <c r="G184" s="756" t="s">
        <v>2807</v>
      </c>
      <c r="H184" s="1052">
        <f>0.25+H185+D185</f>
        <v>2.5</v>
      </c>
      <c r="I184" s="757"/>
      <c r="J184" s="758"/>
      <c r="K184" s="648" t="str">
        <f t="shared" ca="1" si="18"/>
        <v/>
      </c>
    </row>
    <row r="185" spans="1:16" ht="20.100000000000001" customHeight="1" x14ac:dyDescent="0.2">
      <c r="A185" s="759"/>
      <c r="B185" s="760"/>
      <c r="C185" s="761" t="s">
        <v>2808</v>
      </c>
      <c r="D185" s="762">
        <v>0.9</v>
      </c>
      <c r="E185" s="763" t="s">
        <v>2</v>
      </c>
      <c r="F185" s="764"/>
      <c r="G185" s="762" t="s">
        <v>2809</v>
      </c>
      <c r="H185" s="762">
        <v>1.35</v>
      </c>
      <c r="I185" s="765" t="s">
        <v>2</v>
      </c>
      <c r="J185" s="766"/>
      <c r="K185" s="648" t="str">
        <f t="shared" ca="1" si="18"/>
        <v/>
      </c>
    </row>
    <row r="186" spans="1:16" ht="15" customHeight="1" x14ac:dyDescent="0.2">
      <c r="A186" s="688"/>
      <c r="B186" s="689" t="s">
        <v>2781</v>
      </c>
      <c r="C186" s="690"/>
      <c r="D186" s="691">
        <f>I183</f>
        <v>0</v>
      </c>
      <c r="E186" s="692"/>
      <c r="F186" s="692" t="s">
        <v>106</v>
      </c>
      <c r="G186" s="693">
        <f>2.58*2.58*(D185+H185+0.05+2*0.2)</f>
        <v>17.972280000000001</v>
      </c>
      <c r="H186" s="692" t="s">
        <v>163</v>
      </c>
      <c r="I186" s="694">
        <f t="shared" ref="I186:I195" si="19">(D186*G186)</f>
        <v>0</v>
      </c>
      <c r="J186" s="695" t="s">
        <v>309</v>
      </c>
      <c r="K186" s="648" t="str">
        <f t="shared" ca="1" si="18"/>
        <v/>
      </c>
    </row>
    <row r="187" spans="1:16" ht="15" customHeight="1" x14ac:dyDescent="0.2">
      <c r="A187" s="658"/>
      <c r="B187" s="659" t="s">
        <v>311</v>
      </c>
      <c r="C187" s="660"/>
      <c r="D187" s="661">
        <f>I183</f>
        <v>0</v>
      </c>
      <c r="E187" s="662"/>
      <c r="F187" s="662" t="s">
        <v>106</v>
      </c>
      <c r="G187" s="663">
        <f>G186-(1.78*1.78*(H185+0.05+2*0.2))-(0.98*0.98*D185)</f>
        <v>11.4048</v>
      </c>
      <c r="H187" s="662" t="s">
        <v>163</v>
      </c>
      <c r="I187" s="664">
        <f t="shared" si="19"/>
        <v>0</v>
      </c>
      <c r="J187" s="665" t="s">
        <v>309</v>
      </c>
      <c r="K187" s="648" t="str">
        <f t="shared" ca="1" si="18"/>
        <v/>
      </c>
    </row>
    <row r="188" spans="1:16" ht="15" customHeight="1" x14ac:dyDescent="0.2">
      <c r="A188" s="658"/>
      <c r="B188" s="659" t="s">
        <v>314</v>
      </c>
      <c r="C188" s="660"/>
      <c r="D188" s="661">
        <f>I183</f>
        <v>0</v>
      </c>
      <c r="E188" s="662"/>
      <c r="F188" s="662" t="s">
        <v>106</v>
      </c>
      <c r="G188" s="663">
        <f>IF((E184+0.05+0.2)&gt;=2,(2.58*4*(I184+I185+0.05+2*0.2)),0)</f>
        <v>0</v>
      </c>
      <c r="H188" s="662" t="s">
        <v>163</v>
      </c>
      <c r="I188" s="664">
        <f t="shared" si="19"/>
        <v>0</v>
      </c>
      <c r="J188" s="665" t="s">
        <v>309</v>
      </c>
      <c r="K188" s="648" t="str">
        <f t="shared" ca="1" si="18"/>
        <v/>
      </c>
    </row>
    <row r="189" spans="1:16" ht="15" customHeight="1" x14ac:dyDescent="0.2">
      <c r="A189" s="658"/>
      <c r="B189" s="659" t="s">
        <v>2754</v>
      </c>
      <c r="C189" s="660"/>
      <c r="D189" s="661">
        <f>I183</f>
        <v>0</v>
      </c>
      <c r="E189" s="662"/>
      <c r="F189" s="662" t="s">
        <v>106</v>
      </c>
      <c r="G189" s="663">
        <f>0.22+0.22*H185+0.14*D185</f>
        <v>0.64300000000000002</v>
      </c>
      <c r="H189" s="662" t="s">
        <v>163</v>
      </c>
      <c r="I189" s="664">
        <f t="shared" si="19"/>
        <v>0</v>
      </c>
      <c r="J189" s="665" t="s">
        <v>313</v>
      </c>
      <c r="K189" s="648" t="str">
        <f t="shared" ca="1" si="18"/>
        <v/>
      </c>
    </row>
    <row r="190" spans="1:16" ht="15" customHeight="1" x14ac:dyDescent="0.2">
      <c r="A190" s="658"/>
      <c r="B190" s="659" t="s">
        <v>316</v>
      </c>
      <c r="C190" s="660"/>
      <c r="D190" s="661">
        <f>I183</f>
        <v>0</v>
      </c>
      <c r="E190" s="662"/>
      <c r="F190" s="662" t="s">
        <v>106</v>
      </c>
      <c r="G190" s="663">
        <v>0.56999999999999995</v>
      </c>
      <c r="H190" s="662" t="s">
        <v>163</v>
      </c>
      <c r="I190" s="664">
        <f t="shared" si="19"/>
        <v>0</v>
      </c>
      <c r="J190" s="665" t="s">
        <v>309</v>
      </c>
      <c r="K190" s="648" t="str">
        <f t="shared" ca="1" si="18"/>
        <v/>
      </c>
    </row>
    <row r="191" spans="1:16" ht="15" customHeight="1" x14ac:dyDescent="0.2">
      <c r="A191" s="658"/>
      <c r="B191" s="659" t="s">
        <v>317</v>
      </c>
      <c r="C191" s="660"/>
      <c r="D191" s="661">
        <f>I183</f>
        <v>0</v>
      </c>
      <c r="E191" s="662"/>
      <c r="F191" s="662" t="s">
        <v>106</v>
      </c>
      <c r="G191" s="663">
        <v>1.35</v>
      </c>
      <c r="H191" s="662" t="s">
        <v>163</v>
      </c>
      <c r="I191" s="664">
        <f t="shared" si="19"/>
        <v>0</v>
      </c>
      <c r="J191" s="665" t="s">
        <v>39</v>
      </c>
      <c r="K191" s="648" t="str">
        <f t="shared" ca="1" si="18"/>
        <v/>
      </c>
    </row>
    <row r="192" spans="1:16" ht="15" customHeight="1" x14ac:dyDescent="0.2">
      <c r="A192" s="658"/>
      <c r="B192" s="659" t="s">
        <v>318</v>
      </c>
      <c r="C192" s="660"/>
      <c r="D192" s="661">
        <f>I183</f>
        <v>0</v>
      </c>
      <c r="E192" s="662"/>
      <c r="F192" s="662" t="s">
        <v>106</v>
      </c>
      <c r="G192" s="663">
        <f>129+33*H185+6*D185</f>
        <v>178.95000000000002</v>
      </c>
      <c r="H192" s="662" t="s">
        <v>163</v>
      </c>
      <c r="I192" s="664">
        <f t="shared" si="19"/>
        <v>0</v>
      </c>
      <c r="J192" s="665" t="s">
        <v>309</v>
      </c>
      <c r="K192" s="648" t="str">
        <f t="shared" ca="1" si="18"/>
        <v/>
      </c>
    </row>
    <row r="193" spans="1:16" ht="15" customHeight="1" x14ac:dyDescent="0.2">
      <c r="A193" s="658"/>
      <c r="B193" s="659" t="s">
        <v>21651</v>
      </c>
      <c r="C193" s="660"/>
      <c r="D193" s="661">
        <f>I183</f>
        <v>0</v>
      </c>
      <c r="E193" s="662"/>
      <c r="F193" s="662" t="s">
        <v>106</v>
      </c>
      <c r="G193" s="663">
        <v>7.3</v>
      </c>
      <c r="H193" s="662" t="s">
        <v>163</v>
      </c>
      <c r="I193" s="664">
        <f t="shared" si="19"/>
        <v>0</v>
      </c>
      <c r="J193" s="665" t="s">
        <v>309</v>
      </c>
      <c r="K193" s="648" t="str">
        <f t="shared" ca="1" si="18"/>
        <v/>
      </c>
    </row>
    <row r="194" spans="1:16" ht="15" customHeight="1" x14ac:dyDescent="0.2">
      <c r="A194" s="658"/>
      <c r="B194" s="659" t="s">
        <v>2810</v>
      </c>
      <c r="C194" s="660"/>
      <c r="D194" s="661">
        <f>I183</f>
        <v>0</v>
      </c>
      <c r="E194" s="662"/>
      <c r="F194" s="662" t="s">
        <v>106</v>
      </c>
      <c r="G194" s="663">
        <f>6.36*H185+3.16*D185</f>
        <v>11.43</v>
      </c>
      <c r="H194" s="662" t="s">
        <v>163</v>
      </c>
      <c r="I194" s="664">
        <f t="shared" si="19"/>
        <v>0</v>
      </c>
      <c r="J194" s="665" t="s">
        <v>6</v>
      </c>
      <c r="K194" s="648" t="str">
        <f t="shared" ca="1" si="18"/>
        <v/>
      </c>
    </row>
    <row r="195" spans="1:16" ht="15" customHeight="1" x14ac:dyDescent="0.2">
      <c r="A195" s="658"/>
      <c r="B195" s="659" t="s">
        <v>2446</v>
      </c>
      <c r="C195" s="660"/>
      <c r="D195" s="661">
        <f>I183</f>
        <v>0</v>
      </c>
      <c r="E195" s="662"/>
      <c r="F195" s="662" t="s">
        <v>106</v>
      </c>
      <c r="G195" s="663">
        <f>5.6*H185+3.16*D185</f>
        <v>10.404</v>
      </c>
      <c r="H195" s="662" t="s">
        <v>163</v>
      </c>
      <c r="I195" s="664">
        <f t="shared" si="19"/>
        <v>0</v>
      </c>
      <c r="J195" s="665" t="s">
        <v>313</v>
      </c>
      <c r="K195" s="648" t="str">
        <f t="shared" ca="1" si="18"/>
        <v/>
      </c>
    </row>
    <row r="196" spans="1:16" ht="15" customHeight="1" x14ac:dyDescent="0.2">
      <c r="A196" s="658"/>
      <c r="B196" s="659" t="s">
        <v>2811</v>
      </c>
      <c r="C196" s="660"/>
      <c r="D196" s="661">
        <f>I183</f>
        <v>0</v>
      </c>
      <c r="E196" s="662"/>
      <c r="F196" s="662" t="s">
        <v>106</v>
      </c>
      <c r="G196" s="663">
        <v>1</v>
      </c>
      <c r="H196" s="662" t="s">
        <v>163</v>
      </c>
      <c r="I196" s="664">
        <f>(D196*G196)*0.19</f>
        <v>0</v>
      </c>
      <c r="J196" s="665" t="s">
        <v>309</v>
      </c>
      <c r="K196" s="648" t="str">
        <f t="shared" ca="1" si="18"/>
        <v/>
      </c>
    </row>
    <row r="197" spans="1:16" s="211" customFormat="1" ht="15" customHeight="1" x14ac:dyDescent="0.2">
      <c r="A197" s="674" t="s">
        <v>2812</v>
      </c>
      <c r="B197" s="675"/>
      <c r="C197" s="675"/>
      <c r="D197" s="675"/>
      <c r="E197" s="675"/>
      <c r="F197" s="675"/>
      <c r="G197" s="675"/>
      <c r="H197" s="701"/>
      <c r="I197" s="677"/>
      <c r="J197" s="678" t="s">
        <v>3</v>
      </c>
      <c r="K197" s="648" t="str">
        <f t="shared" ca="1" si="18"/>
        <v/>
      </c>
      <c r="O197" s="203"/>
      <c r="P197" s="649"/>
    </row>
    <row r="198" spans="1:16" ht="20.100000000000001" customHeight="1" x14ac:dyDescent="0.2">
      <c r="A198" s="716"/>
      <c r="B198" s="752" t="s">
        <v>46</v>
      </c>
      <c r="C198" s="753"/>
      <c r="D198" s="754"/>
      <c r="E198" s="754"/>
      <c r="F198" s="755"/>
      <c r="G198" s="756" t="s">
        <v>2807</v>
      </c>
      <c r="H198" s="1052">
        <f>0.25+H199+D199</f>
        <v>2.23</v>
      </c>
      <c r="I198" s="757"/>
      <c r="J198" s="758"/>
      <c r="K198" s="648" t="str">
        <f t="shared" ca="1" si="18"/>
        <v/>
      </c>
    </row>
    <row r="199" spans="1:16" ht="20.100000000000001" customHeight="1" x14ac:dyDescent="0.2">
      <c r="A199" s="759"/>
      <c r="B199" s="760"/>
      <c r="C199" s="761" t="s">
        <v>2808</v>
      </c>
      <c r="D199" s="762">
        <v>0.3</v>
      </c>
      <c r="E199" s="763" t="s">
        <v>2</v>
      </c>
      <c r="F199" s="764"/>
      <c r="G199" s="762" t="s">
        <v>2809</v>
      </c>
      <c r="H199" s="762">
        <v>1.68</v>
      </c>
      <c r="I199" s="765" t="s">
        <v>2</v>
      </c>
      <c r="J199" s="766"/>
      <c r="K199" s="648" t="str">
        <f t="shared" ca="1" si="18"/>
        <v/>
      </c>
    </row>
    <row r="200" spans="1:16" ht="15" customHeight="1" x14ac:dyDescent="0.2">
      <c r="A200" s="688"/>
      <c r="B200" s="689" t="s">
        <v>2781</v>
      </c>
      <c r="C200" s="690"/>
      <c r="D200" s="691">
        <f>I197</f>
        <v>0</v>
      </c>
      <c r="E200" s="692"/>
      <c r="F200" s="692" t="s">
        <v>106</v>
      </c>
      <c r="G200" s="693">
        <f>(H199+0.6)*2.2*H198</f>
        <v>11.18568</v>
      </c>
      <c r="H200" s="692" t="s">
        <v>163</v>
      </c>
      <c r="I200" s="694">
        <f t="shared" ref="I200:I209" si="20">(D200*G200)</f>
        <v>0</v>
      </c>
      <c r="J200" s="695" t="s">
        <v>309</v>
      </c>
      <c r="K200" s="648" t="str">
        <f t="shared" ca="1" si="18"/>
        <v/>
      </c>
    </row>
    <row r="201" spans="1:16" ht="15" customHeight="1" x14ac:dyDescent="0.2">
      <c r="A201" s="658"/>
      <c r="B201" s="659" t="s">
        <v>2801</v>
      </c>
      <c r="C201" s="660"/>
      <c r="D201" s="661">
        <f>I197</f>
        <v>0</v>
      </c>
      <c r="E201" s="662"/>
      <c r="F201" s="662" t="s">
        <v>106</v>
      </c>
      <c r="G201" s="663">
        <f>IF(H198&lt;=2,"",IF(H198&gt;2,(H199+0.6)*2.2*(H198-2)))</f>
        <v>1.1536799999999998</v>
      </c>
      <c r="H201" s="662" t="s">
        <v>163</v>
      </c>
      <c r="I201" s="664">
        <f t="shared" si="20"/>
        <v>0</v>
      </c>
      <c r="J201" s="665" t="s">
        <v>309</v>
      </c>
      <c r="K201" s="648" t="str">
        <f t="shared" ca="1" si="18"/>
        <v/>
      </c>
    </row>
    <row r="202" spans="1:16" ht="15" customHeight="1" x14ac:dyDescent="0.2">
      <c r="A202" s="658"/>
      <c r="B202" s="659" t="s">
        <v>311</v>
      </c>
      <c r="C202" s="660"/>
      <c r="D202" s="661">
        <f>I197</f>
        <v>0</v>
      </c>
      <c r="E202" s="662"/>
      <c r="F202" s="662" t="s">
        <v>106</v>
      </c>
      <c r="G202" s="663">
        <f>(2*((2.2*0.4)+((H199-0.2)*0.4))*H198)</f>
        <v>6.5651199999999994</v>
      </c>
      <c r="H202" s="662" t="s">
        <v>163</v>
      </c>
      <c r="I202" s="664">
        <f t="shared" si="20"/>
        <v>0</v>
      </c>
      <c r="J202" s="665" t="s">
        <v>309</v>
      </c>
      <c r="K202" s="648" t="str">
        <f t="shared" ca="1" si="18"/>
        <v/>
      </c>
    </row>
    <row r="203" spans="1:16" ht="15" customHeight="1" x14ac:dyDescent="0.2">
      <c r="A203" s="658"/>
      <c r="B203" s="659" t="s">
        <v>314</v>
      </c>
      <c r="C203" s="660"/>
      <c r="D203" s="661">
        <f>I197</f>
        <v>0</v>
      </c>
      <c r="E203" s="662"/>
      <c r="F203" s="662" t="s">
        <v>106</v>
      </c>
      <c r="G203" s="663">
        <f>IF(H198&gt;=2,(4.4+2*(H199+0.6))*H198,0)</f>
        <v>19.980800000000002</v>
      </c>
      <c r="H203" s="662" t="s">
        <v>163</v>
      </c>
      <c r="I203" s="664">
        <f t="shared" si="20"/>
        <v>0</v>
      </c>
      <c r="J203" s="665" t="s">
        <v>313</v>
      </c>
      <c r="K203" s="648" t="str">
        <f t="shared" ca="1" si="18"/>
        <v/>
      </c>
    </row>
    <row r="204" spans="1:16" ht="15" customHeight="1" x14ac:dyDescent="0.2">
      <c r="A204" s="658"/>
      <c r="B204" s="659" t="s">
        <v>2754</v>
      </c>
      <c r="C204" s="660"/>
      <c r="D204" s="661">
        <f>I197</f>
        <v>0</v>
      </c>
      <c r="E204" s="662"/>
      <c r="F204" s="662" t="s">
        <v>106</v>
      </c>
      <c r="G204" s="663">
        <f>0.19+0.18*H199+0.14*D199</f>
        <v>0.53439999999999999</v>
      </c>
      <c r="H204" s="662" t="s">
        <v>163</v>
      </c>
      <c r="I204" s="664">
        <f t="shared" si="20"/>
        <v>0</v>
      </c>
      <c r="J204" s="665" t="s">
        <v>309</v>
      </c>
      <c r="K204" s="648" t="str">
        <f t="shared" ca="1" si="18"/>
        <v/>
      </c>
    </row>
    <row r="205" spans="1:16" ht="15" customHeight="1" x14ac:dyDescent="0.2">
      <c r="A205" s="658"/>
      <c r="B205" s="659" t="s">
        <v>2445</v>
      </c>
      <c r="C205" s="660"/>
      <c r="D205" s="661">
        <f>I197</f>
        <v>0</v>
      </c>
      <c r="E205" s="662"/>
      <c r="F205" s="662" t="s">
        <v>106</v>
      </c>
      <c r="G205" s="663">
        <f>(1.2+(0.38)+0.6)*(1+(0.38)+0.6)</f>
        <v>4.3164000000000007</v>
      </c>
      <c r="H205" s="662" t="s">
        <v>163</v>
      </c>
      <c r="I205" s="664">
        <f t="shared" si="20"/>
        <v>0</v>
      </c>
      <c r="J205" s="665" t="s">
        <v>39</v>
      </c>
      <c r="K205" s="648" t="str">
        <f t="shared" ca="1" si="18"/>
        <v/>
      </c>
    </row>
    <row r="206" spans="1:16" ht="15" customHeight="1" x14ac:dyDescent="0.2">
      <c r="A206" s="658"/>
      <c r="B206" s="659" t="s">
        <v>316</v>
      </c>
      <c r="C206" s="660"/>
      <c r="D206" s="661">
        <f>I197</f>
        <v>0</v>
      </c>
      <c r="E206" s="662"/>
      <c r="F206" s="662" t="s">
        <v>106</v>
      </c>
      <c r="G206" s="663">
        <v>0.31</v>
      </c>
      <c r="H206" s="662" t="s">
        <v>163</v>
      </c>
      <c r="I206" s="664">
        <f t="shared" si="20"/>
        <v>0</v>
      </c>
      <c r="J206" s="665" t="s">
        <v>309</v>
      </c>
      <c r="K206" s="648" t="str">
        <f t="shared" ca="1" si="18"/>
        <v/>
      </c>
    </row>
    <row r="207" spans="1:16" ht="15" customHeight="1" x14ac:dyDescent="0.2">
      <c r="A207" s="658"/>
      <c r="B207" s="659" t="s">
        <v>317</v>
      </c>
      <c r="C207" s="660"/>
      <c r="D207" s="661">
        <f>I197</f>
        <v>0</v>
      </c>
      <c r="E207" s="662"/>
      <c r="F207" s="662" t="s">
        <v>106</v>
      </c>
      <c r="G207" s="663">
        <v>1.02</v>
      </c>
      <c r="H207" s="662" t="s">
        <v>163</v>
      </c>
      <c r="I207" s="664">
        <f t="shared" si="20"/>
        <v>0</v>
      </c>
      <c r="J207" s="665" t="s">
        <v>309</v>
      </c>
      <c r="K207" s="648" t="str">
        <f t="shared" ca="1" si="18"/>
        <v/>
      </c>
    </row>
    <row r="208" spans="1:16" ht="15" customHeight="1" x14ac:dyDescent="0.2">
      <c r="A208" s="658"/>
      <c r="B208" s="659" t="s">
        <v>318</v>
      </c>
      <c r="C208" s="660"/>
      <c r="D208" s="661">
        <f>I197</f>
        <v>0</v>
      </c>
      <c r="E208" s="662"/>
      <c r="F208" s="662" t="s">
        <v>106</v>
      </c>
      <c r="G208" s="663">
        <f>95+26*H199+6*D199</f>
        <v>140.48000000000002</v>
      </c>
      <c r="H208" s="662" t="s">
        <v>163</v>
      </c>
      <c r="I208" s="664">
        <f t="shared" si="20"/>
        <v>0</v>
      </c>
      <c r="J208" s="665" t="s">
        <v>6</v>
      </c>
      <c r="K208" s="648" t="str">
        <f t="shared" ca="1" si="18"/>
        <v/>
      </c>
    </row>
    <row r="209" spans="1:16" ht="15" customHeight="1" x14ac:dyDescent="0.2">
      <c r="A209" s="658"/>
      <c r="B209" s="659" t="s">
        <v>21651</v>
      </c>
      <c r="C209" s="660"/>
      <c r="D209" s="661">
        <f>I197</f>
        <v>0</v>
      </c>
      <c r="E209" s="662"/>
      <c r="F209" s="662" t="s">
        <v>106</v>
      </c>
      <c r="G209" s="663">
        <v>6.93</v>
      </c>
      <c r="H209" s="662" t="s">
        <v>163</v>
      </c>
      <c r="I209" s="664">
        <f t="shared" si="20"/>
        <v>0</v>
      </c>
      <c r="J209" s="665" t="s">
        <v>313</v>
      </c>
      <c r="K209" s="648" t="str">
        <f t="shared" ca="1" si="18"/>
        <v/>
      </c>
    </row>
    <row r="210" spans="1:16" ht="15" customHeight="1" x14ac:dyDescent="0.2">
      <c r="A210" s="658"/>
      <c r="B210" s="659" t="s">
        <v>2802</v>
      </c>
      <c r="C210" s="660"/>
      <c r="D210" s="661">
        <f>I197</f>
        <v>0</v>
      </c>
      <c r="E210" s="662"/>
      <c r="F210" s="662" t="s">
        <v>106</v>
      </c>
      <c r="G210" s="663">
        <f>5.16*H199+4.76*D199</f>
        <v>10.096799999999998</v>
      </c>
      <c r="H210" s="662" t="s">
        <v>163</v>
      </c>
      <c r="I210" s="664">
        <f>(D210*G210)*0.19</f>
        <v>0</v>
      </c>
      <c r="J210" s="665" t="s">
        <v>309</v>
      </c>
      <c r="K210" s="648" t="str">
        <f t="shared" ca="1" si="18"/>
        <v/>
      </c>
    </row>
    <row r="211" spans="1:16" ht="15" customHeight="1" x14ac:dyDescent="0.2">
      <c r="A211" s="658"/>
      <c r="B211" s="659" t="s">
        <v>2803</v>
      </c>
      <c r="C211" s="660"/>
      <c r="D211" s="661">
        <f>I197</f>
        <v>0</v>
      </c>
      <c r="E211" s="662"/>
      <c r="F211" s="662" t="s">
        <v>106</v>
      </c>
      <c r="G211" s="663">
        <f>4.4*H199+4*D199</f>
        <v>8.5920000000000005</v>
      </c>
      <c r="H211" s="662" t="s">
        <v>163</v>
      </c>
      <c r="I211" s="664">
        <f>(D211*G211)</f>
        <v>0</v>
      </c>
      <c r="J211" s="665" t="s">
        <v>313</v>
      </c>
      <c r="K211" s="648" t="str">
        <f t="shared" ref="K211:K245" ca="1" si="21">IF(AND(B211&lt;&gt;"",I211&lt;&gt;"",COUNTIF($C$490:$C$1030,B211)=0),"adic. à qtd","")</f>
        <v/>
      </c>
    </row>
    <row r="212" spans="1:16" ht="15" customHeight="1" x14ac:dyDescent="0.2">
      <c r="A212" s="658"/>
      <c r="B212" s="659" t="s">
        <v>2813</v>
      </c>
      <c r="C212" s="660"/>
      <c r="D212" s="661">
        <f>I197</f>
        <v>0</v>
      </c>
      <c r="E212" s="662"/>
      <c r="F212" s="662" t="s">
        <v>106</v>
      </c>
      <c r="G212" s="663">
        <v>2</v>
      </c>
      <c r="H212" s="662" t="s">
        <v>163</v>
      </c>
      <c r="I212" s="664">
        <f>(D212*G212)</f>
        <v>0</v>
      </c>
      <c r="J212" s="665" t="s">
        <v>3</v>
      </c>
      <c r="K212" s="648" t="str">
        <f t="shared" ca="1" si="21"/>
        <v/>
      </c>
    </row>
    <row r="213" spans="1:16" s="211" customFormat="1" ht="15" customHeight="1" x14ac:dyDescent="0.2">
      <c r="A213" s="674" t="s">
        <v>2814</v>
      </c>
      <c r="B213" s="675"/>
      <c r="C213" s="675"/>
      <c r="D213" s="675"/>
      <c r="E213" s="675"/>
      <c r="F213" s="675"/>
      <c r="G213" s="675"/>
      <c r="H213" s="701"/>
      <c r="I213" s="677"/>
      <c r="J213" s="678" t="s">
        <v>3</v>
      </c>
      <c r="K213" s="648" t="str">
        <f t="shared" ca="1" si="21"/>
        <v/>
      </c>
      <c r="O213" s="203"/>
      <c r="P213" s="649"/>
    </row>
    <row r="214" spans="1:16" ht="20.100000000000001" customHeight="1" x14ac:dyDescent="0.2">
      <c r="A214" s="716"/>
      <c r="B214" s="752" t="s">
        <v>46</v>
      </c>
      <c r="C214" s="753"/>
      <c r="D214" s="754"/>
      <c r="E214" s="754"/>
      <c r="F214" s="755"/>
      <c r="G214" s="756" t="s">
        <v>2807</v>
      </c>
      <c r="H214" s="1052">
        <f>0.25+H215+D215</f>
        <v>2.77</v>
      </c>
      <c r="I214" s="757"/>
      <c r="J214" s="758"/>
      <c r="K214" s="648" t="str">
        <f t="shared" ca="1" si="21"/>
        <v/>
      </c>
    </row>
    <row r="215" spans="1:16" ht="20.100000000000001" customHeight="1" x14ac:dyDescent="0.2">
      <c r="A215" s="759"/>
      <c r="B215" s="760"/>
      <c r="C215" s="761" t="s">
        <v>2808</v>
      </c>
      <c r="D215" s="762">
        <v>0.45</v>
      </c>
      <c r="E215" s="763" t="s">
        <v>2</v>
      </c>
      <c r="F215" s="764"/>
      <c r="G215" s="762" t="s">
        <v>2809</v>
      </c>
      <c r="H215" s="762">
        <v>2.0699999999999998</v>
      </c>
      <c r="I215" s="765" t="s">
        <v>2</v>
      </c>
      <c r="J215" s="766"/>
      <c r="K215" s="648" t="str">
        <f t="shared" ca="1" si="21"/>
        <v/>
      </c>
    </row>
    <row r="216" spans="1:16" ht="15" customHeight="1" x14ac:dyDescent="0.2">
      <c r="A216" s="688"/>
      <c r="B216" s="689" t="s">
        <v>2748</v>
      </c>
      <c r="C216" s="690"/>
      <c r="D216" s="691">
        <f>I213</f>
        <v>0</v>
      </c>
      <c r="E216" s="692"/>
      <c r="F216" s="692" t="s">
        <v>106</v>
      </c>
      <c r="G216" s="693">
        <f>(H215+0.6)*(H215+0.6)*H214</f>
        <v>19.747053000000001</v>
      </c>
      <c r="H216" s="692" t="s">
        <v>163</v>
      </c>
      <c r="I216" s="694">
        <f t="shared" ref="I216:I225" si="22">(D216*G216)</f>
        <v>0</v>
      </c>
      <c r="J216" s="695" t="s">
        <v>309</v>
      </c>
      <c r="K216" s="648" t="str">
        <f t="shared" ca="1" si="21"/>
        <v/>
      </c>
    </row>
    <row r="217" spans="1:16" ht="15" customHeight="1" x14ac:dyDescent="0.2">
      <c r="A217" s="658"/>
      <c r="B217" s="659" t="s">
        <v>2781</v>
      </c>
      <c r="C217" s="660"/>
      <c r="D217" s="661">
        <f>I213</f>
        <v>0</v>
      </c>
      <c r="E217" s="662"/>
      <c r="F217" s="662" t="s">
        <v>106</v>
      </c>
      <c r="G217" s="663">
        <f>IF(H214&lt;=2,"",IF(H214&gt;2,(H215+0.6)*(H215+0.6)*(H214-2)))</f>
        <v>5.4892529999999997</v>
      </c>
      <c r="H217" s="662" t="s">
        <v>163</v>
      </c>
      <c r="I217" s="664">
        <f t="shared" si="22"/>
        <v>0</v>
      </c>
      <c r="J217" s="665" t="s">
        <v>309</v>
      </c>
      <c r="K217" s="648" t="str">
        <f t="shared" ca="1" si="21"/>
        <v/>
      </c>
    </row>
    <row r="218" spans="1:16" ht="15" customHeight="1" x14ac:dyDescent="0.2">
      <c r="A218" s="658"/>
      <c r="B218" s="659" t="s">
        <v>311</v>
      </c>
      <c r="C218" s="660"/>
      <c r="D218" s="661">
        <f>I213</f>
        <v>0</v>
      </c>
      <c r="E218" s="662"/>
      <c r="F218" s="662" t="s">
        <v>106</v>
      </c>
      <c r="G218" s="663">
        <f>(2*(((H215+0.6)*0.4)+((H215-0.2)*0.4))*H214)</f>
        <v>10.060640000000001</v>
      </c>
      <c r="H218" s="662" t="s">
        <v>163</v>
      </c>
      <c r="I218" s="664">
        <f t="shared" si="22"/>
        <v>0</v>
      </c>
      <c r="J218" s="665" t="s">
        <v>309</v>
      </c>
      <c r="K218" s="648" t="str">
        <f t="shared" ca="1" si="21"/>
        <v/>
      </c>
    </row>
    <row r="219" spans="1:16" ht="15" customHeight="1" x14ac:dyDescent="0.2">
      <c r="A219" s="658"/>
      <c r="B219" s="659" t="s">
        <v>314</v>
      </c>
      <c r="C219" s="660"/>
      <c r="D219" s="661">
        <f>I213</f>
        <v>0</v>
      </c>
      <c r="E219" s="662"/>
      <c r="F219" s="662" t="s">
        <v>106</v>
      </c>
      <c r="G219" s="663">
        <f>IF(H214&gt;=2,(4*(H215+0.6))*H214,0)</f>
        <v>29.583600000000001</v>
      </c>
      <c r="H219" s="662" t="s">
        <v>163</v>
      </c>
      <c r="I219" s="664">
        <f t="shared" si="22"/>
        <v>0</v>
      </c>
      <c r="J219" s="665" t="s">
        <v>313</v>
      </c>
      <c r="K219" s="648" t="str">
        <f t="shared" ca="1" si="21"/>
        <v/>
      </c>
    </row>
    <row r="220" spans="1:16" ht="15" customHeight="1" x14ac:dyDescent="0.2">
      <c r="A220" s="658"/>
      <c r="B220" s="659" t="s">
        <v>2754</v>
      </c>
      <c r="C220" s="660"/>
      <c r="D220" s="661">
        <f>I213</f>
        <v>0</v>
      </c>
      <c r="E220" s="662"/>
      <c r="F220" s="662" t="s">
        <v>106</v>
      </c>
      <c r="G220" s="663">
        <f>0.2+0.29*H215+0.14*D215</f>
        <v>0.86330000000000007</v>
      </c>
      <c r="H220" s="662" t="s">
        <v>163</v>
      </c>
      <c r="I220" s="664">
        <f t="shared" si="22"/>
        <v>0</v>
      </c>
      <c r="J220" s="665" t="s">
        <v>309</v>
      </c>
      <c r="K220" s="648" t="str">
        <f t="shared" ca="1" si="21"/>
        <v/>
      </c>
    </row>
    <row r="221" spans="1:16" ht="15" customHeight="1" x14ac:dyDescent="0.2">
      <c r="A221" s="658"/>
      <c r="B221" s="659" t="s">
        <v>2445</v>
      </c>
      <c r="C221" s="660"/>
      <c r="D221" s="661">
        <f>I213</f>
        <v>0</v>
      </c>
      <c r="E221" s="662"/>
      <c r="F221" s="662" t="s">
        <v>106</v>
      </c>
      <c r="G221" s="663">
        <f>(1.8+(0.38)+0.6)*(1.8+(0.38)+0.6)</f>
        <v>7.7284000000000015</v>
      </c>
      <c r="H221" s="662" t="s">
        <v>163</v>
      </c>
      <c r="I221" s="664">
        <f t="shared" si="22"/>
        <v>0</v>
      </c>
      <c r="J221" s="665" t="s">
        <v>39</v>
      </c>
      <c r="K221" s="648" t="str">
        <f t="shared" ca="1" si="21"/>
        <v/>
      </c>
    </row>
    <row r="222" spans="1:16" ht="15" customHeight="1" x14ac:dyDescent="0.2">
      <c r="A222" s="658"/>
      <c r="B222" s="659" t="s">
        <v>316</v>
      </c>
      <c r="C222" s="660"/>
      <c r="D222" s="661">
        <f>I213</f>
        <v>0</v>
      </c>
      <c r="E222" s="662"/>
      <c r="F222" s="662" t="s">
        <v>106</v>
      </c>
      <c r="G222" s="663">
        <v>0.43</v>
      </c>
      <c r="H222" s="662" t="s">
        <v>163</v>
      </c>
      <c r="I222" s="664">
        <f t="shared" si="22"/>
        <v>0</v>
      </c>
      <c r="J222" s="665" t="s">
        <v>309</v>
      </c>
      <c r="K222" s="648" t="str">
        <f t="shared" ca="1" si="21"/>
        <v/>
      </c>
    </row>
    <row r="223" spans="1:16" ht="15" customHeight="1" x14ac:dyDescent="0.2">
      <c r="A223" s="658"/>
      <c r="B223" s="659" t="s">
        <v>317</v>
      </c>
      <c r="C223" s="660"/>
      <c r="D223" s="661">
        <f>I213</f>
        <v>0</v>
      </c>
      <c r="E223" s="662"/>
      <c r="F223" s="662" t="s">
        <v>106</v>
      </c>
      <c r="G223" s="663">
        <v>1.1100000000000001</v>
      </c>
      <c r="H223" s="662" t="s">
        <v>163</v>
      </c>
      <c r="I223" s="664">
        <f t="shared" si="22"/>
        <v>0</v>
      </c>
      <c r="J223" s="665" t="s">
        <v>309</v>
      </c>
      <c r="K223" s="648" t="str">
        <f t="shared" ca="1" si="21"/>
        <v/>
      </c>
    </row>
    <row r="224" spans="1:16" ht="15" customHeight="1" x14ac:dyDescent="0.2">
      <c r="A224" s="658"/>
      <c r="B224" s="659" t="s">
        <v>318</v>
      </c>
      <c r="C224" s="660"/>
      <c r="D224" s="661">
        <f>I213</f>
        <v>0</v>
      </c>
      <c r="E224" s="662"/>
      <c r="F224" s="662" t="s">
        <v>106</v>
      </c>
      <c r="G224" s="663">
        <f>103+29*H215+6*D215</f>
        <v>165.73</v>
      </c>
      <c r="H224" s="662" t="s">
        <v>163</v>
      </c>
      <c r="I224" s="664">
        <f t="shared" si="22"/>
        <v>0</v>
      </c>
      <c r="J224" s="665" t="s">
        <v>6</v>
      </c>
      <c r="K224" s="648" t="str">
        <f t="shared" ca="1" si="21"/>
        <v/>
      </c>
    </row>
    <row r="225" spans="1:16" ht="15" customHeight="1" x14ac:dyDescent="0.2">
      <c r="A225" s="658"/>
      <c r="B225" s="659" t="s">
        <v>21651</v>
      </c>
      <c r="C225" s="660"/>
      <c r="D225" s="661">
        <f>I213</f>
        <v>0</v>
      </c>
      <c r="E225" s="662"/>
      <c r="F225" s="662" t="s">
        <v>106</v>
      </c>
      <c r="G225" s="663">
        <v>7.3</v>
      </c>
      <c r="H225" s="662" t="s">
        <v>163</v>
      </c>
      <c r="I225" s="664">
        <f t="shared" si="22"/>
        <v>0</v>
      </c>
      <c r="J225" s="665" t="s">
        <v>313</v>
      </c>
      <c r="K225" s="648" t="str">
        <f t="shared" ca="1" si="21"/>
        <v/>
      </c>
    </row>
    <row r="226" spans="1:16" ht="15" customHeight="1" x14ac:dyDescent="0.2">
      <c r="A226" s="658"/>
      <c r="B226" s="659" t="s">
        <v>2802</v>
      </c>
      <c r="C226" s="660"/>
      <c r="D226" s="661">
        <f>I213</f>
        <v>0</v>
      </c>
      <c r="E226" s="662"/>
      <c r="F226" s="662" t="s">
        <v>106</v>
      </c>
      <c r="G226" s="663">
        <f>5.56*H215+4.76*D215</f>
        <v>13.651199999999998</v>
      </c>
      <c r="H226" s="662" t="s">
        <v>163</v>
      </c>
      <c r="I226" s="664">
        <f>(D226*G226)*0.19</f>
        <v>0</v>
      </c>
      <c r="J226" s="665" t="s">
        <v>309</v>
      </c>
      <c r="K226" s="648" t="str">
        <f t="shared" ca="1" si="21"/>
        <v/>
      </c>
    </row>
    <row r="227" spans="1:16" ht="15" customHeight="1" x14ac:dyDescent="0.2">
      <c r="A227" s="658"/>
      <c r="B227" s="659" t="s">
        <v>2803</v>
      </c>
      <c r="C227" s="660"/>
      <c r="D227" s="661">
        <f>I213</f>
        <v>0</v>
      </c>
      <c r="E227" s="662"/>
      <c r="F227" s="662" t="s">
        <v>106</v>
      </c>
      <c r="G227" s="663">
        <f>4.8*H215+4*D215</f>
        <v>11.735999999999999</v>
      </c>
      <c r="H227" s="662" t="s">
        <v>163</v>
      </c>
      <c r="I227" s="664">
        <f>(D227*G227)</f>
        <v>0</v>
      </c>
      <c r="J227" s="665" t="s">
        <v>313</v>
      </c>
      <c r="K227" s="648" t="str">
        <f t="shared" ca="1" si="21"/>
        <v/>
      </c>
    </row>
    <row r="228" spans="1:16" ht="15" customHeight="1" x14ac:dyDescent="0.2">
      <c r="A228" s="658"/>
      <c r="B228" s="659" t="s">
        <v>2813</v>
      </c>
      <c r="C228" s="660"/>
      <c r="D228" s="661">
        <f>I213</f>
        <v>0</v>
      </c>
      <c r="E228" s="662"/>
      <c r="F228" s="662" t="s">
        <v>106</v>
      </c>
      <c r="G228" s="663">
        <v>2</v>
      </c>
      <c r="H228" s="662" t="s">
        <v>163</v>
      </c>
      <c r="I228" s="664">
        <f>(D228*G228)</f>
        <v>0</v>
      </c>
      <c r="J228" s="665" t="s">
        <v>3</v>
      </c>
      <c r="K228" s="648" t="str">
        <f t="shared" ca="1" si="21"/>
        <v/>
      </c>
    </row>
    <row r="229" spans="1:16" s="211" customFormat="1" ht="15" customHeight="1" x14ac:dyDescent="0.2">
      <c r="A229" s="674" t="s">
        <v>2815</v>
      </c>
      <c r="B229" s="675"/>
      <c r="C229" s="675"/>
      <c r="D229" s="675"/>
      <c r="E229" s="675"/>
      <c r="F229" s="675"/>
      <c r="G229" s="675"/>
      <c r="H229" s="701"/>
      <c r="I229" s="677"/>
      <c r="J229" s="678" t="s">
        <v>3</v>
      </c>
      <c r="K229" s="648" t="str">
        <f t="shared" ca="1" si="21"/>
        <v/>
      </c>
      <c r="O229" s="203"/>
      <c r="P229" s="649"/>
    </row>
    <row r="230" spans="1:16" ht="20.100000000000001" customHeight="1" x14ac:dyDescent="0.2">
      <c r="A230" s="716"/>
      <c r="B230" s="752" t="s">
        <v>46</v>
      </c>
      <c r="C230" s="753"/>
      <c r="D230" s="754"/>
      <c r="E230" s="754"/>
      <c r="F230" s="755"/>
      <c r="G230" s="756" t="s">
        <v>2807</v>
      </c>
      <c r="H230" s="1052">
        <f>0.25+H231+D231</f>
        <v>2.2559999999999998</v>
      </c>
      <c r="I230" s="757"/>
      <c r="J230" s="758"/>
      <c r="K230" s="648" t="str">
        <f t="shared" ca="1" si="21"/>
        <v/>
      </c>
    </row>
    <row r="231" spans="1:16" ht="20.100000000000001" customHeight="1" x14ac:dyDescent="0.2">
      <c r="A231" s="759"/>
      <c r="B231" s="760"/>
      <c r="C231" s="761" t="s">
        <v>2808</v>
      </c>
      <c r="D231" s="762">
        <v>0.3</v>
      </c>
      <c r="E231" s="763" t="s">
        <v>2</v>
      </c>
      <c r="F231" s="764"/>
      <c r="G231" s="762" t="s">
        <v>2809</v>
      </c>
      <c r="H231" s="762">
        <v>1.706</v>
      </c>
      <c r="I231" s="765" t="s">
        <v>2</v>
      </c>
      <c r="J231" s="766"/>
      <c r="K231" s="648" t="str">
        <f t="shared" ca="1" si="21"/>
        <v/>
      </c>
    </row>
    <row r="232" spans="1:16" ht="15" customHeight="1" x14ac:dyDescent="0.2">
      <c r="A232" s="688"/>
      <c r="B232" s="689" t="s">
        <v>2781</v>
      </c>
      <c r="C232" s="690"/>
      <c r="D232" s="691">
        <f>I229</f>
        <v>0</v>
      </c>
      <c r="E232" s="692"/>
      <c r="F232" s="692" t="s">
        <v>106</v>
      </c>
      <c r="G232" s="693">
        <f>(H231+0.6)*2.2*H230</f>
        <v>11.445139200000002</v>
      </c>
      <c r="H232" s="692" t="s">
        <v>163</v>
      </c>
      <c r="I232" s="694">
        <f t="shared" ref="I232:I241" si="23">(D232*G232)</f>
        <v>0</v>
      </c>
      <c r="J232" s="695" t="s">
        <v>309</v>
      </c>
      <c r="K232" s="648" t="str">
        <f t="shared" ca="1" si="21"/>
        <v/>
      </c>
    </row>
    <row r="233" spans="1:16" ht="15" customHeight="1" x14ac:dyDescent="0.2">
      <c r="A233" s="658"/>
      <c r="B233" s="659" t="s">
        <v>2801</v>
      </c>
      <c r="C233" s="660"/>
      <c r="D233" s="661">
        <f>I229</f>
        <v>0</v>
      </c>
      <c r="E233" s="662"/>
      <c r="F233" s="662" t="s">
        <v>106</v>
      </c>
      <c r="G233" s="663">
        <f>IF(H230&lt;=2,"",IF(H230&gt;2,(H231+0.6)*2.2*(H230-2)))</f>
        <v>1.2987391999999991</v>
      </c>
      <c r="H233" s="662" t="s">
        <v>163</v>
      </c>
      <c r="I233" s="664">
        <f t="shared" si="23"/>
        <v>0</v>
      </c>
      <c r="J233" s="665" t="s">
        <v>309</v>
      </c>
      <c r="K233" s="648" t="str">
        <f t="shared" ca="1" si="21"/>
        <v/>
      </c>
    </row>
    <row r="234" spans="1:16" ht="15" customHeight="1" x14ac:dyDescent="0.2">
      <c r="A234" s="658"/>
      <c r="B234" s="659" t="s">
        <v>311</v>
      </c>
      <c r="C234" s="660"/>
      <c r="D234" s="661">
        <f>I229</f>
        <v>0</v>
      </c>
      <c r="E234" s="662"/>
      <c r="F234" s="662" t="s">
        <v>106</v>
      </c>
      <c r="G234" s="663">
        <f>(2*((2.2*0.4)+((H231-0.2)*0.4))*H230)</f>
        <v>6.6885887999999998</v>
      </c>
      <c r="H234" s="662" t="s">
        <v>163</v>
      </c>
      <c r="I234" s="664">
        <f t="shared" si="23"/>
        <v>0</v>
      </c>
      <c r="J234" s="665" t="s">
        <v>309</v>
      </c>
      <c r="K234" s="648" t="str">
        <f t="shared" ca="1" si="21"/>
        <v/>
      </c>
    </row>
    <row r="235" spans="1:16" ht="15" customHeight="1" x14ac:dyDescent="0.2">
      <c r="A235" s="658"/>
      <c r="B235" s="659" t="s">
        <v>314</v>
      </c>
      <c r="C235" s="660"/>
      <c r="D235" s="661">
        <f>I229</f>
        <v>0</v>
      </c>
      <c r="E235" s="662"/>
      <c r="F235" s="662" t="s">
        <v>106</v>
      </c>
      <c r="G235" s="663">
        <f>IF(H230&gt;=2,(4.4+2*(H231+0.6))*H230,0)</f>
        <v>20.331071999999999</v>
      </c>
      <c r="H235" s="662" t="s">
        <v>163</v>
      </c>
      <c r="I235" s="664">
        <f t="shared" si="23"/>
        <v>0</v>
      </c>
      <c r="J235" s="665" t="s">
        <v>313</v>
      </c>
      <c r="K235" s="648" t="str">
        <f t="shared" ca="1" si="21"/>
        <v/>
      </c>
    </row>
    <row r="236" spans="1:16" ht="15" customHeight="1" x14ac:dyDescent="0.2">
      <c r="A236" s="658"/>
      <c r="B236" s="659" t="s">
        <v>2754</v>
      </c>
      <c r="C236" s="660"/>
      <c r="D236" s="661">
        <f>I229</f>
        <v>0</v>
      </c>
      <c r="E236" s="662"/>
      <c r="F236" s="662" t="s">
        <v>106</v>
      </c>
      <c r="G236" s="663">
        <f>0.19+0.18*H231+0.14*D231</f>
        <v>0.53908</v>
      </c>
      <c r="H236" s="662" t="s">
        <v>163</v>
      </c>
      <c r="I236" s="664">
        <f t="shared" si="23"/>
        <v>0</v>
      </c>
      <c r="J236" s="665" t="s">
        <v>309</v>
      </c>
      <c r="K236" s="648" t="str">
        <f t="shared" ca="1" si="21"/>
        <v/>
      </c>
    </row>
    <row r="237" spans="1:16" ht="15" customHeight="1" x14ac:dyDescent="0.2">
      <c r="A237" s="658"/>
      <c r="B237" s="659" t="s">
        <v>2445</v>
      </c>
      <c r="C237" s="660"/>
      <c r="D237" s="661">
        <f>I229</f>
        <v>0</v>
      </c>
      <c r="E237" s="662"/>
      <c r="F237" s="662" t="s">
        <v>106</v>
      </c>
      <c r="G237" s="663">
        <f>(1.2+(0.38)+0.6)*(1+(0.38)+0.6)</f>
        <v>4.3164000000000007</v>
      </c>
      <c r="H237" s="662" t="s">
        <v>163</v>
      </c>
      <c r="I237" s="664">
        <f t="shared" si="23"/>
        <v>0</v>
      </c>
      <c r="J237" s="665" t="s">
        <v>39</v>
      </c>
      <c r="K237" s="648" t="str">
        <f t="shared" ca="1" si="21"/>
        <v/>
      </c>
    </row>
    <row r="238" spans="1:16" ht="15" customHeight="1" x14ac:dyDescent="0.2">
      <c r="A238" s="658"/>
      <c r="B238" s="659" t="s">
        <v>316</v>
      </c>
      <c r="C238" s="660"/>
      <c r="D238" s="661">
        <f>I229</f>
        <v>0</v>
      </c>
      <c r="E238" s="662"/>
      <c r="F238" s="662" t="s">
        <v>106</v>
      </c>
      <c r="G238" s="663">
        <v>0.31</v>
      </c>
      <c r="H238" s="662" t="s">
        <v>163</v>
      </c>
      <c r="I238" s="664">
        <f t="shared" si="23"/>
        <v>0</v>
      </c>
      <c r="J238" s="665" t="s">
        <v>309</v>
      </c>
      <c r="K238" s="648" t="str">
        <f t="shared" ca="1" si="21"/>
        <v/>
      </c>
    </row>
    <row r="239" spans="1:16" ht="15" customHeight="1" x14ac:dyDescent="0.2">
      <c r="A239" s="658"/>
      <c r="B239" s="659" t="s">
        <v>317</v>
      </c>
      <c r="C239" s="660"/>
      <c r="D239" s="661">
        <f>I229</f>
        <v>0</v>
      </c>
      <c r="E239" s="662"/>
      <c r="F239" s="662" t="s">
        <v>106</v>
      </c>
      <c r="G239" s="663">
        <v>1.02</v>
      </c>
      <c r="H239" s="662" t="s">
        <v>163</v>
      </c>
      <c r="I239" s="664">
        <f t="shared" si="23"/>
        <v>0</v>
      </c>
      <c r="J239" s="665" t="s">
        <v>309</v>
      </c>
      <c r="K239" s="648" t="str">
        <f t="shared" ca="1" si="21"/>
        <v/>
      </c>
    </row>
    <row r="240" spans="1:16" ht="15" customHeight="1" x14ac:dyDescent="0.2">
      <c r="A240" s="658"/>
      <c r="B240" s="659" t="s">
        <v>318</v>
      </c>
      <c r="C240" s="660"/>
      <c r="D240" s="661">
        <f>I229</f>
        <v>0</v>
      </c>
      <c r="E240" s="662"/>
      <c r="F240" s="662" t="s">
        <v>106</v>
      </c>
      <c r="G240" s="663">
        <f>95+26*H231+6*D231</f>
        <v>141.15600000000001</v>
      </c>
      <c r="H240" s="662" t="s">
        <v>163</v>
      </c>
      <c r="I240" s="664">
        <f t="shared" si="23"/>
        <v>0</v>
      </c>
      <c r="J240" s="665" t="s">
        <v>6</v>
      </c>
      <c r="K240" s="648" t="str">
        <f t="shared" ca="1" si="21"/>
        <v/>
      </c>
    </row>
    <row r="241" spans="1:16" ht="15" customHeight="1" x14ac:dyDescent="0.2">
      <c r="A241" s="658"/>
      <c r="B241" s="659" t="s">
        <v>21651</v>
      </c>
      <c r="C241" s="660"/>
      <c r="D241" s="661">
        <f>I229</f>
        <v>0</v>
      </c>
      <c r="E241" s="662"/>
      <c r="F241" s="662" t="s">
        <v>106</v>
      </c>
      <c r="G241" s="663">
        <v>6.22</v>
      </c>
      <c r="H241" s="662" t="s">
        <v>163</v>
      </c>
      <c r="I241" s="664">
        <f t="shared" si="23"/>
        <v>0</v>
      </c>
      <c r="J241" s="665" t="s">
        <v>313</v>
      </c>
      <c r="K241" s="648" t="str">
        <f t="shared" ca="1" si="21"/>
        <v/>
      </c>
    </row>
    <row r="242" spans="1:16" ht="15" customHeight="1" x14ac:dyDescent="0.2">
      <c r="A242" s="658"/>
      <c r="B242" s="659" t="s">
        <v>2802</v>
      </c>
      <c r="C242" s="660"/>
      <c r="D242" s="661">
        <f>I229</f>
        <v>0</v>
      </c>
      <c r="E242" s="662"/>
      <c r="F242" s="662" t="s">
        <v>106</v>
      </c>
      <c r="G242" s="663">
        <f>5.16*H231+4.76*D231</f>
        <v>10.23096</v>
      </c>
      <c r="H242" s="662" t="s">
        <v>163</v>
      </c>
      <c r="I242" s="664">
        <f>(D242*G242)*0.19</f>
        <v>0</v>
      </c>
      <c r="J242" s="665" t="s">
        <v>309</v>
      </c>
      <c r="K242" s="648" t="str">
        <f t="shared" ca="1" si="21"/>
        <v/>
      </c>
    </row>
    <row r="243" spans="1:16" ht="15" customHeight="1" x14ac:dyDescent="0.2">
      <c r="A243" s="658"/>
      <c r="B243" s="659" t="s">
        <v>2803</v>
      </c>
      <c r="C243" s="660"/>
      <c r="D243" s="661">
        <f>I229</f>
        <v>0</v>
      </c>
      <c r="E243" s="662"/>
      <c r="F243" s="662" t="s">
        <v>106</v>
      </c>
      <c r="G243" s="663">
        <f>4.4*H231+4*D231</f>
        <v>8.7064000000000004</v>
      </c>
      <c r="H243" s="662" t="s">
        <v>163</v>
      </c>
      <c r="I243" s="664">
        <f>(D243*G243)</f>
        <v>0</v>
      </c>
      <c r="J243" s="665" t="s">
        <v>313</v>
      </c>
      <c r="K243" s="648" t="str">
        <f t="shared" ca="1" si="21"/>
        <v/>
      </c>
    </row>
    <row r="244" spans="1:16" ht="15" customHeight="1" x14ac:dyDescent="0.2">
      <c r="A244" s="658"/>
      <c r="B244" s="659" t="s">
        <v>2813</v>
      </c>
      <c r="C244" s="660"/>
      <c r="D244" s="661">
        <f>I229</f>
        <v>0</v>
      </c>
      <c r="E244" s="662"/>
      <c r="F244" s="662" t="s">
        <v>106</v>
      </c>
      <c r="G244" s="663">
        <v>2</v>
      </c>
      <c r="H244" s="662" t="s">
        <v>163</v>
      </c>
      <c r="I244" s="664">
        <f>(D244*G244)</f>
        <v>0</v>
      </c>
      <c r="J244" s="665" t="s">
        <v>3</v>
      </c>
      <c r="K244" s="648" t="str">
        <f t="shared" ca="1" si="21"/>
        <v/>
      </c>
    </row>
    <row r="245" spans="1:16" s="211" customFormat="1" ht="15" customHeight="1" x14ac:dyDescent="0.2">
      <c r="A245" s="674" t="s">
        <v>2816</v>
      </c>
      <c r="B245" s="675"/>
      <c r="C245" s="675"/>
      <c r="D245" s="675"/>
      <c r="E245" s="675"/>
      <c r="F245" s="675"/>
      <c r="G245" s="675"/>
      <c r="H245" s="701"/>
      <c r="I245" s="677"/>
      <c r="J245" s="678" t="s">
        <v>3</v>
      </c>
      <c r="K245" s="648" t="str">
        <f t="shared" ca="1" si="21"/>
        <v/>
      </c>
      <c r="O245" s="203"/>
      <c r="P245" s="649"/>
    </row>
    <row r="246" spans="1:16" ht="20.100000000000001" customHeight="1" x14ac:dyDescent="0.2">
      <c r="A246" s="716"/>
      <c r="B246" s="752" t="s">
        <v>46</v>
      </c>
      <c r="C246" s="753"/>
      <c r="D246" s="754"/>
      <c r="E246" s="754"/>
      <c r="F246" s="755"/>
      <c r="G246" s="756" t="s">
        <v>2807</v>
      </c>
      <c r="H246" s="1052">
        <f>0.25+H247+D247</f>
        <v>2.8999999999999995</v>
      </c>
      <c r="I246" s="757"/>
      <c r="J246" s="758"/>
    </row>
    <row r="247" spans="1:16" ht="20.100000000000001" customHeight="1" x14ac:dyDescent="0.2">
      <c r="A247" s="759"/>
      <c r="B247" s="760"/>
      <c r="C247" s="761" t="s">
        <v>2808</v>
      </c>
      <c r="D247" s="762">
        <v>0.8</v>
      </c>
      <c r="E247" s="763" t="s">
        <v>2</v>
      </c>
      <c r="F247" s="764"/>
      <c r="G247" s="762" t="s">
        <v>2809</v>
      </c>
      <c r="H247" s="762">
        <f>1.45+0.2+0.2</f>
        <v>1.8499999999999999</v>
      </c>
      <c r="I247" s="765" t="s">
        <v>2</v>
      </c>
      <c r="J247" s="766"/>
      <c r="K247" s="648" t="str">
        <f t="shared" ref="K247:K261" ca="1" si="24">IF(AND(B247&lt;&gt;"",I247&lt;&gt;"",COUNTIF($C$490:$C$1030,B247)=0),"adic. à qtd","")</f>
        <v/>
      </c>
    </row>
    <row r="248" spans="1:16" ht="15" customHeight="1" x14ac:dyDescent="0.2">
      <c r="A248" s="688"/>
      <c r="B248" s="689" t="s">
        <v>2748</v>
      </c>
      <c r="C248" s="690"/>
      <c r="D248" s="691">
        <f>I245</f>
        <v>0</v>
      </c>
      <c r="E248" s="692"/>
      <c r="F248" s="692" t="s">
        <v>106</v>
      </c>
      <c r="G248" s="693">
        <f>IF(H246&lt;=2,(H247+0.6)*(H247+0.6)*H246,IF(H246&gt;2,(H247+0.6)*(H247+0.6)*2))</f>
        <v>12.004999999999997</v>
      </c>
      <c r="H248" s="692" t="s">
        <v>163</v>
      </c>
      <c r="I248" s="694">
        <f t="shared" ref="I248:I257" si="25">(D248*G248)</f>
        <v>0</v>
      </c>
      <c r="J248" s="695" t="s">
        <v>309</v>
      </c>
      <c r="K248" s="648" t="str">
        <f t="shared" ca="1" si="24"/>
        <v/>
      </c>
    </row>
    <row r="249" spans="1:16" ht="15" customHeight="1" x14ac:dyDescent="0.2">
      <c r="A249" s="658"/>
      <c r="B249" s="659" t="s">
        <v>2781</v>
      </c>
      <c r="C249" s="660"/>
      <c r="D249" s="661">
        <f>I245</f>
        <v>0</v>
      </c>
      <c r="E249" s="662"/>
      <c r="F249" s="662" t="s">
        <v>106</v>
      </c>
      <c r="G249" s="663">
        <f>IF(H246&lt;=2,"",IF(H246&gt;2,((H247+0.6)*(H247+0.6)*(H246-2))))</f>
        <v>5.4022499999999951</v>
      </c>
      <c r="H249" s="662" t="s">
        <v>163</v>
      </c>
      <c r="I249" s="664">
        <f t="shared" si="25"/>
        <v>0</v>
      </c>
      <c r="J249" s="665" t="s">
        <v>309</v>
      </c>
      <c r="K249" s="648" t="str">
        <f t="shared" ca="1" si="24"/>
        <v/>
      </c>
    </row>
    <row r="250" spans="1:16" ht="15" customHeight="1" x14ac:dyDescent="0.2">
      <c r="A250" s="658"/>
      <c r="B250" s="659" t="s">
        <v>311</v>
      </c>
      <c r="C250" s="660"/>
      <c r="D250" s="661">
        <f>I245</f>
        <v>0</v>
      </c>
      <c r="E250" s="662"/>
      <c r="F250" s="662" t="s">
        <v>106</v>
      </c>
      <c r="G250" s="663">
        <f>(2*(((H247-0.2)*0.4)+((H247+0.6)*0.4))*H246)</f>
        <v>9.5119999999999987</v>
      </c>
      <c r="H250" s="662" t="s">
        <v>163</v>
      </c>
      <c r="I250" s="664">
        <f t="shared" si="25"/>
        <v>0</v>
      </c>
      <c r="J250" s="665" t="s">
        <v>309</v>
      </c>
      <c r="K250" s="648" t="str">
        <f t="shared" ca="1" si="24"/>
        <v/>
      </c>
    </row>
    <row r="251" spans="1:16" ht="15" customHeight="1" x14ac:dyDescent="0.2">
      <c r="A251" s="658"/>
      <c r="B251" s="659" t="s">
        <v>314</v>
      </c>
      <c r="C251" s="660"/>
      <c r="D251" s="661">
        <f>I245</f>
        <v>0</v>
      </c>
      <c r="E251" s="662"/>
      <c r="F251" s="662" t="s">
        <v>106</v>
      </c>
      <c r="G251" s="663">
        <f>IF(H246&gt;=2,(4*(H247+0.6))*H246,0)</f>
        <v>28.419999999999991</v>
      </c>
      <c r="H251" s="662" t="s">
        <v>163</v>
      </c>
      <c r="I251" s="664">
        <f t="shared" si="25"/>
        <v>0</v>
      </c>
      <c r="J251" s="665" t="s">
        <v>313</v>
      </c>
      <c r="K251" s="648" t="str">
        <f t="shared" ca="1" si="24"/>
        <v/>
      </c>
    </row>
    <row r="252" spans="1:16" ht="15" customHeight="1" x14ac:dyDescent="0.2">
      <c r="A252" s="658"/>
      <c r="B252" s="659" t="s">
        <v>2754</v>
      </c>
      <c r="C252" s="660"/>
      <c r="D252" s="661">
        <f>I245</f>
        <v>0</v>
      </c>
      <c r="E252" s="662"/>
      <c r="F252" s="662" t="s">
        <v>106</v>
      </c>
      <c r="G252" s="663">
        <f>0.29+0.29*H247+0.14*D247</f>
        <v>0.9385</v>
      </c>
      <c r="H252" s="662" t="s">
        <v>163</v>
      </c>
      <c r="I252" s="664">
        <f t="shared" si="25"/>
        <v>0</v>
      </c>
      <c r="J252" s="665" t="s">
        <v>309</v>
      </c>
      <c r="K252" s="648" t="str">
        <f t="shared" ca="1" si="24"/>
        <v/>
      </c>
    </row>
    <row r="253" spans="1:16" ht="15" customHeight="1" x14ac:dyDescent="0.2">
      <c r="A253" s="658"/>
      <c r="B253" s="659" t="s">
        <v>2445</v>
      </c>
      <c r="C253" s="660"/>
      <c r="D253" s="661">
        <f>I245</f>
        <v>0</v>
      </c>
      <c r="E253" s="662"/>
      <c r="F253" s="662" t="s">
        <v>106</v>
      </c>
      <c r="G253" s="663">
        <f>(1.8+(0.38)+0.6)*(1.8+(0.38)+0.6)</f>
        <v>7.7284000000000015</v>
      </c>
      <c r="H253" s="662" t="s">
        <v>163</v>
      </c>
      <c r="I253" s="664">
        <f t="shared" si="25"/>
        <v>0</v>
      </c>
      <c r="J253" s="665" t="s">
        <v>39</v>
      </c>
      <c r="K253" s="648" t="str">
        <f t="shared" ca="1" si="24"/>
        <v/>
      </c>
    </row>
    <row r="254" spans="1:16" ht="15" customHeight="1" x14ac:dyDescent="0.2">
      <c r="A254" s="658"/>
      <c r="B254" s="659" t="s">
        <v>316</v>
      </c>
      <c r="C254" s="660"/>
      <c r="D254" s="661">
        <f>I245</f>
        <v>0</v>
      </c>
      <c r="E254" s="662"/>
      <c r="F254" s="662" t="s">
        <v>106</v>
      </c>
      <c r="G254" s="663">
        <v>0.91</v>
      </c>
      <c r="H254" s="662" t="s">
        <v>163</v>
      </c>
      <c r="I254" s="664">
        <f t="shared" si="25"/>
        <v>0</v>
      </c>
      <c r="J254" s="665" t="s">
        <v>309</v>
      </c>
      <c r="K254" s="648" t="str">
        <f t="shared" ca="1" si="24"/>
        <v/>
      </c>
    </row>
    <row r="255" spans="1:16" ht="15" customHeight="1" x14ac:dyDescent="0.2">
      <c r="A255" s="658"/>
      <c r="B255" s="659" t="s">
        <v>317</v>
      </c>
      <c r="C255" s="660"/>
      <c r="D255" s="661">
        <f>I245</f>
        <v>0</v>
      </c>
      <c r="E255" s="662"/>
      <c r="F255" s="662" t="s">
        <v>106</v>
      </c>
      <c r="G255" s="663">
        <v>2.2799999999999998</v>
      </c>
      <c r="H255" s="662" t="s">
        <v>163</v>
      </c>
      <c r="I255" s="664">
        <f t="shared" si="25"/>
        <v>0</v>
      </c>
      <c r="J255" s="665" t="s">
        <v>309</v>
      </c>
      <c r="K255" s="648" t="str">
        <f t="shared" ca="1" si="24"/>
        <v/>
      </c>
    </row>
    <row r="256" spans="1:16" ht="15" customHeight="1" x14ac:dyDescent="0.2">
      <c r="A256" s="658"/>
      <c r="B256" s="659" t="s">
        <v>318</v>
      </c>
      <c r="C256" s="660"/>
      <c r="D256" s="661">
        <f>I245</f>
        <v>0</v>
      </c>
      <c r="E256" s="662"/>
      <c r="F256" s="662" t="s">
        <v>106</v>
      </c>
      <c r="G256" s="663">
        <f>208+35*H247+6*D247</f>
        <v>277.55</v>
      </c>
      <c r="H256" s="662" t="s">
        <v>163</v>
      </c>
      <c r="I256" s="664">
        <f t="shared" si="25"/>
        <v>0</v>
      </c>
      <c r="J256" s="665" t="s">
        <v>6</v>
      </c>
      <c r="K256" s="648" t="str">
        <f t="shared" ca="1" si="24"/>
        <v/>
      </c>
    </row>
    <row r="257" spans="1:16" ht="15" customHeight="1" x14ac:dyDescent="0.2">
      <c r="A257" s="658"/>
      <c r="B257" s="659" t="s">
        <v>21651</v>
      </c>
      <c r="C257" s="660"/>
      <c r="D257" s="661">
        <f>I245</f>
        <v>0</v>
      </c>
      <c r="E257" s="662"/>
      <c r="F257" s="662" t="s">
        <v>106</v>
      </c>
      <c r="G257" s="663">
        <v>9.3800000000000008</v>
      </c>
      <c r="H257" s="662" t="s">
        <v>163</v>
      </c>
      <c r="I257" s="664">
        <f t="shared" si="25"/>
        <v>0</v>
      </c>
      <c r="J257" s="665" t="s">
        <v>313</v>
      </c>
      <c r="K257" s="648" t="str">
        <f t="shared" ca="1" si="24"/>
        <v/>
      </c>
    </row>
    <row r="258" spans="1:16" ht="15" customHeight="1" x14ac:dyDescent="0.2">
      <c r="A258" s="658"/>
      <c r="B258" s="659" t="s">
        <v>2802</v>
      </c>
      <c r="C258" s="660"/>
      <c r="D258" s="661">
        <f>I245</f>
        <v>0</v>
      </c>
      <c r="E258" s="662"/>
      <c r="F258" s="662" t="s">
        <v>106</v>
      </c>
      <c r="G258" s="663">
        <f>7.96*H247+4.76*D247</f>
        <v>18.533999999999999</v>
      </c>
      <c r="H258" s="662" t="s">
        <v>163</v>
      </c>
      <c r="I258" s="664">
        <f>(D258*G258)*0.19</f>
        <v>0</v>
      </c>
      <c r="J258" s="665" t="s">
        <v>309</v>
      </c>
      <c r="K258" s="648" t="str">
        <f t="shared" ca="1" si="24"/>
        <v/>
      </c>
    </row>
    <row r="259" spans="1:16" ht="15" customHeight="1" x14ac:dyDescent="0.2">
      <c r="A259" s="658"/>
      <c r="B259" s="659" t="s">
        <v>2803</v>
      </c>
      <c r="C259" s="660"/>
      <c r="D259" s="661">
        <f>I245</f>
        <v>0</v>
      </c>
      <c r="E259" s="662"/>
      <c r="F259" s="662" t="s">
        <v>106</v>
      </c>
      <c r="G259" s="663">
        <f>7.2*H247+4*D247</f>
        <v>16.52</v>
      </c>
      <c r="H259" s="662" t="s">
        <v>163</v>
      </c>
      <c r="I259" s="664">
        <f>(D259*G259)</f>
        <v>0</v>
      </c>
      <c r="J259" s="665" t="s">
        <v>313</v>
      </c>
      <c r="K259" s="648" t="str">
        <f t="shared" ca="1" si="24"/>
        <v/>
      </c>
    </row>
    <row r="260" spans="1:16" ht="15" customHeight="1" x14ac:dyDescent="0.2">
      <c r="A260" s="658"/>
      <c r="B260" s="659" t="s">
        <v>2813</v>
      </c>
      <c r="C260" s="660"/>
      <c r="D260" s="661">
        <f>I245</f>
        <v>0</v>
      </c>
      <c r="E260" s="662"/>
      <c r="F260" s="662" t="s">
        <v>106</v>
      </c>
      <c r="G260" s="663">
        <v>2</v>
      </c>
      <c r="H260" s="662" t="s">
        <v>163</v>
      </c>
      <c r="I260" s="664">
        <f>(D260*G260)</f>
        <v>0</v>
      </c>
      <c r="J260" s="665" t="s">
        <v>3</v>
      </c>
      <c r="K260" s="648" t="str">
        <f t="shared" ca="1" si="24"/>
        <v/>
      </c>
    </row>
    <row r="261" spans="1:16" s="211" customFormat="1" ht="15" customHeight="1" x14ac:dyDescent="0.2">
      <c r="A261" s="674" t="s">
        <v>2817</v>
      </c>
      <c r="B261" s="675"/>
      <c r="C261" s="675"/>
      <c r="D261" s="675"/>
      <c r="E261" s="675"/>
      <c r="F261" s="675"/>
      <c r="G261" s="675"/>
      <c r="H261" s="701"/>
      <c r="I261" s="677"/>
      <c r="J261" s="678" t="s">
        <v>3</v>
      </c>
      <c r="K261" s="648" t="str">
        <f t="shared" ca="1" si="24"/>
        <v/>
      </c>
      <c r="O261" s="203"/>
      <c r="P261" s="649"/>
    </row>
    <row r="262" spans="1:16" ht="20.100000000000001" customHeight="1" x14ac:dyDescent="0.2">
      <c r="A262" s="716"/>
      <c r="B262" s="752" t="s">
        <v>46</v>
      </c>
      <c r="C262" s="753"/>
      <c r="D262" s="754"/>
      <c r="E262" s="754"/>
      <c r="F262" s="755"/>
      <c r="G262" s="756" t="s">
        <v>2807</v>
      </c>
      <c r="H262" s="1052">
        <f>0.25+H263+D263</f>
        <v>2.95</v>
      </c>
      <c r="I262" s="757"/>
      <c r="J262" s="758"/>
    </row>
    <row r="263" spans="1:16" ht="20.100000000000001" customHeight="1" x14ac:dyDescent="0.2">
      <c r="A263" s="759"/>
      <c r="B263" s="760"/>
      <c r="C263" s="761" t="s">
        <v>2808</v>
      </c>
      <c r="D263" s="762">
        <v>0.8</v>
      </c>
      <c r="E263" s="763" t="s">
        <v>2</v>
      </c>
      <c r="F263" s="764"/>
      <c r="G263" s="762" t="s">
        <v>2809</v>
      </c>
      <c r="H263" s="762">
        <f>1+0.2+0.2+0.5</f>
        <v>1.9</v>
      </c>
      <c r="I263" s="765" t="s">
        <v>2</v>
      </c>
      <c r="J263" s="766"/>
      <c r="K263" s="648" t="str">
        <f t="shared" ref="K263:K294" ca="1" si="26">IF(AND(B263&lt;&gt;"",I263&lt;&gt;"",COUNTIF($C$490:$C$1030,B263)=0),"adic. à qtd","")</f>
        <v/>
      </c>
    </row>
    <row r="264" spans="1:16" ht="15" customHeight="1" x14ac:dyDescent="0.2">
      <c r="A264" s="688"/>
      <c r="B264" s="689" t="s">
        <v>2781</v>
      </c>
      <c r="C264" s="690"/>
      <c r="D264" s="691">
        <f>I261</f>
        <v>0</v>
      </c>
      <c r="E264" s="692"/>
      <c r="F264" s="692" t="s">
        <v>106</v>
      </c>
      <c r="G264" s="693">
        <f>(H263+0.6)*(H263+0.6)*H262</f>
        <v>18.4375</v>
      </c>
      <c r="H264" s="692" t="s">
        <v>163</v>
      </c>
      <c r="I264" s="694">
        <f t="shared" ref="I264:I271" si="27">(D264*G264)</f>
        <v>0</v>
      </c>
      <c r="J264" s="695" t="s">
        <v>309</v>
      </c>
      <c r="K264" s="648" t="str">
        <f t="shared" ca="1" si="26"/>
        <v/>
      </c>
    </row>
    <row r="265" spans="1:16" ht="15" customHeight="1" x14ac:dyDescent="0.2">
      <c r="A265" s="658"/>
      <c r="B265" s="659" t="s">
        <v>311</v>
      </c>
      <c r="C265" s="660"/>
      <c r="D265" s="661">
        <f>I261</f>
        <v>0</v>
      </c>
      <c r="E265" s="662"/>
      <c r="F265" s="662" t="s">
        <v>106</v>
      </c>
      <c r="G265" s="663">
        <f>(2*(((H263-0.2)*0.4)+((H263-0.2)*0.4))*H262)</f>
        <v>8.0240000000000009</v>
      </c>
      <c r="H265" s="662" t="s">
        <v>163</v>
      </c>
      <c r="I265" s="664">
        <f t="shared" si="27"/>
        <v>0</v>
      </c>
      <c r="J265" s="665" t="s">
        <v>309</v>
      </c>
      <c r="K265" s="648" t="str">
        <f t="shared" ca="1" si="26"/>
        <v/>
      </c>
    </row>
    <row r="266" spans="1:16" ht="15" customHeight="1" x14ac:dyDescent="0.2">
      <c r="A266" s="658"/>
      <c r="B266" s="659" t="s">
        <v>314</v>
      </c>
      <c r="C266" s="660"/>
      <c r="D266" s="661">
        <f>I261</f>
        <v>0</v>
      </c>
      <c r="E266" s="662"/>
      <c r="F266" s="662" t="s">
        <v>106</v>
      </c>
      <c r="G266" s="663">
        <f>IF(H262&gt;=2,4*(H263+0.6)*H262,0)</f>
        <v>29.5</v>
      </c>
      <c r="H266" s="662" t="s">
        <v>163</v>
      </c>
      <c r="I266" s="664">
        <f t="shared" si="27"/>
        <v>0</v>
      </c>
      <c r="J266" s="665" t="s">
        <v>309</v>
      </c>
      <c r="K266" s="648" t="str">
        <f t="shared" ca="1" si="26"/>
        <v/>
      </c>
    </row>
    <row r="267" spans="1:16" ht="15" customHeight="1" x14ac:dyDescent="0.2">
      <c r="A267" s="658"/>
      <c r="B267" s="659" t="s">
        <v>316</v>
      </c>
      <c r="C267" s="660"/>
      <c r="D267" s="661">
        <f>I261</f>
        <v>0</v>
      </c>
      <c r="E267" s="662"/>
      <c r="F267" s="662" t="s">
        <v>106</v>
      </c>
      <c r="G267" s="663">
        <f>0.14+0.24</f>
        <v>0.38</v>
      </c>
      <c r="H267" s="662" t="s">
        <v>163</v>
      </c>
      <c r="I267" s="664">
        <f t="shared" si="27"/>
        <v>0</v>
      </c>
      <c r="J267" s="665" t="s">
        <v>313</v>
      </c>
      <c r="K267" s="648" t="str">
        <f t="shared" ca="1" si="26"/>
        <v/>
      </c>
    </row>
    <row r="268" spans="1:16" ht="15" customHeight="1" x14ac:dyDescent="0.2">
      <c r="A268" s="658"/>
      <c r="B268" s="659" t="s">
        <v>317</v>
      </c>
      <c r="C268" s="660"/>
      <c r="D268" s="661">
        <f>I261</f>
        <v>0</v>
      </c>
      <c r="E268" s="662"/>
      <c r="F268" s="662" t="s">
        <v>106</v>
      </c>
      <c r="G268" s="663">
        <f>0.91+1.12*H263+0.96*D263</f>
        <v>3.806</v>
      </c>
      <c r="H268" s="662" t="s">
        <v>163</v>
      </c>
      <c r="I268" s="664">
        <f t="shared" si="27"/>
        <v>0</v>
      </c>
      <c r="J268" s="665" t="s">
        <v>309</v>
      </c>
      <c r="K268" s="648" t="str">
        <f t="shared" ca="1" si="26"/>
        <v/>
      </c>
    </row>
    <row r="269" spans="1:16" ht="15" customHeight="1" x14ac:dyDescent="0.2">
      <c r="A269" s="658"/>
      <c r="B269" s="659" t="s">
        <v>318</v>
      </c>
      <c r="C269" s="660"/>
      <c r="D269" s="661">
        <f>I261</f>
        <v>0</v>
      </c>
      <c r="E269" s="662"/>
      <c r="F269" s="662" t="s">
        <v>106</v>
      </c>
      <c r="G269" s="663">
        <f>109+82*(H263+D263)</f>
        <v>330.4</v>
      </c>
      <c r="H269" s="662" t="s">
        <v>163</v>
      </c>
      <c r="I269" s="664">
        <f t="shared" si="27"/>
        <v>0</v>
      </c>
      <c r="J269" s="665" t="s">
        <v>39</v>
      </c>
      <c r="K269" s="648" t="str">
        <f t="shared" ca="1" si="26"/>
        <v/>
      </c>
    </row>
    <row r="270" spans="1:16" ht="15" customHeight="1" x14ac:dyDescent="0.2">
      <c r="A270" s="658"/>
      <c r="B270" s="659" t="s">
        <v>21651</v>
      </c>
      <c r="C270" s="660"/>
      <c r="D270" s="661">
        <f>I261</f>
        <v>0</v>
      </c>
      <c r="E270" s="662"/>
      <c r="F270" s="662" t="s">
        <v>106</v>
      </c>
      <c r="G270" s="663">
        <f>4.86+11.2*H263</f>
        <v>26.139999999999997</v>
      </c>
      <c r="H270" s="662" t="s">
        <v>163</v>
      </c>
      <c r="I270" s="664">
        <f t="shared" si="27"/>
        <v>0</v>
      </c>
      <c r="J270" s="665" t="s">
        <v>309</v>
      </c>
      <c r="K270" s="648" t="str">
        <f t="shared" ca="1" si="26"/>
        <v/>
      </c>
    </row>
    <row r="271" spans="1:16" ht="15" customHeight="1" x14ac:dyDescent="0.2">
      <c r="A271" s="658"/>
      <c r="B271" s="659" t="s">
        <v>2813</v>
      </c>
      <c r="C271" s="660"/>
      <c r="D271" s="661">
        <f>I261</f>
        <v>0</v>
      </c>
      <c r="E271" s="662"/>
      <c r="F271" s="662" t="s">
        <v>106</v>
      </c>
      <c r="G271" s="663">
        <v>2</v>
      </c>
      <c r="H271" s="662" t="s">
        <v>163</v>
      </c>
      <c r="I271" s="664">
        <f t="shared" si="27"/>
        <v>0</v>
      </c>
      <c r="J271" s="665" t="s">
        <v>309</v>
      </c>
      <c r="K271" s="648" t="str">
        <f t="shared" ca="1" si="26"/>
        <v/>
      </c>
    </row>
    <row r="272" spans="1:16" s="211" customFormat="1" ht="15" customHeight="1" x14ac:dyDescent="0.2">
      <c r="A272" s="674" t="s">
        <v>2818</v>
      </c>
      <c r="B272" s="675"/>
      <c r="C272" s="675"/>
      <c r="D272" s="675"/>
      <c r="E272" s="675"/>
      <c r="F272" s="675"/>
      <c r="G272" s="675"/>
      <c r="H272" s="675"/>
      <c r="I272" s="677"/>
      <c r="J272" s="678" t="s">
        <v>2819</v>
      </c>
      <c r="K272" s="648" t="str">
        <f t="shared" ca="1" si="26"/>
        <v/>
      </c>
      <c r="L272" s="767"/>
      <c r="M272" s="767"/>
      <c r="O272" s="642"/>
      <c r="P272" s="643"/>
    </row>
    <row r="273" spans="1:16" ht="15" customHeight="1" x14ac:dyDescent="0.2">
      <c r="A273" s="658"/>
      <c r="B273" s="659" t="s">
        <v>2748</v>
      </c>
      <c r="C273" s="660"/>
      <c r="D273" s="661">
        <f>$I$272</f>
        <v>0</v>
      </c>
      <c r="E273" s="662"/>
      <c r="F273" s="662" t="s">
        <v>2776</v>
      </c>
      <c r="G273" s="663">
        <f>0.5+0.3+2*0.2</f>
        <v>1.2000000000000002</v>
      </c>
      <c r="H273" s="662" t="s">
        <v>163</v>
      </c>
      <c r="I273" s="664">
        <f t="shared" ref="I273:I279" si="28">(D273*G273)</f>
        <v>0</v>
      </c>
      <c r="J273" s="665" t="s">
        <v>309</v>
      </c>
      <c r="K273" s="648" t="str">
        <f t="shared" ca="1" si="26"/>
        <v/>
      </c>
    </row>
    <row r="274" spans="1:16" ht="15" customHeight="1" x14ac:dyDescent="0.2">
      <c r="A274" s="658"/>
      <c r="B274" s="659" t="s">
        <v>311</v>
      </c>
      <c r="C274" s="660"/>
      <c r="D274" s="661">
        <f t="shared" ref="D274:D279" si="29">$I$272</f>
        <v>0</v>
      </c>
      <c r="E274" s="662"/>
      <c r="F274" s="662" t="s">
        <v>2776</v>
      </c>
      <c r="G274" s="663">
        <f>2*0.2*0.6</f>
        <v>0.24</v>
      </c>
      <c r="H274" s="662" t="s">
        <v>163</v>
      </c>
      <c r="I274" s="664">
        <f t="shared" si="28"/>
        <v>0</v>
      </c>
      <c r="J274" s="665" t="s">
        <v>309</v>
      </c>
      <c r="K274" s="648" t="str">
        <f t="shared" ca="1" si="26"/>
        <v/>
      </c>
    </row>
    <row r="275" spans="1:16" ht="15" customHeight="1" x14ac:dyDescent="0.2">
      <c r="A275" s="658"/>
      <c r="B275" s="659" t="s">
        <v>316</v>
      </c>
      <c r="C275" s="660"/>
      <c r="D275" s="661">
        <f t="shared" si="29"/>
        <v>0</v>
      </c>
      <c r="E275" s="662"/>
      <c r="F275" s="662" t="s">
        <v>2776</v>
      </c>
      <c r="G275" s="663">
        <v>0.04</v>
      </c>
      <c r="H275" s="662" t="s">
        <v>163</v>
      </c>
      <c r="I275" s="664">
        <f t="shared" si="28"/>
        <v>0</v>
      </c>
      <c r="J275" s="665" t="s">
        <v>309</v>
      </c>
      <c r="K275" s="648" t="str">
        <f t="shared" ca="1" si="26"/>
        <v/>
      </c>
    </row>
    <row r="276" spans="1:16" ht="15" customHeight="1" x14ac:dyDescent="0.2">
      <c r="A276" s="658"/>
      <c r="B276" s="659" t="s">
        <v>2747</v>
      </c>
      <c r="C276" s="660"/>
      <c r="D276" s="661">
        <f t="shared" si="29"/>
        <v>0</v>
      </c>
      <c r="E276" s="662"/>
      <c r="F276" s="662" t="s">
        <v>2776</v>
      </c>
      <c r="G276" s="663">
        <v>0.21</v>
      </c>
      <c r="H276" s="662" t="s">
        <v>163</v>
      </c>
      <c r="I276" s="664">
        <f t="shared" si="28"/>
        <v>0</v>
      </c>
      <c r="J276" s="665" t="s">
        <v>309</v>
      </c>
      <c r="K276" s="648" t="str">
        <f t="shared" ca="1" si="26"/>
        <v/>
      </c>
    </row>
    <row r="277" spans="1:16" ht="15" customHeight="1" x14ac:dyDescent="0.2">
      <c r="A277" s="658"/>
      <c r="B277" s="659" t="s">
        <v>318</v>
      </c>
      <c r="C277" s="660"/>
      <c r="D277" s="661">
        <f t="shared" si="29"/>
        <v>0</v>
      </c>
      <c r="E277" s="662"/>
      <c r="F277" s="662" t="s">
        <v>2776</v>
      </c>
      <c r="G277" s="663">
        <f>14</f>
        <v>14</v>
      </c>
      <c r="H277" s="662" t="s">
        <v>163</v>
      </c>
      <c r="I277" s="664">
        <f t="shared" si="28"/>
        <v>0</v>
      </c>
      <c r="J277" s="665" t="s">
        <v>6</v>
      </c>
      <c r="K277" s="648" t="str">
        <f t="shared" ca="1" si="26"/>
        <v/>
      </c>
    </row>
    <row r="278" spans="1:16" ht="15" customHeight="1" x14ac:dyDescent="0.2">
      <c r="A278" s="658"/>
      <c r="B278" s="659" t="s">
        <v>21651</v>
      </c>
      <c r="C278" s="660"/>
      <c r="D278" s="661">
        <f t="shared" si="29"/>
        <v>0</v>
      </c>
      <c r="E278" s="662"/>
      <c r="F278" s="662" t="s">
        <v>2776</v>
      </c>
      <c r="G278" s="663">
        <v>1.6</v>
      </c>
      <c r="H278" s="662" t="s">
        <v>163</v>
      </c>
      <c r="I278" s="664">
        <f t="shared" si="28"/>
        <v>0</v>
      </c>
      <c r="J278" s="665" t="s">
        <v>313</v>
      </c>
      <c r="K278" s="648" t="str">
        <f t="shared" ca="1" si="26"/>
        <v/>
      </c>
    </row>
    <row r="279" spans="1:16" ht="15" customHeight="1" x14ac:dyDescent="0.2">
      <c r="A279" s="658"/>
      <c r="B279" s="659" t="s">
        <v>2746</v>
      </c>
      <c r="C279" s="660"/>
      <c r="D279" s="661">
        <f t="shared" si="29"/>
        <v>0</v>
      </c>
      <c r="E279" s="662"/>
      <c r="F279" s="662" t="s">
        <v>2776</v>
      </c>
      <c r="G279" s="663">
        <v>1</v>
      </c>
      <c r="H279" s="662" t="s">
        <v>163</v>
      </c>
      <c r="I279" s="664">
        <f t="shared" si="28"/>
        <v>0</v>
      </c>
      <c r="J279" s="665" t="s">
        <v>313</v>
      </c>
      <c r="K279" s="648" t="str">
        <f t="shared" ca="1" si="26"/>
        <v/>
      </c>
    </row>
    <row r="280" spans="1:16" s="211" customFormat="1" ht="15" customHeight="1" x14ac:dyDescent="0.2">
      <c r="A280" s="674" t="s">
        <v>2820</v>
      </c>
      <c r="B280" s="675"/>
      <c r="C280" s="675"/>
      <c r="D280" s="675"/>
      <c r="E280" s="675"/>
      <c r="F280" s="675"/>
      <c r="G280" s="675"/>
      <c r="H280" s="675"/>
      <c r="I280" s="677"/>
      <c r="J280" s="678" t="s">
        <v>2819</v>
      </c>
      <c r="K280" s="648" t="str">
        <f t="shared" ca="1" si="26"/>
        <v/>
      </c>
      <c r="L280" s="767"/>
      <c r="M280" s="767"/>
      <c r="O280" s="642"/>
      <c r="P280" s="643"/>
    </row>
    <row r="281" spans="1:16" ht="20.100000000000001" customHeight="1" x14ac:dyDescent="0.2">
      <c r="A281" s="759"/>
      <c r="B281" s="768"/>
      <c r="C281" s="769" t="s">
        <v>2821</v>
      </c>
      <c r="D281" s="770">
        <v>2</v>
      </c>
      <c r="E281" s="771" t="s">
        <v>2</v>
      </c>
      <c r="F281" s="769"/>
      <c r="G281" s="769"/>
      <c r="H281" s="769"/>
      <c r="I281" s="769"/>
      <c r="J281" s="772"/>
      <c r="K281" s="648" t="str">
        <f t="shared" ca="1" si="26"/>
        <v/>
      </c>
    </row>
    <row r="282" spans="1:16" ht="15" customHeight="1" x14ac:dyDescent="0.2">
      <c r="A282" s="658"/>
      <c r="B282" s="659" t="s">
        <v>21651</v>
      </c>
      <c r="C282" s="660"/>
      <c r="D282" s="661">
        <f>$I$280</f>
        <v>0</v>
      </c>
      <c r="E282" s="662"/>
      <c r="F282" s="662" t="s">
        <v>2776</v>
      </c>
      <c r="G282" s="663">
        <f>IF(D281=2,3.71,IF(D281=1.5,2.91,IF(D281=3,5.31,"")))</f>
        <v>3.71</v>
      </c>
      <c r="H282" s="662" t="s">
        <v>163</v>
      </c>
      <c r="I282" s="664">
        <f t="shared" ref="I282:I285" si="30">(D282*G282)</f>
        <v>0</v>
      </c>
      <c r="J282" s="665" t="s">
        <v>309</v>
      </c>
      <c r="K282" s="648" t="str">
        <f t="shared" ca="1" si="26"/>
        <v/>
      </c>
    </row>
    <row r="283" spans="1:16" ht="15" customHeight="1" x14ac:dyDescent="0.2">
      <c r="A283" s="658"/>
      <c r="B283" s="659" t="s">
        <v>316</v>
      </c>
      <c r="C283" s="660"/>
      <c r="D283" s="661">
        <f t="shared" ref="D283:D285" si="31">$I$280</f>
        <v>0</v>
      </c>
      <c r="E283" s="662"/>
      <c r="F283" s="662" t="s">
        <v>2776</v>
      </c>
      <c r="G283" s="663">
        <f>IF(D281=2,0.07,IF(D281=1.5,0.05,IF(D281=3,0.12,"")))</f>
        <v>7.0000000000000007E-2</v>
      </c>
      <c r="H283" s="662" t="s">
        <v>163</v>
      </c>
      <c r="I283" s="664">
        <f t="shared" si="30"/>
        <v>0</v>
      </c>
      <c r="J283" s="665" t="s">
        <v>309</v>
      </c>
      <c r="K283" s="648" t="str">
        <f t="shared" ca="1" si="26"/>
        <v/>
      </c>
    </row>
    <row r="284" spans="1:16" ht="15" customHeight="1" x14ac:dyDescent="0.2">
      <c r="A284" s="658"/>
      <c r="B284" s="659" t="s">
        <v>318</v>
      </c>
      <c r="C284" s="660"/>
      <c r="D284" s="661">
        <f t="shared" si="31"/>
        <v>0</v>
      </c>
      <c r="E284" s="662"/>
      <c r="F284" s="662" t="s">
        <v>2776</v>
      </c>
      <c r="G284" s="663">
        <v>31</v>
      </c>
      <c r="H284" s="662" t="s">
        <v>163</v>
      </c>
      <c r="I284" s="664">
        <f t="shared" si="30"/>
        <v>0</v>
      </c>
      <c r="J284" s="665" t="s">
        <v>309</v>
      </c>
      <c r="K284" s="648" t="str">
        <f t="shared" ca="1" si="26"/>
        <v/>
      </c>
    </row>
    <row r="285" spans="1:16" ht="15" customHeight="1" x14ac:dyDescent="0.2">
      <c r="A285" s="658"/>
      <c r="B285" s="659" t="s">
        <v>2747</v>
      </c>
      <c r="C285" s="660"/>
      <c r="D285" s="661">
        <f t="shared" si="31"/>
        <v>0</v>
      </c>
      <c r="E285" s="662"/>
      <c r="F285" s="662" t="s">
        <v>2776</v>
      </c>
      <c r="G285" s="663">
        <f>IF(D281=2,0.58,IF(D281=1.5,0.46,IF(D281=3,0.82,"")))</f>
        <v>0.57999999999999996</v>
      </c>
      <c r="H285" s="662" t="s">
        <v>163</v>
      </c>
      <c r="I285" s="664">
        <f t="shared" si="30"/>
        <v>0</v>
      </c>
      <c r="J285" s="665" t="s">
        <v>309</v>
      </c>
      <c r="K285" s="648" t="str">
        <f t="shared" ca="1" si="26"/>
        <v/>
      </c>
    </row>
    <row r="286" spans="1:16" s="211" customFormat="1" ht="15" customHeight="1" x14ac:dyDescent="0.2">
      <c r="A286" s="674" t="s">
        <v>2822</v>
      </c>
      <c r="B286" s="675"/>
      <c r="C286" s="675"/>
      <c r="D286" s="675"/>
      <c r="E286" s="675"/>
      <c r="F286" s="675"/>
      <c r="G286" s="675"/>
      <c r="H286" s="773" t="s">
        <v>2823</v>
      </c>
      <c r="I286" s="677"/>
      <c r="J286" s="678" t="s">
        <v>2</v>
      </c>
      <c r="K286" s="648" t="str">
        <f t="shared" ca="1" si="26"/>
        <v/>
      </c>
      <c r="L286" s="202"/>
      <c r="M286" s="202"/>
      <c r="N286" s="202"/>
      <c r="O286" s="642"/>
      <c r="P286" s="643"/>
    </row>
    <row r="287" spans="1:16" ht="12.75" x14ac:dyDescent="0.2">
      <c r="A287" s="716"/>
      <c r="B287" s="774"/>
      <c r="C287" s="774" t="s">
        <v>2824</v>
      </c>
      <c r="D287" s="775">
        <f>0.8+D289+0.471</f>
        <v>2.5310000000000001</v>
      </c>
      <c r="E287" s="754" t="s">
        <v>2</v>
      </c>
      <c r="F287" s="754" t="s">
        <v>2825</v>
      </c>
      <c r="G287" s="754"/>
      <c r="H287" s="754"/>
      <c r="I287" s="754"/>
      <c r="J287" s="758"/>
      <c r="K287" s="648" t="str">
        <f t="shared" ca="1" si="26"/>
        <v/>
      </c>
    </row>
    <row r="288" spans="1:16" ht="15.75" x14ac:dyDescent="0.2">
      <c r="A288" s="776"/>
      <c r="B288" s="777"/>
      <c r="C288" s="777" t="s">
        <v>2826</v>
      </c>
      <c r="D288" s="778">
        <f>D287-0.8</f>
        <v>1.7310000000000001</v>
      </c>
      <c r="E288" s="779" t="s">
        <v>2</v>
      </c>
      <c r="F288" s="780" t="s">
        <v>2827</v>
      </c>
      <c r="G288" s="780"/>
      <c r="H288" s="780"/>
      <c r="I288" s="780"/>
      <c r="J288" s="781"/>
      <c r="K288" s="648" t="str">
        <f t="shared" ca="1" si="26"/>
        <v/>
      </c>
    </row>
    <row r="289" spans="1:16" ht="15.75" x14ac:dyDescent="0.2">
      <c r="A289" s="776"/>
      <c r="B289" s="1285" t="s">
        <v>2828</v>
      </c>
      <c r="C289" s="1286"/>
      <c r="D289" s="778">
        <v>1.26</v>
      </c>
      <c r="E289" s="779" t="s">
        <v>2</v>
      </c>
      <c r="F289" s="780" t="s">
        <v>2829</v>
      </c>
      <c r="G289" s="780"/>
      <c r="H289" s="780"/>
      <c r="I289" s="780"/>
      <c r="J289" s="781"/>
      <c r="K289" s="648" t="str">
        <f t="shared" ca="1" si="26"/>
        <v/>
      </c>
    </row>
    <row r="290" spans="1:16" ht="12.75" x14ac:dyDescent="0.2">
      <c r="A290" s="759"/>
      <c r="B290" s="769"/>
      <c r="C290" s="769" t="s">
        <v>2830</v>
      </c>
      <c r="D290" s="782">
        <v>0.6</v>
      </c>
      <c r="E290" s="768"/>
      <c r="F290" s="783"/>
      <c r="G290" s="783"/>
      <c r="H290" s="783"/>
      <c r="I290" s="784"/>
      <c r="J290" s="766"/>
      <c r="K290" s="648" t="str">
        <f t="shared" ca="1" si="26"/>
        <v/>
      </c>
    </row>
    <row r="291" spans="1:16" ht="15" customHeight="1" x14ac:dyDescent="0.2">
      <c r="A291" s="688"/>
      <c r="B291" s="689" t="s">
        <v>2831</v>
      </c>
      <c r="C291" s="690"/>
      <c r="D291" s="691"/>
      <c r="E291" s="692"/>
      <c r="F291" s="692"/>
      <c r="G291" s="693"/>
      <c r="H291" s="692"/>
      <c r="I291" s="694"/>
      <c r="J291" s="695"/>
      <c r="K291" s="648" t="str">
        <f t="shared" ca="1" si="26"/>
        <v/>
      </c>
    </row>
    <row r="292" spans="1:16" ht="15" customHeight="1" x14ac:dyDescent="0.2">
      <c r="A292" s="658"/>
      <c r="B292" s="659" t="s">
        <v>310</v>
      </c>
      <c r="C292" s="660"/>
      <c r="D292" s="661">
        <f>I286</f>
        <v>0</v>
      </c>
      <c r="E292" s="662" t="s">
        <v>2776</v>
      </c>
      <c r="F292" s="662"/>
      <c r="G292" s="663">
        <f>D287*(1.2*0.8+2*D290)</f>
        <v>5.4669600000000003</v>
      </c>
      <c r="H292" s="662" t="s">
        <v>163</v>
      </c>
      <c r="I292" s="664">
        <f>(D292*G292)</f>
        <v>0</v>
      </c>
      <c r="J292" s="665" t="s">
        <v>309</v>
      </c>
      <c r="K292" s="648" t="str">
        <f t="shared" ca="1" si="26"/>
        <v/>
      </c>
    </row>
    <row r="293" spans="1:16" ht="15" customHeight="1" x14ac:dyDescent="0.2">
      <c r="A293" s="658"/>
      <c r="B293" s="659" t="s">
        <v>2801</v>
      </c>
      <c r="C293" s="660"/>
      <c r="D293" s="661">
        <f>I286</f>
        <v>0</v>
      </c>
      <c r="E293" s="662" t="s">
        <v>2776</v>
      </c>
      <c r="F293" s="662"/>
      <c r="G293" s="663">
        <f>IF(D287&gt;2,(D287-2)*(1.2*0.8+2*D290),0)</f>
        <v>1.1469600000000004</v>
      </c>
      <c r="H293" s="662" t="s">
        <v>163</v>
      </c>
      <c r="I293" s="664">
        <f>(D293*G293)</f>
        <v>0</v>
      </c>
      <c r="J293" s="665" t="s">
        <v>309</v>
      </c>
      <c r="K293" s="648" t="str">
        <f t="shared" ca="1" si="26"/>
        <v/>
      </c>
    </row>
    <row r="294" spans="1:16" ht="15" customHeight="1" x14ac:dyDescent="0.2">
      <c r="A294" s="658"/>
      <c r="B294" s="659" t="s">
        <v>311</v>
      </c>
      <c r="C294" s="660"/>
      <c r="D294" s="661">
        <f>D292</f>
        <v>0</v>
      </c>
      <c r="E294" s="662" t="s">
        <v>2776</v>
      </c>
      <c r="F294" s="662"/>
      <c r="G294" s="663">
        <f>(D287*(1.2*0.8+2*D290))-PI()*(0.49)^2</f>
        <v>4.7126636038730911</v>
      </c>
      <c r="H294" s="662" t="s">
        <v>163</v>
      </c>
      <c r="I294" s="664">
        <f>(D294*G294)</f>
        <v>0</v>
      </c>
      <c r="J294" s="665" t="s">
        <v>309</v>
      </c>
      <c r="K294" s="648" t="str">
        <f t="shared" ca="1" si="26"/>
        <v/>
      </c>
    </row>
    <row r="295" spans="1:16" ht="15" customHeight="1" x14ac:dyDescent="0.2">
      <c r="A295" s="658"/>
      <c r="B295" s="659" t="s">
        <v>312</v>
      </c>
      <c r="C295" s="660"/>
      <c r="D295" s="661">
        <f>D292</f>
        <v>0</v>
      </c>
      <c r="E295" s="662" t="s">
        <v>2776</v>
      </c>
      <c r="F295" s="662"/>
      <c r="G295" s="663">
        <f>2*(D287)</f>
        <v>5.0620000000000003</v>
      </c>
      <c r="H295" s="662" t="s">
        <v>163</v>
      </c>
      <c r="I295" s="664">
        <f>(D295*G295)</f>
        <v>0</v>
      </c>
      <c r="J295" s="665" t="s">
        <v>313</v>
      </c>
      <c r="K295" s="648" t="str">
        <f t="shared" ref="K295:K326" ca="1" si="32">IF(AND(B295&lt;&gt;"",I295&lt;&gt;"",COUNTIF($C$490:$C$1030,B295)=0),"adic. à qtd","")</f>
        <v/>
      </c>
    </row>
    <row r="296" spans="1:16" ht="15" customHeight="1" x14ac:dyDescent="0.2">
      <c r="A296" s="658"/>
      <c r="B296" s="659" t="s">
        <v>2832</v>
      </c>
      <c r="C296" s="660"/>
      <c r="D296" s="661"/>
      <c r="E296" s="662"/>
      <c r="F296" s="662"/>
      <c r="G296" s="663"/>
      <c r="H296" s="662"/>
      <c r="I296" s="664">
        <f>I286</f>
        <v>0</v>
      </c>
      <c r="J296" s="665" t="s">
        <v>2</v>
      </c>
      <c r="K296" s="648" t="str">
        <f t="shared" ca="1" si="32"/>
        <v/>
      </c>
    </row>
    <row r="297" spans="1:16" ht="15" customHeight="1" x14ac:dyDescent="0.2">
      <c r="A297" s="785"/>
      <c r="B297" s="786" t="s">
        <v>2823</v>
      </c>
      <c r="C297" s="787"/>
      <c r="D297" s="788"/>
      <c r="E297" s="787"/>
      <c r="F297" s="787"/>
      <c r="G297" s="789"/>
      <c r="H297" s="787"/>
      <c r="I297" s="790"/>
      <c r="J297" s="791"/>
      <c r="K297" s="648" t="str">
        <f t="shared" ca="1" si="32"/>
        <v/>
      </c>
      <c r="L297" s="792"/>
      <c r="M297" s="792"/>
    </row>
    <row r="298" spans="1:16" ht="15" customHeight="1" x14ac:dyDescent="0.2">
      <c r="A298" s="658"/>
      <c r="B298" s="659" t="s">
        <v>310</v>
      </c>
      <c r="C298" s="660"/>
      <c r="D298" s="661">
        <f>I286</f>
        <v>0</v>
      </c>
      <c r="E298" s="662" t="s">
        <v>2776</v>
      </c>
      <c r="F298" s="662"/>
      <c r="G298" s="663">
        <f>IF(D287&lt;=5,(0.2*(0.8+2*0.25)),(0.4*(0.8+2*0.25)))</f>
        <v>0.26</v>
      </c>
      <c r="H298" s="662" t="s">
        <v>163</v>
      </c>
      <c r="I298" s="664">
        <f>(D298*G298)</f>
        <v>0</v>
      </c>
      <c r="J298" s="665" t="s">
        <v>309</v>
      </c>
      <c r="K298" s="648" t="str">
        <f t="shared" ca="1" si="32"/>
        <v/>
      </c>
    </row>
    <row r="299" spans="1:16" ht="15" customHeight="1" x14ac:dyDescent="0.2">
      <c r="A299" s="658"/>
      <c r="B299" s="659" t="s">
        <v>2833</v>
      </c>
      <c r="C299" s="660"/>
      <c r="D299" s="661">
        <f>I286</f>
        <v>0</v>
      </c>
      <c r="E299" s="662" t="s">
        <v>2776</v>
      </c>
      <c r="F299" s="662"/>
      <c r="G299" s="663">
        <f>IF(D287&lt;=5,0.347,0.607)</f>
        <v>0.34699999999999998</v>
      </c>
      <c r="H299" s="662" t="s">
        <v>163</v>
      </c>
      <c r="I299" s="664">
        <f>(D299*G299)</f>
        <v>0</v>
      </c>
      <c r="J299" s="665" t="s">
        <v>309</v>
      </c>
      <c r="K299" s="648" t="str">
        <f t="shared" ca="1" si="32"/>
        <v/>
      </c>
    </row>
    <row r="300" spans="1:16" s="211" customFormat="1" ht="15" customHeight="1" x14ac:dyDescent="0.2">
      <c r="A300" s="674" t="s">
        <v>2834</v>
      </c>
      <c r="B300" s="675"/>
      <c r="C300" s="675"/>
      <c r="D300" s="675"/>
      <c r="E300" s="675"/>
      <c r="F300" s="675"/>
      <c r="G300" s="675"/>
      <c r="H300" s="773" t="s">
        <v>2823</v>
      </c>
      <c r="I300" s="677"/>
      <c r="J300" s="678" t="s">
        <v>2</v>
      </c>
      <c r="K300" s="648" t="str">
        <f t="shared" ca="1" si="32"/>
        <v/>
      </c>
      <c r="L300" s="202"/>
      <c r="M300" s="202"/>
      <c r="N300" s="202"/>
      <c r="O300" s="642"/>
      <c r="P300" s="643"/>
    </row>
    <row r="301" spans="1:16" ht="12.75" x14ac:dyDescent="0.2">
      <c r="A301" s="716"/>
      <c r="B301" s="774"/>
      <c r="C301" s="774" t="s">
        <v>2824</v>
      </c>
      <c r="D301" s="775">
        <f>0.53-0.13+1.2+D303</f>
        <v>2.89</v>
      </c>
      <c r="E301" s="754" t="s">
        <v>2</v>
      </c>
      <c r="F301" s="754" t="s">
        <v>2825</v>
      </c>
      <c r="G301" s="754"/>
      <c r="H301" s="754"/>
      <c r="I301" s="754"/>
      <c r="J301" s="758"/>
      <c r="K301" s="648" t="str">
        <f t="shared" ca="1" si="32"/>
        <v/>
      </c>
    </row>
    <row r="302" spans="1:16" ht="15.75" x14ac:dyDescent="0.2">
      <c r="A302" s="776"/>
      <c r="B302" s="777"/>
      <c r="C302" s="777" t="s">
        <v>2826</v>
      </c>
      <c r="D302" s="778">
        <f>D301-1.2</f>
        <v>1.6900000000000002</v>
      </c>
      <c r="E302" s="779" t="s">
        <v>2</v>
      </c>
      <c r="F302" s="780" t="s">
        <v>2827</v>
      </c>
      <c r="G302" s="780"/>
      <c r="H302" s="780"/>
      <c r="I302" s="780"/>
      <c r="J302" s="781"/>
      <c r="K302" s="648" t="str">
        <f t="shared" ca="1" si="32"/>
        <v/>
      </c>
    </row>
    <row r="303" spans="1:16" ht="15.75" x14ac:dyDescent="0.2">
      <c r="A303" s="776"/>
      <c r="B303" s="1285" t="s">
        <v>2828</v>
      </c>
      <c r="C303" s="1286"/>
      <c r="D303" s="778">
        <v>1.29</v>
      </c>
      <c r="E303" s="779" t="s">
        <v>2</v>
      </c>
      <c r="F303" s="780" t="s">
        <v>2829</v>
      </c>
      <c r="G303" s="780"/>
      <c r="H303" s="780"/>
      <c r="I303" s="780"/>
      <c r="J303" s="781"/>
      <c r="K303" s="648" t="str">
        <f t="shared" ca="1" si="32"/>
        <v/>
      </c>
    </row>
    <row r="304" spans="1:16" ht="12.75" x14ac:dyDescent="0.2">
      <c r="A304" s="759"/>
      <c r="B304" s="769"/>
      <c r="C304" s="769" t="s">
        <v>2830</v>
      </c>
      <c r="D304" s="782">
        <v>0.6</v>
      </c>
      <c r="E304" s="768"/>
      <c r="F304" s="783"/>
      <c r="G304" s="783"/>
      <c r="H304" s="783"/>
      <c r="I304" s="784"/>
      <c r="J304" s="766"/>
      <c r="K304" s="648" t="str">
        <f t="shared" ca="1" si="32"/>
        <v/>
      </c>
    </row>
    <row r="305" spans="1:16" ht="15" customHeight="1" x14ac:dyDescent="0.2">
      <c r="A305" s="688"/>
      <c r="B305" s="689" t="s">
        <v>2831</v>
      </c>
      <c r="C305" s="690"/>
      <c r="D305" s="691"/>
      <c r="E305" s="692"/>
      <c r="F305" s="692"/>
      <c r="G305" s="693"/>
      <c r="H305" s="692"/>
      <c r="I305" s="694"/>
      <c r="J305" s="695"/>
      <c r="K305" s="648" t="str">
        <f t="shared" ca="1" si="32"/>
        <v/>
      </c>
    </row>
    <row r="306" spans="1:16" ht="15" customHeight="1" x14ac:dyDescent="0.2">
      <c r="A306" s="658"/>
      <c r="B306" s="659" t="s">
        <v>310</v>
      </c>
      <c r="C306" s="660"/>
      <c r="D306" s="661">
        <f>$I$300</f>
        <v>0</v>
      </c>
      <c r="E306" s="662" t="s">
        <v>2776</v>
      </c>
      <c r="F306" s="662"/>
      <c r="G306" s="663">
        <f>D301*(1.2*1.2+2*$D$304)</f>
        <v>7.629599999999999</v>
      </c>
      <c r="H306" s="662" t="s">
        <v>163</v>
      </c>
      <c r="I306" s="664">
        <f>(D306*G306)</f>
        <v>0</v>
      </c>
      <c r="J306" s="665" t="s">
        <v>309</v>
      </c>
      <c r="K306" s="648" t="str">
        <f t="shared" ca="1" si="32"/>
        <v/>
      </c>
    </row>
    <row r="307" spans="1:16" ht="15" customHeight="1" x14ac:dyDescent="0.2">
      <c r="A307" s="658"/>
      <c r="B307" s="659" t="s">
        <v>2801</v>
      </c>
      <c r="C307" s="660"/>
      <c r="D307" s="661">
        <f t="shared" ref="D307:D310" si="33">$I$300</f>
        <v>0</v>
      </c>
      <c r="E307" s="662" t="s">
        <v>2776</v>
      </c>
      <c r="F307" s="662"/>
      <c r="G307" s="663">
        <f>IF(D301&gt;2,(D301-2)*(1.2*1.2+2*D304),0)</f>
        <v>2.3496000000000001</v>
      </c>
      <c r="H307" s="662" t="s">
        <v>163</v>
      </c>
      <c r="I307" s="664">
        <f>(D307*G307)</f>
        <v>0</v>
      </c>
      <c r="J307" s="665" t="s">
        <v>309</v>
      </c>
      <c r="K307" s="648" t="str">
        <f t="shared" ca="1" si="32"/>
        <v/>
      </c>
    </row>
    <row r="308" spans="1:16" ht="15" customHeight="1" x14ac:dyDescent="0.2">
      <c r="A308" s="658"/>
      <c r="B308" s="659" t="s">
        <v>311</v>
      </c>
      <c r="C308" s="660"/>
      <c r="D308" s="661">
        <f t="shared" si="33"/>
        <v>0</v>
      </c>
      <c r="E308" s="662" t="s">
        <v>2776</v>
      </c>
      <c r="F308" s="662"/>
      <c r="G308" s="663">
        <f>(D301*(1.2*1.2+2*D304))-PI()*(0.73)^2</f>
        <v>5.955445274901999</v>
      </c>
      <c r="H308" s="662" t="s">
        <v>163</v>
      </c>
      <c r="I308" s="664">
        <f>(D308*G308)</f>
        <v>0</v>
      </c>
      <c r="J308" s="665" t="s">
        <v>309</v>
      </c>
      <c r="K308" s="648" t="str">
        <f t="shared" ca="1" si="32"/>
        <v/>
      </c>
    </row>
    <row r="309" spans="1:16" ht="15" customHeight="1" x14ac:dyDescent="0.2">
      <c r="A309" s="658"/>
      <c r="B309" s="659" t="s">
        <v>312</v>
      </c>
      <c r="C309" s="660"/>
      <c r="D309" s="661">
        <f t="shared" si="33"/>
        <v>0</v>
      </c>
      <c r="E309" s="662" t="s">
        <v>2776</v>
      </c>
      <c r="F309" s="662"/>
      <c r="G309" s="663">
        <f>2*D301</f>
        <v>5.78</v>
      </c>
      <c r="H309" s="662" t="s">
        <v>163</v>
      </c>
      <c r="I309" s="664">
        <f>(D309*G309)</f>
        <v>0</v>
      </c>
      <c r="J309" s="665" t="s">
        <v>313</v>
      </c>
      <c r="K309" s="648" t="str">
        <f t="shared" ca="1" si="32"/>
        <v/>
      </c>
    </row>
    <row r="310" spans="1:16" ht="15" customHeight="1" x14ac:dyDescent="0.2">
      <c r="A310" s="658"/>
      <c r="B310" s="659" t="s">
        <v>2835</v>
      </c>
      <c r="C310" s="660"/>
      <c r="D310" s="661">
        <f t="shared" si="33"/>
        <v>0</v>
      </c>
      <c r="E310" s="662" t="s">
        <v>2776</v>
      </c>
      <c r="F310" s="662"/>
      <c r="G310" s="663">
        <v>1</v>
      </c>
      <c r="H310" s="662" t="s">
        <v>163</v>
      </c>
      <c r="I310" s="664">
        <f>I300</f>
        <v>0</v>
      </c>
      <c r="J310" s="665" t="s">
        <v>2</v>
      </c>
      <c r="K310" s="648" t="str">
        <f t="shared" ca="1" si="32"/>
        <v/>
      </c>
    </row>
    <row r="311" spans="1:16" ht="15" customHeight="1" x14ac:dyDescent="0.2">
      <c r="A311" s="785"/>
      <c r="B311" s="786" t="s">
        <v>2823</v>
      </c>
      <c r="C311" s="787"/>
      <c r="D311" s="788"/>
      <c r="E311" s="787"/>
      <c r="F311" s="787"/>
      <c r="G311" s="789"/>
      <c r="H311" s="787"/>
      <c r="I311" s="790"/>
      <c r="J311" s="791"/>
      <c r="K311" s="648" t="str">
        <f t="shared" ca="1" si="32"/>
        <v/>
      </c>
      <c r="L311" s="792"/>
      <c r="M311" s="792"/>
    </row>
    <row r="312" spans="1:16" ht="15" customHeight="1" x14ac:dyDescent="0.2">
      <c r="A312" s="658"/>
      <c r="B312" s="659" t="s">
        <v>310</v>
      </c>
      <c r="C312" s="660"/>
      <c r="D312" s="661">
        <f>I300</f>
        <v>0</v>
      </c>
      <c r="E312" s="662" t="s">
        <v>2776</v>
      </c>
      <c r="F312" s="662"/>
      <c r="G312" s="663">
        <f>IF(D301&lt;=5,(0.2*(1.2+2*0.35)),(0.4*(1.2+2*0.35)))</f>
        <v>0.38</v>
      </c>
      <c r="H312" s="662" t="s">
        <v>163</v>
      </c>
      <c r="I312" s="664">
        <f>(D312*G312)</f>
        <v>0</v>
      </c>
      <c r="J312" s="665" t="s">
        <v>309</v>
      </c>
      <c r="K312" s="648" t="str">
        <f t="shared" ca="1" si="32"/>
        <v/>
      </c>
    </row>
    <row r="313" spans="1:16" ht="15" customHeight="1" x14ac:dyDescent="0.2">
      <c r="A313" s="658"/>
      <c r="B313" s="659" t="s">
        <v>2833</v>
      </c>
      <c r="C313" s="660"/>
      <c r="D313" s="661">
        <f>I300</f>
        <v>0</v>
      </c>
      <c r="E313" s="662" t="s">
        <v>2776</v>
      </c>
      <c r="F313" s="662"/>
      <c r="G313" s="663">
        <f>IF(D301&lt;=5,0.566,0.946)</f>
        <v>0.56599999999999995</v>
      </c>
      <c r="H313" s="662" t="s">
        <v>163</v>
      </c>
      <c r="I313" s="664">
        <f>(D313*G313)</f>
        <v>0</v>
      </c>
      <c r="J313" s="665" t="s">
        <v>309</v>
      </c>
      <c r="K313" s="648" t="str">
        <f t="shared" ca="1" si="32"/>
        <v/>
      </c>
    </row>
    <row r="314" spans="1:16" s="211" customFormat="1" ht="15" customHeight="1" x14ac:dyDescent="0.2">
      <c r="A314" s="674" t="s">
        <v>2884</v>
      </c>
      <c r="B314" s="675"/>
      <c r="C314" s="675"/>
      <c r="D314" s="675"/>
      <c r="E314" s="675"/>
      <c r="F314" s="675"/>
      <c r="G314" s="675"/>
      <c r="H314" s="773" t="s">
        <v>2823</v>
      </c>
      <c r="I314" s="677">
        <f>4.5+10.8+40</f>
        <v>55.3</v>
      </c>
      <c r="J314" s="678" t="s">
        <v>2</v>
      </c>
      <c r="K314" s="648" t="str">
        <f t="shared" ca="1" si="32"/>
        <v/>
      </c>
      <c r="L314" s="202"/>
      <c r="M314" s="202"/>
      <c r="N314" s="202"/>
      <c r="O314" s="642"/>
      <c r="P314" s="643"/>
    </row>
    <row r="315" spans="1:16" ht="12.75" x14ac:dyDescent="0.2">
      <c r="A315" s="716"/>
      <c r="B315" s="774"/>
      <c r="C315" s="774" t="s">
        <v>2824</v>
      </c>
      <c r="D315" s="775">
        <f>D317+0.25-0.07+0.54</f>
        <v>2.2199999999999998</v>
      </c>
      <c r="E315" s="754" t="s">
        <v>2</v>
      </c>
      <c r="F315" s="754" t="s">
        <v>2825</v>
      </c>
      <c r="G315" s="754"/>
      <c r="H315" s="754"/>
      <c r="I315" s="754"/>
      <c r="J315" s="758"/>
      <c r="K315" s="648" t="str">
        <f t="shared" ca="1" si="32"/>
        <v/>
      </c>
    </row>
    <row r="316" spans="1:16" ht="15.75" x14ac:dyDescent="0.2">
      <c r="A316" s="776"/>
      <c r="B316" s="777"/>
      <c r="C316" s="777" t="s">
        <v>2826</v>
      </c>
      <c r="D316" s="778">
        <f>D315-0.4</f>
        <v>1.8199999999999998</v>
      </c>
      <c r="E316" s="779" t="s">
        <v>2</v>
      </c>
      <c r="F316" s="780" t="s">
        <v>2827</v>
      </c>
      <c r="G316" s="780"/>
      <c r="H316" s="780"/>
      <c r="I316" s="780"/>
      <c r="J316" s="781"/>
      <c r="K316" s="648" t="str">
        <f t="shared" ca="1" si="32"/>
        <v/>
      </c>
    </row>
    <row r="317" spans="1:16" ht="15.75" x14ac:dyDescent="0.2">
      <c r="A317" s="776"/>
      <c r="B317" s="1285" t="s">
        <v>2828</v>
      </c>
      <c r="C317" s="1286"/>
      <c r="D317" s="778">
        <v>1.5</v>
      </c>
      <c r="E317" s="779" t="s">
        <v>2</v>
      </c>
      <c r="F317" s="780" t="s">
        <v>2829</v>
      </c>
      <c r="G317" s="780"/>
      <c r="H317" s="780"/>
      <c r="I317" s="780"/>
      <c r="J317" s="781"/>
      <c r="K317" s="648" t="str">
        <f t="shared" ca="1" si="32"/>
        <v/>
      </c>
    </row>
    <row r="318" spans="1:16" ht="12.75" x14ac:dyDescent="0.2">
      <c r="A318" s="759"/>
      <c r="B318" s="769"/>
      <c r="C318" s="769" t="s">
        <v>2830</v>
      </c>
      <c r="D318" s="782">
        <v>0.6</v>
      </c>
      <c r="E318" s="768"/>
      <c r="F318" s="783"/>
      <c r="G318" s="783"/>
      <c r="H318" s="783"/>
      <c r="I318" s="784"/>
      <c r="J318" s="766"/>
      <c r="K318" s="648" t="str">
        <f t="shared" ca="1" si="32"/>
        <v/>
      </c>
    </row>
    <row r="319" spans="1:16" ht="15" customHeight="1" x14ac:dyDescent="0.2">
      <c r="A319" s="688"/>
      <c r="B319" s="689" t="s">
        <v>2831</v>
      </c>
      <c r="C319" s="690"/>
      <c r="D319" s="691"/>
      <c r="E319" s="692"/>
      <c r="F319" s="692"/>
      <c r="G319" s="693"/>
      <c r="H319" s="692"/>
      <c r="I319" s="694"/>
      <c r="J319" s="695"/>
      <c r="K319" s="648" t="str">
        <f t="shared" ca="1" si="32"/>
        <v/>
      </c>
    </row>
    <row r="320" spans="1:16" ht="15" customHeight="1" x14ac:dyDescent="0.2">
      <c r="A320" s="658"/>
      <c r="B320" s="659" t="s">
        <v>310</v>
      </c>
      <c r="C320" s="660"/>
      <c r="D320" s="661">
        <f>I314</f>
        <v>55.3</v>
      </c>
      <c r="E320" s="662" t="s">
        <v>2776</v>
      </c>
      <c r="F320" s="662"/>
      <c r="G320" s="663">
        <f>D315*(1.2*0.5+2*D318)</f>
        <v>3.9959999999999991</v>
      </c>
      <c r="H320" s="662" t="s">
        <v>163</v>
      </c>
      <c r="I320" s="664">
        <f>(D320*G320)</f>
        <v>220.97879999999995</v>
      </c>
      <c r="J320" s="665" t="s">
        <v>309</v>
      </c>
      <c r="K320" s="648" t="str">
        <f t="shared" ca="1" si="32"/>
        <v/>
      </c>
    </row>
    <row r="321" spans="1:16" ht="15" customHeight="1" x14ac:dyDescent="0.2">
      <c r="A321" s="658"/>
      <c r="B321" s="659" t="s">
        <v>311</v>
      </c>
      <c r="C321" s="660"/>
      <c r="D321" s="661">
        <f>D320</f>
        <v>55.3</v>
      </c>
      <c r="E321" s="662" t="s">
        <v>2776</v>
      </c>
      <c r="F321" s="662"/>
      <c r="G321" s="663">
        <f>(D315*(0.4*0.5+2*D318))-PI()*(0.49)^2</f>
        <v>2.3537036038730905</v>
      </c>
      <c r="H321" s="662" t="s">
        <v>163</v>
      </c>
      <c r="I321" s="664">
        <f>(D321*G321)</f>
        <v>130.15980929418191</v>
      </c>
      <c r="J321" s="665" t="s">
        <v>309</v>
      </c>
      <c r="K321" s="648" t="str">
        <f t="shared" ca="1" si="32"/>
        <v/>
      </c>
    </row>
    <row r="322" spans="1:16" ht="15" customHeight="1" x14ac:dyDescent="0.2">
      <c r="A322" s="658"/>
      <c r="B322" s="659" t="s">
        <v>312</v>
      </c>
      <c r="C322" s="660"/>
      <c r="D322" s="661">
        <f>D320</f>
        <v>55.3</v>
      </c>
      <c r="E322" s="662" t="s">
        <v>2776</v>
      </c>
      <c r="F322" s="662"/>
      <c r="G322" s="663">
        <f>2*(D315)</f>
        <v>4.4399999999999995</v>
      </c>
      <c r="H322" s="662" t="s">
        <v>163</v>
      </c>
      <c r="I322" s="664">
        <f>(D322*G322)</f>
        <v>245.53199999999995</v>
      </c>
      <c r="J322" s="665" t="s">
        <v>313</v>
      </c>
      <c r="K322" s="648" t="str">
        <f t="shared" ca="1" si="32"/>
        <v/>
      </c>
      <c r="L322" s="202" t="s">
        <v>106</v>
      </c>
    </row>
    <row r="323" spans="1:16" ht="15" customHeight="1" x14ac:dyDescent="0.2">
      <c r="A323" s="658"/>
      <c r="B323" s="659" t="s">
        <v>2885</v>
      </c>
      <c r="C323" s="660"/>
      <c r="D323" s="661"/>
      <c r="E323" s="662"/>
      <c r="F323" s="662"/>
      <c r="G323" s="663"/>
      <c r="H323" s="662"/>
      <c r="I323" s="664">
        <f>I314</f>
        <v>55.3</v>
      </c>
      <c r="J323" s="665" t="s">
        <v>2</v>
      </c>
      <c r="K323" s="648" t="str">
        <f t="shared" ca="1" si="32"/>
        <v/>
      </c>
    </row>
    <row r="324" spans="1:16" ht="15" customHeight="1" x14ac:dyDescent="0.2">
      <c r="A324" s="785"/>
      <c r="B324" s="786" t="s">
        <v>2823</v>
      </c>
      <c r="C324" s="787"/>
      <c r="D324" s="788"/>
      <c r="E324" s="787"/>
      <c r="F324" s="787"/>
      <c r="G324" s="789"/>
      <c r="H324" s="787"/>
      <c r="I324" s="790"/>
      <c r="J324" s="791"/>
      <c r="K324" s="648" t="str">
        <f t="shared" ca="1" si="32"/>
        <v/>
      </c>
      <c r="L324" s="792"/>
      <c r="M324" s="792"/>
    </row>
    <row r="325" spans="1:16" ht="15" customHeight="1" x14ac:dyDescent="0.2">
      <c r="A325" s="658"/>
      <c r="B325" s="659" t="s">
        <v>310</v>
      </c>
      <c r="C325" s="660"/>
      <c r="D325" s="661">
        <f>I314</f>
        <v>55.3</v>
      </c>
      <c r="E325" s="662" t="s">
        <v>2776</v>
      </c>
      <c r="F325" s="662"/>
      <c r="G325" s="663">
        <v>0.18</v>
      </c>
      <c r="H325" s="662" t="s">
        <v>163</v>
      </c>
      <c r="I325" s="664">
        <f>(D325*G325)</f>
        <v>9.9539999999999988</v>
      </c>
      <c r="J325" s="665" t="s">
        <v>309</v>
      </c>
      <c r="K325" s="648" t="str">
        <f t="shared" ca="1" si="32"/>
        <v/>
      </c>
    </row>
    <row r="326" spans="1:16" ht="15" customHeight="1" x14ac:dyDescent="0.2">
      <c r="A326" s="658"/>
      <c r="B326" s="659" t="s">
        <v>2833</v>
      </c>
      <c r="C326" s="660"/>
      <c r="D326" s="661">
        <f>I314</f>
        <v>55.3</v>
      </c>
      <c r="E326" s="662" t="s">
        <v>2776</v>
      </c>
      <c r="F326" s="662"/>
      <c r="G326" s="663">
        <v>0.16400000000000001</v>
      </c>
      <c r="H326" s="662" t="s">
        <v>163</v>
      </c>
      <c r="I326" s="664">
        <f>(D326*G326)</f>
        <v>9.0692000000000004</v>
      </c>
      <c r="J326" s="665" t="s">
        <v>309</v>
      </c>
      <c r="K326" s="648" t="str">
        <f t="shared" ca="1" si="32"/>
        <v/>
      </c>
    </row>
    <row r="327" spans="1:16" s="211" customFormat="1" ht="15" customHeight="1" x14ac:dyDescent="0.2">
      <c r="A327" s="674" t="s">
        <v>2836</v>
      </c>
      <c r="B327" s="675"/>
      <c r="C327" s="675"/>
      <c r="D327" s="675"/>
      <c r="E327" s="675"/>
      <c r="F327" s="675"/>
      <c r="G327" s="675"/>
      <c r="H327" s="773" t="s">
        <v>2823</v>
      </c>
      <c r="I327" s="677"/>
      <c r="J327" s="678" t="s">
        <v>2</v>
      </c>
      <c r="K327" s="648" t="str">
        <f t="shared" ref="K327:K337" ca="1" si="34">IF(AND(B327&lt;&gt;"",I327&lt;&gt;"",COUNTIF($C$490:$C$1030,B327)=0),"adic. à qtd","")</f>
        <v/>
      </c>
      <c r="L327" s="202"/>
      <c r="M327" s="202"/>
      <c r="N327" s="202"/>
      <c r="O327" s="642"/>
      <c r="P327" s="643"/>
    </row>
    <row r="328" spans="1:16" ht="12.75" x14ac:dyDescent="0.2">
      <c r="A328" s="716"/>
      <c r="B328" s="774"/>
      <c r="C328" s="774" t="s">
        <v>2824</v>
      </c>
      <c r="D328" s="775">
        <f>D330+0.25-0.07+0.64</f>
        <v>2.3199999999999998</v>
      </c>
      <c r="E328" s="754" t="s">
        <v>2</v>
      </c>
      <c r="F328" s="754" t="s">
        <v>2825</v>
      </c>
      <c r="G328" s="754"/>
      <c r="H328" s="754"/>
      <c r="I328" s="754"/>
      <c r="J328" s="758"/>
      <c r="K328" s="648" t="str">
        <f t="shared" ca="1" si="34"/>
        <v/>
      </c>
    </row>
    <row r="329" spans="1:16" ht="15.75" x14ac:dyDescent="0.2">
      <c r="A329" s="776"/>
      <c r="B329" s="777"/>
      <c r="C329" s="777" t="s">
        <v>2826</v>
      </c>
      <c r="D329" s="778">
        <f>D328-0.5</f>
        <v>1.8199999999999998</v>
      </c>
      <c r="E329" s="779" t="s">
        <v>2</v>
      </c>
      <c r="F329" s="780" t="s">
        <v>2827</v>
      </c>
      <c r="G329" s="780"/>
      <c r="H329" s="780"/>
      <c r="I329" s="780"/>
      <c r="J329" s="781"/>
      <c r="K329" s="648" t="str">
        <f t="shared" ca="1" si="34"/>
        <v/>
      </c>
    </row>
    <row r="330" spans="1:16" ht="15.75" x14ac:dyDescent="0.2">
      <c r="A330" s="776"/>
      <c r="B330" s="1285" t="s">
        <v>2828</v>
      </c>
      <c r="C330" s="1286"/>
      <c r="D330" s="778">
        <v>1.5</v>
      </c>
      <c r="E330" s="779" t="s">
        <v>2</v>
      </c>
      <c r="F330" s="780" t="s">
        <v>2829</v>
      </c>
      <c r="G330" s="780"/>
      <c r="H330" s="780"/>
      <c r="I330" s="780"/>
      <c r="J330" s="781"/>
      <c r="K330" s="648" t="str">
        <f t="shared" ca="1" si="34"/>
        <v/>
      </c>
    </row>
    <row r="331" spans="1:16" ht="12.75" x14ac:dyDescent="0.2">
      <c r="A331" s="759"/>
      <c r="B331" s="769"/>
      <c r="C331" s="769" t="s">
        <v>2830</v>
      </c>
      <c r="D331" s="782">
        <v>0.6</v>
      </c>
      <c r="E331" s="768"/>
      <c r="F331" s="783"/>
      <c r="G331" s="783"/>
      <c r="H331" s="783"/>
      <c r="I331" s="784"/>
      <c r="J331" s="766"/>
      <c r="K331" s="648" t="str">
        <f t="shared" ca="1" si="34"/>
        <v/>
      </c>
    </row>
    <row r="332" spans="1:16" ht="15" customHeight="1" x14ac:dyDescent="0.2">
      <c r="A332" s="688"/>
      <c r="B332" s="689" t="s">
        <v>2831</v>
      </c>
      <c r="C332" s="690"/>
      <c r="D332" s="691"/>
      <c r="E332" s="692"/>
      <c r="F332" s="692"/>
      <c r="G332" s="693"/>
      <c r="H332" s="692"/>
      <c r="I332" s="694"/>
      <c r="J332" s="695"/>
      <c r="K332" s="648" t="str">
        <f t="shared" ca="1" si="34"/>
        <v/>
      </c>
    </row>
    <row r="333" spans="1:16" ht="15" customHeight="1" x14ac:dyDescent="0.2">
      <c r="A333" s="658"/>
      <c r="B333" s="659" t="s">
        <v>310</v>
      </c>
      <c r="C333" s="660"/>
      <c r="D333" s="661">
        <f>I327</f>
        <v>0</v>
      </c>
      <c r="E333" s="662" t="s">
        <v>2776</v>
      </c>
      <c r="F333" s="662"/>
      <c r="G333" s="663">
        <f>D328*(1.2*0.5+2*D331)</f>
        <v>4.1759999999999993</v>
      </c>
      <c r="H333" s="662" t="s">
        <v>163</v>
      </c>
      <c r="I333" s="664">
        <f>(D333*G333)</f>
        <v>0</v>
      </c>
      <c r="J333" s="665" t="s">
        <v>309</v>
      </c>
      <c r="K333" s="648" t="str">
        <f t="shared" ca="1" si="34"/>
        <v/>
      </c>
    </row>
    <row r="334" spans="1:16" ht="15" customHeight="1" x14ac:dyDescent="0.2">
      <c r="A334" s="658"/>
      <c r="B334" s="659" t="s">
        <v>2801</v>
      </c>
      <c r="C334" s="660"/>
      <c r="D334" s="661">
        <f>I327</f>
        <v>0</v>
      </c>
      <c r="E334" s="662" t="s">
        <v>2776</v>
      </c>
      <c r="F334" s="662"/>
      <c r="G334" s="663">
        <f>IF(D328&gt;2,(D328-2)*(1.2*0.5+2*D331),0)</f>
        <v>0.57599999999999962</v>
      </c>
      <c r="H334" s="662" t="s">
        <v>163</v>
      </c>
      <c r="I334" s="664">
        <f>(D334*G334)</f>
        <v>0</v>
      </c>
      <c r="J334" s="665" t="s">
        <v>309</v>
      </c>
      <c r="K334" s="648" t="str">
        <f t="shared" ca="1" si="34"/>
        <v/>
      </c>
    </row>
    <row r="335" spans="1:16" ht="15" customHeight="1" x14ac:dyDescent="0.2">
      <c r="A335" s="658"/>
      <c r="B335" s="659" t="s">
        <v>311</v>
      </c>
      <c r="C335" s="660"/>
      <c r="D335" s="661">
        <f>D333</f>
        <v>0</v>
      </c>
      <c r="E335" s="662" t="s">
        <v>2776</v>
      </c>
      <c r="F335" s="662"/>
      <c r="G335" s="663">
        <f>(D328*(1.2*0.5+2*D331))-PI()*(0.49)^2</f>
        <v>3.4217036038730901</v>
      </c>
      <c r="H335" s="662" t="s">
        <v>163</v>
      </c>
      <c r="I335" s="664">
        <f>(D335*G335)</f>
        <v>0</v>
      </c>
      <c r="J335" s="665" t="s">
        <v>309</v>
      </c>
      <c r="K335" s="648" t="str">
        <f t="shared" ca="1" si="34"/>
        <v/>
      </c>
    </row>
    <row r="336" spans="1:16" ht="15" customHeight="1" x14ac:dyDescent="0.2">
      <c r="A336" s="658"/>
      <c r="B336" s="659" t="s">
        <v>312</v>
      </c>
      <c r="C336" s="660"/>
      <c r="D336" s="661">
        <f>D333</f>
        <v>0</v>
      </c>
      <c r="E336" s="662" t="s">
        <v>2776</v>
      </c>
      <c r="F336" s="662"/>
      <c r="G336" s="663">
        <f>2*(D328)</f>
        <v>4.6399999999999997</v>
      </c>
      <c r="H336" s="662" t="s">
        <v>163</v>
      </c>
      <c r="I336" s="664">
        <f>(D336*G336)</f>
        <v>0</v>
      </c>
      <c r="J336" s="665" t="s">
        <v>313</v>
      </c>
      <c r="K336" s="648" t="str">
        <f t="shared" ca="1" si="34"/>
        <v/>
      </c>
    </row>
    <row r="337" spans="1:16" ht="15" customHeight="1" x14ac:dyDescent="0.2">
      <c r="A337" s="658"/>
      <c r="B337" s="659" t="s">
        <v>2837</v>
      </c>
      <c r="C337" s="660"/>
      <c r="D337" s="661"/>
      <c r="E337" s="662"/>
      <c r="F337" s="662"/>
      <c r="G337" s="663"/>
      <c r="H337" s="662"/>
      <c r="I337" s="664">
        <f>I327</f>
        <v>0</v>
      </c>
      <c r="J337" s="665" t="s">
        <v>2</v>
      </c>
      <c r="K337" s="648" t="str">
        <f t="shared" ca="1" si="34"/>
        <v/>
      </c>
    </row>
    <row r="338" spans="1:16" ht="15" customHeight="1" x14ac:dyDescent="0.2">
      <c r="A338" s="785"/>
      <c r="B338" s="786"/>
      <c r="C338" s="786" t="s">
        <v>2823</v>
      </c>
      <c r="D338" s="788"/>
      <c r="E338" s="787"/>
      <c r="F338" s="787"/>
      <c r="G338" s="789"/>
      <c r="H338" s="787"/>
      <c r="I338" s="790"/>
      <c r="J338" s="791"/>
      <c r="K338" s="648" t="str">
        <f ca="1">IF(AND(C338&lt;&gt;"",I338&lt;&gt;"",COUNTIF($C$490:$C$1030,C338)=0),"adic. à qtd","")</f>
        <v/>
      </c>
      <c r="L338" s="792"/>
      <c r="M338" s="792"/>
    </row>
    <row r="339" spans="1:16" ht="15" customHeight="1" x14ac:dyDescent="0.2">
      <c r="A339" s="658"/>
      <c r="B339" s="659" t="s">
        <v>310</v>
      </c>
      <c r="C339" s="660"/>
      <c r="D339" s="661">
        <f>I327</f>
        <v>0</v>
      </c>
      <c r="E339" s="662" t="s">
        <v>2776</v>
      </c>
      <c r="F339" s="662"/>
      <c r="G339" s="663">
        <f>IF(D328&lt;=5,(0.2*(0.6+2*0.25)),(0.4*(0.6+2*0.25)))</f>
        <v>0.22000000000000003</v>
      </c>
      <c r="H339" s="662" t="s">
        <v>163</v>
      </c>
      <c r="I339" s="664">
        <f>(D339*G339)</f>
        <v>0</v>
      </c>
      <c r="J339" s="665" t="s">
        <v>309</v>
      </c>
      <c r="K339" s="648" t="str">
        <f t="shared" ref="K339:K370" ca="1" si="35">IF(AND(B339&lt;&gt;"",I339&lt;&gt;"",COUNTIF($C$490:$C$1030,B339)=0),"adic. à qtd","")</f>
        <v/>
      </c>
    </row>
    <row r="340" spans="1:16" ht="15" customHeight="1" x14ac:dyDescent="0.2">
      <c r="A340" s="658"/>
      <c r="B340" s="659" t="s">
        <v>2833</v>
      </c>
      <c r="C340" s="660"/>
      <c r="D340" s="661">
        <f>I327</f>
        <v>0</v>
      </c>
      <c r="E340" s="662" t="s">
        <v>2776</v>
      </c>
      <c r="F340" s="662"/>
      <c r="G340" s="663">
        <f>IF(D328&lt;=5,0.347,0.607)</f>
        <v>0.34699999999999998</v>
      </c>
      <c r="H340" s="662" t="s">
        <v>163</v>
      </c>
      <c r="I340" s="664">
        <f>(D340*G340)</f>
        <v>0</v>
      </c>
      <c r="J340" s="665" t="s">
        <v>309</v>
      </c>
      <c r="K340" s="648" t="str">
        <f t="shared" ca="1" si="35"/>
        <v/>
      </c>
    </row>
    <row r="341" spans="1:16" s="211" customFormat="1" ht="15" customHeight="1" x14ac:dyDescent="0.2">
      <c r="A341" s="674" t="s">
        <v>2838</v>
      </c>
      <c r="B341" s="675"/>
      <c r="C341" s="675"/>
      <c r="D341" s="675"/>
      <c r="E341" s="675"/>
      <c r="F341" s="675"/>
      <c r="G341" s="675"/>
      <c r="H341" s="773" t="s">
        <v>2823</v>
      </c>
      <c r="I341" s="677">
        <v>11.2</v>
      </c>
      <c r="J341" s="678" t="s">
        <v>2</v>
      </c>
      <c r="K341" s="648" t="str">
        <f t="shared" ca="1" si="35"/>
        <v/>
      </c>
      <c r="L341" s="202"/>
      <c r="M341" s="202"/>
      <c r="N341" s="202"/>
      <c r="O341" s="642"/>
      <c r="P341" s="643"/>
    </row>
    <row r="342" spans="1:16" ht="12.75" x14ac:dyDescent="0.2">
      <c r="A342" s="716"/>
      <c r="B342" s="774"/>
      <c r="C342" s="774" t="s">
        <v>2824</v>
      </c>
      <c r="D342" s="775">
        <f>0.6+D344+0.471</f>
        <v>2.331</v>
      </c>
      <c r="E342" s="754" t="s">
        <v>2</v>
      </c>
      <c r="F342" s="754" t="s">
        <v>2825</v>
      </c>
      <c r="G342" s="754"/>
      <c r="H342" s="754"/>
      <c r="I342" s="754"/>
      <c r="J342" s="758"/>
      <c r="K342" s="648" t="str">
        <f t="shared" ca="1" si="35"/>
        <v/>
      </c>
    </row>
    <row r="343" spans="1:16" ht="15.75" x14ac:dyDescent="0.2">
      <c r="A343" s="776"/>
      <c r="B343" s="777"/>
      <c r="C343" s="777" t="s">
        <v>2826</v>
      </c>
      <c r="D343" s="778">
        <f>D342-0.6</f>
        <v>1.7309999999999999</v>
      </c>
      <c r="E343" s="779" t="s">
        <v>2</v>
      </c>
      <c r="F343" s="780" t="s">
        <v>2827</v>
      </c>
      <c r="G343" s="780"/>
      <c r="H343" s="780"/>
      <c r="I343" s="780"/>
      <c r="J343" s="781"/>
      <c r="K343" s="648" t="str">
        <f t="shared" ca="1" si="35"/>
        <v/>
      </c>
    </row>
    <row r="344" spans="1:16" ht="15.75" x14ac:dyDescent="0.2">
      <c r="A344" s="776"/>
      <c r="B344" s="1285" t="s">
        <v>2828</v>
      </c>
      <c r="C344" s="1286"/>
      <c r="D344" s="778">
        <v>1.26</v>
      </c>
      <c r="E344" s="779" t="s">
        <v>2</v>
      </c>
      <c r="F344" s="780" t="s">
        <v>2829</v>
      </c>
      <c r="G344" s="780"/>
      <c r="H344" s="780"/>
      <c r="I344" s="780"/>
      <c r="J344" s="781"/>
      <c r="K344" s="648" t="str">
        <f t="shared" ca="1" si="35"/>
        <v/>
      </c>
    </row>
    <row r="345" spans="1:16" ht="12.75" x14ac:dyDescent="0.2">
      <c r="A345" s="759"/>
      <c r="B345" s="769"/>
      <c r="C345" s="769" t="s">
        <v>2830</v>
      </c>
      <c r="D345" s="782">
        <v>0.6</v>
      </c>
      <c r="E345" s="768"/>
      <c r="F345" s="783"/>
      <c r="G345" s="783"/>
      <c r="H345" s="783"/>
      <c r="I345" s="784"/>
      <c r="J345" s="766"/>
      <c r="K345" s="648" t="str">
        <f t="shared" ca="1" si="35"/>
        <v/>
      </c>
    </row>
    <row r="346" spans="1:16" ht="15" customHeight="1" x14ac:dyDescent="0.2">
      <c r="A346" s="688"/>
      <c r="B346" s="689" t="s">
        <v>2831</v>
      </c>
      <c r="C346" s="690"/>
      <c r="D346" s="691"/>
      <c r="E346" s="692"/>
      <c r="F346" s="692"/>
      <c r="G346" s="693"/>
      <c r="H346" s="692"/>
      <c r="I346" s="694"/>
      <c r="J346" s="695"/>
      <c r="K346" s="648" t="str">
        <f t="shared" ca="1" si="35"/>
        <v/>
      </c>
    </row>
    <row r="347" spans="1:16" ht="15" customHeight="1" x14ac:dyDescent="0.2">
      <c r="A347" s="658"/>
      <c r="B347" s="659" t="s">
        <v>310</v>
      </c>
      <c r="C347" s="660"/>
      <c r="D347" s="661">
        <f>I341</f>
        <v>11.2</v>
      </c>
      <c r="E347" s="662" t="s">
        <v>2776</v>
      </c>
      <c r="F347" s="662"/>
      <c r="G347" s="663">
        <f>D342*(1.2*0.6+2*D345)</f>
        <v>4.4755199999999995</v>
      </c>
      <c r="H347" s="662" t="s">
        <v>163</v>
      </c>
      <c r="I347" s="664">
        <f>(D347*G347)</f>
        <v>50.125823999999994</v>
      </c>
      <c r="J347" s="665" t="s">
        <v>309</v>
      </c>
      <c r="K347" s="648" t="str">
        <f t="shared" ca="1" si="35"/>
        <v/>
      </c>
    </row>
    <row r="348" spans="1:16" ht="15" customHeight="1" x14ac:dyDescent="0.2">
      <c r="A348" s="658"/>
      <c r="B348" s="659" t="s">
        <v>2801</v>
      </c>
      <c r="C348" s="660"/>
      <c r="D348" s="661">
        <f>I341</f>
        <v>11.2</v>
      </c>
      <c r="E348" s="662" t="s">
        <v>2776</v>
      </c>
      <c r="F348" s="662"/>
      <c r="G348" s="663">
        <f>IF(D342&gt;2,(D342-2)*(1.2*0.6+2*D345),0)</f>
        <v>0.63551999999999986</v>
      </c>
      <c r="H348" s="662" t="s">
        <v>163</v>
      </c>
      <c r="I348" s="664">
        <f>(D348*G348)</f>
        <v>7.1178239999999979</v>
      </c>
      <c r="J348" s="665" t="s">
        <v>309</v>
      </c>
      <c r="K348" s="648" t="str">
        <f t="shared" ca="1" si="35"/>
        <v/>
      </c>
    </row>
    <row r="349" spans="1:16" ht="15" customHeight="1" x14ac:dyDescent="0.2">
      <c r="A349" s="658"/>
      <c r="B349" s="659" t="s">
        <v>311</v>
      </c>
      <c r="C349" s="660"/>
      <c r="D349" s="661">
        <f>D347</f>
        <v>11.2</v>
      </c>
      <c r="E349" s="662" t="s">
        <v>2776</v>
      </c>
      <c r="F349" s="662"/>
      <c r="G349" s="663">
        <f>(D342*(1.2*0.6+2*D345))-PI()*(0.49)^2</f>
        <v>3.7212236038730904</v>
      </c>
      <c r="H349" s="662" t="s">
        <v>163</v>
      </c>
      <c r="I349" s="664">
        <f>(D349*G349)</f>
        <v>41.677704363378609</v>
      </c>
      <c r="J349" s="665" t="s">
        <v>309</v>
      </c>
      <c r="K349" s="648" t="str">
        <f t="shared" ca="1" si="35"/>
        <v/>
      </c>
    </row>
    <row r="350" spans="1:16" ht="15" customHeight="1" x14ac:dyDescent="0.2">
      <c r="A350" s="658"/>
      <c r="B350" s="659" t="s">
        <v>312</v>
      </c>
      <c r="C350" s="660"/>
      <c r="D350" s="661">
        <f>D347</f>
        <v>11.2</v>
      </c>
      <c r="E350" s="662" t="s">
        <v>2776</v>
      </c>
      <c r="F350" s="662"/>
      <c r="G350" s="663">
        <f>2*(D342)</f>
        <v>4.6619999999999999</v>
      </c>
      <c r="H350" s="662" t="s">
        <v>163</v>
      </c>
      <c r="I350" s="664">
        <f>(D350*G350)</f>
        <v>52.214399999999998</v>
      </c>
      <c r="J350" s="665" t="s">
        <v>313</v>
      </c>
      <c r="K350" s="648" t="str">
        <f t="shared" ca="1" si="35"/>
        <v/>
      </c>
      <c r="L350" s="202" t="s">
        <v>106</v>
      </c>
    </row>
    <row r="351" spans="1:16" ht="15" customHeight="1" x14ac:dyDescent="0.2">
      <c r="A351" s="658"/>
      <c r="B351" s="659" t="s">
        <v>2839</v>
      </c>
      <c r="C351" s="660"/>
      <c r="D351" s="661"/>
      <c r="E351" s="662"/>
      <c r="F351" s="662"/>
      <c r="G351" s="663"/>
      <c r="H351" s="662"/>
      <c r="I351" s="664">
        <f>I341</f>
        <v>11.2</v>
      </c>
      <c r="J351" s="665" t="s">
        <v>2</v>
      </c>
      <c r="K351" s="648" t="str">
        <f t="shared" ca="1" si="35"/>
        <v/>
      </c>
    </row>
    <row r="352" spans="1:16" ht="15" customHeight="1" x14ac:dyDescent="0.2">
      <c r="A352" s="785"/>
      <c r="B352" s="786" t="s">
        <v>2823</v>
      </c>
      <c r="C352" s="786"/>
      <c r="D352" s="788"/>
      <c r="E352" s="787"/>
      <c r="F352" s="787"/>
      <c r="G352" s="789"/>
      <c r="H352" s="787"/>
      <c r="I352" s="790"/>
      <c r="J352" s="791"/>
      <c r="K352" s="648" t="str">
        <f t="shared" ca="1" si="35"/>
        <v/>
      </c>
      <c r="L352" s="792"/>
      <c r="M352" s="792"/>
    </row>
    <row r="353" spans="1:16" ht="15" customHeight="1" x14ac:dyDescent="0.2">
      <c r="A353" s="658"/>
      <c r="B353" s="659" t="s">
        <v>310</v>
      </c>
      <c r="C353" s="660"/>
      <c r="D353" s="661">
        <f>I341</f>
        <v>11.2</v>
      </c>
      <c r="E353" s="662" t="s">
        <v>2776</v>
      </c>
      <c r="F353" s="662"/>
      <c r="G353" s="663">
        <f>IF(D342&lt;=5,(0.2*(0.6+2*0.25)),(0.4*(0.6+2*0.25)))</f>
        <v>0.22000000000000003</v>
      </c>
      <c r="H353" s="662" t="s">
        <v>163</v>
      </c>
      <c r="I353" s="664">
        <f>(D353*G353)</f>
        <v>2.464</v>
      </c>
      <c r="J353" s="665" t="s">
        <v>309</v>
      </c>
      <c r="K353" s="648" t="str">
        <f t="shared" ca="1" si="35"/>
        <v/>
      </c>
    </row>
    <row r="354" spans="1:16" ht="15" customHeight="1" x14ac:dyDescent="0.2">
      <c r="A354" s="658"/>
      <c r="B354" s="659" t="s">
        <v>2833</v>
      </c>
      <c r="C354" s="660"/>
      <c r="D354" s="661">
        <f>I341</f>
        <v>11.2</v>
      </c>
      <c r="E354" s="662" t="s">
        <v>2776</v>
      </c>
      <c r="F354" s="662"/>
      <c r="G354" s="663">
        <f>IF(D342&lt;=5,0.347,0.607)</f>
        <v>0.34699999999999998</v>
      </c>
      <c r="H354" s="662" t="s">
        <v>163</v>
      </c>
      <c r="I354" s="664">
        <f>(D354*G354)</f>
        <v>3.8863999999999996</v>
      </c>
      <c r="J354" s="665" t="s">
        <v>309</v>
      </c>
      <c r="K354" s="648" t="str">
        <f t="shared" ca="1" si="35"/>
        <v/>
      </c>
    </row>
    <row r="355" spans="1:16" s="211" customFormat="1" ht="15" customHeight="1" x14ac:dyDescent="0.2">
      <c r="A355" s="674" t="s">
        <v>2840</v>
      </c>
      <c r="B355" s="675"/>
      <c r="C355" s="675"/>
      <c r="D355" s="675"/>
      <c r="E355" s="675"/>
      <c r="F355" s="675"/>
      <c r="G355" s="675"/>
      <c r="H355" s="773"/>
      <c r="I355" s="677"/>
      <c r="J355" s="678" t="s">
        <v>2</v>
      </c>
      <c r="K355" s="648" t="str">
        <f t="shared" ca="1" si="35"/>
        <v/>
      </c>
      <c r="L355" s="202"/>
      <c r="M355" s="202"/>
      <c r="N355" s="202"/>
      <c r="O355" s="642"/>
      <c r="P355" s="643"/>
    </row>
    <row r="356" spans="1:16" ht="15" customHeight="1" x14ac:dyDescent="0.2">
      <c r="A356" s="658"/>
      <c r="B356" s="659" t="s">
        <v>2748</v>
      </c>
      <c r="C356" s="660"/>
      <c r="D356" s="661">
        <f>$I$355</f>
        <v>0</v>
      </c>
      <c r="E356" s="662"/>
      <c r="F356" s="662"/>
      <c r="G356" s="663">
        <f>PI()*(1.6+0.5)^2/4</f>
        <v>3.4636059005827469</v>
      </c>
      <c r="H356" s="662" t="s">
        <v>163</v>
      </c>
      <c r="I356" s="664">
        <f t="shared" ref="I356:I359" si="36">(D356*G356)</f>
        <v>0</v>
      </c>
      <c r="J356" s="665" t="s">
        <v>309</v>
      </c>
      <c r="K356" s="648" t="str">
        <f t="shared" ca="1" si="35"/>
        <v/>
      </c>
    </row>
    <row r="357" spans="1:16" ht="15" customHeight="1" x14ac:dyDescent="0.2">
      <c r="A357" s="658"/>
      <c r="B357" s="659" t="s">
        <v>2841</v>
      </c>
      <c r="C357" s="660"/>
      <c r="D357" s="661">
        <f t="shared" ref="D357:D359" si="37">$I$355</f>
        <v>0</v>
      </c>
      <c r="E357" s="662"/>
      <c r="F357" s="662"/>
      <c r="G357" s="663">
        <v>1</v>
      </c>
      <c r="H357" s="662" t="s">
        <v>163</v>
      </c>
      <c r="I357" s="664">
        <f t="shared" si="36"/>
        <v>0</v>
      </c>
      <c r="J357" s="665" t="s">
        <v>2</v>
      </c>
      <c r="K357" s="648" t="str">
        <f t="shared" ca="1" si="35"/>
        <v/>
      </c>
    </row>
    <row r="358" spans="1:16" ht="15" customHeight="1" x14ac:dyDescent="0.2">
      <c r="A358" s="658"/>
      <c r="B358" s="659" t="s">
        <v>316</v>
      </c>
      <c r="C358" s="660"/>
      <c r="D358" s="661">
        <f t="shared" si="37"/>
        <v>0</v>
      </c>
      <c r="E358" s="662"/>
      <c r="F358" s="662"/>
      <c r="G358" s="663">
        <f>(G356/2)*0.1</f>
        <v>0.17318029502913734</v>
      </c>
      <c r="H358" s="662" t="s">
        <v>163</v>
      </c>
      <c r="I358" s="664">
        <f t="shared" si="36"/>
        <v>0</v>
      </c>
      <c r="J358" s="665" t="s">
        <v>309</v>
      </c>
      <c r="K358" s="648" t="str">
        <f t="shared" ca="1" si="35"/>
        <v/>
      </c>
    </row>
    <row r="359" spans="1:16" ht="15" customHeight="1" x14ac:dyDescent="0.2">
      <c r="A359" s="658"/>
      <c r="B359" s="659" t="s">
        <v>2750</v>
      </c>
      <c r="C359" s="660"/>
      <c r="D359" s="661">
        <f t="shared" si="37"/>
        <v>0</v>
      </c>
      <c r="E359" s="662"/>
      <c r="F359" s="662" t="s">
        <v>2842</v>
      </c>
      <c r="G359" s="663">
        <f>G358*1.48</f>
        <v>0.25630683664312326</v>
      </c>
      <c r="H359" s="662" t="s">
        <v>163</v>
      </c>
      <c r="I359" s="664">
        <f t="shared" si="36"/>
        <v>0</v>
      </c>
      <c r="J359" s="665" t="s">
        <v>6</v>
      </c>
      <c r="K359" s="648" t="str">
        <f t="shared" ca="1" si="35"/>
        <v/>
      </c>
    </row>
    <row r="360" spans="1:16" s="211" customFormat="1" ht="15" customHeight="1" x14ac:dyDescent="0.2">
      <c r="A360" s="674" t="s">
        <v>2843</v>
      </c>
      <c r="B360" s="675"/>
      <c r="C360" s="675"/>
      <c r="D360" s="675"/>
      <c r="E360" s="675"/>
      <c r="F360" s="675"/>
      <c r="G360" s="675"/>
      <c r="H360" s="675"/>
      <c r="I360" s="677"/>
      <c r="J360" s="678" t="s">
        <v>3</v>
      </c>
      <c r="K360" s="648" t="str">
        <f t="shared" ca="1" si="35"/>
        <v/>
      </c>
      <c r="L360" s="642"/>
      <c r="M360" s="642"/>
      <c r="N360" s="642"/>
      <c r="O360" s="642"/>
      <c r="P360" s="643"/>
    </row>
    <row r="361" spans="1:16" s="203" customFormat="1" ht="20.100000000000001" customHeight="1" x14ac:dyDescent="0.2">
      <c r="A361" s="793"/>
      <c r="B361" s="794"/>
      <c r="C361" s="794" t="s">
        <v>2844</v>
      </c>
      <c r="D361" s="795">
        <f>1.2-0.4+0.09</f>
        <v>0.8899999999999999</v>
      </c>
      <c r="E361" s="796" t="s">
        <v>2</v>
      </c>
      <c r="F361" s="797"/>
      <c r="G361" s="798" t="s">
        <v>2845</v>
      </c>
      <c r="H361" s="795">
        <v>0.5</v>
      </c>
      <c r="I361" s="799" t="s">
        <v>2</v>
      </c>
      <c r="J361" s="800"/>
      <c r="K361" s="648" t="str">
        <f t="shared" ca="1" si="35"/>
        <v/>
      </c>
      <c r="P361" s="649"/>
    </row>
    <row r="362" spans="1:16" ht="15" customHeight="1" x14ac:dyDescent="0.2">
      <c r="A362" s="658"/>
      <c r="B362" s="659" t="s">
        <v>315</v>
      </c>
      <c r="C362" s="660"/>
      <c r="D362" s="661">
        <f>I360</f>
        <v>0</v>
      </c>
      <c r="E362" s="662" t="s">
        <v>2776</v>
      </c>
      <c r="F362" s="662"/>
      <c r="G362" s="663">
        <f>(1.5*(0.09+D361+0.35)^2/2*1.6)*(H361+0.2+TAN(PI()/6)*1.15)</f>
        <v>2.8952353498139498</v>
      </c>
      <c r="H362" s="662" t="s">
        <v>163</v>
      </c>
      <c r="I362" s="664">
        <f t="shared" ref="I362:I369" si="38">(D362*G362)</f>
        <v>0</v>
      </c>
      <c r="J362" s="665" t="s">
        <v>309</v>
      </c>
      <c r="K362" s="648" t="str">
        <f t="shared" ca="1" si="35"/>
        <v/>
      </c>
    </row>
    <row r="363" spans="1:16" ht="15" customHeight="1" x14ac:dyDescent="0.2">
      <c r="A363" s="658"/>
      <c r="B363" s="659" t="s">
        <v>316</v>
      </c>
      <c r="C363" s="660"/>
      <c r="D363" s="661">
        <f>I360</f>
        <v>0</v>
      </c>
      <c r="E363" s="662" t="s">
        <v>2776</v>
      </c>
      <c r="F363" s="662"/>
      <c r="G363" s="663">
        <v>0.19</v>
      </c>
      <c r="H363" s="662" t="s">
        <v>163</v>
      </c>
      <c r="I363" s="664">
        <f t="shared" si="38"/>
        <v>0</v>
      </c>
      <c r="J363" s="665" t="s">
        <v>309</v>
      </c>
      <c r="K363" s="648" t="str">
        <f t="shared" ca="1" si="35"/>
        <v/>
      </c>
    </row>
    <row r="364" spans="1:16" ht="15" customHeight="1" x14ac:dyDescent="0.2">
      <c r="A364" s="658"/>
      <c r="B364" s="659" t="s">
        <v>317</v>
      </c>
      <c r="C364" s="660"/>
      <c r="D364" s="661">
        <f>I360</f>
        <v>0</v>
      </c>
      <c r="E364" s="662" t="s">
        <v>2776</v>
      </c>
      <c r="F364" s="662"/>
      <c r="G364" s="663">
        <v>0.98</v>
      </c>
      <c r="H364" s="662" t="s">
        <v>163</v>
      </c>
      <c r="I364" s="664">
        <f t="shared" si="38"/>
        <v>0</v>
      </c>
      <c r="J364" s="665" t="s">
        <v>309</v>
      </c>
      <c r="K364" s="648" t="str">
        <f t="shared" ca="1" si="35"/>
        <v/>
      </c>
    </row>
    <row r="365" spans="1:16" ht="15" customHeight="1" x14ac:dyDescent="0.2">
      <c r="A365" s="658"/>
      <c r="B365" s="659" t="s">
        <v>21651</v>
      </c>
      <c r="C365" s="660"/>
      <c r="D365" s="661">
        <f>I360</f>
        <v>0</v>
      </c>
      <c r="E365" s="662" t="s">
        <v>2776</v>
      </c>
      <c r="F365" s="662"/>
      <c r="G365" s="663">
        <v>7.2</v>
      </c>
      <c r="H365" s="662" t="s">
        <v>163</v>
      </c>
      <c r="I365" s="664">
        <f t="shared" si="38"/>
        <v>0</v>
      </c>
      <c r="J365" s="665" t="s">
        <v>313</v>
      </c>
      <c r="K365" s="648" t="str">
        <f t="shared" ca="1" si="35"/>
        <v/>
      </c>
    </row>
    <row r="366" spans="1:16" ht="15" customHeight="1" x14ac:dyDescent="0.2">
      <c r="A366" s="658"/>
      <c r="B366" s="659" t="s">
        <v>2810</v>
      </c>
      <c r="C366" s="660"/>
      <c r="D366" s="661">
        <f>I360</f>
        <v>0</v>
      </c>
      <c r="E366" s="662" t="s">
        <v>2776</v>
      </c>
      <c r="F366" s="662"/>
      <c r="G366" s="663">
        <v>0.73</v>
      </c>
      <c r="H366" s="662" t="s">
        <v>163</v>
      </c>
      <c r="I366" s="664">
        <f t="shared" si="38"/>
        <v>0</v>
      </c>
      <c r="J366" s="665" t="s">
        <v>313</v>
      </c>
      <c r="K366" s="648" t="str">
        <f t="shared" ca="1" si="35"/>
        <v/>
      </c>
    </row>
    <row r="367" spans="1:16" ht="15" customHeight="1" x14ac:dyDescent="0.2">
      <c r="A367" s="658"/>
      <c r="B367" s="659" t="s">
        <v>2846</v>
      </c>
      <c r="C367" s="660"/>
      <c r="D367" s="661">
        <f>I360</f>
        <v>0</v>
      </c>
      <c r="E367" s="662" t="s">
        <v>2776</v>
      </c>
      <c r="F367" s="662"/>
      <c r="G367" s="663">
        <v>0.57999999999999996</v>
      </c>
      <c r="H367" s="662" t="s">
        <v>163</v>
      </c>
      <c r="I367" s="664">
        <f>(D367*G367)/1000</f>
        <v>0</v>
      </c>
      <c r="J367" s="665" t="s">
        <v>309</v>
      </c>
      <c r="K367" s="648" t="str">
        <f t="shared" ca="1" si="35"/>
        <v/>
      </c>
    </row>
    <row r="368" spans="1:16" ht="15" customHeight="1" x14ac:dyDescent="0.2">
      <c r="A368" s="658"/>
      <c r="B368" s="659" t="s">
        <v>2446</v>
      </c>
      <c r="C368" s="660"/>
      <c r="D368" s="661">
        <f>I360</f>
        <v>0</v>
      </c>
      <c r="E368" s="662" t="s">
        <v>2776</v>
      </c>
      <c r="F368" s="662"/>
      <c r="G368" s="663">
        <v>7</v>
      </c>
      <c r="H368" s="662" t="s">
        <v>163</v>
      </c>
      <c r="I368" s="664">
        <f t="shared" si="38"/>
        <v>0</v>
      </c>
      <c r="J368" s="665" t="s">
        <v>313</v>
      </c>
      <c r="K368" s="648" t="str">
        <f t="shared" ca="1" si="35"/>
        <v/>
      </c>
    </row>
    <row r="369" spans="1:16" ht="15" customHeight="1" x14ac:dyDescent="0.2">
      <c r="A369" s="658"/>
      <c r="B369" s="659" t="s">
        <v>318</v>
      </c>
      <c r="C369" s="660"/>
      <c r="D369" s="661">
        <f>I360</f>
        <v>0</v>
      </c>
      <c r="E369" s="662" t="s">
        <v>2776</v>
      </c>
      <c r="F369" s="662"/>
      <c r="G369" s="663">
        <v>61</v>
      </c>
      <c r="H369" s="662" t="s">
        <v>163</v>
      </c>
      <c r="I369" s="664">
        <f t="shared" si="38"/>
        <v>0</v>
      </c>
      <c r="J369" s="665" t="s">
        <v>6</v>
      </c>
      <c r="K369" s="648" t="str">
        <f t="shared" ca="1" si="35"/>
        <v/>
      </c>
    </row>
    <row r="370" spans="1:16" s="211" customFormat="1" ht="15" customHeight="1" x14ac:dyDescent="0.2">
      <c r="A370" s="674" t="s">
        <v>2847</v>
      </c>
      <c r="B370" s="675"/>
      <c r="C370" s="675"/>
      <c r="D370" s="675"/>
      <c r="E370" s="675"/>
      <c r="F370" s="675"/>
      <c r="G370" s="675"/>
      <c r="H370" s="675"/>
      <c r="I370" s="677"/>
      <c r="J370" s="678" t="s">
        <v>3</v>
      </c>
      <c r="K370" s="648" t="str">
        <f t="shared" ca="1" si="35"/>
        <v/>
      </c>
      <c r="L370" s="642"/>
      <c r="M370" s="642"/>
      <c r="N370" s="642"/>
      <c r="O370" s="642"/>
      <c r="P370" s="643"/>
    </row>
    <row r="371" spans="1:16" s="203" customFormat="1" ht="20.100000000000001" customHeight="1" x14ac:dyDescent="0.2">
      <c r="A371" s="793"/>
      <c r="B371" s="794"/>
      <c r="C371" s="794" t="s">
        <v>2844</v>
      </c>
      <c r="D371" s="795">
        <f>1.8-0.6+0.13</f>
        <v>1.33</v>
      </c>
      <c r="E371" s="796" t="s">
        <v>2</v>
      </c>
      <c r="F371" s="797"/>
      <c r="G371" s="798" t="s">
        <v>2845</v>
      </c>
      <c r="H371" s="795">
        <v>0.5</v>
      </c>
      <c r="I371" s="799" t="s">
        <v>2</v>
      </c>
      <c r="J371" s="800"/>
      <c r="K371" s="648" t="str">
        <f t="shared" ref="K371:K400" ca="1" si="39">IF(AND(B371&lt;&gt;"",I371&lt;&gt;"",COUNTIF($C$490:$C$1030,B371)=0),"adic. à qtd","")</f>
        <v/>
      </c>
      <c r="P371" s="649"/>
    </row>
    <row r="372" spans="1:16" ht="15" customHeight="1" x14ac:dyDescent="0.2">
      <c r="A372" s="658"/>
      <c r="B372" s="659" t="s">
        <v>315</v>
      </c>
      <c r="C372" s="660"/>
      <c r="D372" s="661">
        <f>I370</f>
        <v>0</v>
      </c>
      <c r="E372" s="662" t="s">
        <v>2776</v>
      </c>
      <c r="F372" s="662"/>
      <c r="G372" s="663">
        <f>(1.5*(0.13+D371+0.35)^2/2*2.2)*(H371+0.2+TAN(PI()/6)*1.15)</f>
        <v>7.3729355690528235</v>
      </c>
      <c r="H372" s="662" t="s">
        <v>163</v>
      </c>
      <c r="I372" s="664">
        <f t="shared" ref="I372:I376" si="40">(D372*G372)</f>
        <v>0</v>
      </c>
      <c r="J372" s="665" t="s">
        <v>309</v>
      </c>
      <c r="K372" s="648" t="str">
        <f t="shared" ca="1" si="39"/>
        <v/>
      </c>
    </row>
    <row r="373" spans="1:16" ht="15" customHeight="1" x14ac:dyDescent="0.2">
      <c r="A373" s="658"/>
      <c r="B373" s="659" t="s">
        <v>316</v>
      </c>
      <c r="C373" s="660"/>
      <c r="D373" s="661">
        <f>I370</f>
        <v>0</v>
      </c>
      <c r="E373" s="662" t="s">
        <v>2776</v>
      </c>
      <c r="F373" s="662"/>
      <c r="G373" s="663">
        <v>0.36</v>
      </c>
      <c r="H373" s="662" t="s">
        <v>163</v>
      </c>
      <c r="I373" s="664">
        <f t="shared" si="40"/>
        <v>0</v>
      </c>
      <c r="J373" s="665" t="s">
        <v>309</v>
      </c>
      <c r="K373" s="648" t="str">
        <f t="shared" ca="1" si="39"/>
        <v/>
      </c>
    </row>
    <row r="374" spans="1:16" ht="15" customHeight="1" x14ac:dyDescent="0.2">
      <c r="A374" s="658"/>
      <c r="B374" s="659" t="s">
        <v>317</v>
      </c>
      <c r="C374" s="660"/>
      <c r="D374" s="661">
        <f>I370</f>
        <v>0</v>
      </c>
      <c r="E374" s="662" t="s">
        <v>2776</v>
      </c>
      <c r="F374" s="662"/>
      <c r="G374" s="663">
        <v>1.68</v>
      </c>
      <c r="H374" s="662" t="s">
        <v>163</v>
      </c>
      <c r="I374" s="664">
        <f t="shared" si="40"/>
        <v>0</v>
      </c>
      <c r="J374" s="665" t="s">
        <v>309</v>
      </c>
      <c r="K374" s="648" t="str">
        <f t="shared" ca="1" si="39"/>
        <v/>
      </c>
    </row>
    <row r="375" spans="1:16" ht="15" customHeight="1" x14ac:dyDescent="0.2">
      <c r="A375" s="658"/>
      <c r="B375" s="659" t="s">
        <v>21651</v>
      </c>
      <c r="C375" s="660"/>
      <c r="D375" s="661">
        <f>I370</f>
        <v>0</v>
      </c>
      <c r="E375" s="662" t="s">
        <v>2776</v>
      </c>
      <c r="F375" s="662"/>
      <c r="G375" s="663">
        <v>9.6999999999999993</v>
      </c>
      <c r="H375" s="662" t="s">
        <v>163</v>
      </c>
      <c r="I375" s="664">
        <f t="shared" si="40"/>
        <v>0</v>
      </c>
      <c r="J375" s="665" t="s">
        <v>313</v>
      </c>
      <c r="K375" s="648" t="str">
        <f t="shared" ca="1" si="39"/>
        <v/>
      </c>
    </row>
    <row r="376" spans="1:16" ht="15" customHeight="1" x14ac:dyDescent="0.2">
      <c r="A376" s="658"/>
      <c r="B376" s="659" t="s">
        <v>2810</v>
      </c>
      <c r="C376" s="660"/>
      <c r="D376" s="661">
        <f>I370</f>
        <v>0</v>
      </c>
      <c r="E376" s="662" t="s">
        <v>2776</v>
      </c>
      <c r="F376" s="662"/>
      <c r="G376" s="663">
        <v>1.41</v>
      </c>
      <c r="H376" s="662" t="s">
        <v>163</v>
      </c>
      <c r="I376" s="664">
        <f t="shared" si="40"/>
        <v>0</v>
      </c>
      <c r="J376" s="665" t="s">
        <v>313</v>
      </c>
      <c r="K376" s="648" t="str">
        <f t="shared" ca="1" si="39"/>
        <v/>
      </c>
    </row>
    <row r="377" spans="1:16" ht="15" customHeight="1" x14ac:dyDescent="0.2">
      <c r="A377" s="658"/>
      <c r="B377" s="659" t="s">
        <v>2846</v>
      </c>
      <c r="C377" s="660"/>
      <c r="D377" s="661">
        <f>I370</f>
        <v>0</v>
      </c>
      <c r="E377" s="662" t="s">
        <v>2776</v>
      </c>
      <c r="F377" s="662"/>
      <c r="G377" s="663">
        <v>1.1000000000000001</v>
      </c>
      <c r="H377" s="662" t="s">
        <v>163</v>
      </c>
      <c r="I377" s="664">
        <f>(D377*G377)/1000</f>
        <v>0</v>
      </c>
      <c r="J377" s="665" t="s">
        <v>309</v>
      </c>
      <c r="K377" s="648" t="str">
        <f t="shared" ca="1" si="39"/>
        <v/>
      </c>
    </row>
    <row r="378" spans="1:16" ht="15" customHeight="1" x14ac:dyDescent="0.2">
      <c r="A378" s="658"/>
      <c r="B378" s="659" t="s">
        <v>2446</v>
      </c>
      <c r="C378" s="660"/>
      <c r="D378" s="661">
        <f>I370</f>
        <v>0</v>
      </c>
      <c r="E378" s="662" t="s">
        <v>2776</v>
      </c>
      <c r="F378" s="662"/>
      <c r="G378" s="663">
        <v>15.4</v>
      </c>
      <c r="H378" s="662" t="s">
        <v>163</v>
      </c>
      <c r="I378" s="664">
        <f t="shared" ref="I378:I379" si="41">(D378*G378)</f>
        <v>0</v>
      </c>
      <c r="J378" s="665" t="s">
        <v>313</v>
      </c>
      <c r="K378" s="648" t="str">
        <f t="shared" ca="1" si="39"/>
        <v/>
      </c>
    </row>
    <row r="379" spans="1:16" ht="15" customHeight="1" x14ac:dyDescent="0.2">
      <c r="A379" s="658"/>
      <c r="B379" s="659" t="s">
        <v>318</v>
      </c>
      <c r="C379" s="660"/>
      <c r="D379" s="661">
        <f>I370</f>
        <v>0</v>
      </c>
      <c r="E379" s="662" t="s">
        <v>2776</v>
      </c>
      <c r="F379" s="662"/>
      <c r="G379" s="663">
        <v>111</v>
      </c>
      <c r="H379" s="662" t="s">
        <v>163</v>
      </c>
      <c r="I379" s="664">
        <f t="shared" si="41"/>
        <v>0</v>
      </c>
      <c r="J379" s="665" t="s">
        <v>6</v>
      </c>
      <c r="K379" s="648" t="str">
        <f t="shared" ca="1" si="39"/>
        <v/>
      </c>
    </row>
    <row r="380" spans="1:16" s="211" customFormat="1" ht="15" customHeight="1" x14ac:dyDescent="0.2">
      <c r="A380" s="674" t="s">
        <v>2848</v>
      </c>
      <c r="B380" s="675"/>
      <c r="C380" s="675"/>
      <c r="D380" s="675"/>
      <c r="E380" s="675"/>
      <c r="F380" s="675"/>
      <c r="G380" s="675"/>
      <c r="H380" s="675"/>
      <c r="I380" s="677"/>
      <c r="J380" s="678" t="s">
        <v>3</v>
      </c>
      <c r="K380" s="648" t="str">
        <f t="shared" ca="1" si="39"/>
        <v/>
      </c>
      <c r="L380" s="642"/>
      <c r="M380" s="642"/>
      <c r="N380" s="642"/>
      <c r="O380" s="642"/>
      <c r="P380" s="643"/>
    </row>
    <row r="381" spans="1:16" s="203" customFormat="1" ht="20.100000000000001" customHeight="1" x14ac:dyDescent="0.2">
      <c r="A381" s="793"/>
      <c r="B381" s="794"/>
      <c r="C381" s="794" t="s">
        <v>2844</v>
      </c>
      <c r="D381" s="795">
        <v>0.67</v>
      </c>
      <c r="E381" s="796" t="s">
        <v>2</v>
      </c>
      <c r="F381" s="797"/>
      <c r="G381" s="798" t="s">
        <v>2845</v>
      </c>
      <c r="H381" s="795">
        <v>0.5</v>
      </c>
      <c r="I381" s="799" t="s">
        <v>2</v>
      </c>
      <c r="J381" s="800"/>
      <c r="K381" s="648" t="str">
        <f t="shared" ca="1" si="39"/>
        <v/>
      </c>
      <c r="P381" s="649"/>
    </row>
    <row r="382" spans="1:16" ht="15" customHeight="1" x14ac:dyDescent="0.2">
      <c r="A382" s="658"/>
      <c r="B382" s="659" t="s">
        <v>315</v>
      </c>
      <c r="C382" s="660"/>
      <c r="D382" s="661">
        <f>I380</f>
        <v>0</v>
      </c>
      <c r="E382" s="662" t="s">
        <v>2776</v>
      </c>
      <c r="F382" s="662"/>
      <c r="G382" s="663">
        <v>1.7015379497002141</v>
      </c>
      <c r="H382" s="662" t="s">
        <v>163</v>
      </c>
      <c r="I382" s="664">
        <f t="shared" ref="I382:I386" si="42">(D382*G382)</f>
        <v>0</v>
      </c>
      <c r="J382" s="665" t="s">
        <v>309</v>
      </c>
      <c r="K382" s="648" t="str">
        <f t="shared" ca="1" si="39"/>
        <v/>
      </c>
    </row>
    <row r="383" spans="1:16" ht="15" customHeight="1" x14ac:dyDescent="0.2">
      <c r="A383" s="658"/>
      <c r="B383" s="659" t="s">
        <v>316</v>
      </c>
      <c r="C383" s="660"/>
      <c r="D383" s="661">
        <f>I380</f>
        <v>0</v>
      </c>
      <c r="E383" s="662" t="s">
        <v>2776</v>
      </c>
      <c r="F383" s="662"/>
      <c r="G383" s="663">
        <v>0.15</v>
      </c>
      <c r="H383" s="662" t="s">
        <v>163</v>
      </c>
      <c r="I383" s="664">
        <f t="shared" si="42"/>
        <v>0</v>
      </c>
      <c r="J383" s="665" t="s">
        <v>309</v>
      </c>
      <c r="K383" s="648" t="str">
        <f t="shared" ca="1" si="39"/>
        <v/>
      </c>
    </row>
    <row r="384" spans="1:16" ht="15" customHeight="1" x14ac:dyDescent="0.2">
      <c r="A384" s="658"/>
      <c r="B384" s="659" t="s">
        <v>317</v>
      </c>
      <c r="C384" s="660"/>
      <c r="D384" s="661">
        <f>I380</f>
        <v>0</v>
      </c>
      <c r="E384" s="662" t="s">
        <v>2776</v>
      </c>
      <c r="F384" s="662"/>
      <c r="G384" s="663">
        <v>0.7</v>
      </c>
      <c r="H384" s="662" t="s">
        <v>163</v>
      </c>
      <c r="I384" s="664">
        <f t="shared" si="42"/>
        <v>0</v>
      </c>
      <c r="J384" s="665" t="s">
        <v>309</v>
      </c>
      <c r="K384" s="648" t="str">
        <f t="shared" ca="1" si="39"/>
        <v/>
      </c>
    </row>
    <row r="385" spans="1:16" ht="15" customHeight="1" x14ac:dyDescent="0.2">
      <c r="A385" s="658"/>
      <c r="B385" s="659" t="s">
        <v>21651</v>
      </c>
      <c r="C385" s="660"/>
      <c r="D385" s="661">
        <f>I380</f>
        <v>0</v>
      </c>
      <c r="E385" s="662" t="s">
        <v>2776</v>
      </c>
      <c r="F385" s="662"/>
      <c r="G385" s="663">
        <v>5.8</v>
      </c>
      <c r="H385" s="662" t="s">
        <v>163</v>
      </c>
      <c r="I385" s="664">
        <f t="shared" si="42"/>
        <v>0</v>
      </c>
      <c r="J385" s="665" t="s">
        <v>313</v>
      </c>
      <c r="K385" s="648" t="str">
        <f t="shared" ca="1" si="39"/>
        <v/>
      </c>
    </row>
    <row r="386" spans="1:16" ht="15" customHeight="1" x14ac:dyDescent="0.2">
      <c r="A386" s="658"/>
      <c r="B386" s="659" t="s">
        <v>2810</v>
      </c>
      <c r="C386" s="660"/>
      <c r="D386" s="661">
        <f>I380</f>
        <v>0</v>
      </c>
      <c r="E386" s="662" t="s">
        <v>2776</v>
      </c>
      <c r="F386" s="662"/>
      <c r="G386" s="663">
        <v>0.56000000000000005</v>
      </c>
      <c r="H386" s="662" t="s">
        <v>163</v>
      </c>
      <c r="I386" s="664">
        <f t="shared" si="42"/>
        <v>0</v>
      </c>
      <c r="J386" s="665" t="s">
        <v>313</v>
      </c>
      <c r="K386" s="648" t="str">
        <f t="shared" ca="1" si="39"/>
        <v/>
      </c>
    </row>
    <row r="387" spans="1:16" ht="15" customHeight="1" x14ac:dyDescent="0.2">
      <c r="A387" s="658"/>
      <c r="B387" s="659" t="s">
        <v>2846</v>
      </c>
      <c r="C387" s="660"/>
      <c r="D387" s="661">
        <f>I380</f>
        <v>0</v>
      </c>
      <c r="E387" s="662" t="s">
        <v>2776</v>
      </c>
      <c r="F387" s="662"/>
      <c r="G387" s="663">
        <v>0.56000000000000005</v>
      </c>
      <c r="H387" s="662" t="s">
        <v>163</v>
      </c>
      <c r="I387" s="664">
        <f>(D387*G387)/1000</f>
        <v>0</v>
      </c>
      <c r="J387" s="665" t="s">
        <v>309</v>
      </c>
      <c r="K387" s="648" t="str">
        <f t="shared" ca="1" si="39"/>
        <v/>
      </c>
    </row>
    <row r="388" spans="1:16" ht="15" customHeight="1" x14ac:dyDescent="0.2">
      <c r="A388" s="658"/>
      <c r="B388" s="659" t="s">
        <v>2446</v>
      </c>
      <c r="C388" s="660"/>
      <c r="D388" s="661">
        <f>I380</f>
        <v>0</v>
      </c>
      <c r="E388" s="662" t="s">
        <v>2776</v>
      </c>
      <c r="F388" s="662"/>
      <c r="G388" s="663">
        <v>5.6</v>
      </c>
      <c r="H388" s="662" t="s">
        <v>163</v>
      </c>
      <c r="I388" s="664">
        <f t="shared" ref="I388:I389" si="43">(D388*G388)</f>
        <v>0</v>
      </c>
      <c r="J388" s="665" t="s">
        <v>313</v>
      </c>
      <c r="K388" s="648" t="str">
        <f t="shared" ca="1" si="39"/>
        <v/>
      </c>
    </row>
    <row r="389" spans="1:16" ht="15" customHeight="1" x14ac:dyDescent="0.2">
      <c r="A389" s="658"/>
      <c r="B389" s="659" t="s">
        <v>318</v>
      </c>
      <c r="C389" s="660"/>
      <c r="D389" s="661">
        <f>I380</f>
        <v>0</v>
      </c>
      <c r="E389" s="662" t="s">
        <v>2776</v>
      </c>
      <c r="F389" s="662"/>
      <c r="G389" s="663">
        <v>51</v>
      </c>
      <c r="H389" s="662" t="s">
        <v>163</v>
      </c>
      <c r="I389" s="664">
        <f t="shared" si="43"/>
        <v>0</v>
      </c>
      <c r="J389" s="665" t="s">
        <v>6</v>
      </c>
      <c r="K389" s="648" t="str">
        <f t="shared" ca="1" si="39"/>
        <v/>
      </c>
    </row>
    <row r="390" spans="1:16" s="211" customFormat="1" ht="15" customHeight="1" x14ac:dyDescent="0.2">
      <c r="A390" s="674" t="s">
        <v>2849</v>
      </c>
      <c r="B390" s="675"/>
      <c r="C390" s="675"/>
      <c r="D390" s="675"/>
      <c r="E390" s="675"/>
      <c r="F390" s="675"/>
      <c r="G390" s="675"/>
      <c r="H390" s="675"/>
      <c r="I390" s="677"/>
      <c r="J390" s="678" t="s">
        <v>2</v>
      </c>
      <c r="K390" s="648" t="str">
        <f t="shared" ca="1" si="39"/>
        <v/>
      </c>
      <c r="L390" s="642"/>
      <c r="M390" s="642"/>
      <c r="N390" s="642"/>
      <c r="O390" s="642"/>
      <c r="P390" s="643"/>
    </row>
    <row r="391" spans="1:16" ht="20.100000000000001" customHeight="1" x14ac:dyDescent="0.2">
      <c r="A391" s="716"/>
      <c r="B391" s="754"/>
      <c r="C391" s="774" t="s">
        <v>2824</v>
      </c>
      <c r="D391" s="634">
        <v>4</v>
      </c>
      <c r="E391" s="801" t="s">
        <v>2</v>
      </c>
      <c r="F391" s="1287" t="s">
        <v>2850</v>
      </c>
      <c r="G391" s="1287"/>
      <c r="H391" s="1287"/>
      <c r="I391" s="1287"/>
      <c r="J391" s="802"/>
      <c r="K391" s="648" t="str">
        <f t="shared" ca="1" si="39"/>
        <v/>
      </c>
    </row>
    <row r="392" spans="1:16" ht="20.100000000000001" customHeight="1" x14ac:dyDescent="0.2">
      <c r="A392" s="759"/>
      <c r="B392" s="768"/>
      <c r="C392" s="769" t="s">
        <v>2851</v>
      </c>
      <c r="D392" s="770">
        <v>1.5</v>
      </c>
      <c r="E392" s="771" t="s">
        <v>2</v>
      </c>
      <c r="F392" s="1288" t="s">
        <v>2852</v>
      </c>
      <c r="G392" s="1288"/>
      <c r="H392" s="1288"/>
      <c r="I392" s="1288"/>
      <c r="J392" s="772"/>
      <c r="K392" s="648" t="str">
        <f t="shared" ca="1" si="39"/>
        <v/>
      </c>
    </row>
    <row r="393" spans="1:16" ht="15" customHeight="1" x14ac:dyDescent="0.2">
      <c r="A393" s="688"/>
      <c r="B393" s="689" t="s">
        <v>310</v>
      </c>
      <c r="C393" s="690"/>
      <c r="D393" s="691">
        <f>I390</f>
        <v>0</v>
      </c>
      <c r="E393" s="692" t="s">
        <v>2776</v>
      </c>
      <c r="F393" s="692"/>
      <c r="G393" s="693">
        <f>(2.9+1)*D391</f>
        <v>15.6</v>
      </c>
      <c r="H393" s="692" t="s">
        <v>163</v>
      </c>
      <c r="I393" s="694">
        <f t="shared" ref="I393:I399" si="44">(D393*G393)</f>
        <v>0</v>
      </c>
      <c r="J393" s="695" t="s">
        <v>309</v>
      </c>
      <c r="K393" s="648" t="str">
        <f t="shared" ca="1" si="39"/>
        <v/>
      </c>
    </row>
    <row r="394" spans="1:16" ht="15" customHeight="1" x14ac:dyDescent="0.2">
      <c r="A394" s="658"/>
      <c r="B394" s="659" t="s">
        <v>311</v>
      </c>
      <c r="C394" s="660"/>
      <c r="D394" s="661">
        <f>I390</f>
        <v>0</v>
      </c>
      <c r="E394" s="662" t="s">
        <v>2776</v>
      </c>
      <c r="F394" s="662"/>
      <c r="G394" s="663">
        <f>G393-(D392*2.9)</f>
        <v>11.25</v>
      </c>
      <c r="H394" s="662" t="s">
        <v>163</v>
      </c>
      <c r="I394" s="664">
        <f t="shared" si="44"/>
        <v>0</v>
      </c>
      <c r="J394" s="665" t="s">
        <v>309</v>
      </c>
      <c r="K394" s="648" t="str">
        <f t="shared" ca="1" si="39"/>
        <v/>
      </c>
    </row>
    <row r="395" spans="1:16" ht="15" customHeight="1" x14ac:dyDescent="0.2">
      <c r="A395" s="658"/>
      <c r="B395" s="659" t="s">
        <v>312</v>
      </c>
      <c r="C395" s="660"/>
      <c r="D395" s="661">
        <f>I390</f>
        <v>0</v>
      </c>
      <c r="E395" s="662" t="s">
        <v>2776</v>
      </c>
      <c r="F395" s="662"/>
      <c r="G395" s="663">
        <f>2*D391</f>
        <v>8</v>
      </c>
      <c r="H395" s="662" t="s">
        <v>163</v>
      </c>
      <c r="I395" s="664">
        <f t="shared" si="44"/>
        <v>0</v>
      </c>
      <c r="J395" s="665" t="s">
        <v>313</v>
      </c>
      <c r="K395" s="648" t="str">
        <f t="shared" ca="1" si="39"/>
        <v/>
      </c>
    </row>
    <row r="396" spans="1:16" ht="15" customHeight="1" x14ac:dyDescent="0.2">
      <c r="A396" s="658"/>
      <c r="B396" s="659" t="s">
        <v>316</v>
      </c>
      <c r="C396" s="660"/>
      <c r="D396" s="661">
        <f>I390</f>
        <v>0</v>
      </c>
      <c r="E396" s="662" t="s">
        <v>2776</v>
      </c>
      <c r="F396" s="662"/>
      <c r="G396" s="663">
        <v>0.15</v>
      </c>
      <c r="H396" s="662" t="s">
        <v>163</v>
      </c>
      <c r="I396" s="664">
        <f t="shared" si="44"/>
        <v>0</v>
      </c>
      <c r="J396" s="665" t="s">
        <v>309</v>
      </c>
      <c r="K396" s="648" t="str">
        <f t="shared" ca="1" si="39"/>
        <v/>
      </c>
    </row>
    <row r="397" spans="1:16" ht="15" customHeight="1" x14ac:dyDescent="0.2">
      <c r="A397" s="658"/>
      <c r="B397" s="659" t="s">
        <v>317</v>
      </c>
      <c r="C397" s="660"/>
      <c r="D397" s="661">
        <f>I390</f>
        <v>0</v>
      </c>
      <c r="E397" s="662" t="s">
        <v>2776</v>
      </c>
      <c r="F397" s="662"/>
      <c r="G397" s="663">
        <v>2.2400000000000002</v>
      </c>
      <c r="H397" s="662" t="s">
        <v>163</v>
      </c>
      <c r="I397" s="664">
        <f t="shared" si="44"/>
        <v>0</v>
      </c>
      <c r="J397" s="665" t="s">
        <v>309</v>
      </c>
      <c r="K397" s="648" t="str">
        <f t="shared" ca="1" si="39"/>
        <v/>
      </c>
    </row>
    <row r="398" spans="1:16" ht="15" customHeight="1" x14ac:dyDescent="0.2">
      <c r="A398" s="658"/>
      <c r="B398" s="659" t="s">
        <v>318</v>
      </c>
      <c r="C398" s="660"/>
      <c r="D398" s="661">
        <f>I390</f>
        <v>0</v>
      </c>
      <c r="E398" s="662" t="s">
        <v>2776</v>
      </c>
      <c r="F398" s="662"/>
      <c r="G398" s="663">
        <v>211</v>
      </c>
      <c r="H398" s="662" t="s">
        <v>163</v>
      </c>
      <c r="I398" s="664">
        <f t="shared" si="44"/>
        <v>0</v>
      </c>
      <c r="J398" s="665" t="s">
        <v>6</v>
      </c>
      <c r="K398" s="648" t="str">
        <f t="shared" ca="1" si="39"/>
        <v/>
      </c>
    </row>
    <row r="399" spans="1:16" ht="15" customHeight="1" x14ac:dyDescent="0.2">
      <c r="A399" s="658"/>
      <c r="B399" s="659" t="s">
        <v>2853</v>
      </c>
      <c r="C399" s="660"/>
      <c r="D399" s="661">
        <f>I390</f>
        <v>0</v>
      </c>
      <c r="E399" s="662" t="s">
        <v>2776</v>
      </c>
      <c r="F399" s="662"/>
      <c r="G399" s="663">
        <f>2.9*2.9</f>
        <v>8.41</v>
      </c>
      <c r="H399" s="662" t="s">
        <v>163</v>
      </c>
      <c r="I399" s="664">
        <f t="shared" si="44"/>
        <v>0</v>
      </c>
      <c r="J399" s="665" t="s">
        <v>38</v>
      </c>
      <c r="K399" s="648" t="str">
        <f t="shared" ca="1" si="39"/>
        <v/>
      </c>
    </row>
    <row r="400" spans="1:16" ht="15" customHeight="1" x14ac:dyDescent="0.2">
      <c r="A400" s="658"/>
      <c r="B400" s="659" t="s">
        <v>2854</v>
      </c>
      <c r="C400" s="660"/>
      <c r="D400" s="661">
        <f>I390</f>
        <v>0</v>
      </c>
      <c r="E400" s="662" t="s">
        <v>2776</v>
      </c>
      <c r="F400" s="662"/>
      <c r="G400" s="663">
        <v>13.3</v>
      </c>
      <c r="H400" s="662" t="s">
        <v>163</v>
      </c>
      <c r="I400" s="664">
        <f>(D400*G400)</f>
        <v>0</v>
      </c>
      <c r="J400" s="665" t="s">
        <v>313</v>
      </c>
      <c r="K400" s="648" t="str">
        <f t="shared" ca="1" si="39"/>
        <v/>
      </c>
    </row>
    <row r="401" spans="1:18" s="211" customFormat="1" ht="15" customHeight="1" x14ac:dyDescent="0.2">
      <c r="A401" s="1072" t="s">
        <v>21642</v>
      </c>
      <c r="B401" s="1073"/>
      <c r="C401" s="1073"/>
      <c r="D401" s="1073"/>
      <c r="E401" s="1073"/>
      <c r="F401" s="1073"/>
      <c r="G401" s="1073"/>
      <c r="H401" s="1073"/>
      <c r="I401" s="1074">
        <v>55</v>
      </c>
      <c r="J401" s="1075" t="s">
        <v>2</v>
      </c>
      <c r="K401" s="827" t="s">
        <v>170</v>
      </c>
      <c r="L401" s="1047"/>
      <c r="M401" s="642"/>
      <c r="N401" s="642"/>
      <c r="O401" s="642"/>
      <c r="P401" s="643"/>
    </row>
    <row r="402" spans="1:18" s="211" customFormat="1" ht="15" customHeight="1" x14ac:dyDescent="0.2">
      <c r="A402" s="1031" t="s">
        <v>21645</v>
      </c>
      <c r="B402" s="1032"/>
      <c r="C402" s="1032"/>
      <c r="D402" s="1032"/>
      <c r="E402" s="1032"/>
      <c r="F402" s="1032"/>
      <c r="G402" s="1032"/>
      <c r="H402" s="1032"/>
      <c r="I402" s="1033"/>
      <c r="J402" s="1034"/>
      <c r="L402" s="642"/>
      <c r="M402" s="642"/>
      <c r="N402" s="642"/>
      <c r="O402" s="642"/>
      <c r="P402" s="643"/>
    </row>
    <row r="403" spans="1:18" ht="20.100000000000001" customHeight="1" x14ac:dyDescent="0.2">
      <c r="A403" s="716"/>
      <c r="B403" s="754"/>
      <c r="C403" s="774" t="s">
        <v>2824</v>
      </c>
      <c r="D403" s="634">
        <f>0.4+0.1+0.1+0.05+0.25+D404</f>
        <v>0.9</v>
      </c>
      <c r="E403" s="801" t="s">
        <v>2</v>
      </c>
      <c r="F403" s="1287" t="s">
        <v>2850</v>
      </c>
      <c r="G403" s="1287"/>
      <c r="H403" s="1287"/>
      <c r="I403" s="1287"/>
      <c r="J403" s="802"/>
      <c r="K403" s="648" t="str">
        <f ca="1">IF(AND(B403&lt;&gt;"",I403&lt;&gt;"",COUNTIF($C$490:$C$1030,B403)=0),"adic. à qtd","")</f>
        <v/>
      </c>
    </row>
    <row r="404" spans="1:18" ht="20.100000000000001" customHeight="1" x14ac:dyDescent="0.2">
      <c r="A404" s="759"/>
      <c r="B404" s="768"/>
      <c r="C404" s="769" t="s">
        <v>2851</v>
      </c>
      <c r="D404" s="770">
        <v>0</v>
      </c>
      <c r="E404" s="771" t="s">
        <v>2</v>
      </c>
      <c r="F404" s="1288" t="s">
        <v>2852</v>
      </c>
      <c r="G404" s="1288"/>
      <c r="H404" s="1288"/>
      <c r="I404" s="1288"/>
      <c r="J404" s="772"/>
      <c r="K404" s="648" t="str">
        <f ca="1">IF(AND(B404&lt;&gt;"",I404&lt;&gt;"",COUNTIF($C$490:$C$1030,B404)=0),"adic. à qtd","")</f>
        <v/>
      </c>
    </row>
    <row r="405" spans="1:18" ht="20.100000000000001" customHeight="1" x14ac:dyDescent="0.2">
      <c r="A405" s="759"/>
      <c r="B405" s="768"/>
      <c r="C405" s="769" t="s">
        <v>2821</v>
      </c>
      <c r="D405" s="770">
        <f>((2.5+0.25+0.25)*2)</f>
        <v>6</v>
      </c>
      <c r="E405" s="771" t="s">
        <v>2</v>
      </c>
      <c r="F405" s="769"/>
      <c r="G405" s="769"/>
      <c r="H405" s="769"/>
      <c r="I405" s="769" t="s">
        <v>2855</v>
      </c>
      <c r="J405" s="772"/>
    </row>
    <row r="406" spans="1:18" ht="20.100000000000001" customHeight="1" x14ac:dyDescent="0.2">
      <c r="A406" s="759"/>
      <c r="B406" s="768"/>
      <c r="C406" s="769" t="s">
        <v>21643</v>
      </c>
      <c r="D406" s="770">
        <v>1</v>
      </c>
      <c r="E406" s="771" t="s">
        <v>2</v>
      </c>
      <c r="F406" s="769"/>
      <c r="G406" s="769"/>
      <c r="H406" s="769" t="s">
        <v>21644</v>
      </c>
      <c r="I406" s="769">
        <v>2.5</v>
      </c>
      <c r="J406" s="772"/>
    </row>
    <row r="407" spans="1:18" ht="15" customHeight="1" x14ac:dyDescent="0.2">
      <c r="A407" s="1046" t="str">
        <f>INDEX($B$490:$C$541,MATCH(B407,$C$490:$C$541,0),1)</f>
        <v>24.02.02</v>
      </c>
      <c r="B407" s="689" t="s">
        <v>310</v>
      </c>
      <c r="C407" s="690"/>
      <c r="D407" s="691">
        <f>I401</f>
        <v>55</v>
      </c>
      <c r="E407" s="692" t="s">
        <v>2776</v>
      </c>
      <c r="F407" s="692"/>
      <c r="G407" s="693">
        <f>((((D403*2+D405)+D405)*D403)++(D406*2))/2</f>
        <v>7.2100000000000009</v>
      </c>
      <c r="H407" s="692" t="s">
        <v>163</v>
      </c>
      <c r="I407" s="1041">
        <f t="shared" ref="I407:I414" si="45">(D407*G407)</f>
        <v>396.55000000000007</v>
      </c>
      <c r="J407" s="695" t="s">
        <v>309</v>
      </c>
      <c r="K407" s="1081">
        <f>SUMIF(Orçamento!$B$63:$B$81,A407,Orçamento!$F$63:$F$81)-I407</f>
        <v>1540</v>
      </c>
      <c r="P407" s="803"/>
      <c r="R407" s="240"/>
    </row>
    <row r="408" spans="1:18" ht="15" customHeight="1" x14ac:dyDescent="0.2">
      <c r="A408" s="1046" t="str">
        <f>INDEX($B$490:$C$541,MATCH(B408,$C$490:$C$541,0),1)</f>
        <v>96995</v>
      </c>
      <c r="B408" s="659" t="s">
        <v>311</v>
      </c>
      <c r="C408" s="660"/>
      <c r="D408" s="661">
        <f>I401</f>
        <v>55</v>
      </c>
      <c r="E408" s="662" t="s">
        <v>2776</v>
      </c>
      <c r="F408" s="662"/>
      <c r="G408" s="663">
        <f>G407-((SUBSTITUTE(RIGHT(I405,5),")","")*2+I406)*IF(ISERR(SEARCH("dupla",A401,1)),1,2)*D403)</f>
        <v>1.8100000000000005</v>
      </c>
      <c r="H408" s="662" t="s">
        <v>163</v>
      </c>
      <c r="I408" s="1042">
        <f t="shared" si="45"/>
        <v>99.550000000000026</v>
      </c>
      <c r="J408" s="665" t="s">
        <v>309</v>
      </c>
      <c r="K408" s="1081">
        <f>SUMIF(Orçamento!$B$63:$B$81,A408,Orçamento!$F$63:$F$81)-I408</f>
        <v>0</v>
      </c>
      <c r="N408" s="1030"/>
    </row>
    <row r="409" spans="1:18" ht="15" customHeight="1" x14ac:dyDescent="0.2">
      <c r="A409" s="1046" t="str">
        <f>INDEX($B$490:$C$541,MATCH(B409,$C$490:$C$541,0),1)</f>
        <v>101579</v>
      </c>
      <c r="B409" s="659" t="s">
        <v>312</v>
      </c>
      <c r="C409" s="660"/>
      <c r="D409" s="661">
        <f>I401</f>
        <v>55</v>
      </c>
      <c r="E409" s="662" t="s">
        <v>2776</v>
      </c>
      <c r="F409" s="662"/>
      <c r="G409" s="663">
        <f>IF(D403&lt;1,0,2*D403)</f>
        <v>0</v>
      </c>
      <c r="H409" s="662" t="s">
        <v>163</v>
      </c>
      <c r="I409" s="1042">
        <f t="shared" si="45"/>
        <v>0</v>
      </c>
      <c r="J409" s="665" t="s">
        <v>313</v>
      </c>
      <c r="K409" s="1081">
        <f>SUMIF(Orçamento!$B$63:$B$81,A409,Orçamento!$F$63:$F$81)-I409</f>
        <v>0</v>
      </c>
    </row>
    <row r="410" spans="1:18" ht="15" customHeight="1" x14ac:dyDescent="0.2">
      <c r="A410" s="1046" t="str">
        <f>INDEX($B$490:$C$541,MATCH(B410,$C$490:$C$541,0),1)</f>
        <v>24.07.01</v>
      </c>
      <c r="B410" s="659" t="s">
        <v>316</v>
      </c>
      <c r="C410" s="660"/>
      <c r="D410" s="661">
        <f>$I$401</f>
        <v>55</v>
      </c>
      <c r="E410" s="662" t="s">
        <v>2776</v>
      </c>
      <c r="F410" s="662"/>
      <c r="G410" s="663">
        <f>0.05*D405</f>
        <v>0.30000000000000004</v>
      </c>
      <c r="H410" s="662" t="s">
        <v>163</v>
      </c>
      <c r="I410" s="1042">
        <f t="shared" si="45"/>
        <v>16.500000000000004</v>
      </c>
      <c r="J410" s="665" t="s">
        <v>309</v>
      </c>
      <c r="K410" s="1081">
        <f>SUMIF(Orçamento!$B$63:$B$81,A410,Orçamento!$F$63:$F$81)-I410</f>
        <v>0</v>
      </c>
    </row>
    <row r="411" spans="1:18" ht="15" customHeight="1" x14ac:dyDescent="0.2">
      <c r="A411" s="1046" t="s">
        <v>32775</v>
      </c>
      <c r="B411" s="659" t="s">
        <v>2747</v>
      </c>
      <c r="C411" s="660"/>
      <c r="D411" s="661">
        <f>$I$401</f>
        <v>55</v>
      </c>
      <c r="E411" s="662" t="s">
        <v>2776</v>
      </c>
      <c r="F411" s="662"/>
      <c r="G411" s="663">
        <v>3.92</v>
      </c>
      <c r="H411" s="662" t="s">
        <v>163</v>
      </c>
      <c r="I411" s="1048">
        <f>IF($A$402="moldada no local",$G411*$D411,0)</f>
        <v>215.6</v>
      </c>
      <c r="J411" s="665" t="s">
        <v>309</v>
      </c>
      <c r="K411" s="1081">
        <f>SUMIF(Orçamento!$B$63:$B$81,A411,Orçamento!$F$63:$F$81)-I411</f>
        <v>0</v>
      </c>
    </row>
    <row r="412" spans="1:18" ht="15" customHeight="1" x14ac:dyDescent="0.2">
      <c r="A412" s="1046">
        <v>4730</v>
      </c>
      <c r="B412" s="659" t="s">
        <v>2493</v>
      </c>
      <c r="C412" s="660"/>
      <c r="D412" s="661">
        <f>$I$401</f>
        <v>55</v>
      </c>
      <c r="E412" s="662" t="s">
        <v>2776</v>
      </c>
      <c r="F412" s="662"/>
      <c r="G412" s="663">
        <f>0.4*D405</f>
        <v>2.4000000000000004</v>
      </c>
      <c r="H412" s="662" t="s">
        <v>163</v>
      </c>
      <c r="I412" s="1042">
        <f t="shared" si="45"/>
        <v>132.00000000000003</v>
      </c>
      <c r="J412" s="665" t="s">
        <v>309</v>
      </c>
      <c r="K412" s="1081">
        <f>SUMIF(Orçamento!$B$63:$B$81,A412,Orçamento!$F$63:$F$81)-I412</f>
        <v>0</v>
      </c>
    </row>
    <row r="413" spans="1:18" ht="15" customHeight="1" x14ac:dyDescent="0.2">
      <c r="A413" s="1046" t="str">
        <f>INDEX($B$490:$C$541,MATCH(B413,$C$490:$C$541,0),1)</f>
        <v>24.12.01.03</v>
      </c>
      <c r="B413" s="659" t="s">
        <v>2856</v>
      </c>
      <c r="C413" s="660"/>
      <c r="D413" s="661">
        <f>$I$401</f>
        <v>55</v>
      </c>
      <c r="E413" s="662" t="s">
        <v>2776</v>
      </c>
      <c r="F413" s="662"/>
      <c r="G413" s="663">
        <f>0.1*D405</f>
        <v>0.60000000000000009</v>
      </c>
      <c r="H413" s="662" t="s">
        <v>163</v>
      </c>
      <c r="I413" s="1042">
        <f t="shared" si="45"/>
        <v>33.000000000000007</v>
      </c>
      <c r="J413" s="665" t="s">
        <v>309</v>
      </c>
      <c r="K413" s="1081">
        <f>SUMIF(Orçamento!$B$63:$B$81,A413,Orçamento!$F$63:$F$81)-I413</f>
        <v>0</v>
      </c>
    </row>
    <row r="414" spans="1:18" ht="15" customHeight="1" x14ac:dyDescent="0.2">
      <c r="A414" s="1046" t="s">
        <v>7585</v>
      </c>
      <c r="B414" s="659" t="s">
        <v>2879</v>
      </c>
      <c r="C414" s="660"/>
      <c r="D414" s="661">
        <f>$I$401</f>
        <v>55</v>
      </c>
      <c r="E414" s="662" t="s">
        <v>2776</v>
      </c>
      <c r="F414" s="662"/>
      <c r="G414" s="663">
        <f>0.1*D405</f>
        <v>0.60000000000000009</v>
      </c>
      <c r="H414" s="662" t="s">
        <v>163</v>
      </c>
      <c r="I414" s="1042">
        <f t="shared" si="45"/>
        <v>33.000000000000007</v>
      </c>
      <c r="J414" s="665" t="s">
        <v>309</v>
      </c>
      <c r="K414" s="1081">
        <f>SUMIF(Orçamento!$B$63:$B$81,A414,Orçamento!$F$63:$F$81)-I414</f>
        <v>0</v>
      </c>
    </row>
    <row r="415" spans="1:18" ht="15" customHeight="1" x14ac:dyDescent="0.2">
      <c r="A415" s="1046" t="str">
        <f>INDEX($B$490:$C$541,MATCH(B415,$C$490:$C$541,0),1)</f>
        <v>10.01.040</v>
      </c>
      <c r="B415" s="659" t="s">
        <v>318</v>
      </c>
      <c r="C415" s="660"/>
      <c r="D415" s="661">
        <f>I401</f>
        <v>55</v>
      </c>
      <c r="E415" s="662" t="s">
        <v>2776</v>
      </c>
      <c r="F415" s="662"/>
      <c r="G415" s="663">
        <v>329.61500000000001</v>
      </c>
      <c r="H415" s="662" t="s">
        <v>163</v>
      </c>
      <c r="I415" s="1049">
        <f>IF($A$402="moldada no local",$G415*$D415,0)</f>
        <v>18128.825000000001</v>
      </c>
      <c r="J415" s="665" t="s">
        <v>6</v>
      </c>
      <c r="K415" s="1081">
        <f>SUMIF(Orçamento!$B$63:$B$81,A415,Orçamento!$F$63:$F$81)-I415</f>
        <v>5.0000000010186341E-3</v>
      </c>
    </row>
    <row r="416" spans="1:18" ht="15" customHeight="1" x14ac:dyDescent="0.2">
      <c r="A416" s="1046" t="s">
        <v>8026</v>
      </c>
      <c r="B416" s="659" t="s">
        <v>43941</v>
      </c>
      <c r="C416" s="660"/>
      <c r="D416" s="661">
        <f>I401</f>
        <v>55</v>
      </c>
      <c r="E416" s="662" t="s">
        <v>2776</v>
      </c>
      <c r="F416" s="662"/>
      <c r="G416" s="663">
        <v>12.5</v>
      </c>
      <c r="H416" s="662" t="s">
        <v>163</v>
      </c>
      <c r="I416" s="1049">
        <f>IF($A$402="moldada no local",$G416*$D416,0)/4</f>
        <v>171.875</v>
      </c>
      <c r="J416" s="665" t="s">
        <v>38</v>
      </c>
      <c r="K416" s="1081">
        <f>SUMIF(Orçamento!$B$63:$B$81,A416,Orçamento!$F$63:$F$81)-I416</f>
        <v>4.9999999999954525E-3</v>
      </c>
      <c r="L416" s="202" t="s">
        <v>106</v>
      </c>
    </row>
    <row r="417" spans="1:18" ht="15" customHeight="1" x14ac:dyDescent="0.2">
      <c r="A417" s="1046" t="str">
        <f>INDEX($B$490:$C$541,MATCH(B417,$C$490:$C$541,0),1)</f>
        <v>24.05.02</v>
      </c>
      <c r="B417" s="659" t="s">
        <v>2854</v>
      </c>
      <c r="C417" s="660"/>
      <c r="D417" s="661">
        <f>$I$401</f>
        <v>55</v>
      </c>
      <c r="E417" s="662" t="s">
        <v>2776</v>
      </c>
      <c r="F417" s="662"/>
      <c r="G417" s="663">
        <v>20.2</v>
      </c>
      <c r="H417" s="662" t="s">
        <v>163</v>
      </c>
      <c r="I417" s="1049">
        <f>IF($A$402="moldada no local",$G417*$D417,0)/3</f>
        <v>370.33333333333331</v>
      </c>
      <c r="J417" s="665" t="s">
        <v>313</v>
      </c>
      <c r="K417" s="1081">
        <f>SUMIF(Orçamento!$B$63:$B$81,A417,Orçamento!$F$63:$F$81)-I417</f>
        <v>-3.3333333333303017E-3</v>
      </c>
    </row>
    <row r="418" spans="1:18" ht="15" customHeight="1" x14ac:dyDescent="0.2">
      <c r="A418" s="1046"/>
      <c r="B418" s="703" t="str">
        <f>A401</f>
        <v>Galeria de concreto Dupla - 2,50 x 2,50 - Com aterro de 5m até 10m - Escav. Triang.</v>
      </c>
      <c r="C418" s="704"/>
      <c r="D418" s="698">
        <f>$I$401</f>
        <v>55</v>
      </c>
      <c r="E418" s="699" t="s">
        <v>2776</v>
      </c>
      <c r="F418" s="706"/>
      <c r="G418" s="700">
        <v>1</v>
      </c>
      <c r="H418" s="699" t="s">
        <v>163</v>
      </c>
      <c r="I418" s="1050">
        <f>IF($A$402="moldada no local",0,$G418*$D418)</f>
        <v>0</v>
      </c>
      <c r="J418" s="1051" t="s">
        <v>2</v>
      </c>
      <c r="K418" s="1081">
        <f>SUMIF(Orçamento!$B$63:$B$81,A418,Orçamento!$F$63:$F$81)-I418</f>
        <v>0</v>
      </c>
    </row>
    <row r="419" spans="1:18" ht="15" customHeight="1" x14ac:dyDescent="0.2">
      <c r="A419" s="1046" t="s">
        <v>6906</v>
      </c>
      <c r="B419" s="659" t="s">
        <v>29979</v>
      </c>
      <c r="C419" s="660"/>
      <c r="D419" s="661"/>
      <c r="E419" s="662"/>
      <c r="F419" s="662"/>
      <c r="G419" s="663">
        <v>2</v>
      </c>
      <c r="H419" s="662" t="s">
        <v>163</v>
      </c>
      <c r="I419" s="1049">
        <v>2</v>
      </c>
      <c r="J419" s="665" t="s">
        <v>2444</v>
      </c>
      <c r="K419" s="1081">
        <f>SUMIF(Orçamento!$B$63:$B$81,A419,Orçamento!$F$63:$F$81)-I419</f>
        <v>0</v>
      </c>
    </row>
    <row r="420" spans="1:18" ht="35.1" customHeight="1" x14ac:dyDescent="0.2">
      <c r="A420" s="1289" t="s">
        <v>29980</v>
      </c>
      <c r="B420" s="1289"/>
      <c r="C420" s="1289"/>
      <c r="D420" s="1289"/>
      <c r="E420" s="1289"/>
      <c r="F420" s="1289"/>
      <c r="G420" s="1289"/>
      <c r="H420" s="1289"/>
      <c r="I420" s="1289"/>
      <c r="J420" s="1290"/>
      <c r="K420" s="1081"/>
    </row>
    <row r="421" spans="1:18" s="211" customFormat="1" ht="15" customHeight="1" x14ac:dyDescent="0.2">
      <c r="A421" s="1037" t="s">
        <v>21647</v>
      </c>
      <c r="B421" s="1038"/>
      <c r="C421" s="1038"/>
      <c r="D421" s="1038"/>
      <c r="E421" s="1038"/>
      <c r="F421" s="1038"/>
      <c r="G421" s="1038"/>
      <c r="H421" s="1038"/>
      <c r="I421" s="1039">
        <v>55</v>
      </c>
      <c r="J421" s="1040"/>
      <c r="K421" s="1081"/>
      <c r="L421" s="1047"/>
      <c r="M421" s="642"/>
      <c r="N421" s="642"/>
      <c r="O421" s="642"/>
      <c r="P421" s="643"/>
    </row>
    <row r="422" spans="1:18" ht="20.100000000000001" customHeight="1" x14ac:dyDescent="0.2">
      <c r="A422" s="716"/>
      <c r="B422" s="754"/>
      <c r="C422" s="774" t="s">
        <v>2824</v>
      </c>
      <c r="D422" s="634">
        <v>3</v>
      </c>
      <c r="E422" s="801" t="s">
        <v>2</v>
      </c>
      <c r="F422" s="1287" t="s">
        <v>2850</v>
      </c>
      <c r="G422" s="1287"/>
      <c r="H422" s="1287"/>
      <c r="I422" s="1287"/>
      <c r="J422" s="802"/>
      <c r="K422" s="1081" t="str">
        <f ca="1">IF(AND(B422&lt;&gt;"",I422&lt;&gt;"",COUNTIF($C$490:$C$1030,B422)=0),"adic. à qtd","")</f>
        <v/>
      </c>
    </row>
    <row r="423" spans="1:18" ht="20.100000000000001" customHeight="1" x14ac:dyDescent="0.2">
      <c r="A423" s="759"/>
      <c r="B423" s="768"/>
      <c r="C423" s="769" t="s">
        <v>2821</v>
      </c>
      <c r="D423" s="770">
        <f>((2.5+0.25+0.25)*2)</f>
        <v>6</v>
      </c>
      <c r="E423" s="771" t="s">
        <v>2</v>
      </c>
      <c r="F423" s="769"/>
      <c r="G423" s="769"/>
      <c r="H423" s="769"/>
      <c r="I423" s="769" t="s">
        <v>2855</v>
      </c>
      <c r="J423" s="772"/>
      <c r="K423" s="1081"/>
    </row>
    <row r="424" spans="1:18" ht="20.100000000000001" customHeight="1" x14ac:dyDescent="0.2">
      <c r="A424" s="759"/>
      <c r="B424" s="768"/>
      <c r="C424" s="769" t="s">
        <v>21643</v>
      </c>
      <c r="D424" s="770">
        <v>1</v>
      </c>
      <c r="E424" s="771" t="s">
        <v>2</v>
      </c>
      <c r="F424" s="769"/>
      <c r="G424" s="769"/>
      <c r="H424" s="769" t="s">
        <v>21644</v>
      </c>
      <c r="I424" s="769">
        <v>2.5</v>
      </c>
      <c r="J424" s="772"/>
      <c r="K424" s="1081"/>
    </row>
    <row r="425" spans="1:18" ht="15" customHeight="1" x14ac:dyDescent="0.2">
      <c r="A425" s="1063" t="str">
        <f>INDEX($B$490:$C$541,MATCH(B425,$C$490:$C$541,0),1)</f>
        <v>24.02.02</v>
      </c>
      <c r="B425" s="659" t="s">
        <v>310</v>
      </c>
      <c r="C425" s="660"/>
      <c r="D425" s="661">
        <f>$I$421</f>
        <v>55</v>
      </c>
      <c r="E425" s="662" t="s">
        <v>2776</v>
      </c>
      <c r="F425" s="662"/>
      <c r="G425" s="663">
        <f>((((D422*2+D423)+D423)*D422)++(D424*2))/2</f>
        <v>28</v>
      </c>
      <c r="H425" s="662" t="s">
        <v>163</v>
      </c>
      <c r="I425" s="661">
        <f t="shared" ref="I425:I428" si="46">(D425*G425)</f>
        <v>1540</v>
      </c>
      <c r="J425" s="665" t="s">
        <v>309</v>
      </c>
      <c r="K425" s="1081">
        <f>SUMIF(Orçamento!$B$63:$B$81,A425,Orçamento!$F$63:$F$81)-I425</f>
        <v>396.55000000000018</v>
      </c>
      <c r="P425" s="803"/>
      <c r="R425" s="240"/>
    </row>
    <row r="426" spans="1:18" ht="15" customHeight="1" x14ac:dyDescent="0.2">
      <c r="A426" s="1063">
        <v>370</v>
      </c>
      <c r="B426" s="659" t="s">
        <v>21646</v>
      </c>
      <c r="C426" s="660"/>
      <c r="D426" s="661">
        <f>$I$421</f>
        <v>55</v>
      </c>
      <c r="E426" s="662" t="s">
        <v>2776</v>
      </c>
      <c r="F426" s="662"/>
      <c r="G426" s="663">
        <f>0.2*(D423+(2*D424))</f>
        <v>1.6</v>
      </c>
      <c r="H426" s="662" t="s">
        <v>163</v>
      </c>
      <c r="I426" s="661">
        <f t="shared" si="46"/>
        <v>88</v>
      </c>
      <c r="J426" s="665" t="s">
        <v>309</v>
      </c>
      <c r="K426" s="1081">
        <f>SUMIF(Orçamento!$B$63:$B$81,A426,Orçamento!$F$63:$F$81)-I426</f>
        <v>0</v>
      </c>
    </row>
    <row r="427" spans="1:18" ht="15" customHeight="1" x14ac:dyDescent="0.2">
      <c r="A427" s="1063" t="s">
        <v>14196</v>
      </c>
      <c r="B427" s="659" t="s">
        <v>21649</v>
      </c>
      <c r="C427" s="660"/>
      <c r="D427" s="661">
        <f>$I$421</f>
        <v>55</v>
      </c>
      <c r="E427" s="662" t="s">
        <v>2776</v>
      </c>
      <c r="F427" s="662"/>
      <c r="G427" s="663">
        <f>G425-G426</f>
        <v>26.4</v>
      </c>
      <c r="H427" s="662" t="s">
        <v>163</v>
      </c>
      <c r="I427" s="661">
        <f t="shared" si="46"/>
        <v>1452</v>
      </c>
      <c r="J427" s="665" t="s">
        <v>309</v>
      </c>
      <c r="K427" s="1081">
        <f>SUMIF(Orçamento!$B$63:$B$81,A427,Orçamento!$F$63:$F$81)-I427</f>
        <v>0</v>
      </c>
    </row>
    <row r="428" spans="1:18" ht="15" customHeight="1" x14ac:dyDescent="0.2">
      <c r="A428" s="1063" t="str">
        <f t="shared" ref="A428" si="47">INDEX($B$490:$C$541,MATCH(B428,$C$490:$C$541,0),1)</f>
        <v>22.04.01</v>
      </c>
      <c r="B428" s="659" t="s">
        <v>21648</v>
      </c>
      <c r="C428" s="660"/>
      <c r="D428" s="661">
        <f>$I$421</f>
        <v>55</v>
      </c>
      <c r="E428" s="662" t="s">
        <v>2776</v>
      </c>
      <c r="F428" s="662"/>
      <c r="G428" s="663">
        <f>G427</f>
        <v>26.4</v>
      </c>
      <c r="H428" s="662" t="s">
        <v>163</v>
      </c>
      <c r="I428" s="661">
        <f t="shared" si="46"/>
        <v>1452</v>
      </c>
      <c r="J428" s="665" t="s">
        <v>309</v>
      </c>
      <c r="K428" s="1081">
        <f>SUMIF(Orçamento!$B$63:$B$81,A428,Orçamento!$F$63:$F$81)-I428</f>
        <v>0</v>
      </c>
    </row>
    <row r="429" spans="1:18" s="211" customFormat="1" ht="15" customHeight="1" x14ac:dyDescent="0.2">
      <c r="A429" s="680" t="s">
        <v>2857</v>
      </c>
      <c r="B429" s="676"/>
      <c r="C429" s="676"/>
      <c r="D429" s="676"/>
      <c r="E429" s="676"/>
      <c r="F429" s="676"/>
      <c r="G429" s="676"/>
      <c r="H429" s="676"/>
      <c r="I429" s="1035"/>
      <c r="J429" s="1036" t="s">
        <v>2</v>
      </c>
      <c r="K429" s="648" t="str">
        <f t="shared" ref="K429:K438" ca="1" si="48">IF(AND(B429&lt;&gt;"",I429&lt;&gt;"",COUNTIF($C$490:$C$1030,B429)=0),"adic. à qtd","")</f>
        <v/>
      </c>
      <c r="L429" s="642"/>
      <c r="M429" s="642"/>
      <c r="N429" s="642"/>
      <c r="O429" s="642"/>
      <c r="P429" s="643"/>
    </row>
    <row r="430" spans="1:18" ht="20.100000000000001" customHeight="1" x14ac:dyDescent="0.2">
      <c r="A430" s="716"/>
      <c r="B430" s="754"/>
      <c r="C430" s="774" t="s">
        <v>2824</v>
      </c>
      <c r="D430" s="634">
        <f>0.4+0.1+0.1+0.25+2+0.25+D431</f>
        <v>4.5999999999999996</v>
      </c>
      <c r="E430" s="801" t="s">
        <v>2</v>
      </c>
      <c r="F430" s="1287" t="s">
        <v>2850</v>
      </c>
      <c r="G430" s="1287"/>
      <c r="H430" s="1287"/>
      <c r="I430" s="1287"/>
      <c r="J430" s="802"/>
      <c r="K430" s="648" t="str">
        <f t="shared" ca="1" si="48"/>
        <v/>
      </c>
    </row>
    <row r="431" spans="1:18" ht="20.100000000000001" customHeight="1" x14ac:dyDescent="0.2">
      <c r="A431" s="759"/>
      <c r="B431" s="768"/>
      <c r="C431" s="769" t="s">
        <v>2851</v>
      </c>
      <c r="D431" s="770">
        <v>1.5</v>
      </c>
      <c r="E431" s="771" t="s">
        <v>2</v>
      </c>
      <c r="F431" s="1288" t="s">
        <v>2852</v>
      </c>
      <c r="G431" s="1288"/>
      <c r="H431" s="1288"/>
      <c r="I431" s="1288"/>
      <c r="J431" s="772"/>
      <c r="K431" s="648" t="str">
        <f t="shared" ca="1" si="48"/>
        <v/>
      </c>
    </row>
    <row r="432" spans="1:18" ht="20.100000000000001" customHeight="1" x14ac:dyDescent="0.2">
      <c r="A432" s="759"/>
      <c r="B432" s="768"/>
      <c r="C432" s="769" t="s">
        <v>2821</v>
      </c>
      <c r="D432" s="770">
        <f>(2+0.25+0.25)*3</f>
        <v>7.5</v>
      </c>
      <c r="E432" s="771" t="s">
        <v>2</v>
      </c>
      <c r="F432" s="769"/>
      <c r="G432" s="769"/>
      <c r="H432" s="769"/>
      <c r="I432" s="769" t="s">
        <v>2855</v>
      </c>
      <c r="J432" s="772"/>
      <c r="K432" s="648" t="str">
        <f t="shared" ca="1" si="48"/>
        <v/>
      </c>
    </row>
    <row r="433" spans="1:16" ht="15" customHeight="1" x14ac:dyDescent="0.2">
      <c r="A433" s="688"/>
      <c r="B433" s="689" t="s">
        <v>310</v>
      </c>
      <c r="C433" s="690"/>
      <c r="D433" s="691">
        <f>$I$429</f>
        <v>0</v>
      </c>
      <c r="E433" s="692" t="s">
        <v>2776</v>
      </c>
      <c r="F433" s="692"/>
      <c r="G433" s="693">
        <f>(((D430*2+D432)+D432)*D430)/2</f>
        <v>55.66</v>
      </c>
      <c r="H433" s="692" t="s">
        <v>163</v>
      </c>
      <c r="I433" s="694">
        <f t="shared" ref="I433:I441" si="49">(D433*G433)</f>
        <v>0</v>
      </c>
      <c r="J433" s="695" t="s">
        <v>309</v>
      </c>
      <c r="K433" s="648" t="str">
        <f t="shared" ca="1" si="48"/>
        <v/>
      </c>
    </row>
    <row r="434" spans="1:16" ht="15" customHeight="1" x14ac:dyDescent="0.2">
      <c r="A434" s="658"/>
      <c r="B434" s="659" t="s">
        <v>311</v>
      </c>
      <c r="C434" s="660"/>
      <c r="D434" s="691">
        <f t="shared" ref="D434:D442" si="50">$I$429</f>
        <v>0</v>
      </c>
      <c r="E434" s="662" t="s">
        <v>2776</v>
      </c>
      <c r="F434" s="662"/>
      <c r="G434" s="663">
        <f>G433-(((2+0.5)^2)*2)</f>
        <v>43.16</v>
      </c>
      <c r="H434" s="662" t="s">
        <v>163</v>
      </c>
      <c r="I434" s="664">
        <f t="shared" si="49"/>
        <v>0</v>
      </c>
      <c r="J434" s="665" t="s">
        <v>309</v>
      </c>
      <c r="K434" s="648" t="str">
        <f t="shared" ca="1" si="48"/>
        <v/>
      </c>
    </row>
    <row r="435" spans="1:16" ht="15" customHeight="1" x14ac:dyDescent="0.2">
      <c r="A435" s="658"/>
      <c r="B435" s="659" t="s">
        <v>314</v>
      </c>
      <c r="C435" s="660"/>
      <c r="D435" s="691">
        <f t="shared" si="50"/>
        <v>0</v>
      </c>
      <c r="E435" s="662" t="s">
        <v>2776</v>
      </c>
      <c r="F435" s="662"/>
      <c r="G435" s="663">
        <f>2*D430</f>
        <v>9.1999999999999993</v>
      </c>
      <c r="H435" s="662" t="s">
        <v>163</v>
      </c>
      <c r="I435" s="664">
        <f t="shared" si="49"/>
        <v>0</v>
      </c>
      <c r="J435" s="665" t="s">
        <v>313</v>
      </c>
      <c r="K435" s="648" t="str">
        <f t="shared" ca="1" si="48"/>
        <v/>
      </c>
    </row>
    <row r="436" spans="1:16" ht="15" customHeight="1" x14ac:dyDescent="0.2">
      <c r="A436" s="658"/>
      <c r="B436" s="659" t="s">
        <v>316</v>
      </c>
      <c r="C436" s="660"/>
      <c r="D436" s="691">
        <f t="shared" si="50"/>
        <v>0</v>
      </c>
      <c r="E436" s="662" t="s">
        <v>2776</v>
      </c>
      <c r="F436" s="662"/>
      <c r="G436" s="663">
        <v>0.05</v>
      </c>
      <c r="H436" s="662" t="s">
        <v>163</v>
      </c>
      <c r="I436" s="664">
        <f t="shared" si="49"/>
        <v>0</v>
      </c>
      <c r="J436" s="665" t="s">
        <v>309</v>
      </c>
      <c r="K436" s="648" t="str">
        <f t="shared" ca="1" si="48"/>
        <v/>
      </c>
    </row>
    <row r="437" spans="1:16" ht="15" customHeight="1" x14ac:dyDescent="0.2">
      <c r="A437" s="658"/>
      <c r="B437" s="659" t="s">
        <v>2493</v>
      </c>
      <c r="C437" s="660"/>
      <c r="D437" s="691">
        <f t="shared" si="50"/>
        <v>0</v>
      </c>
      <c r="E437" s="662" t="s">
        <v>2776</v>
      </c>
      <c r="F437" s="662"/>
      <c r="G437" s="663">
        <f>0.4*D432</f>
        <v>3</v>
      </c>
      <c r="H437" s="662" t="s">
        <v>163</v>
      </c>
      <c r="I437" s="664">
        <f t="shared" si="49"/>
        <v>0</v>
      </c>
      <c r="J437" s="665" t="s">
        <v>309</v>
      </c>
      <c r="K437" s="648" t="str">
        <f t="shared" ca="1" si="48"/>
        <v/>
      </c>
    </row>
    <row r="438" spans="1:16" ht="15" customHeight="1" x14ac:dyDescent="0.2">
      <c r="A438" s="658"/>
      <c r="B438" s="659" t="s">
        <v>2856</v>
      </c>
      <c r="C438" s="660"/>
      <c r="D438" s="691">
        <f t="shared" si="50"/>
        <v>0</v>
      </c>
      <c r="E438" s="662" t="s">
        <v>2776</v>
      </c>
      <c r="F438" s="662"/>
      <c r="G438" s="663">
        <f>0.1*D432</f>
        <v>0.75</v>
      </c>
      <c r="H438" s="662" t="s">
        <v>163</v>
      </c>
      <c r="I438" s="664">
        <f t="shared" si="49"/>
        <v>0</v>
      </c>
      <c r="J438" s="665" t="s">
        <v>309</v>
      </c>
      <c r="K438" s="648" t="str">
        <f t="shared" ca="1" si="48"/>
        <v/>
      </c>
    </row>
    <row r="439" spans="1:16" ht="15" customHeight="1" x14ac:dyDescent="0.2">
      <c r="A439" s="658"/>
      <c r="B439" s="659" t="s">
        <v>2805</v>
      </c>
      <c r="C439" s="660"/>
      <c r="D439" s="691">
        <f t="shared" si="50"/>
        <v>0</v>
      </c>
      <c r="E439" s="662" t="s">
        <v>2776</v>
      </c>
      <c r="F439" s="662"/>
      <c r="G439" s="663">
        <f>0.1*D432</f>
        <v>0.75</v>
      </c>
      <c r="H439" s="662" t="s">
        <v>163</v>
      </c>
      <c r="I439" s="664">
        <f t="shared" si="49"/>
        <v>0</v>
      </c>
      <c r="J439" s="665" t="s">
        <v>309</v>
      </c>
    </row>
    <row r="440" spans="1:16" ht="15" customHeight="1" x14ac:dyDescent="0.2">
      <c r="A440" s="658"/>
      <c r="B440" s="659" t="s">
        <v>318</v>
      </c>
      <c r="C440" s="660"/>
      <c r="D440" s="691">
        <f t="shared" si="50"/>
        <v>0</v>
      </c>
      <c r="E440" s="662" t="s">
        <v>2776</v>
      </c>
      <c r="F440" s="662"/>
      <c r="G440" s="663">
        <f>134*3</f>
        <v>402</v>
      </c>
      <c r="H440" s="662" t="s">
        <v>163</v>
      </c>
      <c r="I440" s="664">
        <f t="shared" si="49"/>
        <v>0</v>
      </c>
      <c r="J440" s="665" t="s">
        <v>6</v>
      </c>
      <c r="K440" s="648" t="str">
        <f t="shared" ref="K440:K482" ca="1" si="51">IF(AND(B440&lt;&gt;"",I440&lt;&gt;"",COUNTIF($C$490:$C$1030,B440)=0),"adic. à qtd","")</f>
        <v/>
      </c>
      <c r="L440" s="202" t="s">
        <v>2858</v>
      </c>
    </row>
    <row r="441" spans="1:16" ht="15" customHeight="1" x14ac:dyDescent="0.2">
      <c r="A441" s="658"/>
      <c r="B441" s="659" t="s">
        <v>2853</v>
      </c>
      <c r="C441" s="660"/>
      <c r="D441" s="691">
        <f t="shared" si="50"/>
        <v>0</v>
      </c>
      <c r="E441" s="662" t="s">
        <v>2776</v>
      </c>
      <c r="F441" s="662"/>
      <c r="G441" s="663">
        <f>2.9*2.9</f>
        <v>8.41</v>
      </c>
      <c r="H441" s="662" t="s">
        <v>163</v>
      </c>
      <c r="I441" s="664">
        <f t="shared" si="49"/>
        <v>0</v>
      </c>
      <c r="J441" s="665" t="s">
        <v>38</v>
      </c>
      <c r="K441" s="648" t="str">
        <f t="shared" ca="1" si="51"/>
        <v/>
      </c>
    </row>
    <row r="442" spans="1:16" ht="15" customHeight="1" x14ac:dyDescent="0.2">
      <c r="A442" s="658"/>
      <c r="B442" s="659" t="s">
        <v>2854</v>
      </c>
      <c r="C442" s="660"/>
      <c r="D442" s="691">
        <f t="shared" si="50"/>
        <v>0</v>
      </c>
      <c r="E442" s="662" t="s">
        <v>2776</v>
      </c>
      <c r="F442" s="662"/>
      <c r="G442" s="663">
        <f>(0.25+0.25+2.5)*2+(2.5*4)</f>
        <v>16</v>
      </c>
      <c r="H442" s="662" t="s">
        <v>163</v>
      </c>
      <c r="I442" s="664">
        <f>(D442*G442)</f>
        <v>0</v>
      </c>
      <c r="J442" s="665" t="s">
        <v>313</v>
      </c>
      <c r="K442" s="648" t="str">
        <f t="shared" ca="1" si="51"/>
        <v/>
      </c>
    </row>
    <row r="443" spans="1:16" s="211" customFormat="1" ht="15.95" customHeight="1" x14ac:dyDescent="0.2">
      <c r="A443" s="674" t="s">
        <v>2859</v>
      </c>
      <c r="B443" s="675"/>
      <c r="C443" s="675"/>
      <c r="D443" s="675"/>
      <c r="E443" s="675"/>
      <c r="F443" s="675"/>
      <c r="G443" s="675"/>
      <c r="H443" s="675"/>
      <c r="I443" s="677"/>
      <c r="J443" s="678" t="s">
        <v>3</v>
      </c>
      <c r="K443" s="648" t="str">
        <f t="shared" ca="1" si="51"/>
        <v/>
      </c>
      <c r="L443" s="642"/>
      <c r="M443" s="642"/>
      <c r="N443" s="642"/>
      <c r="O443" s="642"/>
      <c r="P443" s="643"/>
    </row>
    <row r="444" spans="1:16" ht="15" customHeight="1" x14ac:dyDescent="0.2">
      <c r="A444" s="658"/>
      <c r="B444" s="689" t="s">
        <v>310</v>
      </c>
      <c r="C444" s="660"/>
      <c r="D444" s="661">
        <f>I443</f>
        <v>0</v>
      </c>
      <c r="E444" s="662" t="s">
        <v>2776</v>
      </c>
      <c r="F444" s="662"/>
      <c r="G444" s="663">
        <f>((1.5*1.5*1.5)/2*3.308)+((7.35-3.308+1)/2*(1.5*1.5*1.5)/2)</f>
        <v>9.8364374999999988</v>
      </c>
      <c r="H444" s="662" t="s">
        <v>163</v>
      </c>
      <c r="I444" s="664">
        <f>D444*G444</f>
        <v>0</v>
      </c>
      <c r="J444" s="665" t="s">
        <v>309</v>
      </c>
      <c r="K444" s="648" t="str">
        <f t="shared" ca="1" si="51"/>
        <v/>
      </c>
    </row>
    <row r="445" spans="1:16" ht="15" customHeight="1" x14ac:dyDescent="0.2">
      <c r="A445" s="658"/>
      <c r="B445" s="659" t="s">
        <v>311</v>
      </c>
      <c r="C445" s="660"/>
      <c r="D445" s="661">
        <f>I443</f>
        <v>0</v>
      </c>
      <c r="E445" s="662" t="s">
        <v>2776</v>
      </c>
      <c r="F445" s="662"/>
      <c r="G445" s="663">
        <f>G444-(((1.5*1.5*1.5)/2*3.308)+((7.35-3.308)/2*(1.5*1.5*1.5)/2))</f>
        <v>0.84374999999999822</v>
      </c>
      <c r="H445" s="662" t="s">
        <v>163</v>
      </c>
      <c r="I445" s="664">
        <f>D445*G445</f>
        <v>0</v>
      </c>
      <c r="J445" s="665" t="s">
        <v>309</v>
      </c>
      <c r="K445" s="648" t="str">
        <f t="shared" ca="1" si="51"/>
        <v/>
      </c>
    </row>
    <row r="446" spans="1:16" ht="15" customHeight="1" x14ac:dyDescent="0.2">
      <c r="A446" s="658"/>
      <c r="B446" s="659" t="s">
        <v>316</v>
      </c>
      <c r="C446" s="660"/>
      <c r="D446" s="661">
        <f>I443</f>
        <v>0</v>
      </c>
      <c r="E446" s="662" t="s">
        <v>2776</v>
      </c>
      <c r="F446" s="662"/>
      <c r="G446" s="663">
        <v>1.52</v>
      </c>
      <c r="H446" s="662" t="s">
        <v>163</v>
      </c>
      <c r="I446" s="664">
        <f>(D446*G446)</f>
        <v>0</v>
      </c>
      <c r="J446" s="665" t="s">
        <v>309</v>
      </c>
      <c r="K446" s="648" t="str">
        <f t="shared" ca="1" si="51"/>
        <v/>
      </c>
    </row>
    <row r="447" spans="1:16" ht="15" customHeight="1" x14ac:dyDescent="0.2">
      <c r="A447" s="658"/>
      <c r="B447" s="659" t="s">
        <v>317</v>
      </c>
      <c r="C447" s="660"/>
      <c r="D447" s="661">
        <f>I443</f>
        <v>0</v>
      </c>
      <c r="E447" s="662" t="s">
        <v>2776</v>
      </c>
      <c r="F447" s="662"/>
      <c r="G447" s="663">
        <v>9.11</v>
      </c>
      <c r="H447" s="662" t="s">
        <v>163</v>
      </c>
      <c r="I447" s="664">
        <f>(D447*G447)</f>
        <v>0</v>
      </c>
      <c r="J447" s="665" t="s">
        <v>309</v>
      </c>
      <c r="K447" s="648" t="str">
        <f t="shared" ca="1" si="51"/>
        <v/>
      </c>
    </row>
    <row r="448" spans="1:16" ht="15" customHeight="1" x14ac:dyDescent="0.2">
      <c r="A448" s="658"/>
      <c r="B448" s="659" t="s">
        <v>21651</v>
      </c>
      <c r="C448" s="660"/>
      <c r="D448" s="661">
        <f>I443</f>
        <v>0</v>
      </c>
      <c r="E448" s="662" t="s">
        <v>2776</v>
      </c>
      <c r="F448" s="662"/>
      <c r="G448" s="663">
        <v>51</v>
      </c>
      <c r="H448" s="662" t="s">
        <v>163</v>
      </c>
      <c r="I448" s="664">
        <f>(D448*G448)</f>
        <v>0</v>
      </c>
      <c r="J448" s="665" t="s">
        <v>313</v>
      </c>
      <c r="K448" s="648" t="str">
        <f t="shared" ca="1" si="51"/>
        <v/>
      </c>
    </row>
    <row r="449" spans="1:16" ht="15" customHeight="1" x14ac:dyDescent="0.2">
      <c r="A449" s="658"/>
      <c r="B449" s="659" t="s">
        <v>318</v>
      </c>
      <c r="C449" s="660"/>
      <c r="D449" s="661">
        <f>I443</f>
        <v>0</v>
      </c>
      <c r="E449" s="662" t="s">
        <v>2776</v>
      </c>
      <c r="F449" s="662"/>
      <c r="G449" s="1004">
        <v>691</v>
      </c>
      <c r="H449" s="662" t="s">
        <v>163</v>
      </c>
      <c r="I449" s="664">
        <f>(D449*G449)</f>
        <v>0</v>
      </c>
      <c r="J449" s="665" t="s">
        <v>6</v>
      </c>
      <c r="K449" s="648" t="str">
        <f t="shared" ca="1" si="51"/>
        <v/>
      </c>
    </row>
    <row r="450" spans="1:16" ht="15" customHeight="1" x14ac:dyDescent="0.2">
      <c r="A450" s="804"/>
      <c r="B450" s="788"/>
      <c r="C450" s="788" t="s">
        <v>2860</v>
      </c>
      <c r="D450" s="788"/>
      <c r="E450" s="787"/>
      <c r="F450" s="787"/>
      <c r="G450" s="789"/>
      <c r="H450" s="787"/>
      <c r="I450" s="790">
        <f>IF(I390&gt;0,ROUNDUP(I390/5,0)-1+I443,0)</f>
        <v>0</v>
      </c>
      <c r="J450" s="791" t="s">
        <v>3</v>
      </c>
      <c r="K450" s="648" t="str">
        <f t="shared" ca="1" si="51"/>
        <v/>
      </c>
      <c r="L450" s="792"/>
      <c r="M450" s="792"/>
    </row>
    <row r="451" spans="1:16" ht="15" customHeight="1" x14ac:dyDescent="0.2">
      <c r="A451" s="658"/>
      <c r="B451" s="659" t="s">
        <v>318</v>
      </c>
      <c r="C451" s="660"/>
      <c r="D451" s="661">
        <f>I450</f>
        <v>0</v>
      </c>
      <c r="E451" s="662"/>
      <c r="F451" s="662" t="s">
        <v>2776</v>
      </c>
      <c r="G451" s="663">
        <v>104</v>
      </c>
      <c r="H451" s="662" t="s">
        <v>163</v>
      </c>
      <c r="I451" s="664">
        <f>(D451*G451)</f>
        <v>0</v>
      </c>
      <c r="J451" s="665" t="s">
        <v>6</v>
      </c>
      <c r="K451" s="648" t="str">
        <f t="shared" ca="1" si="51"/>
        <v/>
      </c>
    </row>
    <row r="452" spans="1:16" ht="15" customHeight="1" x14ac:dyDescent="0.2">
      <c r="A452" s="658"/>
      <c r="B452" s="659" t="s">
        <v>2787</v>
      </c>
      <c r="C452" s="660"/>
      <c r="D452" s="661">
        <f>I450</f>
        <v>0</v>
      </c>
      <c r="E452" s="662"/>
      <c r="F452" s="662" t="s">
        <v>2776</v>
      </c>
      <c r="G452" s="663">
        <v>6</v>
      </c>
      <c r="H452" s="662" t="s">
        <v>163</v>
      </c>
      <c r="I452" s="664">
        <f>(D452*G452)</f>
        <v>0</v>
      </c>
      <c r="J452" s="665" t="s">
        <v>2</v>
      </c>
      <c r="K452" s="648" t="str">
        <f t="shared" ca="1" si="51"/>
        <v/>
      </c>
    </row>
    <row r="453" spans="1:16" ht="15" customHeight="1" x14ac:dyDescent="0.2">
      <c r="A453" s="804"/>
      <c r="B453" s="788"/>
      <c r="C453" s="788" t="s">
        <v>2861</v>
      </c>
      <c r="D453" s="788"/>
      <c r="E453" s="787"/>
      <c r="F453" s="787"/>
      <c r="G453" s="789"/>
      <c r="H453" s="787"/>
      <c r="I453" s="790">
        <f>I443</f>
        <v>0</v>
      </c>
      <c r="J453" s="791" t="s">
        <v>3</v>
      </c>
      <c r="K453" s="648" t="str">
        <f t="shared" ca="1" si="51"/>
        <v/>
      </c>
      <c r="L453" s="792"/>
      <c r="M453" s="792"/>
    </row>
    <row r="454" spans="1:16" ht="15" customHeight="1" x14ac:dyDescent="0.2">
      <c r="A454" s="658"/>
      <c r="B454" s="659" t="s">
        <v>318</v>
      </c>
      <c r="C454" s="660"/>
      <c r="D454" s="661">
        <f>I453</f>
        <v>0</v>
      </c>
      <c r="E454" s="662"/>
      <c r="F454" s="662" t="s">
        <v>2776</v>
      </c>
      <c r="G454" s="663">
        <v>18</v>
      </c>
      <c r="H454" s="662" t="s">
        <v>163</v>
      </c>
      <c r="I454" s="664">
        <f>(D454*G454)</f>
        <v>0</v>
      </c>
      <c r="J454" s="665" t="s">
        <v>6</v>
      </c>
      <c r="K454" s="648" t="str">
        <f t="shared" ca="1" si="51"/>
        <v/>
      </c>
    </row>
    <row r="455" spans="1:16" s="211" customFormat="1" ht="15.95" customHeight="1" x14ac:dyDescent="0.2">
      <c r="A455" s="674"/>
      <c r="B455" s="708" t="s">
        <v>2862</v>
      </c>
      <c r="C455" s="675"/>
      <c r="D455" s="675"/>
      <c r="E455" s="675"/>
      <c r="F455" s="675"/>
      <c r="G455" s="675"/>
      <c r="H455" s="805" t="s">
        <v>163</v>
      </c>
      <c r="I455" s="677"/>
      <c r="J455" s="678" t="s">
        <v>2</v>
      </c>
      <c r="K455" s="648" t="str">
        <f t="shared" ca="1" si="51"/>
        <v/>
      </c>
      <c r="L455" s="202"/>
      <c r="M455" s="202"/>
      <c r="N455" s="202"/>
      <c r="O455" s="202"/>
      <c r="P455" s="643"/>
    </row>
    <row r="456" spans="1:16" s="211" customFormat="1" ht="15.95" customHeight="1" x14ac:dyDescent="0.2">
      <c r="A456" s="674" t="s">
        <v>2863</v>
      </c>
      <c r="B456" s="675"/>
      <c r="C456" s="675"/>
      <c r="D456" s="675"/>
      <c r="E456" s="675"/>
      <c r="F456" s="675"/>
      <c r="G456" s="675"/>
      <c r="H456" s="675"/>
      <c r="I456" s="677"/>
      <c r="J456" s="678" t="s">
        <v>2</v>
      </c>
      <c r="K456" s="648" t="str">
        <f t="shared" ca="1" si="51"/>
        <v/>
      </c>
      <c r="L456" s="202"/>
      <c r="M456" s="202"/>
      <c r="N456" s="202"/>
      <c r="O456" s="642"/>
      <c r="P456" s="643"/>
    </row>
    <row r="457" spans="1:16" ht="20.100000000000001" customHeight="1" x14ac:dyDescent="0.2">
      <c r="A457" s="716"/>
      <c r="B457" s="754"/>
      <c r="C457" s="774" t="s">
        <v>2864</v>
      </c>
      <c r="D457" s="634">
        <v>1.2</v>
      </c>
      <c r="E457" s="801" t="s">
        <v>2</v>
      </c>
      <c r="F457" s="1287"/>
      <c r="G457" s="1287"/>
      <c r="H457" s="1287"/>
      <c r="I457" s="1287"/>
      <c r="J457" s="802"/>
      <c r="K457" s="648" t="str">
        <f t="shared" ca="1" si="51"/>
        <v/>
      </c>
    </row>
    <row r="458" spans="1:16" ht="20.100000000000001" customHeight="1" x14ac:dyDescent="0.2">
      <c r="A458" s="776"/>
      <c r="B458" s="779"/>
      <c r="C458" s="777" t="s">
        <v>2824</v>
      </c>
      <c r="D458" s="806">
        <v>1</v>
      </c>
      <c r="E458" s="807" t="s">
        <v>2</v>
      </c>
      <c r="F458" s="1286"/>
      <c r="G458" s="1286"/>
      <c r="H458" s="1286"/>
      <c r="I458" s="1286"/>
      <c r="J458" s="808"/>
      <c r="K458" s="648" t="str">
        <f t="shared" ca="1" si="51"/>
        <v/>
      </c>
    </row>
    <row r="459" spans="1:16" s="203" customFormat="1" ht="20.100000000000001" customHeight="1" x14ac:dyDescent="0.2">
      <c r="A459" s="809"/>
      <c r="B459" s="810"/>
      <c r="C459" s="810" t="s">
        <v>2865</v>
      </c>
      <c r="D459" s="811">
        <v>1.5</v>
      </c>
      <c r="E459" s="810" t="s">
        <v>2866</v>
      </c>
      <c r="F459" s="810"/>
      <c r="G459" s="810"/>
      <c r="H459" s="810"/>
      <c r="I459" s="810"/>
      <c r="J459" s="812"/>
      <c r="K459" s="648" t="str">
        <f t="shared" ca="1" si="51"/>
        <v/>
      </c>
    </row>
    <row r="460" spans="1:16" ht="15" customHeight="1" x14ac:dyDescent="0.2">
      <c r="A460" s="658"/>
      <c r="B460" s="659" t="s">
        <v>2748</v>
      </c>
      <c r="C460" s="660"/>
      <c r="D460" s="661">
        <f>I456</f>
        <v>0</v>
      </c>
      <c r="E460" s="662"/>
      <c r="F460" s="662" t="s">
        <v>2776</v>
      </c>
      <c r="G460" s="663">
        <f>((((D457*D459))*2)+D457+D457*D458)/2</f>
        <v>3</v>
      </c>
      <c r="H460" s="662" t="s">
        <v>163</v>
      </c>
      <c r="I460" s="664">
        <f>G460*D460</f>
        <v>0</v>
      </c>
      <c r="J460" s="665" t="s">
        <v>309</v>
      </c>
      <c r="K460" s="648" t="str">
        <f t="shared" ca="1" si="51"/>
        <v/>
      </c>
    </row>
    <row r="461" spans="1:16" s="211" customFormat="1" ht="15.95" customHeight="1" x14ac:dyDescent="0.2">
      <c r="A461" s="674" t="s">
        <v>2867</v>
      </c>
      <c r="B461" s="675"/>
      <c r="C461" s="675"/>
      <c r="D461" s="675"/>
      <c r="E461" s="675"/>
      <c r="F461" s="675"/>
      <c r="G461" s="675"/>
      <c r="H461" s="675"/>
      <c r="I461" s="677"/>
      <c r="J461" s="678" t="s">
        <v>2</v>
      </c>
      <c r="K461" s="648" t="str">
        <f t="shared" ca="1" si="51"/>
        <v/>
      </c>
      <c r="L461" s="202"/>
      <c r="M461" s="202"/>
      <c r="N461" s="202"/>
      <c r="O461" s="642"/>
      <c r="P461" s="643"/>
    </row>
    <row r="462" spans="1:16" ht="20.100000000000001" customHeight="1" x14ac:dyDescent="0.2">
      <c r="A462" s="716"/>
      <c r="B462" s="754"/>
      <c r="C462" s="774" t="s">
        <v>2864</v>
      </c>
      <c r="D462" s="634">
        <v>5</v>
      </c>
      <c r="E462" s="801" t="s">
        <v>2</v>
      </c>
      <c r="F462" s="1287"/>
      <c r="G462" s="1287"/>
      <c r="H462" s="1287"/>
      <c r="I462" s="1287"/>
      <c r="J462" s="802"/>
      <c r="K462" s="648" t="str">
        <f t="shared" ca="1" si="51"/>
        <v/>
      </c>
    </row>
    <row r="463" spans="1:16" ht="20.100000000000001" customHeight="1" x14ac:dyDescent="0.2">
      <c r="A463" s="776"/>
      <c r="B463" s="779"/>
      <c r="C463" s="777" t="s">
        <v>2824</v>
      </c>
      <c r="D463" s="806">
        <v>2.35</v>
      </c>
      <c r="E463" s="807" t="s">
        <v>2</v>
      </c>
      <c r="F463" s="1286"/>
      <c r="G463" s="1286"/>
      <c r="H463" s="1286"/>
      <c r="I463" s="1286"/>
      <c r="J463" s="808"/>
      <c r="K463" s="648" t="str">
        <f t="shared" ca="1" si="51"/>
        <v/>
      </c>
    </row>
    <row r="464" spans="1:16" s="203" customFormat="1" ht="20.100000000000001" customHeight="1" x14ac:dyDescent="0.2">
      <c r="A464" s="809"/>
      <c r="B464" s="810"/>
      <c r="C464" s="810" t="s">
        <v>2865</v>
      </c>
      <c r="D464" s="811">
        <v>1.5</v>
      </c>
      <c r="E464" s="810" t="s">
        <v>2866</v>
      </c>
      <c r="F464" s="810"/>
      <c r="G464" s="810"/>
      <c r="H464" s="810"/>
      <c r="I464" s="810"/>
      <c r="J464" s="812"/>
      <c r="K464" s="648" t="str">
        <f t="shared" ca="1" si="51"/>
        <v/>
      </c>
    </row>
    <row r="465" spans="1:16" ht="15" customHeight="1" x14ac:dyDescent="0.2">
      <c r="A465" s="658"/>
      <c r="B465" s="659" t="s">
        <v>2748</v>
      </c>
      <c r="C465" s="660"/>
      <c r="D465" s="661">
        <f>$I$461</f>
        <v>0</v>
      </c>
      <c r="E465" s="662"/>
      <c r="F465" s="662" t="s">
        <v>2776</v>
      </c>
      <c r="G465" s="663">
        <f>((((D462*D464))*2)+D462+D462*D463)/2</f>
        <v>15.875</v>
      </c>
      <c r="H465" s="662" t="s">
        <v>163</v>
      </c>
      <c r="I465" s="664">
        <f>G465*D465</f>
        <v>0</v>
      </c>
      <c r="J465" s="665" t="s">
        <v>309</v>
      </c>
      <c r="K465" s="648" t="str">
        <f t="shared" ca="1" si="51"/>
        <v/>
      </c>
    </row>
    <row r="466" spans="1:16" ht="15" customHeight="1" x14ac:dyDescent="0.2">
      <c r="A466" s="702"/>
      <c r="B466" s="703" t="s">
        <v>2868</v>
      </c>
      <c r="C466" s="704"/>
      <c r="D466" s="661">
        <f>$I$461</f>
        <v>0</v>
      </c>
      <c r="E466" s="706"/>
      <c r="F466" s="662" t="s">
        <v>2776</v>
      </c>
      <c r="G466" s="663">
        <f>(SQRT(D463^2+D463^2)*2)+D462</f>
        <v>11.646803743153548</v>
      </c>
      <c r="H466" s="662" t="s">
        <v>163</v>
      </c>
      <c r="I466" s="664">
        <f>G466*D466</f>
        <v>0</v>
      </c>
      <c r="J466" s="665" t="s">
        <v>2869</v>
      </c>
      <c r="K466" s="648" t="str">
        <f t="shared" ca="1" si="51"/>
        <v/>
      </c>
      <c r="N466" s="240"/>
    </row>
    <row r="467" spans="1:16" ht="15" customHeight="1" x14ac:dyDescent="0.2">
      <c r="A467" s="702"/>
      <c r="B467" s="703" t="s">
        <v>2870</v>
      </c>
      <c r="C467" s="704"/>
      <c r="D467" s="661">
        <f>$I$461</f>
        <v>0</v>
      </c>
      <c r="E467" s="706"/>
      <c r="F467" s="662" t="s">
        <v>2776</v>
      </c>
      <c r="G467" s="707">
        <f>G466</f>
        <v>11.646803743153548</v>
      </c>
      <c r="H467" s="662" t="s">
        <v>163</v>
      </c>
      <c r="I467" s="664">
        <f>G467*D467</f>
        <v>0</v>
      </c>
      <c r="J467" s="665" t="s">
        <v>2869</v>
      </c>
      <c r="K467" s="648" t="str">
        <f t="shared" ca="1" si="51"/>
        <v/>
      </c>
      <c r="N467" s="240"/>
    </row>
    <row r="468" spans="1:16" s="211" customFormat="1" ht="15.95" customHeight="1" x14ac:dyDescent="0.2">
      <c r="A468" s="674" t="s">
        <v>2871</v>
      </c>
      <c r="B468" s="675"/>
      <c r="C468" s="675"/>
      <c r="D468" s="675"/>
      <c r="E468" s="675"/>
      <c r="F468" s="675"/>
      <c r="G468" s="675"/>
      <c r="H468" s="675"/>
      <c r="I468" s="677"/>
      <c r="J468" s="678" t="s">
        <v>2</v>
      </c>
      <c r="K468" s="648" t="str">
        <f t="shared" ca="1" si="51"/>
        <v/>
      </c>
      <c r="L468" s="202"/>
      <c r="M468" s="202"/>
      <c r="N468" s="202"/>
      <c r="O468" s="642"/>
      <c r="P468" s="643"/>
    </row>
    <row r="469" spans="1:16" ht="20.100000000000001" customHeight="1" x14ac:dyDescent="0.2">
      <c r="A469" s="716"/>
      <c r="B469" s="754"/>
      <c r="C469" s="774" t="s">
        <v>2864</v>
      </c>
      <c r="D469" s="634">
        <v>1.5</v>
      </c>
      <c r="E469" s="801" t="s">
        <v>2</v>
      </c>
      <c r="F469" s="813"/>
      <c r="G469" s="813"/>
      <c r="H469" s="813"/>
      <c r="I469" s="813"/>
      <c r="J469" s="802"/>
      <c r="K469" s="648" t="str">
        <f t="shared" ca="1" si="51"/>
        <v/>
      </c>
    </row>
    <row r="470" spans="1:16" ht="20.100000000000001" customHeight="1" x14ac:dyDescent="0.2">
      <c r="A470" s="776"/>
      <c r="B470" s="779"/>
      <c r="C470" s="777" t="s">
        <v>2824</v>
      </c>
      <c r="D470" s="806">
        <v>1.5</v>
      </c>
      <c r="E470" s="807" t="s">
        <v>2</v>
      </c>
      <c r="F470" s="814"/>
      <c r="G470" s="814"/>
      <c r="H470" s="814"/>
      <c r="I470" s="814"/>
      <c r="J470" s="808"/>
      <c r="K470" s="648" t="str">
        <f t="shared" ca="1" si="51"/>
        <v/>
      </c>
    </row>
    <row r="471" spans="1:16" s="203" customFormat="1" ht="20.100000000000001" customHeight="1" x14ac:dyDescent="0.2">
      <c r="A471" s="809"/>
      <c r="B471" s="810"/>
      <c r="C471" s="810" t="s">
        <v>2865</v>
      </c>
      <c r="D471" s="811">
        <v>1.5</v>
      </c>
      <c r="E471" s="810" t="s">
        <v>2866</v>
      </c>
      <c r="F471" s="810"/>
      <c r="G471" s="810"/>
      <c r="H471" s="810"/>
      <c r="I471" s="810"/>
      <c r="J471" s="812"/>
      <c r="K471" s="648" t="str">
        <f t="shared" ca="1" si="51"/>
        <v/>
      </c>
    </row>
    <row r="472" spans="1:16" ht="15" customHeight="1" x14ac:dyDescent="0.2">
      <c r="A472" s="658"/>
      <c r="B472" s="659" t="s">
        <v>2748</v>
      </c>
      <c r="C472" s="660"/>
      <c r="D472" s="661">
        <f>$I$468</f>
        <v>0</v>
      </c>
      <c r="E472" s="662"/>
      <c r="F472" s="662" t="s">
        <v>2776</v>
      </c>
      <c r="G472" s="663">
        <f>((((D469*D471))*2)+D469+D469*D470)/2</f>
        <v>4.125</v>
      </c>
      <c r="H472" s="662" t="s">
        <v>163</v>
      </c>
      <c r="I472" s="664">
        <f>G472*D472</f>
        <v>0</v>
      </c>
      <c r="J472" s="665" t="s">
        <v>309</v>
      </c>
      <c r="K472" s="648" t="str">
        <f t="shared" ca="1" si="51"/>
        <v/>
      </c>
    </row>
    <row r="473" spans="1:16" ht="15" customHeight="1" x14ac:dyDescent="0.2">
      <c r="A473" s="702"/>
      <c r="B473" s="703" t="s">
        <v>2868</v>
      </c>
      <c r="C473" s="704"/>
      <c r="D473" s="661">
        <f t="shared" ref="D473:D474" si="52">$I$468</f>
        <v>0</v>
      </c>
      <c r="E473" s="706"/>
      <c r="F473" s="662" t="s">
        <v>2776</v>
      </c>
      <c r="G473" s="663">
        <f>(SQRT(D470^2+D470^2)*2)+D469</f>
        <v>5.7426406871192848</v>
      </c>
      <c r="H473" s="662" t="s">
        <v>163</v>
      </c>
      <c r="I473" s="664">
        <f>G473*D473</f>
        <v>0</v>
      </c>
      <c r="J473" s="665" t="s">
        <v>2869</v>
      </c>
      <c r="K473" s="648" t="str">
        <f t="shared" ca="1" si="51"/>
        <v/>
      </c>
      <c r="N473" s="240"/>
    </row>
    <row r="474" spans="1:16" ht="15" customHeight="1" x14ac:dyDescent="0.2">
      <c r="A474" s="702"/>
      <c r="B474" s="703" t="s">
        <v>2870</v>
      </c>
      <c r="C474" s="704"/>
      <c r="D474" s="661">
        <f t="shared" si="52"/>
        <v>0</v>
      </c>
      <c r="E474" s="706"/>
      <c r="F474" s="662" t="s">
        <v>2776</v>
      </c>
      <c r="G474" s="707">
        <f>G473</f>
        <v>5.7426406871192848</v>
      </c>
      <c r="H474" s="662" t="s">
        <v>163</v>
      </c>
      <c r="I474" s="664">
        <f>G474*D474</f>
        <v>0</v>
      </c>
      <c r="J474" s="665" t="s">
        <v>2869</v>
      </c>
      <c r="K474" s="648" t="str">
        <f t="shared" ca="1" si="51"/>
        <v/>
      </c>
      <c r="N474" s="240"/>
    </row>
    <row r="475" spans="1:16" s="211" customFormat="1" ht="15" customHeight="1" x14ac:dyDescent="0.2">
      <c r="A475" s="674" t="s">
        <v>2872</v>
      </c>
      <c r="B475" s="675"/>
      <c r="C475" s="675"/>
      <c r="D475" s="675"/>
      <c r="E475" s="675"/>
      <c r="F475" s="675"/>
      <c r="G475" s="675"/>
      <c r="H475" s="675"/>
      <c r="I475" s="677"/>
      <c r="J475" s="678" t="s">
        <v>2</v>
      </c>
      <c r="K475" s="648" t="str">
        <f t="shared" ca="1" si="51"/>
        <v/>
      </c>
      <c r="L475" s="642"/>
      <c r="M475" s="642"/>
      <c r="N475" s="642"/>
      <c r="O475" s="642"/>
      <c r="P475" s="643"/>
    </row>
    <row r="476" spans="1:16" ht="20.100000000000001" customHeight="1" x14ac:dyDescent="0.2">
      <c r="A476" s="716"/>
      <c r="B476" s="754"/>
      <c r="C476" s="774" t="s">
        <v>2824</v>
      </c>
      <c r="D476" s="634">
        <f>0.4+0.1+0.1+0.05+2.5</f>
        <v>3.15</v>
      </c>
      <c r="E476" s="801" t="s">
        <v>2</v>
      </c>
      <c r="F476" s="1287" t="s">
        <v>2850</v>
      </c>
      <c r="G476" s="1287"/>
      <c r="H476" s="1287"/>
      <c r="I476" s="1287"/>
      <c r="J476" s="802"/>
      <c r="K476" s="648" t="str">
        <f t="shared" ca="1" si="51"/>
        <v/>
      </c>
    </row>
    <row r="477" spans="1:16" ht="20.100000000000001" customHeight="1" x14ac:dyDescent="0.2">
      <c r="A477" s="759"/>
      <c r="B477" s="768"/>
      <c r="C477" s="769" t="s">
        <v>2821</v>
      </c>
      <c r="D477" s="770">
        <f>5.5+0.25+0.25</f>
        <v>6</v>
      </c>
      <c r="E477" s="771" t="s">
        <v>2</v>
      </c>
      <c r="F477" s="769"/>
      <c r="G477" s="769"/>
      <c r="H477" s="769"/>
      <c r="I477" s="769" t="s">
        <v>2855</v>
      </c>
      <c r="J477" s="772"/>
      <c r="K477" s="648" t="str">
        <f t="shared" ca="1" si="51"/>
        <v/>
      </c>
    </row>
    <row r="478" spans="1:16" ht="15" customHeight="1" x14ac:dyDescent="0.2">
      <c r="A478" s="688"/>
      <c r="B478" s="689" t="s">
        <v>310</v>
      </c>
      <c r="C478" s="690"/>
      <c r="D478" s="691">
        <f>$I$475</f>
        <v>0</v>
      </c>
      <c r="E478" s="692" t="s">
        <v>2776</v>
      </c>
      <c r="F478" s="692"/>
      <c r="G478" s="693">
        <f>D477*D476</f>
        <v>18.899999999999999</v>
      </c>
      <c r="H478" s="692" t="s">
        <v>163</v>
      </c>
      <c r="I478" s="694">
        <f t="shared" ref="I478:I485" si="53">(D478*G478)</f>
        <v>0</v>
      </c>
      <c r="J478" s="695" t="s">
        <v>309</v>
      </c>
      <c r="K478" s="648" t="str">
        <f t="shared" ca="1" si="51"/>
        <v/>
      </c>
      <c r="L478" s="202">
        <f>(2.75+0.5)*2</f>
        <v>6.5</v>
      </c>
      <c r="M478" s="202">
        <f>(2.75+0.5)*2+(D476*2)</f>
        <v>12.8</v>
      </c>
      <c r="N478" s="202">
        <f>(((2.75+0.5)*2+(2.75+0.5)*2+(D476*2))*D476)/2</f>
        <v>30.397500000000001</v>
      </c>
    </row>
    <row r="479" spans="1:16" ht="15" customHeight="1" x14ac:dyDescent="0.2">
      <c r="A479" s="658"/>
      <c r="B479" s="659" t="s">
        <v>312</v>
      </c>
      <c r="C479" s="660"/>
      <c r="D479" s="691">
        <f t="shared" ref="D479:D486" si="54">$I$475</f>
        <v>0</v>
      </c>
      <c r="E479" s="662" t="s">
        <v>2776</v>
      </c>
      <c r="F479" s="662"/>
      <c r="G479" s="663">
        <f>2*D476</f>
        <v>6.3</v>
      </c>
      <c r="H479" s="662" t="s">
        <v>163</v>
      </c>
      <c r="I479" s="664">
        <f t="shared" si="53"/>
        <v>0</v>
      </c>
      <c r="J479" s="665" t="s">
        <v>313</v>
      </c>
      <c r="K479" s="648" t="str">
        <f t="shared" ca="1" si="51"/>
        <v/>
      </c>
    </row>
    <row r="480" spans="1:16" ht="15" customHeight="1" x14ac:dyDescent="0.2">
      <c r="A480" s="658"/>
      <c r="B480" s="659" t="s">
        <v>316</v>
      </c>
      <c r="C480" s="660"/>
      <c r="D480" s="691">
        <f t="shared" si="54"/>
        <v>0</v>
      </c>
      <c r="E480" s="662" t="s">
        <v>2776</v>
      </c>
      <c r="F480" s="662"/>
      <c r="G480" s="663">
        <v>0.05</v>
      </c>
      <c r="H480" s="662" t="s">
        <v>163</v>
      </c>
      <c r="I480" s="664">
        <f t="shared" si="53"/>
        <v>0</v>
      </c>
      <c r="J480" s="665" t="s">
        <v>309</v>
      </c>
      <c r="K480" s="648" t="str">
        <f t="shared" ca="1" si="51"/>
        <v/>
      </c>
    </row>
    <row r="481" spans="1:47" ht="15" customHeight="1" x14ac:dyDescent="0.2">
      <c r="A481" s="658"/>
      <c r="B481" s="659" t="s">
        <v>2493</v>
      </c>
      <c r="C481" s="660"/>
      <c r="D481" s="691">
        <f t="shared" si="54"/>
        <v>0</v>
      </c>
      <c r="E481" s="662" t="s">
        <v>2776</v>
      </c>
      <c r="F481" s="662"/>
      <c r="G481" s="663">
        <f>0.4*D477</f>
        <v>2.4000000000000004</v>
      </c>
      <c r="H481" s="662" t="s">
        <v>163</v>
      </c>
      <c r="I481" s="664">
        <f t="shared" si="53"/>
        <v>0</v>
      </c>
      <c r="J481" s="665" t="s">
        <v>309</v>
      </c>
      <c r="K481" s="648" t="str">
        <f t="shared" ca="1" si="51"/>
        <v/>
      </c>
    </row>
    <row r="482" spans="1:47" ht="15" customHeight="1" x14ac:dyDescent="0.2">
      <c r="A482" s="658"/>
      <c r="B482" s="659" t="s">
        <v>2856</v>
      </c>
      <c r="C482" s="660"/>
      <c r="D482" s="691">
        <f t="shared" si="54"/>
        <v>0</v>
      </c>
      <c r="E482" s="662" t="s">
        <v>2776</v>
      </c>
      <c r="F482" s="662"/>
      <c r="G482" s="663">
        <f>0.1*D477</f>
        <v>0.60000000000000009</v>
      </c>
      <c r="H482" s="662" t="s">
        <v>163</v>
      </c>
      <c r="I482" s="664">
        <f t="shared" si="53"/>
        <v>0</v>
      </c>
      <c r="J482" s="665" t="s">
        <v>309</v>
      </c>
      <c r="K482" s="648" t="str">
        <f t="shared" ca="1" si="51"/>
        <v/>
      </c>
    </row>
    <row r="483" spans="1:47" ht="15" customHeight="1" x14ac:dyDescent="0.2">
      <c r="A483" s="658"/>
      <c r="B483" s="659" t="s">
        <v>2805</v>
      </c>
      <c r="C483" s="660"/>
      <c r="D483" s="691">
        <f t="shared" si="54"/>
        <v>0</v>
      </c>
      <c r="E483" s="662" t="s">
        <v>2776</v>
      </c>
      <c r="F483" s="662"/>
      <c r="G483" s="663">
        <f>0.1*D477</f>
        <v>0.60000000000000009</v>
      </c>
      <c r="H483" s="662" t="s">
        <v>163</v>
      </c>
      <c r="I483" s="664">
        <f t="shared" si="53"/>
        <v>0</v>
      </c>
      <c r="J483" s="665" t="s">
        <v>309</v>
      </c>
    </row>
    <row r="484" spans="1:47" ht="15" customHeight="1" x14ac:dyDescent="0.2">
      <c r="A484" s="658"/>
      <c r="B484" s="659" t="s">
        <v>318</v>
      </c>
      <c r="C484" s="660"/>
      <c r="D484" s="691">
        <f t="shared" si="54"/>
        <v>0</v>
      </c>
      <c r="E484" s="662" t="s">
        <v>2776</v>
      </c>
      <c r="F484" s="662"/>
      <c r="G484" s="663">
        <f>49.6</f>
        <v>49.6</v>
      </c>
      <c r="H484" s="662" t="s">
        <v>163</v>
      </c>
      <c r="I484" s="664">
        <f t="shared" si="53"/>
        <v>0</v>
      </c>
      <c r="J484" s="665" t="s">
        <v>6</v>
      </c>
      <c r="K484" s="648" t="str">
        <f ca="1">IF(AND(B484&lt;&gt;"",I484&lt;&gt;"",COUNTIF($C$490:$C$1030,B484)=0),"adic. à qtd","")</f>
        <v/>
      </c>
      <c r="L484" s="202" t="s">
        <v>2873</v>
      </c>
    </row>
    <row r="485" spans="1:47" ht="15" customHeight="1" x14ac:dyDescent="0.2">
      <c r="A485" s="658"/>
      <c r="B485" s="659" t="s">
        <v>2853</v>
      </c>
      <c r="C485" s="660"/>
      <c r="D485" s="691">
        <f t="shared" si="54"/>
        <v>0</v>
      </c>
      <c r="E485" s="662" t="s">
        <v>2776</v>
      </c>
      <c r="F485" s="662"/>
      <c r="G485" s="663">
        <f>2.9*2.9</f>
        <v>8.41</v>
      </c>
      <c r="H485" s="662" t="s">
        <v>163</v>
      </c>
      <c r="I485" s="664">
        <f t="shared" si="53"/>
        <v>0</v>
      </c>
      <c r="J485" s="665" t="s">
        <v>38</v>
      </c>
      <c r="K485" s="648" t="str">
        <f ca="1">IF(AND(B485&lt;&gt;"",I485&lt;&gt;"",COUNTIF($C$490:$C$1030,B485)=0),"adic. à qtd","")</f>
        <v/>
      </c>
    </row>
    <row r="486" spans="1:47" ht="15" customHeight="1" x14ac:dyDescent="0.2">
      <c r="A486" s="658"/>
      <c r="B486" s="659" t="s">
        <v>2854</v>
      </c>
      <c r="C486" s="660"/>
      <c r="D486" s="691">
        <f t="shared" si="54"/>
        <v>0</v>
      </c>
      <c r="E486" s="662" t="s">
        <v>2776</v>
      </c>
      <c r="F486" s="662"/>
      <c r="G486" s="663">
        <f>D476*2+(2.5*2)</f>
        <v>11.3</v>
      </c>
      <c r="H486" s="662" t="s">
        <v>163</v>
      </c>
      <c r="I486" s="664">
        <f>(D486*G486)</f>
        <v>0</v>
      </c>
      <c r="J486" s="665" t="s">
        <v>313</v>
      </c>
      <c r="K486" s="648" t="str">
        <f ca="1">IF(AND(B486&lt;&gt;"",I486&lt;&gt;"",COUNTIF($C$490:$C$1030,B486)=0),"adic. à qtd","")</f>
        <v/>
      </c>
    </row>
    <row r="487" spans="1:47" ht="12.75" thickBot="1" x14ac:dyDescent="0.25">
      <c r="I487" s="815"/>
    </row>
    <row r="488" spans="1:47" ht="20.100000000000001" customHeight="1" x14ac:dyDescent="0.2">
      <c r="A488" s="816" t="s">
        <v>21654</v>
      </c>
      <c r="B488" s="817"/>
      <c r="C488" s="817"/>
      <c r="D488" s="817"/>
      <c r="E488" s="817"/>
      <c r="F488" s="818"/>
      <c r="G488" s="818"/>
      <c r="H488" s="818"/>
      <c r="I488" s="818"/>
      <c r="J488" s="819"/>
    </row>
    <row r="489" spans="1:47" ht="35.1" customHeight="1" thickBot="1" x14ac:dyDescent="0.25">
      <c r="A489" s="820" t="s">
        <v>2874</v>
      </c>
      <c r="B489" s="821" t="s">
        <v>2875</v>
      </c>
      <c r="C489" s="822" t="s">
        <v>2876</v>
      </c>
      <c r="D489" s="823"/>
      <c r="E489" s="823"/>
      <c r="F489" s="823"/>
      <c r="G489" s="823"/>
      <c r="H489" s="824"/>
      <c r="I489" s="825" t="s">
        <v>2877</v>
      </c>
      <c r="J489" s="826" t="s">
        <v>2752</v>
      </c>
      <c r="K489" s="827" t="s">
        <v>170</v>
      </c>
      <c r="L489" s="803">
        <f>SUMIF(B1:B400,"&lt;&gt;"&amp;"",I1:I400)-SUM(I490:I503,I508:I537,I506,(I504+I505)*3)</f>
        <v>2.2607642258662963E-3</v>
      </c>
      <c r="M489" s="240">
        <f>SUMIF(B1:B400,"&lt;&gt;"&amp;"",I1:I400)</f>
        <v>5123.2822607642256</v>
      </c>
      <c r="N489" s="203"/>
    </row>
    <row r="490" spans="1:47" s="14" customFormat="1" ht="18" customHeight="1" x14ac:dyDescent="0.2">
      <c r="A490" s="828" t="s">
        <v>304</v>
      </c>
      <c r="B490" s="835" t="s">
        <v>14480</v>
      </c>
      <c r="C490" s="829" t="s">
        <v>2748</v>
      </c>
      <c r="D490" s="830"/>
      <c r="E490" s="831"/>
      <c r="F490" s="832"/>
      <c r="G490" s="832"/>
      <c r="H490" s="832"/>
      <c r="I490" s="833">
        <f t="shared" ref="I490:I503" si="55">ROUND(SUMIF($B$1:$B$400,C490,$I$1:$I$400),2)</f>
        <v>125.86</v>
      </c>
      <c r="J490" s="834" t="s">
        <v>40</v>
      </c>
      <c r="K490" s="1113">
        <f>SUMIF(Orçamento!$B$30:$B$62,B490,Orçamento!$F$30:$F$62)-I490</f>
        <v>0</v>
      </c>
      <c r="L490" s="538"/>
      <c r="M490" s="38"/>
      <c r="N490" s="5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row>
    <row r="491" spans="1:47" s="14" customFormat="1" ht="18" customHeight="1" x14ac:dyDescent="0.2">
      <c r="A491" s="828"/>
      <c r="B491" s="835" t="s">
        <v>28296</v>
      </c>
      <c r="C491" s="836" t="s">
        <v>310</v>
      </c>
      <c r="D491" s="837"/>
      <c r="E491" s="838"/>
      <c r="F491" s="839"/>
      <c r="G491" s="839"/>
      <c r="H491" s="840"/>
      <c r="I491" s="833">
        <f t="shared" si="55"/>
        <v>329.52</v>
      </c>
      <c r="J491" s="834" t="s">
        <v>40</v>
      </c>
      <c r="K491" s="1113">
        <f>SUMIF(Orçamento!$B$30:$B$62,B491,Orçamento!$F$30:$F$62)-I491</f>
        <v>0</v>
      </c>
      <c r="L491" s="5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row>
    <row r="492" spans="1:47" s="14" customFormat="1" ht="18" customHeight="1" x14ac:dyDescent="0.2">
      <c r="A492" s="1192" t="s">
        <v>2430</v>
      </c>
      <c r="B492" s="1193" t="s">
        <v>28300</v>
      </c>
      <c r="C492" s="1194" t="s">
        <v>2781</v>
      </c>
      <c r="D492" s="1195"/>
      <c r="E492" s="1196"/>
      <c r="F492" s="1197"/>
      <c r="G492" s="1197"/>
      <c r="H492" s="1198"/>
      <c r="I492" s="1199">
        <f t="shared" si="55"/>
        <v>56.3</v>
      </c>
      <c r="J492" s="1200" t="s">
        <v>40</v>
      </c>
      <c r="K492" s="1113">
        <f>SUMIF(Orçamento!$B$30:$B$62,B492,Orçamento!$F$30:$F$62)-I492</f>
        <v>0</v>
      </c>
      <c r="L492" s="5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row>
    <row r="493" spans="1:47" s="14" customFormat="1" ht="18" customHeight="1" x14ac:dyDescent="0.2">
      <c r="A493" s="1192" t="s">
        <v>2430</v>
      </c>
      <c r="B493" s="1193" t="s">
        <v>28301</v>
      </c>
      <c r="C493" s="1194" t="s">
        <v>2801</v>
      </c>
      <c r="D493" s="1195"/>
      <c r="E493" s="1196"/>
      <c r="F493" s="1197"/>
      <c r="G493" s="1197"/>
      <c r="H493" s="1198"/>
      <c r="I493" s="1199">
        <f t="shared" si="55"/>
        <v>31.82</v>
      </c>
      <c r="J493" s="1200" t="s">
        <v>40</v>
      </c>
      <c r="K493" s="1113">
        <f>SUMIF(Orçamento!$B$30:$B$62,B493,Orçamento!$F$30:$F$62)-I493</f>
        <v>0</v>
      </c>
      <c r="L493" s="5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row>
    <row r="494" spans="1:47" s="14" customFormat="1" ht="18" customHeight="1" x14ac:dyDescent="0.2">
      <c r="A494" s="828" t="s">
        <v>2893</v>
      </c>
      <c r="B494" s="280" t="s">
        <v>14707</v>
      </c>
      <c r="C494" s="836" t="s">
        <v>311</v>
      </c>
      <c r="D494" s="837"/>
      <c r="E494" s="838"/>
      <c r="F494" s="839"/>
      <c r="G494" s="839"/>
      <c r="H494" s="840"/>
      <c r="I494" s="833">
        <f t="shared" si="55"/>
        <v>228.47</v>
      </c>
      <c r="J494" s="834" t="s">
        <v>40</v>
      </c>
      <c r="K494" s="1113">
        <f>SUMIF(Orçamento!$B$30:$B$62,B494,Orçamento!$F$30:$F$62)-I494</f>
        <v>0</v>
      </c>
      <c r="L494" s="5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row>
    <row r="495" spans="1:47" s="14" customFormat="1" ht="18" customHeight="1" x14ac:dyDescent="0.2">
      <c r="A495" s="828" t="s">
        <v>2430</v>
      </c>
      <c r="B495" s="280" t="s">
        <v>28129</v>
      </c>
      <c r="C495" s="836" t="s">
        <v>21648</v>
      </c>
      <c r="D495" s="837"/>
      <c r="E495" s="838"/>
      <c r="F495" s="839"/>
      <c r="G495" s="839"/>
      <c r="H495" s="840"/>
      <c r="I495" s="833">
        <f t="shared" si="55"/>
        <v>0</v>
      </c>
      <c r="J495" s="834"/>
      <c r="K495" s="1113">
        <f>SUMIF(Orçamento!$B$30:$B$62,B495,Orçamento!$F$30:$F$62)-I495</f>
        <v>0</v>
      </c>
      <c r="L495" s="5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row>
    <row r="496" spans="1:47" s="14" customFormat="1" ht="18" customHeight="1" x14ac:dyDescent="0.2">
      <c r="A496" s="828" t="s">
        <v>2881</v>
      </c>
      <c r="B496" s="376">
        <v>4016096</v>
      </c>
      <c r="C496" s="836" t="s">
        <v>21649</v>
      </c>
      <c r="D496" s="837"/>
      <c r="E496" s="838"/>
      <c r="F496" s="839"/>
      <c r="G496" s="839"/>
      <c r="H496" s="840"/>
      <c r="I496" s="833">
        <f t="shared" si="55"/>
        <v>0</v>
      </c>
      <c r="J496" s="834"/>
      <c r="K496" s="1113">
        <f>SUMIF(Orçamento!$B$30:$B$62,B496,Orçamento!$F$30:$F$62)-I496</f>
        <v>0</v>
      </c>
      <c r="L496" s="5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row>
    <row r="497" spans="1:47" s="14" customFormat="1" ht="18" customHeight="1" x14ac:dyDescent="0.2">
      <c r="A497" s="828" t="s">
        <v>2430</v>
      </c>
      <c r="B497" s="1044" t="s">
        <v>28368</v>
      </c>
      <c r="C497" s="836" t="s">
        <v>21646</v>
      </c>
      <c r="D497" s="837"/>
      <c r="E497" s="838"/>
      <c r="F497" s="839"/>
      <c r="G497" s="839"/>
      <c r="H497" s="840"/>
      <c r="I497" s="833">
        <f t="shared" si="55"/>
        <v>0</v>
      </c>
      <c r="J497" s="834"/>
      <c r="K497" s="1113">
        <f>SUMIF(Orçamento!$B$30:$B$62,B497,Orçamento!$F$30:$F$62)-I497</f>
        <v>0</v>
      </c>
      <c r="L497" s="5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row>
    <row r="498" spans="1:47" s="14" customFormat="1" ht="18" customHeight="1" x14ac:dyDescent="0.2">
      <c r="A498" s="828" t="s">
        <v>2893</v>
      </c>
      <c r="B498" s="280" t="s">
        <v>7011</v>
      </c>
      <c r="C498" s="836" t="s">
        <v>314</v>
      </c>
      <c r="D498" s="837"/>
      <c r="E498" s="838"/>
      <c r="F498" s="839"/>
      <c r="G498" s="839"/>
      <c r="H498" s="840"/>
      <c r="I498" s="833">
        <f t="shared" si="55"/>
        <v>155.41999999999999</v>
      </c>
      <c r="J498" s="834" t="s">
        <v>41</v>
      </c>
      <c r="K498" s="1113">
        <f>SUMIF(Orçamento!$B$30:$B$62,B498,Orçamento!$F$30:$F$62)-I498</f>
        <v>0</v>
      </c>
      <c r="L498" s="5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row>
    <row r="499" spans="1:47" s="14" customFormat="1" ht="18" customHeight="1" x14ac:dyDescent="0.2">
      <c r="A499" s="828" t="s">
        <v>2893</v>
      </c>
      <c r="B499" s="437" t="s">
        <v>6999</v>
      </c>
      <c r="C499" s="836" t="s">
        <v>312</v>
      </c>
      <c r="D499" s="837"/>
      <c r="E499" s="838"/>
      <c r="F499" s="839"/>
      <c r="G499" s="839"/>
      <c r="H499" s="840"/>
      <c r="I499" s="833">
        <f t="shared" si="55"/>
        <v>297.75</v>
      </c>
      <c r="J499" s="834" t="s">
        <v>41</v>
      </c>
      <c r="K499" s="1113">
        <f>SUMIF(Orçamento!$B$30:$B$62,B499,Orçamento!$F$30:$F$62)-I499</f>
        <v>0</v>
      </c>
      <c r="L499" s="5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row>
    <row r="500" spans="1:47" s="14" customFormat="1" ht="18" customHeight="1" x14ac:dyDescent="0.2">
      <c r="A500" s="828" t="s">
        <v>2430</v>
      </c>
      <c r="B500" s="835" t="s">
        <v>18</v>
      </c>
      <c r="C500" s="836" t="s">
        <v>316</v>
      </c>
      <c r="D500" s="837"/>
      <c r="E500" s="838"/>
      <c r="F500" s="839"/>
      <c r="G500" s="839"/>
      <c r="H500" s="840"/>
      <c r="I500" s="833">
        <f t="shared" si="55"/>
        <v>2.97</v>
      </c>
      <c r="J500" s="834" t="s">
        <v>40</v>
      </c>
      <c r="K500" s="1113">
        <f>SUMIF(Orçamento!$B$30:$B$62,B500,Orçamento!$F$30:$F$62)-I500</f>
        <v>0</v>
      </c>
      <c r="L500" s="5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row>
    <row r="501" spans="1:47" s="14" customFormat="1" ht="18" customHeight="1" x14ac:dyDescent="0.2">
      <c r="A501" s="828" t="s">
        <v>2430</v>
      </c>
      <c r="B501" s="437" t="s">
        <v>28364</v>
      </c>
      <c r="C501" s="836" t="s">
        <v>2754</v>
      </c>
      <c r="D501" s="837"/>
      <c r="E501" s="838"/>
      <c r="F501" s="839"/>
      <c r="G501" s="839"/>
      <c r="H501" s="840"/>
      <c r="I501" s="833">
        <f t="shared" si="55"/>
        <v>2.67</v>
      </c>
      <c r="J501" s="834" t="s">
        <v>40</v>
      </c>
      <c r="K501" s="1113">
        <f>SUMIF(Orçamento!$B$30:$B$62,B501,Orçamento!$F$30:$F$62)-I501</f>
        <v>0</v>
      </c>
      <c r="L501" s="5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row>
    <row r="502" spans="1:47" s="14" customFormat="1" ht="18" customHeight="1" x14ac:dyDescent="0.2">
      <c r="A502" s="828"/>
      <c r="B502" s="1045" t="s">
        <v>32775</v>
      </c>
      <c r="C502" s="836" t="s">
        <v>2747</v>
      </c>
      <c r="D502" s="837"/>
      <c r="E502" s="838"/>
      <c r="F502" s="839"/>
      <c r="G502" s="839"/>
      <c r="H502" s="840"/>
      <c r="I502" s="833">
        <f t="shared" si="55"/>
        <v>48.24</v>
      </c>
      <c r="J502" s="834" t="s">
        <v>40</v>
      </c>
      <c r="K502" s="1113">
        <f>SUMIF(Orçamento!$B$30:$B$62,B502,Orçamento!$F$30:$F$62)-I502</f>
        <v>0</v>
      </c>
      <c r="L502" s="5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row>
    <row r="503" spans="1:47" s="14" customFormat="1" ht="18" customHeight="1" x14ac:dyDescent="0.2">
      <c r="A503" s="828"/>
      <c r="B503" s="835" t="s">
        <v>32776</v>
      </c>
      <c r="C503" s="836" t="s">
        <v>317</v>
      </c>
      <c r="D503" s="837"/>
      <c r="E503" s="838"/>
      <c r="F503" s="839"/>
      <c r="G503" s="839"/>
      <c r="H503" s="840"/>
      <c r="I503" s="833">
        <f t="shared" si="55"/>
        <v>5.16</v>
      </c>
      <c r="J503" s="834" t="s">
        <v>40</v>
      </c>
      <c r="K503" s="1113">
        <f>SUMIF(Orçamento!$B$30:$B$62,B503,Orçamento!$F$30:$F$62)-I503</f>
        <v>0</v>
      </c>
      <c r="L503" s="5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row>
    <row r="504" spans="1:47" s="14" customFormat="1" ht="18" customHeight="1" x14ac:dyDescent="0.2">
      <c r="A504" s="828" t="s">
        <v>2430</v>
      </c>
      <c r="B504" s="835" t="s">
        <v>17</v>
      </c>
      <c r="C504" s="836" t="s">
        <v>21651</v>
      </c>
      <c r="D504" s="837"/>
      <c r="E504" s="838"/>
      <c r="F504" s="839"/>
      <c r="G504" s="839"/>
      <c r="H504" s="840"/>
      <c r="I504" s="833">
        <f>ROUND(SUMIF($B$1:$B$400,C504,$I$1:$I$400),2)/3</f>
        <v>30.346666666666668</v>
      </c>
      <c r="J504" s="834" t="s">
        <v>41</v>
      </c>
      <c r="K504" s="1113">
        <f>SUMIF(Orçamento!$B$30:$B$62,B504,Orçamento!$F$30:$F$62)-I504</f>
        <v>3.3333333333338544E-3</v>
      </c>
      <c r="L504" s="1053" t="s">
        <v>21652</v>
      </c>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row>
    <row r="505" spans="1:47" s="14" customFormat="1" ht="18" customHeight="1" x14ac:dyDescent="0.2">
      <c r="A505" s="828" t="s">
        <v>2430</v>
      </c>
      <c r="B505" s="835" t="s">
        <v>28320</v>
      </c>
      <c r="C505" s="836" t="s">
        <v>2854</v>
      </c>
      <c r="D505" s="837"/>
      <c r="E505" s="838"/>
      <c r="F505" s="839"/>
      <c r="G505" s="839"/>
      <c r="H505" s="840"/>
      <c r="I505" s="833">
        <f>ROUND(SUMIF($B$1:$B$400,C505,$I$1:$I$400),2)/3</f>
        <v>0</v>
      </c>
      <c r="J505" s="834" t="s">
        <v>41</v>
      </c>
      <c r="K505" s="1113">
        <f>SUMIF(Orçamento!$B$30:$B$62,B505,Orçamento!$F$30:$F$62)-I505</f>
        <v>0</v>
      </c>
      <c r="L505" s="1053" t="s">
        <v>21652</v>
      </c>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row>
    <row r="506" spans="1:47" s="14" customFormat="1" ht="18" customHeight="1" x14ac:dyDescent="0.2">
      <c r="A506" s="828" t="s">
        <v>2893</v>
      </c>
      <c r="B506" s="835" t="s">
        <v>17317</v>
      </c>
      <c r="C506" s="836" t="s">
        <v>2746</v>
      </c>
      <c r="D506" s="837"/>
      <c r="E506" s="838"/>
      <c r="F506" s="839"/>
      <c r="G506" s="839"/>
      <c r="H506" s="840"/>
      <c r="I506" s="833">
        <f>ROUND(SUMIF($B$1:$B$400,C506,$I$1:$I$400),2)</f>
        <v>276.37</v>
      </c>
      <c r="J506" s="834" t="s">
        <v>41</v>
      </c>
      <c r="K506" s="1113">
        <f>SUMIF(Orçamento!$B$30:$B$62,B506,Orçamento!$F$30:$F$62)-I506</f>
        <v>0</v>
      </c>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row>
    <row r="507" spans="1:47" s="14" customFormat="1" ht="18" customHeight="1" x14ac:dyDescent="0.2">
      <c r="A507" s="828" t="s">
        <v>2430</v>
      </c>
      <c r="B507" s="835" t="s">
        <v>1249</v>
      </c>
      <c r="C507" s="836" t="s">
        <v>2878</v>
      </c>
      <c r="D507" s="837"/>
      <c r="E507" s="838"/>
      <c r="F507" s="839"/>
      <c r="G507" s="839"/>
      <c r="H507" s="840"/>
      <c r="I507" s="833">
        <f>I506</f>
        <v>276.37</v>
      </c>
      <c r="J507" s="834" t="s">
        <v>41</v>
      </c>
      <c r="K507" s="1113">
        <f>SUMIF(Orçamento!$B$30:$B$62,B507,Orçamento!$F$30:$F$62)-I507</f>
        <v>0</v>
      </c>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row>
    <row r="508" spans="1:47" s="14" customFormat="1" ht="18" customHeight="1" x14ac:dyDescent="0.2">
      <c r="A508" s="828"/>
      <c r="B508" s="469" t="s">
        <v>6759</v>
      </c>
      <c r="C508" s="836" t="s">
        <v>2757</v>
      </c>
      <c r="D508" s="837"/>
      <c r="E508" s="838"/>
      <c r="F508" s="839"/>
      <c r="G508" s="839"/>
      <c r="H508" s="840"/>
      <c r="I508" s="833">
        <f t="shared" ref="I508:I537" si="56">ROUND(SUMIF($B$1:$B$400,C508,$I$1:$I$400),2)</f>
        <v>12</v>
      </c>
      <c r="J508" s="834" t="s">
        <v>2</v>
      </c>
      <c r="K508" s="1113">
        <f>SUMIF(Orçamento!$B$30:$B$62,B508,Orçamento!$F$30:$F$62)-I508</f>
        <v>0</v>
      </c>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row>
    <row r="509" spans="1:47" s="14" customFormat="1" ht="18" customHeight="1" x14ac:dyDescent="0.2">
      <c r="A509" s="828"/>
      <c r="B509" s="460" t="s">
        <v>6763</v>
      </c>
      <c r="C509" s="667" t="s">
        <v>39763</v>
      </c>
      <c r="D509" s="837"/>
      <c r="E509" s="838"/>
      <c r="F509" s="839"/>
      <c r="G509" s="839"/>
      <c r="H509" s="840"/>
      <c r="I509" s="833">
        <f t="shared" si="56"/>
        <v>536.5</v>
      </c>
      <c r="J509" s="834" t="s">
        <v>2</v>
      </c>
      <c r="K509" s="1113">
        <f>SUMIF(Orçamento!$B$30:$B$62,B509,Orçamento!$F$30:$F$62)-I509</f>
        <v>0</v>
      </c>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row>
    <row r="510" spans="1:47" s="14" customFormat="1" ht="18" customHeight="1" x14ac:dyDescent="0.2">
      <c r="A510" s="828" t="s">
        <v>304</v>
      </c>
      <c r="B510" s="437" t="s">
        <v>32763</v>
      </c>
      <c r="C510" s="836" t="s">
        <v>318</v>
      </c>
      <c r="D510" s="837"/>
      <c r="E510" s="838"/>
      <c r="F510" s="839"/>
      <c r="G510" s="839"/>
      <c r="H510" s="840"/>
      <c r="I510" s="833">
        <f t="shared" si="56"/>
        <v>1095.22</v>
      </c>
      <c r="J510" s="834" t="s">
        <v>6</v>
      </c>
      <c r="K510" s="1113">
        <f>SUMIF(Orçamento!$B$30:$B$62,B510,Orçamento!$F$30:$F$62)-I510</f>
        <v>0</v>
      </c>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row>
    <row r="511" spans="1:47" s="14" customFormat="1" ht="18" customHeight="1" x14ac:dyDescent="0.2">
      <c r="A511" s="828" t="s">
        <v>304</v>
      </c>
      <c r="B511" s="835" t="s">
        <v>32765</v>
      </c>
      <c r="C511" s="836" t="s">
        <v>2749</v>
      </c>
      <c r="D511" s="837"/>
      <c r="E511" s="838"/>
      <c r="F511" s="839"/>
      <c r="G511" s="839"/>
      <c r="H511" s="840"/>
      <c r="I511" s="833">
        <f t="shared" si="56"/>
        <v>1101.3699999999999</v>
      </c>
      <c r="J511" s="834" t="s">
        <v>6</v>
      </c>
      <c r="K511" s="1113">
        <f>SUMIF(Orçamento!$B$30:$B$62,B511,Orçamento!$F$30:$F$62)-I511</f>
        <v>0</v>
      </c>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row>
    <row r="512" spans="1:47" s="14" customFormat="1" ht="18" customHeight="1" x14ac:dyDescent="0.2">
      <c r="A512" s="828" t="s">
        <v>2430</v>
      </c>
      <c r="B512" s="437" t="s">
        <v>28363</v>
      </c>
      <c r="C512" s="836" t="s">
        <v>2802</v>
      </c>
      <c r="D512" s="837"/>
      <c r="E512" s="838"/>
      <c r="F512" s="839"/>
      <c r="G512" s="839"/>
      <c r="H512" s="840"/>
      <c r="I512" s="833">
        <f t="shared" si="56"/>
        <v>11.1</v>
      </c>
      <c r="J512" s="834" t="s">
        <v>38</v>
      </c>
      <c r="K512" s="1113">
        <f>SUMIF(Orçamento!$B$30:$B$62,B512,Orçamento!$F$30:$F$62)-I512</f>
        <v>0</v>
      </c>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row>
    <row r="513" spans="1:47" s="14" customFormat="1" ht="18" customHeight="1" x14ac:dyDescent="0.2">
      <c r="A513" s="828" t="s">
        <v>2430</v>
      </c>
      <c r="B513" s="437" t="s">
        <v>28904</v>
      </c>
      <c r="C513" s="836" t="s">
        <v>2446</v>
      </c>
      <c r="D513" s="837"/>
      <c r="E513" s="838"/>
      <c r="F513" s="839"/>
      <c r="G513" s="839"/>
      <c r="H513" s="840"/>
      <c r="I513" s="833">
        <f t="shared" si="56"/>
        <v>98.26</v>
      </c>
      <c r="J513" s="834" t="s">
        <v>41</v>
      </c>
      <c r="K513" s="1113">
        <f>SUMIF(Orçamento!$B$30:$B$62,B513,Orçamento!$F$30:$F$62)-I513</f>
        <v>0</v>
      </c>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row>
    <row r="514" spans="1:47" s="14" customFormat="1" ht="18" customHeight="1" x14ac:dyDescent="0.2">
      <c r="A514" s="828" t="s">
        <v>2430</v>
      </c>
      <c r="B514" s="835" t="s">
        <v>28339</v>
      </c>
      <c r="C514" s="836" t="s">
        <v>2791</v>
      </c>
      <c r="D514" s="837"/>
      <c r="E514" s="838"/>
      <c r="F514" s="839"/>
      <c r="G514" s="839"/>
      <c r="H514" s="840"/>
      <c r="I514" s="833">
        <f t="shared" si="56"/>
        <v>1</v>
      </c>
      <c r="J514" s="834" t="s">
        <v>40</v>
      </c>
      <c r="K514" s="1113">
        <f>SUMIF(Orçamento!$B$30:$B$62,B514,Orçamento!$F$30:$F$62)-I514</f>
        <v>0</v>
      </c>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row>
    <row r="515" spans="1:47" s="14" customFormat="1" ht="18" customHeight="1" x14ac:dyDescent="0.2">
      <c r="A515" s="828"/>
      <c r="B515" s="1045" t="s">
        <v>32699</v>
      </c>
      <c r="C515" s="836" t="s">
        <v>2793</v>
      </c>
      <c r="D515" s="837"/>
      <c r="E515" s="838"/>
      <c r="F515" s="839"/>
      <c r="G515" s="839"/>
      <c r="H515" s="840"/>
      <c r="I515" s="833">
        <f t="shared" si="56"/>
        <v>1.63</v>
      </c>
      <c r="J515" s="834" t="s">
        <v>40</v>
      </c>
      <c r="K515" s="1113">
        <f>SUMIF(Orçamento!$B$30:$B$62,B515,Orçamento!$F$30:$F$62)-I515</f>
        <v>0</v>
      </c>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row>
    <row r="516" spans="1:47" s="14" customFormat="1" ht="18" customHeight="1" x14ac:dyDescent="0.2">
      <c r="A516" s="828" t="s">
        <v>2430</v>
      </c>
      <c r="B516" s="835" t="s">
        <v>28753</v>
      </c>
      <c r="C516" s="836" t="s">
        <v>2750</v>
      </c>
      <c r="D516" s="837"/>
      <c r="E516" s="838"/>
      <c r="F516" s="839"/>
      <c r="G516" s="839"/>
      <c r="H516" s="840"/>
      <c r="I516" s="833">
        <f t="shared" si="56"/>
        <v>502.7</v>
      </c>
      <c r="J516" s="834" t="s">
        <v>6</v>
      </c>
      <c r="K516" s="1113">
        <f>SUMIF(Orçamento!$B$30:$B$62,B516,Orçamento!$F$30:$F$62)-I516</f>
        <v>0</v>
      </c>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row>
    <row r="517" spans="1:47" s="14" customFormat="1" ht="18" customHeight="1" x14ac:dyDescent="0.2">
      <c r="A517" s="828" t="s">
        <v>2430</v>
      </c>
      <c r="B517" s="835" t="s">
        <v>28336</v>
      </c>
      <c r="C517" s="836" t="s">
        <v>2787</v>
      </c>
      <c r="D517" s="837"/>
      <c r="E517" s="838"/>
      <c r="F517" s="839"/>
      <c r="G517" s="839"/>
      <c r="H517" s="840"/>
      <c r="I517" s="833">
        <f t="shared" si="56"/>
        <v>0</v>
      </c>
      <c r="J517" s="834" t="s">
        <v>2</v>
      </c>
      <c r="K517" s="1113">
        <f>SUMIF(Orçamento!$B$30:$B$62,B517,Orçamento!$F$30:$F$62)-I517</f>
        <v>0</v>
      </c>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row>
    <row r="518" spans="1:47" s="14" customFormat="1" ht="18" customHeight="1" x14ac:dyDescent="0.2">
      <c r="A518" s="828" t="s">
        <v>2430</v>
      </c>
      <c r="B518" s="835" t="s">
        <v>28370</v>
      </c>
      <c r="C518" s="836" t="s">
        <v>2833</v>
      </c>
      <c r="D518" s="837"/>
      <c r="E518" s="838"/>
      <c r="F518" s="839"/>
      <c r="G518" s="839"/>
      <c r="H518" s="840"/>
      <c r="I518" s="833">
        <f t="shared" si="56"/>
        <v>12.96</v>
      </c>
      <c r="J518" s="834" t="s">
        <v>38</v>
      </c>
      <c r="K518" s="1113">
        <f>SUMIF(Orçamento!$B$30:$B$62,B518,Orçamento!$F$30:$F$62)-I518</f>
        <v>0</v>
      </c>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row>
    <row r="519" spans="1:47" s="14" customFormat="1" ht="18" customHeight="1" x14ac:dyDescent="0.2">
      <c r="A519" s="828" t="s">
        <v>2430</v>
      </c>
      <c r="B519" s="835" t="s">
        <v>28372</v>
      </c>
      <c r="C519" s="836" t="s">
        <v>2445</v>
      </c>
      <c r="D519" s="837"/>
      <c r="E519" s="838"/>
      <c r="F519" s="839"/>
      <c r="G519" s="839"/>
      <c r="H519" s="840"/>
      <c r="I519" s="833">
        <f t="shared" si="56"/>
        <v>32.450000000000003</v>
      </c>
      <c r="J519" s="834" t="s">
        <v>39</v>
      </c>
      <c r="K519" s="1113">
        <f>SUMIF(Orçamento!$B$30:$B$62,B519,Orçamento!$F$30:$F$62)-I519</f>
        <v>0</v>
      </c>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row>
    <row r="520" spans="1:47" s="14" customFormat="1" ht="18" customHeight="1" x14ac:dyDescent="0.2">
      <c r="A520" s="828"/>
      <c r="B520" s="835" t="s">
        <v>37858</v>
      </c>
      <c r="C520" s="836" t="s">
        <v>2885</v>
      </c>
      <c r="D520" s="837"/>
      <c r="E520" s="838"/>
      <c r="F520" s="839"/>
      <c r="G520" s="839"/>
      <c r="H520" s="840"/>
      <c r="I520" s="833">
        <f t="shared" si="56"/>
        <v>55.3</v>
      </c>
      <c r="J520" s="834" t="s">
        <v>2</v>
      </c>
      <c r="K520" s="1113">
        <f>SUMIF(Orçamento!$B$30:$B$62,B520,Orçamento!$F$30:$F$62)-I520</f>
        <v>0</v>
      </c>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row>
    <row r="521" spans="1:47" s="14" customFormat="1" ht="18" customHeight="1" x14ac:dyDescent="0.2">
      <c r="A521" s="828" t="s">
        <v>2430</v>
      </c>
      <c r="B521" s="835" t="s">
        <v>28416</v>
      </c>
      <c r="C521" s="836" t="s">
        <v>2837</v>
      </c>
      <c r="D521" s="837"/>
      <c r="E521" s="838"/>
      <c r="F521" s="839"/>
      <c r="G521" s="839"/>
      <c r="H521" s="840"/>
      <c r="I521" s="833">
        <f t="shared" si="56"/>
        <v>0</v>
      </c>
      <c r="J521" s="834" t="s">
        <v>2</v>
      </c>
      <c r="K521" s="1113">
        <f>SUMIF(Orçamento!$B$30:$B$62,B521,Orçamento!$F$30:$F$62)-I521</f>
        <v>0</v>
      </c>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row>
    <row r="522" spans="1:47" s="14" customFormat="1" ht="18" customHeight="1" x14ac:dyDescent="0.2">
      <c r="A522" s="828"/>
      <c r="B522" s="835" t="s">
        <v>37836</v>
      </c>
      <c r="C522" s="836" t="s">
        <v>2839</v>
      </c>
      <c r="D522" s="837"/>
      <c r="E522" s="838"/>
      <c r="F522" s="839"/>
      <c r="G522" s="839"/>
      <c r="H522" s="840"/>
      <c r="I522" s="833">
        <f t="shared" si="56"/>
        <v>11.2</v>
      </c>
      <c r="J522" s="834" t="s">
        <v>2</v>
      </c>
      <c r="K522" s="1113">
        <f>SUMIF(Orçamento!$B$30:$B$62,B522,Orçamento!$F$30:$F$62)-I522</f>
        <v>0</v>
      </c>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row>
    <row r="523" spans="1:47" s="14" customFormat="1" ht="18" customHeight="1" x14ac:dyDescent="0.2">
      <c r="A523" s="828" t="s">
        <v>2430</v>
      </c>
      <c r="B523" s="835" t="s">
        <v>28424</v>
      </c>
      <c r="C523" s="836" t="s">
        <v>2832</v>
      </c>
      <c r="D523" s="837"/>
      <c r="E523" s="838"/>
      <c r="F523" s="839"/>
      <c r="G523" s="839"/>
      <c r="H523" s="840"/>
      <c r="I523" s="833">
        <f t="shared" si="56"/>
        <v>0</v>
      </c>
      <c r="J523" s="834" t="s">
        <v>2</v>
      </c>
      <c r="K523" s="1113">
        <f>SUMIF(Orçamento!$B$30:$B$62,B523,Orçamento!$F$30:$F$62)-I523</f>
        <v>0</v>
      </c>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row>
    <row r="524" spans="1:47" s="14" customFormat="1" ht="18" customHeight="1" x14ac:dyDescent="0.2">
      <c r="A524" s="828" t="s">
        <v>2430</v>
      </c>
      <c r="B524" s="835" t="s">
        <v>28432</v>
      </c>
      <c r="C524" s="836" t="s">
        <v>2835</v>
      </c>
      <c r="D524" s="837"/>
      <c r="E524" s="838"/>
      <c r="F524" s="839"/>
      <c r="G524" s="839"/>
      <c r="H524" s="840"/>
      <c r="I524" s="833">
        <f t="shared" si="56"/>
        <v>0</v>
      </c>
      <c r="J524" s="834" t="s">
        <v>2</v>
      </c>
      <c r="K524" s="1113">
        <f>SUMIF(Orçamento!$B$30:$B$62,B524,Orçamento!$F$30:$F$62)-I524</f>
        <v>0</v>
      </c>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row>
    <row r="525" spans="1:47" s="14" customFormat="1" ht="18" customHeight="1" x14ac:dyDescent="0.2">
      <c r="A525" s="828" t="s">
        <v>2430</v>
      </c>
      <c r="B525" s="1045" t="s">
        <v>21618</v>
      </c>
      <c r="C525" s="836" t="s">
        <v>2777</v>
      </c>
      <c r="D525" s="837"/>
      <c r="E525" s="838"/>
      <c r="F525" s="839"/>
      <c r="G525" s="839"/>
      <c r="H525" s="840"/>
      <c r="I525" s="833">
        <f t="shared" si="56"/>
        <v>0</v>
      </c>
      <c r="J525" s="834" t="s">
        <v>39</v>
      </c>
      <c r="K525" s="1113">
        <f>SUMIF(Orçamento!$B$30:$B$62,B525,Orçamento!$F$30:$F$62)-I525</f>
        <v>0</v>
      </c>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row>
    <row r="526" spans="1:47" s="14" customFormat="1" ht="18" customHeight="1" x14ac:dyDescent="0.2">
      <c r="A526" s="828" t="s">
        <v>2430</v>
      </c>
      <c r="B526" s="835" t="s">
        <v>28365</v>
      </c>
      <c r="C526" s="836" t="s">
        <v>2879</v>
      </c>
      <c r="D526" s="837"/>
      <c r="E526" s="838"/>
      <c r="F526" s="839"/>
      <c r="G526" s="839"/>
      <c r="H526" s="840"/>
      <c r="I526" s="833">
        <f t="shared" si="56"/>
        <v>0</v>
      </c>
      <c r="J526" s="834" t="s">
        <v>38</v>
      </c>
      <c r="K526" s="1113">
        <f>SUMIF(Orçamento!$B$30:$B$62,B526,Orçamento!$F$30:$F$62)-I526</f>
        <v>0</v>
      </c>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row>
    <row r="527" spans="1:47" s="14" customFormat="1" ht="18" customHeight="1" x14ac:dyDescent="0.2">
      <c r="A527" s="828" t="s">
        <v>2430</v>
      </c>
      <c r="B527" s="835" t="s">
        <v>2880</v>
      </c>
      <c r="C527" s="836" t="s">
        <v>2779</v>
      </c>
      <c r="D527" s="837"/>
      <c r="E527" s="838"/>
      <c r="F527" s="839"/>
      <c r="G527" s="839"/>
      <c r="H527" s="840"/>
      <c r="I527" s="833">
        <f t="shared" si="56"/>
        <v>0</v>
      </c>
      <c r="J527" s="834" t="s">
        <v>2</v>
      </c>
      <c r="K527" s="1113">
        <f>SUMIF(Orçamento!$B$30:$B$62,B527,Orçamento!$F$30:$F$62)-I527</f>
        <v>0</v>
      </c>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row>
    <row r="528" spans="1:47" s="14" customFormat="1" ht="18" customHeight="1" x14ac:dyDescent="0.2">
      <c r="A528" s="828" t="s">
        <v>2430</v>
      </c>
      <c r="B528" s="835" t="s">
        <v>28243</v>
      </c>
      <c r="C528" s="836" t="s">
        <v>2774</v>
      </c>
      <c r="D528" s="837"/>
      <c r="E528" s="838"/>
      <c r="F528" s="839"/>
      <c r="G528" s="839"/>
      <c r="H528" s="840"/>
      <c r="I528" s="833">
        <f t="shared" si="56"/>
        <v>0</v>
      </c>
      <c r="J528" s="834" t="s">
        <v>39</v>
      </c>
      <c r="K528" s="1113">
        <f>SUMIF(Orçamento!$B$30:$B$62,B528,Orçamento!$F$30:$F$62)-I528</f>
        <v>0</v>
      </c>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row>
    <row r="529" spans="1:47" s="14" customFormat="1" ht="18" customHeight="1" x14ac:dyDescent="0.2">
      <c r="A529" s="828" t="s">
        <v>2430</v>
      </c>
      <c r="B529" s="835" t="s">
        <v>28737</v>
      </c>
      <c r="C529" s="836" t="s">
        <v>2853</v>
      </c>
      <c r="D529" s="837"/>
      <c r="E529" s="838"/>
      <c r="F529" s="839"/>
      <c r="G529" s="839"/>
      <c r="H529" s="840"/>
      <c r="I529" s="833">
        <f t="shared" si="56"/>
        <v>0</v>
      </c>
      <c r="J529" s="834" t="s">
        <v>40</v>
      </c>
      <c r="K529" s="1113">
        <f>SUMIF(Orçamento!$B$30:$B$62,B529,Orçamento!$F$30:$F$62)-I529</f>
        <v>0</v>
      </c>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row>
    <row r="530" spans="1:47" s="14" customFormat="1" ht="18" customHeight="1" x14ac:dyDescent="0.2">
      <c r="A530" s="828" t="s">
        <v>2430</v>
      </c>
      <c r="B530" s="835" t="s">
        <v>28886</v>
      </c>
      <c r="C530" s="836" t="s">
        <v>2846</v>
      </c>
      <c r="D530" s="837"/>
      <c r="E530" s="838"/>
      <c r="F530" s="839"/>
      <c r="G530" s="839"/>
      <c r="H530" s="840"/>
      <c r="I530" s="833">
        <f t="shared" si="56"/>
        <v>0</v>
      </c>
      <c r="J530" s="834" t="s">
        <v>2468</v>
      </c>
      <c r="K530" s="1113">
        <f>SUMIF(Orçamento!$B$30:$B$62,B530,Orçamento!$F$30:$F$62)-I530</f>
        <v>0</v>
      </c>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row>
    <row r="531" spans="1:47" s="14" customFormat="1" ht="18" customHeight="1" x14ac:dyDescent="0.2">
      <c r="A531" s="828" t="s">
        <v>2430</v>
      </c>
      <c r="B531" s="835" t="s">
        <v>28448</v>
      </c>
      <c r="C531" s="836" t="s">
        <v>2813</v>
      </c>
      <c r="D531" s="837"/>
      <c r="E531" s="838"/>
      <c r="F531" s="839"/>
      <c r="G531" s="839"/>
      <c r="H531" s="840"/>
      <c r="I531" s="833">
        <f t="shared" si="56"/>
        <v>0</v>
      </c>
      <c r="J531" s="834" t="s">
        <v>2444</v>
      </c>
      <c r="K531" s="1113">
        <f>SUMIF(Orçamento!$B$30:$B$62,B531,Orçamento!$F$30:$F$62)-I531</f>
        <v>0</v>
      </c>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row>
    <row r="532" spans="1:47" s="14" customFormat="1" ht="18" customHeight="1" x14ac:dyDescent="0.2">
      <c r="A532" s="828" t="s">
        <v>2881</v>
      </c>
      <c r="B532" s="835">
        <v>605506</v>
      </c>
      <c r="C532" s="836" t="s">
        <v>2841</v>
      </c>
      <c r="D532" s="837"/>
      <c r="E532" s="838"/>
      <c r="F532" s="839"/>
      <c r="G532" s="839"/>
      <c r="H532" s="840"/>
      <c r="I532" s="833">
        <f t="shared" si="56"/>
        <v>0</v>
      </c>
      <c r="J532" s="834" t="s">
        <v>2</v>
      </c>
      <c r="K532" s="1113">
        <f>SUMIF(Orçamento!$B$30:$B$62,B532,Orçamento!$F$30:$F$62)-I532</f>
        <v>0</v>
      </c>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row>
    <row r="533" spans="1:47" s="14" customFormat="1" ht="18" customHeight="1" x14ac:dyDescent="0.2">
      <c r="A533" s="828" t="s">
        <v>2430</v>
      </c>
      <c r="B533" s="835" t="s">
        <v>28367</v>
      </c>
      <c r="C533" s="836" t="s">
        <v>2856</v>
      </c>
      <c r="D533" s="837"/>
      <c r="E533" s="838"/>
      <c r="F533" s="839"/>
      <c r="G533" s="839"/>
      <c r="H533" s="840"/>
      <c r="I533" s="833">
        <f t="shared" si="56"/>
        <v>0</v>
      </c>
      <c r="J533" s="834"/>
      <c r="K533" s="1113">
        <f>SUMIF(Orçamento!$B$30:$B$62,B533,Orçamento!$F$30:$F$62)-I533</f>
        <v>0</v>
      </c>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row>
    <row r="534" spans="1:47" s="14" customFormat="1" ht="18" customHeight="1" x14ac:dyDescent="0.2">
      <c r="A534" s="828" t="s">
        <v>2881</v>
      </c>
      <c r="B534" s="835">
        <v>3205876</v>
      </c>
      <c r="C534" s="836" t="s">
        <v>2868</v>
      </c>
      <c r="D534" s="837"/>
      <c r="E534" s="838"/>
      <c r="F534" s="839"/>
      <c r="G534" s="839"/>
      <c r="H534" s="840"/>
      <c r="I534" s="833">
        <f t="shared" si="56"/>
        <v>0</v>
      </c>
      <c r="J534" s="834"/>
      <c r="K534" s="1113">
        <f>SUMIF(Orçamento!$B$30:$B$62,B534,Orçamento!$F$30:$F$62)-I534</f>
        <v>0</v>
      </c>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row>
    <row r="535" spans="1:47" s="14" customFormat="1" ht="18" customHeight="1" x14ac:dyDescent="0.2">
      <c r="A535" s="828" t="s">
        <v>2430</v>
      </c>
      <c r="B535" s="835" t="s">
        <v>28388</v>
      </c>
      <c r="C535" s="836" t="s">
        <v>2870</v>
      </c>
      <c r="D535" s="837"/>
      <c r="E535" s="838"/>
      <c r="F535" s="839"/>
      <c r="G535" s="839"/>
      <c r="H535" s="840"/>
      <c r="I535" s="833">
        <f t="shared" si="56"/>
        <v>0</v>
      </c>
      <c r="J535" s="834" t="s">
        <v>39</v>
      </c>
      <c r="K535" s="1113">
        <f>SUMIF(Orçamento!$B$30:$B$62,B535,Orçamento!$F$30:$F$62)-I535</f>
        <v>0</v>
      </c>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row>
    <row r="536" spans="1:47" s="14" customFormat="1" ht="18" customHeight="1" x14ac:dyDescent="0.2">
      <c r="A536" s="828" t="s">
        <v>2430</v>
      </c>
      <c r="B536" s="835" t="s">
        <v>28447</v>
      </c>
      <c r="C536" s="836" t="s">
        <v>2811</v>
      </c>
      <c r="D536" s="837"/>
      <c r="E536" s="838"/>
      <c r="F536" s="839"/>
      <c r="G536" s="839"/>
      <c r="H536" s="840"/>
      <c r="I536" s="833">
        <f t="shared" si="56"/>
        <v>0</v>
      </c>
      <c r="J536" s="834"/>
      <c r="K536" s="1113">
        <f>SUMIF(Orçamento!$B$30:$B$62,B536,Orçamento!$F$30:$F$62)-I536</f>
        <v>0</v>
      </c>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row>
    <row r="537" spans="1:47" s="14" customFormat="1" ht="18" customHeight="1" x14ac:dyDescent="0.2">
      <c r="A537" s="828" t="s">
        <v>2430</v>
      </c>
      <c r="B537" s="835" t="s">
        <v>28132</v>
      </c>
      <c r="C537" s="836" t="s">
        <v>2493</v>
      </c>
      <c r="D537" s="837"/>
      <c r="E537" s="838"/>
      <c r="F537" s="839"/>
      <c r="G537" s="839"/>
      <c r="H537" s="840"/>
      <c r="I537" s="833">
        <f t="shared" si="56"/>
        <v>0</v>
      </c>
      <c r="J537" s="834"/>
      <c r="K537" s="1113">
        <f>SUMIF(Orçamento!$B$30:$B$62,B537,Orçamento!$F$30:$F$62)-I537</f>
        <v>0</v>
      </c>
      <c r="L537" s="38"/>
      <c r="M537" s="38"/>
      <c r="N537" s="38"/>
      <c r="O537" s="1043"/>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row>
    <row r="538" spans="1:47" s="14" customFormat="1" ht="18" customHeight="1" x14ac:dyDescent="0.2">
      <c r="A538" s="841" t="s">
        <v>2881</v>
      </c>
      <c r="B538" s="842">
        <v>5915321</v>
      </c>
      <c r="C538" s="843" t="s">
        <v>21650</v>
      </c>
      <c r="D538" s="844"/>
      <c r="E538" s="845"/>
      <c r="F538" s="846"/>
      <c r="G538" s="846"/>
      <c r="H538" s="847"/>
      <c r="I538" s="848">
        <f>SUMIF(C490:C537,"*"&amp;"JAZIDA"&amp;"*",I490:I537)*(IF(SEARCH("t",J538,1),1.5,0))*MC_TERR!E31</f>
        <v>0</v>
      </c>
      <c r="J538" s="849" t="s">
        <v>21626</v>
      </c>
      <c r="K538" s="1113">
        <f>SUMIF(Orçamento!$B$30:$B$62,B538,Orçamento!$F$30:$F$62)-I538</f>
        <v>0</v>
      </c>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row>
    <row r="539" spans="1:47" s="14" customFormat="1" ht="18" customHeight="1" x14ac:dyDescent="0.2">
      <c r="A539" s="841"/>
      <c r="B539" s="1071" t="s">
        <v>32618</v>
      </c>
      <c r="C539" s="843" t="s">
        <v>2882</v>
      </c>
      <c r="D539" s="844"/>
      <c r="E539" s="845"/>
      <c r="F539" s="846"/>
      <c r="G539" s="846"/>
      <c r="H539" s="847"/>
      <c r="I539" s="848">
        <f>SUMIFS($I$490:$I$531,$C$490:$C$531,"ESCAVAÇÃO"&amp;"*")-I494</f>
        <v>315.02999999999997</v>
      </c>
      <c r="J539" s="849" t="s">
        <v>40</v>
      </c>
      <c r="K539" s="1113">
        <f>SUMIF(Orçamento!$B$30:$B$62,B539,Orçamento!$F$30:$F$62)-I539</f>
        <v>0</v>
      </c>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row>
    <row r="540" spans="1:47" s="14" customFormat="1" ht="18" customHeight="1" x14ac:dyDescent="0.2">
      <c r="A540" s="841" t="s">
        <v>2893</v>
      </c>
      <c r="B540" s="842" t="s">
        <v>17009</v>
      </c>
      <c r="C540" s="843" t="str">
        <f t="shared" ref="C540:C541" ca="1" si="57">INDEX(INDIRECT(A540&amp;"!"&amp;"A1:D10000"),MATCH(B540,INDIRECT(A540&amp;"!"&amp;"A1:A10000"),0),2)</f>
        <v>TRANSPORTE COM CAMINHÃO BASCULANTE DE 18 M³, EM VIA URBANA PAVIMENTADA, DMT ATÉ 30 KM (UNIDADE: TXKM). AF_07/2020</v>
      </c>
      <c r="D540" s="844"/>
      <c r="E540" s="845"/>
      <c r="F540" s="846"/>
      <c r="G540" s="846"/>
      <c r="H540" s="847"/>
      <c r="I540" s="848">
        <f>I539*MC_TERR!E31</f>
        <v>2362.7249999999999</v>
      </c>
      <c r="J540" s="849"/>
      <c r="K540" s="1113">
        <f>SUMIF(Orçamento!$B$30:$B$62,B540,Orçamento!$F$30:$F$62)-I540</f>
        <v>5.0000000001091394E-3</v>
      </c>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row>
    <row r="541" spans="1:47" s="14" customFormat="1" ht="18" customHeight="1" x14ac:dyDescent="0.2">
      <c r="A541" s="841" t="s">
        <v>2430</v>
      </c>
      <c r="B541" s="842" t="s">
        <v>28113</v>
      </c>
      <c r="C541" s="843" t="str">
        <f t="shared" ca="1" si="57"/>
        <v xml:space="preserve">CARGA DE MATERIAL LIMPEZA                                                      </v>
      </c>
      <c r="D541" s="844"/>
      <c r="E541" s="845"/>
      <c r="F541" s="846"/>
      <c r="G541" s="846"/>
      <c r="H541" s="847"/>
      <c r="I541" s="848">
        <f>I539</f>
        <v>315.02999999999997</v>
      </c>
      <c r="J541" s="849" t="str">
        <f t="shared" ref="J541" ca="1" si="58">INDEX(INDIRECT(A541&amp;"!"&amp;"A1:D10000"),MATCH(B541,INDIRECT(A541&amp;"!"&amp;"A1:A10000"),0),3)</f>
        <v>m3</v>
      </c>
      <c r="K541" s="1113">
        <f>SUMIF(Orçamento!$B$30:$B$62,B541,Orçamento!$F$30:$F$62)-I541</f>
        <v>0</v>
      </c>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row>
  </sheetData>
  <autoFilter ref="A1:K486" xr:uid="{5008DD90-7BDE-49A9-9971-7644CC8A7AC3}"/>
  <mergeCells count="18">
    <mergeCell ref="F462:I462"/>
    <mergeCell ref="F463:I463"/>
    <mergeCell ref="F476:I476"/>
    <mergeCell ref="B317:C317"/>
    <mergeCell ref="F403:I403"/>
    <mergeCell ref="F404:I404"/>
    <mergeCell ref="F430:I430"/>
    <mergeCell ref="F431:I431"/>
    <mergeCell ref="F457:I457"/>
    <mergeCell ref="F458:I458"/>
    <mergeCell ref="F392:I392"/>
    <mergeCell ref="F422:I422"/>
    <mergeCell ref="A420:J420"/>
    <mergeCell ref="B289:C289"/>
    <mergeCell ref="B303:C303"/>
    <mergeCell ref="B330:C330"/>
    <mergeCell ref="B344:C344"/>
    <mergeCell ref="F391:I391"/>
  </mergeCells>
  <conditionalFormatting sqref="A488:E488 A489:C489 I489:J489 B500 B503:B507 B511 B514 B516:B524 B490:B493 B526:B541 J490:J541 K401 K407:K428">
    <cfRule type="containsErrors" dxfId="369" priority="19">
      <formula>ISERROR(A401)</formula>
    </cfRule>
  </conditionalFormatting>
  <conditionalFormatting sqref="J490:J541">
    <cfRule type="containsBlanks" dxfId="368" priority="18">
      <formula>LEN(TRIM(J490))=0</formula>
    </cfRule>
  </conditionalFormatting>
  <conditionalFormatting sqref="A542:XFD1048576 A500:H500 A503:H507 C501:H502 A511:H511 A514:H514 C512:H513 A515 C515:H515 A525 C525:H525 A516:H524 A501:A503 C494:H499 A494:A499 A538:J541 A526:H537 I491:J537 L489:XFD541 A1:XFD400 A489:J490 A401:J402 L401:XFD402 A403:XFD414 A415:K415 M415:XFD415 A416:XFD419 A421:XFD488 A420 K420:XFD420 A491:H493 C508:H510 A508:A513 K417:K428">
    <cfRule type="containsErrors" dxfId="367" priority="17">
      <formula>ISERROR(A1)</formula>
    </cfRule>
  </conditionalFormatting>
  <conditionalFormatting sqref="A542:A1048576 A1:A419 A421:A489">
    <cfRule type="duplicateValues" dxfId="366" priority="20"/>
  </conditionalFormatting>
  <conditionalFormatting sqref="K489:K541">
    <cfRule type="containsErrors" dxfId="365" priority="14">
      <formula>ISERROR(K489)</formula>
    </cfRule>
  </conditionalFormatting>
  <conditionalFormatting sqref="I421">
    <cfRule type="containsBlanks" dxfId="364" priority="12">
      <formula>LEN(TRIM(I421))=0</formula>
    </cfRule>
  </conditionalFormatting>
  <conditionalFormatting sqref="B496">
    <cfRule type="duplicateValues" dxfId="363" priority="7"/>
  </conditionalFormatting>
  <conditionalFormatting sqref="B496">
    <cfRule type="containsBlanks" dxfId="362" priority="6">
      <formula>LEN(TRIM(B496))=0</formula>
    </cfRule>
  </conditionalFormatting>
  <conditionalFormatting sqref="B496">
    <cfRule type="containsErrors" dxfId="361" priority="5">
      <formula>ISERROR(B496)</formula>
    </cfRule>
  </conditionalFormatting>
  <conditionalFormatting sqref="B496">
    <cfRule type="containsBlanks" dxfId="360" priority="4">
      <formula>LEN(TRIM(B496))=0</formula>
    </cfRule>
  </conditionalFormatting>
  <conditionalFormatting sqref="B490:B508 B510:B541">
    <cfRule type="duplicateValues" dxfId="359" priority="2310"/>
  </conditionalFormatting>
  <conditionalFormatting sqref="K425:K428">
    <cfRule type="containsErrors" dxfId="358" priority="2">
      <formula>ISERROR(K425)</formula>
    </cfRule>
  </conditionalFormatting>
  <conditionalFormatting sqref="B509">
    <cfRule type="containsErrors" dxfId="357" priority="1">
      <formula>ISERROR(B509)</formula>
    </cfRule>
  </conditionalFormatting>
  <dataValidations disablePrompts="1" count="4">
    <dataValidation type="list" allowBlank="1" showInputMessage="1" showErrorMessage="1" sqref="H341 H327 H286 H300 H314" xr:uid="{CD0300BD-3839-4EF0-B6B6-60F6B93B35A6}">
      <formula1>"BERÇO DE BRITA,BERÇO DE CONCRETO"</formula1>
    </dataValidation>
    <dataValidation type="list" allowBlank="1" showInputMessage="1" showErrorMessage="1" sqref="B336 B395 B295:B296 B350 B309 B409 B435 B479 B322" xr:uid="{47847B8F-143A-487A-9BC7-2D7F73C1BC08}">
      <formula1>"Escoramento Contínuo,Escoramento Descontínuo"</formula1>
    </dataValidation>
    <dataValidation type="list" allowBlank="1" showInputMessage="1" showErrorMessage="1" sqref="B152 IX152 ST152 ACP152 AML152 AWH152 BGD152 BPZ152 BZV152 CJR152 CTN152 DDJ152 DNF152 DXB152 EGX152 EQT152 FAP152 FKL152 FUH152 GED152 GNZ152 GXV152 HHR152 HRN152 IBJ152 ILF152 IVB152 JEX152 JOT152 JYP152 KIL152 KSH152 LCD152 LLZ152 LVV152 MFR152 MPN152 MZJ152 NJF152 NTB152 OCX152 OMT152 OWP152 PGL152 PQH152 QAD152 QJZ152 QTV152 RDR152 RNN152 RXJ152 SHF152 SRB152 TAX152 TKT152 TUP152 UEL152 UOH152 UYD152 VHZ152 VRV152 WBR152 WLN152 WVJ152 B167 B203 B235 B267 B251 B219" xr:uid="{A42664C9-6EEE-489B-8210-97374CAA7EC4}">
      <formula1>"Escoramento Descontínuo,Escoramento Contínuo"</formula1>
    </dataValidation>
    <dataValidation type="list" allowBlank="1" showInputMessage="1" showErrorMessage="1" sqref="A402" xr:uid="{7E869810-05F3-463C-B2B8-4EB9F88A219A}">
      <formula1>"Moldada no Local,Pré Moldada"</formula1>
    </dataValidation>
  </dataValidations>
  <pageMargins left="0.511811024" right="0.511811024" top="0.78740157499999996" bottom="0.78740157499999996" header="0.31496062000000002" footer="0.31496062000000002"/>
  <drawing r:id="rId1"/>
  <legacyDrawing r:id="rId2"/>
  <controls>
    <mc:AlternateContent xmlns:mc="http://schemas.openxmlformats.org/markup-compatibility/2006">
      <mc:Choice Requires="x14">
        <control shapeId="15361" r:id="rId3" name="Quantidades">
          <controlPr defaultSize="0" autoLine="0" r:id="rId4">
            <anchor moveWithCells="1">
              <from>
                <xdr:col>14</xdr:col>
                <xdr:colOff>371475</xdr:colOff>
                <xdr:row>0</xdr:row>
                <xdr:rowOff>0</xdr:rowOff>
              </from>
              <to>
                <xdr:col>16</xdr:col>
                <xdr:colOff>161925</xdr:colOff>
                <xdr:row>1</xdr:row>
                <xdr:rowOff>9525</xdr:rowOff>
              </to>
            </anchor>
          </controlPr>
        </control>
      </mc:Choice>
      <mc:Fallback>
        <control shapeId="15361" r:id="rId3" name="Quantidades"/>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filterMode="1"/>
  <dimension ref="A1:P123"/>
  <sheetViews>
    <sheetView showGridLines="0" view="pageBreakPreview" topLeftCell="A10" zoomScale="115" zoomScaleNormal="115" zoomScaleSheetLayoutView="115" workbookViewId="0">
      <selection activeCell="C39" sqref="C39"/>
    </sheetView>
  </sheetViews>
  <sheetFormatPr defaultColWidth="9.140625" defaultRowHeight="12" x14ac:dyDescent="0.2"/>
  <cols>
    <col min="1" max="1" width="2.85546875" style="202" customWidth="1"/>
    <col min="2" max="4" width="16.42578125" style="202" customWidth="1"/>
    <col min="5" max="5" width="15.7109375" style="202" customWidth="1"/>
    <col min="6" max="7" width="9.140625" style="202"/>
    <col min="8" max="8" width="25.7109375" style="202" customWidth="1"/>
    <col min="9" max="11" width="10.7109375" style="202" customWidth="1"/>
    <col min="12" max="12" width="12.7109375" style="202" customWidth="1"/>
    <col min="13" max="13" width="10.7109375" style="202" customWidth="1"/>
    <col min="14" max="15" width="12.7109375" style="202" customWidth="1"/>
    <col min="16" max="16384" width="9.140625" style="202"/>
  </cols>
  <sheetData>
    <row r="1" spans="1:16" ht="22.5" customHeight="1" x14ac:dyDescent="0.2">
      <c r="A1" s="1291" t="s">
        <v>2706</v>
      </c>
      <c r="B1" s="1291"/>
      <c r="C1" s="1291"/>
      <c r="D1" s="1291"/>
      <c r="E1" s="1291"/>
      <c r="F1" s="1291"/>
      <c r="G1" s="1291"/>
      <c r="H1" s="1291"/>
      <c r="I1" s="1291"/>
      <c r="J1" s="1291"/>
      <c r="K1" s="1291"/>
      <c r="L1" s="1291"/>
      <c r="M1" s="1291"/>
      <c r="N1" s="1291"/>
      <c r="O1" s="1291"/>
    </row>
    <row r="2" spans="1:16" hidden="1" x14ac:dyDescent="0.2">
      <c r="H2" s="203">
        <v>1</v>
      </c>
      <c r="I2" s="203">
        <v>2</v>
      </c>
      <c r="J2" s="203">
        <f>I2+1</f>
        <v>3</v>
      </c>
      <c r="K2" s="203">
        <f t="shared" ref="K2:O2" si="0">J2+1</f>
        <v>4</v>
      </c>
      <c r="L2" s="203">
        <f t="shared" si="0"/>
        <v>5</v>
      </c>
      <c r="M2" s="203">
        <f t="shared" si="0"/>
        <v>6</v>
      </c>
      <c r="N2" s="203">
        <f t="shared" si="0"/>
        <v>7</v>
      </c>
      <c r="O2" s="203">
        <f t="shared" si="0"/>
        <v>8</v>
      </c>
    </row>
    <row r="3" spans="1:16" ht="22.5" customHeight="1" x14ac:dyDescent="0.2">
      <c r="I3" s="204" t="s">
        <v>186</v>
      </c>
      <c r="J3" s="204"/>
      <c r="K3" s="204"/>
      <c r="L3" s="204"/>
      <c r="M3" s="204"/>
      <c r="N3" s="204"/>
      <c r="O3" s="204"/>
    </row>
    <row r="4" spans="1:16" ht="15" customHeight="1" x14ac:dyDescent="0.2">
      <c r="I4" s="204" t="s">
        <v>187</v>
      </c>
      <c r="J4" s="204"/>
      <c r="K4" s="204"/>
      <c r="L4" s="204"/>
      <c r="M4" s="205" t="s">
        <v>188</v>
      </c>
      <c r="N4" s="205" t="s">
        <v>189</v>
      </c>
      <c r="O4" s="1295" t="s">
        <v>190</v>
      </c>
    </row>
    <row r="5" spans="1:16" ht="39.950000000000003" customHeight="1" x14ac:dyDescent="0.2">
      <c r="I5" s="206" t="s">
        <v>2710</v>
      </c>
      <c r="J5" s="206" t="s">
        <v>2709</v>
      </c>
      <c r="K5" s="206" t="s">
        <v>191</v>
      </c>
      <c r="L5" s="206" t="s">
        <v>192</v>
      </c>
      <c r="M5" s="206" t="s">
        <v>2711</v>
      </c>
      <c r="N5" s="206" t="s">
        <v>44093</v>
      </c>
      <c r="O5" s="1296"/>
    </row>
    <row r="6" spans="1:16" s="207" customFormat="1" x14ac:dyDescent="0.2">
      <c r="G6" s="1297" t="s">
        <v>193</v>
      </c>
      <c r="H6" s="208" t="s">
        <v>194</v>
      </c>
      <c r="I6" s="209">
        <v>0.05</v>
      </c>
      <c r="J6" s="209">
        <v>0.05</v>
      </c>
      <c r="K6" s="209">
        <v>2</v>
      </c>
      <c r="L6" s="209">
        <v>1</v>
      </c>
      <c r="M6" s="209">
        <v>0.16</v>
      </c>
      <c r="N6" s="209">
        <v>0.3</v>
      </c>
      <c r="O6" s="209">
        <v>1</v>
      </c>
    </row>
    <row r="7" spans="1:16" s="207" customFormat="1" x14ac:dyDescent="0.2">
      <c r="G7" s="1297"/>
      <c r="H7" s="208" t="s">
        <v>2734</v>
      </c>
      <c r="I7" s="209">
        <v>0.05</v>
      </c>
      <c r="J7" s="539"/>
      <c r="K7" s="209">
        <v>1</v>
      </c>
      <c r="L7" s="539"/>
      <c r="M7" s="209"/>
      <c r="N7" s="209"/>
      <c r="O7" s="209"/>
    </row>
    <row r="8" spans="1:16" s="207" customFormat="1" x14ac:dyDescent="0.2">
      <c r="G8" s="1297"/>
      <c r="H8" s="208" t="s">
        <v>13</v>
      </c>
      <c r="I8" s="209"/>
      <c r="J8" s="209"/>
      <c r="K8" s="209"/>
      <c r="L8" s="209"/>
      <c r="M8" s="209"/>
      <c r="N8" s="209"/>
      <c r="O8" s="209"/>
    </row>
    <row r="9" spans="1:16" x14ac:dyDescent="0.2">
      <c r="H9" s="210"/>
    </row>
    <row r="10" spans="1:16" ht="12.75" thickBot="1" x14ac:dyDescent="0.25">
      <c r="B10" s="211" t="s">
        <v>195</v>
      </c>
    </row>
    <row r="11" spans="1:16" ht="12" customHeight="1" thickBot="1" x14ac:dyDescent="0.25">
      <c r="I11" s="212" t="s">
        <v>196</v>
      </c>
      <c r="J11" s="213"/>
      <c r="K11" s="214"/>
      <c r="L11" s="214"/>
      <c r="M11" s="214"/>
      <c r="N11" s="214"/>
      <c r="O11" s="215"/>
    </row>
    <row r="12" spans="1:16" ht="45" customHeight="1" x14ac:dyDescent="0.2">
      <c r="B12" s="216" t="s">
        <v>197</v>
      </c>
      <c r="C12" s="217"/>
      <c r="D12" s="217"/>
      <c r="E12" s="218" t="s">
        <v>198</v>
      </c>
      <c r="F12" s="218" t="s">
        <v>199</v>
      </c>
      <c r="G12" s="218" t="s">
        <v>174</v>
      </c>
      <c r="H12" s="219" t="s">
        <v>193</v>
      </c>
      <c r="I12" s="220" t="str">
        <f>MID(I5,1,SEARCH(" ",I5,1))</f>
        <v xml:space="preserve">CBUQ </v>
      </c>
      <c r="J12" s="220" t="str">
        <f>MID(J5,1,SEARCH(" ",J5,1))</f>
        <v xml:space="preserve">CBUQ </v>
      </c>
      <c r="K12" s="221" t="str">
        <f>K5</f>
        <v>PINTURA</v>
      </c>
      <c r="L12" s="221" t="str">
        <f>L5</f>
        <v>IMPRIMAÇÃO</v>
      </c>
      <c r="M12" s="221" t="str">
        <f>M5</f>
        <v>BGS
(esp.)</v>
      </c>
      <c r="N12" s="221" t="str">
        <f>N5</f>
        <v>MACADAME HIDRÁULICO</v>
      </c>
      <c r="O12" s="222" t="s">
        <v>190</v>
      </c>
    </row>
    <row r="13" spans="1:16" s="211" customFormat="1" ht="12.75" customHeight="1" thickBot="1" x14ac:dyDescent="0.25">
      <c r="B13" s="223" t="s">
        <v>200</v>
      </c>
      <c r="C13" s="224" t="s">
        <v>201</v>
      </c>
      <c r="D13" s="224" t="s">
        <v>202</v>
      </c>
      <c r="E13" s="224"/>
      <c r="F13" s="224"/>
      <c r="G13" s="224"/>
      <c r="H13" s="225"/>
      <c r="I13" s="226" t="s">
        <v>38</v>
      </c>
      <c r="J13" s="226" t="s">
        <v>38</v>
      </c>
      <c r="K13" s="227" t="s">
        <v>39</v>
      </c>
      <c r="L13" s="227" t="s">
        <v>39</v>
      </c>
      <c r="M13" s="227" t="s">
        <v>38</v>
      </c>
      <c r="N13" s="227" t="s">
        <v>38</v>
      </c>
      <c r="O13" s="228" t="s">
        <v>39</v>
      </c>
    </row>
    <row r="14" spans="1:16" ht="12" customHeight="1" x14ac:dyDescent="0.2">
      <c r="B14" s="581" t="s">
        <v>2732</v>
      </c>
      <c r="C14" s="242" t="s">
        <v>2728</v>
      </c>
      <c r="D14" s="242" t="s">
        <v>2730</v>
      </c>
      <c r="E14" s="584">
        <f>((MID(D14,1,SEARCH("+",D14,1)-1)-MID(C14,1,SEARCH("+",C14,1)-1))*20)+(MID(D14,SEARCH("+",D14,1)+1,10)-MID(C14,SEARCH("+",C14,1)+1,10))</f>
        <v>243.7</v>
      </c>
      <c r="F14" s="585">
        <f>7.9-0.45-0.45</f>
        <v>7</v>
      </c>
      <c r="G14" s="583">
        <f>E14*F14</f>
        <v>1705.8999999999999</v>
      </c>
      <c r="H14" s="1089" t="s">
        <v>194</v>
      </c>
      <c r="I14" s="231" cm="1">
        <f t="array" ref="I14">IFERROR(INDEX($H$6:$N$8,MATCH($H14,$H$6:$H$8,0),I$2)*$G14,"")</f>
        <v>85.295000000000002</v>
      </c>
      <c r="J14" s="232" cm="1">
        <f t="array" ref="J14">IFERROR(INDEX($H$6:$N$8,MATCH($H14,$H$6:$H$8,0),J$2)*$G14,"")</f>
        <v>85.295000000000002</v>
      </c>
      <c r="K14" s="232" cm="1">
        <f t="array" ref="K14">IFERROR(INDEX($H$6:$N$8,MATCH($H14,$H$6:$H$8,0),K$2)*$G14,"")</f>
        <v>3411.7999999999997</v>
      </c>
      <c r="L14" s="232" cm="1">
        <f t="array" ref="L14">IFERROR(INDEX($H$6:$N$8,MATCH($H14,$H$6:$H$8,0),L$2)*$G14,"")</f>
        <v>1705.8999999999999</v>
      </c>
      <c r="M14" s="232" cm="1">
        <f t="array" ref="M14">IFERROR(INDEX($H$6:$N$8,MATCH($H14,$H$6:$H$8,0),M$2)*$G14,"")</f>
        <v>272.94399999999996</v>
      </c>
      <c r="N14" s="232" cm="1">
        <f t="array" ref="N14">IFERROR(INDEX($H$6:$N$8,MATCH($H14,$H$6:$H$8,0),N$2)*$G14,"")</f>
        <v>511.76999999999992</v>
      </c>
      <c r="O14" s="233" cm="1">
        <f t="array" ref="O14">IFERROR(INDEX($H$6:$O$8,MATCH($H14,$H$6:$H$8,0),O$2)*$G14,"")</f>
        <v>1705.8999999999999</v>
      </c>
      <c r="P14" s="202">
        <f>G14*$I$6</f>
        <v>85.295000000000002</v>
      </c>
    </row>
    <row r="15" spans="1:16" ht="12" customHeight="1" x14ac:dyDescent="0.2">
      <c r="B15" s="582" t="s">
        <v>2732</v>
      </c>
      <c r="C15" s="242" t="s">
        <v>2731</v>
      </c>
      <c r="D15" s="242" t="s">
        <v>2729</v>
      </c>
      <c r="E15" s="584">
        <f>((MID(D15,1,SEARCH("+",D15,1)-1)-MID(C15,1,SEARCH("+",C15,1)-1))*20)+(MID(D15,SEARCH("+",D15,1)+1,10)-MID(C15,SEARCH("+",C15,1)+1,10))</f>
        <v>27</v>
      </c>
      <c r="F15" s="585">
        <f>7.9-0.45-0.45</f>
        <v>7</v>
      </c>
      <c r="G15" s="583">
        <f>E15*F15</f>
        <v>189</v>
      </c>
      <c r="H15" s="241" t="s">
        <v>194</v>
      </c>
      <c r="I15" s="237" cm="1">
        <f t="array" ref="I15">IFERROR(INDEX($H$6:$N$8,MATCH($H15,$H$6:$H$8,0),I$2)*$G15,"")</f>
        <v>9.4500000000000011</v>
      </c>
      <c r="J15" s="238" cm="1">
        <f t="array" ref="J15">IFERROR(INDEX($H$6:$N$8,MATCH($H15,$H$6:$H$8,0),J$2)*$G15,"")</f>
        <v>9.4500000000000011</v>
      </c>
      <c r="K15" s="238" cm="1">
        <f t="array" ref="K15">IFERROR(INDEX($H$6:$N$8,MATCH($H15,$H$6:$H$8,0),K$2)*$G15,"")</f>
        <v>378</v>
      </c>
      <c r="L15" s="238" cm="1">
        <f t="array" ref="L15">IFERROR(INDEX($H$6:$N$8,MATCH($H15,$H$6:$H$8,0),L$2)*$G15,"")</f>
        <v>189</v>
      </c>
      <c r="M15" s="238" cm="1">
        <f t="array" ref="M15">IFERROR(INDEX($H$6:$N$8,MATCH($H15,$H$6:$H$8,0),M$2)*$G15,"")</f>
        <v>30.240000000000002</v>
      </c>
      <c r="N15" s="238" cm="1">
        <f t="array" ref="N15">IFERROR(INDEX($H$6:$N$8,MATCH($H15,$H$6:$H$8,0),N$2)*$G15,"")</f>
        <v>56.699999999999996</v>
      </c>
      <c r="O15" s="239" cm="1">
        <f t="array" ref="O15">IFERROR(INDEX($H$6:$O$8,MATCH($H15,$H$6:$H$8,0),O$2)*$G15,"")</f>
        <v>189</v>
      </c>
      <c r="P15" s="202">
        <f t="shared" ref="P15:P16" si="1">G15*$I$6</f>
        <v>9.4500000000000011</v>
      </c>
    </row>
    <row r="16" spans="1:16" ht="12" customHeight="1" x14ac:dyDescent="0.2">
      <c r="B16" s="229" t="s">
        <v>2733</v>
      </c>
      <c r="C16" s="242" t="s">
        <v>2730</v>
      </c>
      <c r="D16" s="242" t="s">
        <v>2731</v>
      </c>
      <c r="E16" s="584">
        <f>((MID(D16,1,SEARCH("+",D16,1)-1)-MID(C16,1,SEARCH("+",C16,1)-1))*20)+(MID(D16,SEARCH("+",D16,1)+1,10)-MID(C16,SEARCH("+",C16,1)+1,10))</f>
        <v>33.299999999999997</v>
      </c>
      <c r="F16" s="583">
        <v>9</v>
      </c>
      <c r="G16" s="583">
        <f>E16*F16</f>
        <v>299.7</v>
      </c>
      <c r="H16" s="1089" t="s">
        <v>2734</v>
      </c>
      <c r="I16" s="237" cm="1">
        <f t="array" ref="I16">IFERROR(INDEX($H$6:$N$8,MATCH($H16,$H$6:$H$8,0),I$2)*$G16,"")</f>
        <v>14.984999999999999</v>
      </c>
      <c r="J16" s="238" cm="1">
        <f t="array" ref="J16">IFERROR(INDEX($H$6:$N$8,MATCH($H16,$H$6:$H$8,0),J$2)*$G16,"")</f>
        <v>0</v>
      </c>
      <c r="K16" s="238" cm="1">
        <f t="array" ref="K16">IFERROR(INDEX($H$6:$N$8,MATCH($H16,$H$6:$H$8,0),K$2)*$G16,"")</f>
        <v>299.7</v>
      </c>
      <c r="L16" s="238" cm="1">
        <f t="array" ref="L16">IFERROR(INDEX($H$6:$N$8,MATCH($H16,$H$6:$H$8,0),L$2)*$G16,"")</f>
        <v>0</v>
      </c>
      <c r="M16" s="238" cm="1">
        <f t="array" ref="M16">IFERROR(INDEX($H$6:$N$8,MATCH($H16,$H$6:$H$8,0),M$2)*$G16,"")</f>
        <v>0</v>
      </c>
      <c r="N16" s="238" cm="1">
        <f t="array" ref="N16">IFERROR(INDEX($H$6:$N$8,MATCH($H16,$H$6:$H$8,0),N$2)*$G16,"")</f>
        <v>0</v>
      </c>
      <c r="O16" s="239" cm="1">
        <f t="array" ref="O16">IFERROR(INDEX($H$6:$O$8,MATCH($H16,$H$6:$H$8,0),O$2)*$G16,"")</f>
        <v>0</v>
      </c>
      <c r="P16" s="202">
        <f t="shared" si="1"/>
        <v>14.984999999999999</v>
      </c>
    </row>
    <row r="17" spans="2:16" ht="12" customHeight="1" thickBot="1" x14ac:dyDescent="0.25">
      <c r="B17" s="229"/>
      <c r="C17" s="234"/>
      <c r="D17" s="234"/>
      <c r="E17" s="235"/>
      <c r="F17" s="235"/>
      <c r="G17" s="236"/>
      <c r="H17" s="230"/>
      <c r="I17" s="237" t="str" cm="1">
        <f t="array" ref="I17">IFERROR(INDEX($H$6:$N$8,MATCH($H17,$H$6:$H$8,0),I$2)*$G17,"")</f>
        <v/>
      </c>
      <c r="J17" s="238" t="str" cm="1">
        <f t="array" ref="J17">IFERROR(INDEX($H$6:$N$8,MATCH($H17,$H$6:$H$8,0),J$2)*$G17,"")</f>
        <v/>
      </c>
      <c r="K17" s="238" t="str" cm="1">
        <f t="array" ref="K17">IFERROR(INDEX($H$6:$N$8,MATCH($H17,$H$6:$H$8,0),K$2)*$G17,"")</f>
        <v/>
      </c>
      <c r="L17" s="238" t="str" cm="1">
        <f t="array" ref="L17">IFERROR(INDEX($H$6:$N$8,MATCH($H17,$H$6:$H$8,0),L$2)*$G17,"")</f>
        <v/>
      </c>
      <c r="M17" s="238" t="str" cm="1">
        <f t="array" ref="M17">IFERROR(INDEX($H$6:$N$8,MATCH($H17,$H$6:$H$8,0),M$2)*$G17,"")</f>
        <v/>
      </c>
      <c r="N17" s="238" t="str" cm="1">
        <f t="array" ref="N17">IFERROR(INDEX($H$6:$N$8,MATCH($H17,$H$6:$H$8,0),N$2)*$G17,"")</f>
        <v/>
      </c>
      <c r="O17" s="239" t="str" cm="1">
        <f t="array" ref="O17">IFERROR(INDEX($H$6:$O$8,MATCH($H17,$H$6:$H$8,0),O$2)*$G17,"")</f>
        <v/>
      </c>
      <c r="P17" s="240"/>
    </row>
    <row r="18" spans="2:16" s="211" customFormat="1" ht="15" customHeight="1" thickBot="1" x14ac:dyDescent="0.25">
      <c r="B18" s="244" t="s">
        <v>14</v>
      </c>
      <c r="C18" s="245"/>
      <c r="D18" s="245"/>
      <c r="E18" s="245"/>
      <c r="F18" s="245"/>
      <c r="G18" s="246">
        <f>SUBTOTAL(9,G14:G17)</f>
        <v>2194.6</v>
      </c>
      <c r="H18" s="245"/>
      <c r="I18" s="247">
        <f t="shared" ref="I18:O18" si="2">SUBTOTAL(9,I14:I17)</f>
        <v>109.73</v>
      </c>
      <c r="J18" s="247">
        <f t="shared" si="2"/>
        <v>94.745000000000005</v>
      </c>
      <c r="K18" s="247">
        <f t="shared" si="2"/>
        <v>4089.4999999999995</v>
      </c>
      <c r="L18" s="247">
        <f t="shared" si="2"/>
        <v>1894.8999999999999</v>
      </c>
      <c r="M18" s="247">
        <f t="shared" si="2"/>
        <v>303.18399999999997</v>
      </c>
      <c r="N18" s="247">
        <f t="shared" si="2"/>
        <v>568.46999999999991</v>
      </c>
      <c r="O18" s="247">
        <f t="shared" si="2"/>
        <v>1894.8999999999999</v>
      </c>
    </row>
    <row r="21" spans="2:16" x14ac:dyDescent="0.2">
      <c r="B21" s="211" t="s">
        <v>203</v>
      </c>
    </row>
    <row r="22" spans="2:16" ht="6" customHeight="1" x14ac:dyDescent="0.2">
      <c r="B22" s="211"/>
    </row>
    <row r="23" spans="2:16" ht="12" customHeight="1" x14ac:dyDescent="0.2">
      <c r="B23" s="248" t="s">
        <v>197</v>
      </c>
      <c r="C23" s="248"/>
      <c r="D23" s="248"/>
      <c r="E23" s="248"/>
      <c r="I23" s="204" t="s">
        <v>204</v>
      </c>
      <c r="J23" s="204"/>
      <c r="K23" s="204"/>
      <c r="L23" s="204"/>
    </row>
    <row r="24" spans="2:16" ht="35.1" customHeight="1" x14ac:dyDescent="0.2">
      <c r="B24" s="248" t="s">
        <v>200</v>
      </c>
      <c r="C24" s="248"/>
      <c r="D24" s="248" t="s">
        <v>201</v>
      </c>
      <c r="E24" s="248" t="s">
        <v>202</v>
      </c>
      <c r="F24" s="249" t="s">
        <v>198</v>
      </c>
      <c r="G24" s="249" t="s">
        <v>199</v>
      </c>
      <c r="H24" s="249" t="s">
        <v>174</v>
      </c>
      <c r="I24" s="206" t="s">
        <v>307</v>
      </c>
      <c r="J24" s="206"/>
      <c r="K24" s="206" t="s">
        <v>205</v>
      </c>
      <c r="L24" s="206" t="s">
        <v>206</v>
      </c>
    </row>
    <row r="25" spans="2:16" ht="12" customHeight="1" x14ac:dyDescent="0.2">
      <c r="B25" s="250"/>
      <c r="C25" s="251"/>
      <c r="D25" s="252"/>
      <c r="E25" s="252"/>
      <c r="F25" s="252"/>
      <c r="G25" s="252"/>
      <c r="H25" s="250"/>
      <c r="I25" s="253">
        <v>7.0000000000000007E-2</v>
      </c>
      <c r="J25" s="253"/>
      <c r="K25" s="253">
        <v>0.05</v>
      </c>
      <c r="L25" s="253">
        <v>0.12</v>
      </c>
    </row>
    <row r="26" spans="2:16" x14ac:dyDescent="0.2">
      <c r="B26" s="254" t="s">
        <v>2732</v>
      </c>
      <c r="C26" s="255"/>
      <c r="D26" s="242" t="s">
        <v>2728</v>
      </c>
      <c r="E26" s="242" t="s">
        <v>2729</v>
      </c>
      <c r="F26" s="584">
        <f>((MID(E26,1,SEARCH("+",E26,1)-1)-MID(D26,1,SEARCH("+",D26,1)-1))*20)+(MID(E26,SEARCH("+",E26,1)+1,10)-MID(D26,SEARCH("+",D26,1)+1,10))</f>
        <v>304</v>
      </c>
      <c r="G26" s="586">
        <v>2</v>
      </c>
      <c r="H26" s="587">
        <f>F26*G26</f>
        <v>608</v>
      </c>
      <c r="I26" s="256">
        <f>$H26*I$25</f>
        <v>42.56</v>
      </c>
      <c r="J26" s="256"/>
      <c r="K26" s="256">
        <f>$H26*K$25</f>
        <v>30.400000000000002</v>
      </c>
      <c r="L26" s="256">
        <f>$F26*I$25</f>
        <v>21.28</v>
      </c>
    </row>
    <row r="27" spans="2:16" ht="12.75" thickBot="1" x14ac:dyDescent="0.25">
      <c r="B27" s="254"/>
      <c r="C27" s="255"/>
      <c r="D27" s="242"/>
      <c r="E27" s="242"/>
      <c r="F27" s="256"/>
      <c r="G27" s="242"/>
      <c r="H27" s="242"/>
      <c r="I27" s="256"/>
      <c r="J27" s="256"/>
      <c r="K27" s="256"/>
      <c r="L27" s="256"/>
    </row>
    <row r="28" spans="2:16" ht="12.75" thickBot="1" x14ac:dyDescent="0.25">
      <c r="B28" s="243"/>
      <c r="C28" s="243"/>
      <c r="D28" s="243"/>
      <c r="E28" s="243"/>
      <c r="F28" s="540" t="s">
        <v>14</v>
      </c>
      <c r="G28" s="541"/>
      <c r="H28" s="541">
        <f>SUM(H26:H27)</f>
        <v>608</v>
      </c>
      <c r="I28" s="541">
        <f>SUM(I26:I27)</f>
        <v>42.56</v>
      </c>
      <c r="J28" s="541"/>
      <c r="K28" s="541">
        <f>SUM(K26:K27)</f>
        <v>30.400000000000002</v>
      </c>
      <c r="L28" s="541">
        <f>SUM(L26:L27)</f>
        <v>21.28</v>
      </c>
    </row>
    <row r="29" spans="2:16" ht="12.75" thickBot="1" x14ac:dyDescent="0.25">
      <c r="B29" s="536" t="s">
        <v>2492</v>
      </c>
      <c r="C29" s="537">
        <v>21.07</v>
      </c>
    </row>
    <row r="30" spans="2:16" ht="12.75" thickBot="1" x14ac:dyDescent="0.25">
      <c r="B30" s="257" t="s">
        <v>167</v>
      </c>
      <c r="C30" s="258"/>
      <c r="D30" s="258"/>
      <c r="E30" s="258"/>
      <c r="F30" s="258"/>
      <c r="G30" s="258"/>
      <c r="H30" s="258"/>
      <c r="I30" s="258"/>
      <c r="J30" s="258"/>
      <c r="K30" s="258"/>
      <c r="L30" s="259"/>
    </row>
    <row r="31" spans="2:16" ht="13.5" thickBot="1" x14ac:dyDescent="0.25">
      <c r="B31" s="30" t="s">
        <v>9</v>
      </c>
      <c r="C31" s="1292" t="s">
        <v>29</v>
      </c>
      <c r="D31" s="1293"/>
      <c r="E31" s="1293"/>
      <c r="F31" s="1293"/>
      <c r="G31" s="1293"/>
      <c r="H31" s="1293"/>
      <c r="I31" s="1294"/>
      <c r="J31" s="173"/>
      <c r="K31" s="69" t="s">
        <v>0</v>
      </c>
      <c r="L31" s="69" t="s">
        <v>105</v>
      </c>
      <c r="M31" s="203" t="s">
        <v>170</v>
      </c>
      <c r="N31" s="260">
        <f>SUM(L32:L51,L52*3)-SUM(H28:L28,I18:O18)</f>
        <v>-21.280000000002474</v>
      </c>
    </row>
    <row r="32" spans="2:16" ht="15" customHeight="1" x14ac:dyDescent="0.2">
      <c r="B32" s="592" t="s">
        <v>15019</v>
      </c>
      <c r="C32" s="593" t="s">
        <v>298</v>
      </c>
      <c r="D32" s="593"/>
      <c r="E32" s="593"/>
      <c r="F32" s="594"/>
      <c r="G32" s="593"/>
      <c r="H32" s="594"/>
      <c r="I32" s="594"/>
      <c r="J32" s="594"/>
      <c r="K32" s="595" t="s">
        <v>227</v>
      </c>
      <c r="L32" s="596">
        <f>O18+H28</f>
        <v>2502.8999999999996</v>
      </c>
      <c r="M32" s="415">
        <f>SUMIF(Orçamento!$B$1:$B$102,B32,Orçamento!$F$1:$F$102)-L32</f>
        <v>0</v>
      </c>
    </row>
    <row r="33" spans="1:13" ht="15" hidden="1" customHeight="1" x14ac:dyDescent="0.2">
      <c r="A33" s="202" t="s">
        <v>304</v>
      </c>
      <c r="B33" s="588" t="s">
        <v>246</v>
      </c>
      <c r="C33" s="202" t="s">
        <v>299</v>
      </c>
      <c r="F33" s="589"/>
      <c r="H33" s="589"/>
      <c r="I33" s="589"/>
      <c r="J33" s="589"/>
      <c r="K33" s="590" t="s">
        <v>227</v>
      </c>
      <c r="L33" s="589"/>
      <c r="M33" s="415">
        <f>SUMIF(Orçamento!$B$1:$B$102,B33,Orçamento!$F$1:$F$102)-L33</f>
        <v>0</v>
      </c>
    </row>
    <row r="34" spans="1:13" ht="15" hidden="1" customHeight="1" x14ac:dyDescent="0.2">
      <c r="A34" s="202" t="s">
        <v>304</v>
      </c>
      <c r="B34" s="337" t="s">
        <v>247</v>
      </c>
      <c r="C34" s="202" t="s">
        <v>248</v>
      </c>
      <c r="F34" s="338"/>
      <c r="H34" s="338"/>
      <c r="I34" s="338"/>
      <c r="J34" s="338"/>
      <c r="K34" s="414" t="s">
        <v>159</v>
      </c>
      <c r="L34" s="338"/>
      <c r="M34" s="415">
        <f>SUMIF(Orçamento!$B$1:$B$102,B34,Orçamento!$F$1:$F$102)-L34</f>
        <v>0</v>
      </c>
    </row>
    <row r="35" spans="1:13" ht="15" hidden="1" customHeight="1" x14ac:dyDescent="0.2">
      <c r="A35" s="202" t="s">
        <v>304</v>
      </c>
      <c r="B35" s="567" t="s">
        <v>2494</v>
      </c>
      <c r="C35" s="413" t="s">
        <v>2495</v>
      </c>
      <c r="F35" s="338"/>
      <c r="H35" s="338"/>
      <c r="I35" s="338"/>
      <c r="J35" s="338"/>
      <c r="K35" s="414" t="s">
        <v>159</v>
      </c>
      <c r="L35" s="339"/>
      <c r="M35" s="415">
        <f>SUMIF(Orçamento!$B$1:$B$102,B35,Orçamento!$F$1:$F$102)-L35</f>
        <v>0</v>
      </c>
    </row>
    <row r="36" spans="1:13" ht="15" customHeight="1" x14ac:dyDescent="0.2">
      <c r="B36" s="597" t="s">
        <v>28268</v>
      </c>
      <c r="C36" s="598" t="s">
        <v>31545</v>
      </c>
      <c r="D36" s="593"/>
      <c r="E36" s="593"/>
      <c r="F36" s="594"/>
      <c r="G36" s="593"/>
      <c r="H36" s="594"/>
      <c r="I36" s="594"/>
      <c r="J36" s="594"/>
      <c r="K36" s="595" t="s">
        <v>159</v>
      </c>
      <c r="L36" s="596">
        <f>I18</f>
        <v>109.73</v>
      </c>
      <c r="M36" s="415">
        <f>SUMIF(Orçamento!$B$1:$B$102,B36,Orçamento!$F$1:$F$102)-L36</f>
        <v>0</v>
      </c>
    </row>
    <row r="37" spans="1:13" ht="15" customHeight="1" x14ac:dyDescent="0.2">
      <c r="B37" s="599" t="s">
        <v>28264</v>
      </c>
      <c r="C37" s="600" t="s">
        <v>258</v>
      </c>
      <c r="D37" s="601"/>
      <c r="E37" s="601"/>
      <c r="F37" s="601"/>
      <c r="G37" s="601"/>
      <c r="H37" s="601"/>
      <c r="I37" s="601"/>
      <c r="J37" s="601"/>
      <c r="K37" s="602" t="s">
        <v>159</v>
      </c>
      <c r="L37" s="603">
        <f>J18</f>
        <v>94.745000000000005</v>
      </c>
      <c r="M37" s="415">
        <f>SUMIF(Orçamento!$B$1:$B$102,B37,Orçamento!$F$1:$F$102)-L37</f>
        <v>4.9999999999954525E-3</v>
      </c>
    </row>
    <row r="38" spans="1:13" ht="15" hidden="1" customHeight="1" x14ac:dyDescent="0.2">
      <c r="A38" s="202" t="s">
        <v>304</v>
      </c>
      <c r="B38" s="588" t="s">
        <v>259</v>
      </c>
      <c r="C38" s="591" t="s">
        <v>306</v>
      </c>
      <c r="F38" s="589"/>
      <c r="H38" s="589"/>
      <c r="I38" s="589"/>
      <c r="J38" s="589"/>
      <c r="K38" s="590" t="s">
        <v>159</v>
      </c>
      <c r="L38" s="589"/>
      <c r="M38" s="415">
        <f>SUMIF(Orçamento!$B$1:$B$102,B38,Orçamento!$F$1:$F$102)-L38</f>
        <v>0</v>
      </c>
    </row>
    <row r="39" spans="1:13" ht="15" customHeight="1" x14ac:dyDescent="0.2">
      <c r="B39" s="592" t="s">
        <v>38971</v>
      </c>
      <c r="C39" s="598" t="s">
        <v>260</v>
      </c>
      <c r="D39" s="593"/>
      <c r="E39" s="593"/>
      <c r="F39" s="594"/>
      <c r="G39" s="593"/>
      <c r="H39" s="594"/>
      <c r="I39" s="594"/>
      <c r="J39" s="594"/>
      <c r="K39" s="595" t="s">
        <v>227</v>
      </c>
      <c r="L39" s="596">
        <f>K18</f>
        <v>4089.4999999999995</v>
      </c>
      <c r="M39" s="415">
        <f>SUMIF(Orçamento!$B$1:$B$102,B39,Orçamento!$F$1:$F$102)-L39</f>
        <v>0</v>
      </c>
    </row>
    <row r="40" spans="1:13" ht="15" customHeight="1" x14ac:dyDescent="0.2">
      <c r="B40" s="599" t="s">
        <v>38972</v>
      </c>
      <c r="C40" s="600" t="s">
        <v>261</v>
      </c>
      <c r="D40" s="601"/>
      <c r="E40" s="601"/>
      <c r="F40" s="601"/>
      <c r="G40" s="601"/>
      <c r="H40" s="601"/>
      <c r="I40" s="601"/>
      <c r="J40" s="601"/>
      <c r="K40" s="602" t="s">
        <v>227</v>
      </c>
      <c r="L40" s="603">
        <f>L18</f>
        <v>1894.8999999999999</v>
      </c>
      <c r="M40" s="415">
        <f>SUMIF(Orçamento!$B$1:$B$102,B40,Orçamento!$F$1:$F$102)-L40</f>
        <v>0</v>
      </c>
    </row>
    <row r="41" spans="1:13" ht="15" hidden="1" customHeight="1" x14ac:dyDescent="0.2">
      <c r="A41" s="202" t="s">
        <v>304</v>
      </c>
      <c r="B41" s="588" t="s">
        <v>262</v>
      </c>
      <c r="C41" s="591" t="s">
        <v>263</v>
      </c>
      <c r="F41" s="589"/>
      <c r="H41" s="589"/>
      <c r="I41" s="589"/>
      <c r="J41" s="589"/>
      <c r="K41" s="590" t="s">
        <v>159</v>
      </c>
      <c r="L41" s="589"/>
      <c r="M41" s="415">
        <f>SUMIF(Orçamento!$B$1:$B$102,B41,Orçamento!$F$1:$F$102)-L41</f>
        <v>0</v>
      </c>
    </row>
    <row r="42" spans="1:13" ht="15" hidden="1" customHeight="1" x14ac:dyDescent="0.2">
      <c r="A42" s="202" t="s">
        <v>304</v>
      </c>
      <c r="B42" s="337" t="s">
        <v>264</v>
      </c>
      <c r="C42" s="413" t="s">
        <v>265</v>
      </c>
      <c r="F42" s="338"/>
      <c r="H42" s="338"/>
      <c r="I42" s="338"/>
      <c r="J42" s="338"/>
      <c r="K42" s="414" t="s">
        <v>159</v>
      </c>
      <c r="L42" s="338"/>
      <c r="M42" s="415">
        <f>SUMIF(Orçamento!$B$1:$B$102,B42,Orçamento!$F$1:$F$102)-L42</f>
        <v>0</v>
      </c>
    </row>
    <row r="43" spans="1:13" ht="15" customHeight="1" x14ac:dyDescent="0.2">
      <c r="B43" s="599" t="s">
        <v>38955</v>
      </c>
      <c r="C43" s="600" t="s">
        <v>44094</v>
      </c>
      <c r="D43" s="601"/>
      <c r="E43" s="601"/>
      <c r="F43" s="601"/>
      <c r="G43" s="601"/>
      <c r="H43" s="601"/>
      <c r="I43" s="601"/>
      <c r="J43" s="601"/>
      <c r="K43" s="602" t="s">
        <v>159</v>
      </c>
      <c r="L43" s="603">
        <f>N18</f>
        <v>568.46999999999991</v>
      </c>
      <c r="M43" s="415">
        <f>SUMIF(Orçamento!$B$1:$B$102,B43,Orçamento!$F$1:$F$102)-L43</f>
        <v>0</v>
      </c>
    </row>
    <row r="44" spans="1:13" ht="15" customHeight="1" x14ac:dyDescent="0.2">
      <c r="B44" s="599" t="s">
        <v>15031</v>
      </c>
      <c r="C44" s="601" t="s">
        <v>249</v>
      </c>
      <c r="D44" s="601"/>
      <c r="E44" s="601"/>
      <c r="F44" s="601"/>
      <c r="G44" s="601"/>
      <c r="H44" s="601"/>
      <c r="I44" s="601"/>
      <c r="J44" s="601"/>
      <c r="K44" s="602" t="s">
        <v>159</v>
      </c>
      <c r="L44" s="603">
        <f>M18</f>
        <v>303.18399999999997</v>
      </c>
      <c r="M44" s="415">
        <f>SUMIF(Orçamento!$B$1:$B$102,B44,Orçamento!$F$1:$F$102)-L44</f>
        <v>-3.999999999962256E-3</v>
      </c>
    </row>
    <row r="45" spans="1:13" ht="15" hidden="1" customHeight="1" x14ac:dyDescent="0.2">
      <c r="A45" s="202" t="s">
        <v>304</v>
      </c>
      <c r="B45" s="588" t="s">
        <v>250</v>
      </c>
      <c r="C45" s="202" t="s">
        <v>251</v>
      </c>
      <c r="F45" s="589"/>
      <c r="H45" s="589"/>
      <c r="I45" s="589"/>
      <c r="J45" s="589"/>
      <c r="K45" s="203" t="s">
        <v>159</v>
      </c>
      <c r="L45" s="589"/>
      <c r="M45" s="415">
        <f>SUMIF(Orçamento!$B$1:$B$102,B45,Orçamento!$F$1:$F$102)-L45</f>
        <v>0</v>
      </c>
    </row>
    <row r="46" spans="1:13" ht="15" hidden="1" customHeight="1" x14ac:dyDescent="0.2">
      <c r="A46" s="202" t="s">
        <v>304</v>
      </c>
      <c r="B46" s="337" t="s">
        <v>252</v>
      </c>
      <c r="C46" s="202" t="s">
        <v>253</v>
      </c>
      <c r="F46" s="338"/>
      <c r="H46" s="338"/>
      <c r="I46" s="338"/>
      <c r="J46" s="338"/>
      <c r="K46" s="203" t="s">
        <v>159</v>
      </c>
      <c r="L46" s="338"/>
      <c r="M46" s="415">
        <f>SUMIF(Orçamento!$B$1:$B$102,B46,Orçamento!$F$1:$F$102)-L46</f>
        <v>0</v>
      </c>
    </row>
    <row r="47" spans="1:13" ht="15" hidden="1" customHeight="1" x14ac:dyDescent="0.2">
      <c r="A47" s="202" t="s">
        <v>304</v>
      </c>
      <c r="B47" s="337" t="s">
        <v>254</v>
      </c>
      <c r="C47" s="202" t="s">
        <v>300</v>
      </c>
      <c r="F47" s="338"/>
      <c r="H47" s="338"/>
      <c r="I47" s="338"/>
      <c r="J47" s="338"/>
      <c r="K47" s="203" t="s">
        <v>159</v>
      </c>
      <c r="L47" s="338"/>
      <c r="M47" s="415">
        <f>SUMIF(Orçamento!$B$1:$B$102,B47,Orçamento!$F$1:$F$102)-L47</f>
        <v>0</v>
      </c>
    </row>
    <row r="48" spans="1:13" ht="15" hidden="1" customHeight="1" x14ac:dyDescent="0.2">
      <c r="A48" s="202" t="s">
        <v>304</v>
      </c>
      <c r="B48" s="337" t="s">
        <v>255</v>
      </c>
      <c r="C48" s="202" t="s">
        <v>301</v>
      </c>
      <c r="F48" s="338"/>
      <c r="H48" s="338"/>
      <c r="I48" s="338"/>
      <c r="J48" s="338"/>
      <c r="K48" s="203" t="s">
        <v>227</v>
      </c>
      <c r="L48" s="338"/>
      <c r="M48" s="415">
        <f>SUMIF(Orçamento!$B$1:$B$102,B48,Orçamento!$F$1:$F$102)-L48</f>
        <v>0</v>
      </c>
    </row>
    <row r="49" spans="1:13" ht="15" hidden="1" customHeight="1" x14ac:dyDescent="0.2">
      <c r="A49" s="202" t="s">
        <v>304</v>
      </c>
      <c r="B49" s="337" t="s">
        <v>256</v>
      </c>
      <c r="C49" s="202" t="s">
        <v>257</v>
      </c>
      <c r="F49" s="338"/>
      <c r="H49" s="338"/>
      <c r="I49" s="338"/>
      <c r="J49" s="338"/>
      <c r="K49" s="203" t="s">
        <v>227</v>
      </c>
      <c r="L49" s="338"/>
      <c r="M49" s="415">
        <f>SUMIF(Orçamento!$B$1:$B$102,B49,Orçamento!$F$1:$F$102)-L49</f>
        <v>0</v>
      </c>
    </row>
    <row r="50" spans="1:13" ht="15" customHeight="1" x14ac:dyDescent="0.2">
      <c r="B50" s="592" t="s">
        <v>7585</v>
      </c>
      <c r="C50" s="593" t="s">
        <v>245</v>
      </c>
      <c r="D50" s="593"/>
      <c r="E50" s="593"/>
      <c r="F50" s="594"/>
      <c r="G50" s="593"/>
      <c r="H50" s="594"/>
      <c r="I50" s="594"/>
      <c r="J50" s="594"/>
      <c r="K50" s="604" t="s">
        <v>159</v>
      </c>
      <c r="L50" s="605">
        <f>K28</f>
        <v>30.400000000000002</v>
      </c>
      <c r="M50" s="415">
        <f>SUMIF(Orçamento!$B$83:$B$94,B50,Orçamento!$F$83:$F$94)-L50</f>
        <v>0</v>
      </c>
    </row>
    <row r="51" spans="1:13" ht="15" customHeight="1" x14ac:dyDescent="0.2">
      <c r="B51" s="599" t="s">
        <v>15588</v>
      </c>
      <c r="C51" s="601" t="s">
        <v>244</v>
      </c>
      <c r="D51" s="601"/>
      <c r="E51" s="601"/>
      <c r="F51" s="601"/>
      <c r="G51" s="601"/>
      <c r="H51" s="601"/>
      <c r="I51" s="601"/>
      <c r="J51" s="601"/>
      <c r="K51" s="602" t="s">
        <v>159</v>
      </c>
      <c r="L51" s="606">
        <f>I28</f>
        <v>42.56</v>
      </c>
      <c r="M51" s="415">
        <f>SUMIF(Orçamento!$B$1:$B$102,B51,Orçamento!$F$1:$F$102)-L51</f>
        <v>0</v>
      </c>
    </row>
    <row r="52" spans="1:13" ht="15" customHeight="1" x14ac:dyDescent="0.2">
      <c r="B52" s="599" t="s">
        <v>13</v>
      </c>
      <c r="C52" s="601" t="s">
        <v>243</v>
      </c>
      <c r="D52" s="601"/>
      <c r="E52" s="601"/>
      <c r="F52" s="601"/>
      <c r="G52" s="601"/>
      <c r="H52" s="601"/>
      <c r="I52" s="601"/>
      <c r="J52" s="601"/>
      <c r="K52" s="602" t="s">
        <v>227</v>
      </c>
      <c r="L52" s="606">
        <v>0</v>
      </c>
      <c r="M52" s="415">
        <f>SUMIF(Orçamento!$B$1:$B$102,B52,Orçamento!$F$1:$F$102)-L52</f>
        <v>0</v>
      </c>
    </row>
    <row r="53" spans="1:13" ht="15" hidden="1" customHeight="1" x14ac:dyDescent="0.2">
      <c r="B53" s="588"/>
      <c r="C53" s="588"/>
      <c r="D53" s="589"/>
      <c r="E53" s="589"/>
      <c r="F53" s="589"/>
      <c r="G53" s="589"/>
      <c r="H53" s="589"/>
      <c r="I53" s="589"/>
      <c r="J53" s="589"/>
      <c r="K53" s="589"/>
      <c r="L53" s="589"/>
    </row>
    <row r="54" spans="1:13" ht="15" hidden="1" customHeight="1" x14ac:dyDescent="0.2">
      <c r="B54" s="337"/>
      <c r="C54" s="337"/>
      <c r="D54" s="338"/>
      <c r="E54" s="338"/>
      <c r="F54" s="338"/>
      <c r="G54" s="338"/>
      <c r="H54" s="338"/>
      <c r="I54" s="338"/>
      <c r="J54" s="338"/>
      <c r="K54" s="338"/>
      <c r="L54" s="338"/>
    </row>
    <row r="55" spans="1:13" ht="15" hidden="1" customHeight="1" x14ac:dyDescent="0.2">
      <c r="B55" s="337"/>
      <c r="C55" s="337"/>
    </row>
    <row r="56" spans="1:13" ht="15" hidden="1" customHeight="1" x14ac:dyDescent="0.2">
      <c r="B56" s="337"/>
      <c r="C56" s="337"/>
    </row>
    <row r="57" spans="1:13" ht="15" hidden="1" customHeight="1" x14ac:dyDescent="0.2">
      <c r="B57" s="337"/>
      <c r="C57" s="337"/>
      <c r="M57" s="240"/>
    </row>
    <row r="58" spans="1:13" ht="15" hidden="1" customHeight="1" x14ac:dyDescent="0.2">
      <c r="B58" s="337"/>
      <c r="C58" s="337"/>
    </row>
    <row r="59" spans="1:13" ht="15" hidden="1" customHeight="1" x14ac:dyDescent="0.2">
      <c r="B59" s="337"/>
      <c r="C59" s="337"/>
    </row>
    <row r="60" spans="1:13" ht="15" hidden="1" customHeight="1" x14ac:dyDescent="0.2">
      <c r="B60" s="337"/>
      <c r="C60" s="337"/>
      <c r="M60" s="240"/>
    </row>
    <row r="61" spans="1:13" ht="15" hidden="1" customHeight="1" x14ac:dyDescent="0.2">
      <c r="B61" s="337"/>
      <c r="C61" s="337"/>
    </row>
    <row r="62" spans="1:13" ht="15" hidden="1" customHeight="1" x14ac:dyDescent="0.2">
      <c r="B62" s="337"/>
      <c r="C62" s="337"/>
    </row>
    <row r="63" spans="1:13" ht="15" hidden="1" customHeight="1" x14ac:dyDescent="0.2">
      <c r="B63" s="337"/>
      <c r="C63" s="337"/>
    </row>
    <row r="64" spans="1:13" ht="15" hidden="1" customHeight="1" x14ac:dyDescent="0.2">
      <c r="B64" s="337"/>
      <c r="C64" s="337"/>
    </row>
    <row r="65" spans="2:13" ht="15" hidden="1" customHeight="1" x14ac:dyDescent="0.2">
      <c r="B65" s="337"/>
      <c r="C65" s="337"/>
    </row>
    <row r="66" spans="2:13" ht="15" hidden="1" customHeight="1" x14ac:dyDescent="0.2">
      <c r="B66" s="337"/>
      <c r="C66" s="337"/>
    </row>
    <row r="67" spans="2:13" ht="15" hidden="1" customHeight="1" x14ac:dyDescent="0.2">
      <c r="B67" s="337"/>
      <c r="C67" s="337"/>
    </row>
    <row r="68" spans="2:13" ht="15" hidden="1" customHeight="1" x14ac:dyDescent="0.2">
      <c r="B68" s="337"/>
      <c r="C68" s="337"/>
    </row>
    <row r="69" spans="2:13" ht="15" hidden="1" customHeight="1" x14ac:dyDescent="0.2">
      <c r="B69" s="337"/>
      <c r="C69" s="337"/>
    </row>
    <row r="70" spans="2:13" ht="15" hidden="1" customHeight="1" x14ac:dyDescent="0.2">
      <c r="B70" s="337"/>
      <c r="C70" s="337"/>
    </row>
    <row r="71" spans="2:13" ht="15" hidden="1" customHeight="1" x14ac:dyDescent="0.2">
      <c r="B71" s="337"/>
      <c r="C71" s="337"/>
    </row>
    <row r="72" spans="2:13" ht="15" hidden="1" customHeight="1" x14ac:dyDescent="0.2">
      <c r="B72" s="337"/>
      <c r="C72" s="337"/>
      <c r="M72" s="240"/>
    </row>
    <row r="73" spans="2:13" ht="15" hidden="1" customHeight="1" x14ac:dyDescent="0.2">
      <c r="B73" s="337"/>
      <c r="C73" s="337"/>
    </row>
    <row r="74" spans="2:13" ht="15" hidden="1" customHeight="1" x14ac:dyDescent="0.2">
      <c r="B74" s="337"/>
      <c r="C74" s="337"/>
    </row>
    <row r="75" spans="2:13" ht="15" hidden="1" customHeight="1" x14ac:dyDescent="0.2">
      <c r="B75" s="337"/>
      <c r="C75" s="337"/>
    </row>
    <row r="76" spans="2:13" ht="15" hidden="1" customHeight="1" x14ac:dyDescent="0.2">
      <c r="B76" s="337"/>
      <c r="C76" s="337"/>
    </row>
    <row r="77" spans="2:13" ht="15" hidden="1" customHeight="1" x14ac:dyDescent="0.2">
      <c r="B77" s="337"/>
      <c r="C77" s="337"/>
    </row>
    <row r="78" spans="2:13" ht="15" hidden="1" customHeight="1" x14ac:dyDescent="0.2">
      <c r="B78" s="337"/>
      <c r="C78" s="337"/>
    </row>
    <row r="79" spans="2:13" ht="15" hidden="1" customHeight="1" x14ac:dyDescent="0.2">
      <c r="B79" s="337"/>
      <c r="C79" s="337"/>
    </row>
    <row r="80" spans="2:13" ht="15" hidden="1" customHeight="1" x14ac:dyDescent="0.2">
      <c r="B80" s="337"/>
      <c r="C80" s="337"/>
    </row>
    <row r="81" spans="2:13" ht="15" hidden="1" customHeight="1" x14ac:dyDescent="0.2">
      <c r="B81" s="337"/>
      <c r="C81" s="337"/>
    </row>
    <row r="82" spans="2:13" ht="15" hidden="1" customHeight="1" x14ac:dyDescent="0.2">
      <c r="B82" s="337"/>
      <c r="C82" s="337"/>
    </row>
    <row r="83" spans="2:13" ht="15" hidden="1" customHeight="1" x14ac:dyDescent="0.2">
      <c r="B83" s="337"/>
      <c r="C83" s="337"/>
    </row>
    <row r="84" spans="2:13" ht="15" hidden="1" customHeight="1" x14ac:dyDescent="0.2">
      <c r="B84" s="337"/>
      <c r="C84" s="337"/>
    </row>
    <row r="85" spans="2:13" ht="15" hidden="1" customHeight="1" x14ac:dyDescent="0.2">
      <c r="B85" s="337"/>
      <c r="C85" s="337"/>
    </row>
    <row r="86" spans="2:13" ht="15" hidden="1" customHeight="1" x14ac:dyDescent="0.2">
      <c r="B86" s="337"/>
      <c r="C86" s="337"/>
    </row>
    <row r="87" spans="2:13" ht="15" hidden="1" customHeight="1" x14ac:dyDescent="0.2">
      <c r="B87" s="337"/>
      <c r="C87" s="337"/>
    </row>
    <row r="88" spans="2:13" ht="15" hidden="1" customHeight="1" x14ac:dyDescent="0.2">
      <c r="B88" s="337"/>
      <c r="C88" s="337"/>
    </row>
    <row r="89" spans="2:13" ht="15" hidden="1" customHeight="1" x14ac:dyDescent="0.2">
      <c r="B89" s="337"/>
      <c r="C89" s="337"/>
      <c r="M89" s="240"/>
    </row>
    <row r="90" spans="2:13" ht="15" hidden="1" customHeight="1" x14ac:dyDescent="0.2">
      <c r="B90" s="337"/>
      <c r="C90" s="337"/>
    </row>
    <row r="91" spans="2:13" ht="15" hidden="1" customHeight="1" x14ac:dyDescent="0.2">
      <c r="B91" s="337"/>
      <c r="C91" s="337"/>
    </row>
    <row r="92" spans="2:13" ht="15" hidden="1" customHeight="1" x14ac:dyDescent="0.2">
      <c r="B92" s="337"/>
      <c r="C92" s="337"/>
    </row>
    <row r="93" spans="2:13" ht="15" hidden="1" customHeight="1" x14ac:dyDescent="0.2">
      <c r="B93" s="337"/>
      <c r="C93" s="337"/>
    </row>
    <row r="94" spans="2:13" ht="15" hidden="1" customHeight="1" x14ac:dyDescent="0.2">
      <c r="B94" s="337"/>
      <c r="C94" s="337"/>
    </row>
    <row r="95" spans="2:13" ht="15" hidden="1" customHeight="1" x14ac:dyDescent="0.2">
      <c r="B95" s="337"/>
      <c r="C95" s="337"/>
    </row>
    <row r="96" spans="2:13" ht="15" hidden="1" customHeight="1" x14ac:dyDescent="0.2">
      <c r="B96" s="337"/>
      <c r="C96" s="337"/>
    </row>
    <row r="97" spans="2:13" ht="15" hidden="1" customHeight="1" x14ac:dyDescent="0.2">
      <c r="B97" s="337"/>
      <c r="C97" s="337"/>
    </row>
    <row r="98" spans="2:13" ht="15" hidden="1" customHeight="1" x14ac:dyDescent="0.2">
      <c r="B98" s="337"/>
      <c r="C98" s="337"/>
    </row>
    <row r="99" spans="2:13" ht="15" hidden="1" customHeight="1" x14ac:dyDescent="0.2">
      <c r="B99" s="337"/>
      <c r="C99" s="337"/>
    </row>
    <row r="100" spans="2:13" ht="15" hidden="1" customHeight="1" x14ac:dyDescent="0.2">
      <c r="B100" s="337"/>
      <c r="C100" s="337"/>
    </row>
    <row r="101" spans="2:13" ht="15" hidden="1" customHeight="1" x14ac:dyDescent="0.2">
      <c r="B101" s="337"/>
      <c r="C101" s="337"/>
      <c r="M101" s="240"/>
    </row>
    <row r="102" spans="2:13" ht="15" hidden="1" customHeight="1" x14ac:dyDescent="0.2">
      <c r="B102" s="337"/>
      <c r="C102" s="337"/>
    </row>
    <row r="103" spans="2:13" ht="15" hidden="1" customHeight="1" x14ac:dyDescent="0.2">
      <c r="B103" s="337"/>
      <c r="C103" s="337"/>
    </row>
    <row r="104" spans="2:13" ht="15" hidden="1" customHeight="1" x14ac:dyDescent="0.2">
      <c r="B104" s="337"/>
      <c r="C104" s="337"/>
    </row>
    <row r="105" spans="2:13" ht="15" hidden="1" customHeight="1" x14ac:dyDescent="0.2">
      <c r="B105" s="337"/>
      <c r="C105" s="337"/>
    </row>
    <row r="106" spans="2:13" ht="15" hidden="1" customHeight="1" x14ac:dyDescent="0.2">
      <c r="B106" s="337"/>
      <c r="C106" s="337"/>
    </row>
    <row r="107" spans="2:13" ht="15" hidden="1" customHeight="1" x14ac:dyDescent="0.2">
      <c r="B107" s="337"/>
      <c r="C107" s="337"/>
    </row>
    <row r="108" spans="2:13" ht="15" hidden="1" customHeight="1" x14ac:dyDescent="0.2">
      <c r="B108" s="337"/>
      <c r="C108" s="337"/>
    </row>
    <row r="109" spans="2:13" ht="15" hidden="1" customHeight="1" x14ac:dyDescent="0.2">
      <c r="B109" s="337"/>
      <c r="C109" s="337"/>
    </row>
    <row r="110" spans="2:13" ht="15" hidden="1" customHeight="1" x14ac:dyDescent="0.2">
      <c r="B110" s="337"/>
      <c r="C110" s="337"/>
    </row>
    <row r="111" spans="2:13" ht="15" hidden="1" customHeight="1" x14ac:dyDescent="0.2">
      <c r="B111" s="337"/>
      <c r="C111" s="337"/>
    </row>
    <row r="112" spans="2:13" ht="15" hidden="1" customHeight="1" x14ac:dyDescent="0.2">
      <c r="B112" s="337"/>
      <c r="C112" s="337"/>
    </row>
    <row r="113" spans="2:13" ht="15" hidden="1" customHeight="1" x14ac:dyDescent="0.2">
      <c r="B113" s="337"/>
      <c r="C113" s="337"/>
    </row>
    <row r="114" spans="2:13" ht="15" hidden="1" customHeight="1" x14ac:dyDescent="0.2">
      <c r="B114" s="337"/>
      <c r="C114" s="337"/>
    </row>
    <row r="115" spans="2:13" ht="15" hidden="1" customHeight="1" x14ac:dyDescent="0.2">
      <c r="B115" s="337"/>
      <c r="C115" s="337"/>
    </row>
    <row r="116" spans="2:13" ht="15" hidden="1" customHeight="1" x14ac:dyDescent="0.2">
      <c r="B116" s="337"/>
      <c r="C116" s="337"/>
    </row>
    <row r="117" spans="2:13" ht="15" hidden="1" customHeight="1" x14ac:dyDescent="0.2">
      <c r="B117" s="337"/>
      <c r="C117" s="337"/>
    </row>
    <row r="118" spans="2:13" ht="15" hidden="1" customHeight="1" x14ac:dyDescent="0.2">
      <c r="B118" s="337"/>
      <c r="C118" s="337"/>
    </row>
    <row r="119" spans="2:13" ht="15" hidden="1" customHeight="1" x14ac:dyDescent="0.2">
      <c r="B119" s="337"/>
      <c r="C119" s="337"/>
    </row>
    <row r="120" spans="2:13" hidden="1" x14ac:dyDescent="0.2">
      <c r="B120" s="337"/>
      <c r="C120" s="337"/>
      <c r="M120" s="240"/>
    </row>
    <row r="121" spans="2:13" hidden="1" x14ac:dyDescent="0.2">
      <c r="B121" s="337"/>
      <c r="C121" s="337"/>
      <c r="M121" s="240"/>
    </row>
    <row r="122" spans="2:13" hidden="1" x14ac:dyDescent="0.2">
      <c r="B122" s="337"/>
      <c r="C122" s="337"/>
      <c r="M122" s="240"/>
    </row>
    <row r="123" spans="2:13" hidden="1" x14ac:dyDescent="0.2">
      <c r="B123" s="337"/>
      <c r="C123" s="337"/>
      <c r="M123" s="240"/>
    </row>
  </sheetData>
  <autoFilter ref="B31:L123" xr:uid="{00000000-0009-0000-0000-000004000000}">
    <filterColumn colId="1" showButton="0"/>
    <filterColumn colId="2" showButton="0"/>
    <filterColumn colId="3" showButton="0"/>
    <filterColumn colId="4" showButton="0"/>
    <filterColumn colId="5" showButton="0"/>
    <filterColumn colId="6" showButton="0"/>
    <filterColumn colId="10">
      <customFilters>
        <customFilter operator="notEqual" val=" "/>
      </customFilters>
    </filterColumn>
  </autoFilter>
  <mergeCells count="4">
    <mergeCell ref="A1:O1"/>
    <mergeCell ref="C31:I31"/>
    <mergeCell ref="O4:O5"/>
    <mergeCell ref="G6:G8"/>
  </mergeCells>
  <conditionalFormatting sqref="I6:O8">
    <cfRule type="containsBlanks" dxfId="356" priority="10">
      <formula>LEN(TRIM(I6))=0</formula>
    </cfRule>
  </conditionalFormatting>
  <conditionalFormatting sqref="I14:O14 I16:O17">
    <cfRule type="containsBlanks" dxfId="355" priority="8">
      <formula>LEN(TRIM(I14))=0</formula>
    </cfRule>
  </conditionalFormatting>
  <conditionalFormatting sqref="K6">
    <cfRule type="expression" dxfId="354" priority="4">
      <formula>AND($I$6&gt;=0.06,$K$6=1)</formula>
    </cfRule>
  </conditionalFormatting>
  <conditionalFormatting sqref="I15:O15">
    <cfRule type="containsBlanks" dxfId="353" priority="3">
      <formula>LEN(TRIM(I15))=0</formula>
    </cfRule>
  </conditionalFormatting>
  <dataValidations disablePrompts="1" count="3">
    <dataValidation type="list" allowBlank="1" showInputMessage="1" showErrorMessage="1" sqref="H14" xr:uid="{00000000-0002-0000-0400-000000000000}">
      <formula1>$H$6:$H$9</formula1>
    </dataValidation>
    <dataValidation type="list" allowBlank="1" showInputMessage="1" sqref="H15:H17" xr:uid="{00000000-0002-0000-0400-000001000000}">
      <formula1>$H$6:$H$9</formula1>
    </dataValidation>
    <dataValidation type="custom" errorStyle="warning" allowBlank="1" showInputMessage="1" showErrorMessage="1" error="ESP.&gt;6cm COMPACTAR EM DUAS CAMADAS" sqref="I6:I7" xr:uid="{00000000-0002-0000-0400-000002000000}">
      <formula1>I6&gt;0.06</formula1>
    </dataValidation>
  </dataValidations>
  <pageMargins left="0.27559055118110237" right="0.19685039370078741" top="0.78740157480314965" bottom="0.78740157480314965" header="0.31496062992125984" footer="0.31496062992125984"/>
  <pageSetup paperSize="9" scale="74" orientation="landscape" r:id="rId1"/>
  <rowBreaks count="1" manualBreakCount="1">
    <brk id="19" max="14"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pageSetUpPr fitToPage="1"/>
  </sheetPr>
  <dimension ref="A2:AD40"/>
  <sheetViews>
    <sheetView view="pageBreakPreview" topLeftCell="A4" zoomScaleNormal="85" zoomScaleSheetLayoutView="100" workbookViewId="0">
      <selection activeCell="O43" sqref="O43"/>
    </sheetView>
  </sheetViews>
  <sheetFormatPr defaultRowHeight="12.75" x14ac:dyDescent="0.2"/>
  <cols>
    <col min="1" max="1" width="17.28515625" style="14" customWidth="1"/>
    <col min="2" max="3" width="9.140625" style="14" customWidth="1"/>
    <col min="4" max="8" width="9.140625" style="14"/>
    <col min="9" max="9" width="11.5703125" style="14" bestFit="1" customWidth="1"/>
    <col min="10" max="10" width="9.140625" style="14"/>
    <col min="11" max="11" width="9.140625" style="356"/>
    <col min="12" max="20" width="9.140625" style="14"/>
    <col min="21" max="30" width="0" style="14" hidden="1" customWidth="1"/>
    <col min="31" max="257" width="9.140625" style="14"/>
    <col min="258" max="258" width="17.28515625" style="14" customWidth="1"/>
    <col min="259" max="265" width="9.140625" style="14"/>
    <col min="266" max="266" width="11.5703125" style="14" bestFit="1" customWidth="1"/>
    <col min="267" max="513" width="9.140625" style="14"/>
    <col min="514" max="514" width="17.28515625" style="14" customWidth="1"/>
    <col min="515" max="521" width="9.140625" style="14"/>
    <col min="522" max="522" width="11.5703125" style="14" bestFit="1" customWidth="1"/>
    <col min="523" max="769" width="9.140625" style="14"/>
    <col min="770" max="770" width="17.28515625" style="14" customWidth="1"/>
    <col min="771" max="777" width="9.140625" style="14"/>
    <col min="778" max="778" width="11.5703125" style="14" bestFit="1" customWidth="1"/>
    <col min="779" max="1025" width="9.140625" style="14"/>
    <col min="1026" max="1026" width="17.28515625" style="14" customWidth="1"/>
    <col min="1027" max="1033" width="9.140625" style="14"/>
    <col min="1034" max="1034" width="11.5703125" style="14" bestFit="1" customWidth="1"/>
    <col min="1035" max="1281" width="9.140625" style="14"/>
    <col min="1282" max="1282" width="17.28515625" style="14" customWidth="1"/>
    <col min="1283" max="1289" width="9.140625" style="14"/>
    <col min="1290" max="1290" width="11.5703125" style="14" bestFit="1" customWidth="1"/>
    <col min="1291" max="1537" width="9.140625" style="14"/>
    <col min="1538" max="1538" width="17.28515625" style="14" customWidth="1"/>
    <col min="1539" max="1545" width="9.140625" style="14"/>
    <col min="1546" max="1546" width="11.5703125" style="14" bestFit="1" customWidth="1"/>
    <col min="1547" max="1793" width="9.140625" style="14"/>
    <col min="1794" max="1794" width="17.28515625" style="14" customWidth="1"/>
    <col min="1795" max="1801" width="9.140625" style="14"/>
    <col min="1802" max="1802" width="11.5703125" style="14" bestFit="1" customWidth="1"/>
    <col min="1803" max="2049" width="9.140625" style="14"/>
    <col min="2050" max="2050" width="17.28515625" style="14" customWidth="1"/>
    <col min="2051" max="2057" width="9.140625" style="14"/>
    <col min="2058" max="2058" width="11.5703125" style="14" bestFit="1" customWidth="1"/>
    <col min="2059" max="2305" width="9.140625" style="14"/>
    <col min="2306" max="2306" width="17.28515625" style="14" customWidth="1"/>
    <col min="2307" max="2313" width="9.140625" style="14"/>
    <col min="2314" max="2314" width="11.5703125" style="14" bestFit="1" customWidth="1"/>
    <col min="2315" max="2561" width="9.140625" style="14"/>
    <col min="2562" max="2562" width="17.28515625" style="14" customWidth="1"/>
    <col min="2563" max="2569" width="9.140625" style="14"/>
    <col min="2570" max="2570" width="11.5703125" style="14" bestFit="1" customWidth="1"/>
    <col min="2571" max="2817" width="9.140625" style="14"/>
    <col min="2818" max="2818" width="17.28515625" style="14" customWidth="1"/>
    <col min="2819" max="2825" width="9.140625" style="14"/>
    <col min="2826" max="2826" width="11.5703125" style="14" bestFit="1" customWidth="1"/>
    <col min="2827" max="3073" width="9.140625" style="14"/>
    <col min="3074" max="3074" width="17.28515625" style="14" customWidth="1"/>
    <col min="3075" max="3081" width="9.140625" style="14"/>
    <col min="3082" max="3082" width="11.5703125" style="14" bestFit="1" customWidth="1"/>
    <col min="3083" max="3329" width="9.140625" style="14"/>
    <col min="3330" max="3330" width="17.28515625" style="14" customWidth="1"/>
    <col min="3331" max="3337" width="9.140625" style="14"/>
    <col min="3338" max="3338" width="11.5703125" style="14" bestFit="1" customWidth="1"/>
    <col min="3339" max="3585" width="9.140625" style="14"/>
    <col min="3586" max="3586" width="17.28515625" style="14" customWidth="1"/>
    <col min="3587" max="3593" width="9.140625" style="14"/>
    <col min="3594" max="3594" width="11.5703125" style="14" bestFit="1" customWidth="1"/>
    <col min="3595" max="3841" width="9.140625" style="14"/>
    <col min="3842" max="3842" width="17.28515625" style="14" customWidth="1"/>
    <col min="3843" max="3849" width="9.140625" style="14"/>
    <col min="3850" max="3850" width="11.5703125" style="14" bestFit="1" customWidth="1"/>
    <col min="3851" max="4097" width="9.140625" style="14"/>
    <col min="4098" max="4098" width="17.28515625" style="14" customWidth="1"/>
    <col min="4099" max="4105" width="9.140625" style="14"/>
    <col min="4106" max="4106" width="11.5703125" style="14" bestFit="1" customWidth="1"/>
    <col min="4107" max="4353" width="9.140625" style="14"/>
    <col min="4354" max="4354" width="17.28515625" style="14" customWidth="1"/>
    <col min="4355" max="4361" width="9.140625" style="14"/>
    <col min="4362" max="4362" width="11.5703125" style="14" bestFit="1" customWidth="1"/>
    <col min="4363" max="4609" width="9.140625" style="14"/>
    <col min="4610" max="4610" width="17.28515625" style="14" customWidth="1"/>
    <col min="4611" max="4617" width="9.140625" style="14"/>
    <col min="4618" max="4618" width="11.5703125" style="14" bestFit="1" customWidth="1"/>
    <col min="4619" max="4865" width="9.140625" style="14"/>
    <col min="4866" max="4866" width="17.28515625" style="14" customWidth="1"/>
    <col min="4867" max="4873" width="9.140625" style="14"/>
    <col min="4874" max="4874" width="11.5703125" style="14" bestFit="1" customWidth="1"/>
    <col min="4875" max="5121" width="9.140625" style="14"/>
    <col min="5122" max="5122" width="17.28515625" style="14" customWidth="1"/>
    <col min="5123" max="5129" width="9.140625" style="14"/>
    <col min="5130" max="5130" width="11.5703125" style="14" bestFit="1" customWidth="1"/>
    <col min="5131" max="5377" width="9.140625" style="14"/>
    <col min="5378" max="5378" width="17.28515625" style="14" customWidth="1"/>
    <col min="5379" max="5385" width="9.140625" style="14"/>
    <col min="5386" max="5386" width="11.5703125" style="14" bestFit="1" customWidth="1"/>
    <col min="5387" max="5633" width="9.140625" style="14"/>
    <col min="5634" max="5634" width="17.28515625" style="14" customWidth="1"/>
    <col min="5635" max="5641" width="9.140625" style="14"/>
    <col min="5642" max="5642" width="11.5703125" style="14" bestFit="1" customWidth="1"/>
    <col min="5643" max="5889" width="9.140625" style="14"/>
    <col min="5890" max="5890" width="17.28515625" style="14" customWidth="1"/>
    <col min="5891" max="5897" width="9.140625" style="14"/>
    <col min="5898" max="5898" width="11.5703125" style="14" bestFit="1" customWidth="1"/>
    <col min="5899" max="6145" width="9.140625" style="14"/>
    <col min="6146" max="6146" width="17.28515625" style="14" customWidth="1"/>
    <col min="6147" max="6153" width="9.140625" style="14"/>
    <col min="6154" max="6154" width="11.5703125" style="14" bestFit="1" customWidth="1"/>
    <col min="6155" max="6401" width="9.140625" style="14"/>
    <col min="6402" max="6402" width="17.28515625" style="14" customWidth="1"/>
    <col min="6403" max="6409" width="9.140625" style="14"/>
    <col min="6410" max="6410" width="11.5703125" style="14" bestFit="1" customWidth="1"/>
    <col min="6411" max="6657" width="9.140625" style="14"/>
    <col min="6658" max="6658" width="17.28515625" style="14" customWidth="1"/>
    <col min="6659" max="6665" width="9.140625" style="14"/>
    <col min="6666" max="6666" width="11.5703125" style="14" bestFit="1" customWidth="1"/>
    <col min="6667" max="6913" width="9.140625" style="14"/>
    <col min="6914" max="6914" width="17.28515625" style="14" customWidth="1"/>
    <col min="6915" max="6921" width="9.140625" style="14"/>
    <col min="6922" max="6922" width="11.5703125" style="14" bestFit="1" customWidth="1"/>
    <col min="6923" max="7169" width="9.140625" style="14"/>
    <col min="7170" max="7170" width="17.28515625" style="14" customWidth="1"/>
    <col min="7171" max="7177" width="9.140625" style="14"/>
    <col min="7178" max="7178" width="11.5703125" style="14" bestFit="1" customWidth="1"/>
    <col min="7179" max="7425" width="9.140625" style="14"/>
    <col min="7426" max="7426" width="17.28515625" style="14" customWidth="1"/>
    <col min="7427" max="7433" width="9.140625" style="14"/>
    <col min="7434" max="7434" width="11.5703125" style="14" bestFit="1" customWidth="1"/>
    <col min="7435" max="7681" width="9.140625" style="14"/>
    <col min="7682" max="7682" width="17.28515625" style="14" customWidth="1"/>
    <col min="7683" max="7689" width="9.140625" style="14"/>
    <col min="7690" max="7690" width="11.5703125" style="14" bestFit="1" customWidth="1"/>
    <col min="7691" max="7937" width="9.140625" style="14"/>
    <col min="7938" max="7938" width="17.28515625" style="14" customWidth="1"/>
    <col min="7939" max="7945" width="9.140625" style="14"/>
    <col min="7946" max="7946" width="11.5703125" style="14" bestFit="1" customWidth="1"/>
    <col min="7947" max="8193" width="9.140625" style="14"/>
    <col min="8194" max="8194" width="17.28515625" style="14" customWidth="1"/>
    <col min="8195" max="8201" width="9.140625" style="14"/>
    <col min="8202" max="8202" width="11.5703125" style="14" bestFit="1" customWidth="1"/>
    <col min="8203" max="8449" width="9.140625" style="14"/>
    <col min="8450" max="8450" width="17.28515625" style="14" customWidth="1"/>
    <col min="8451" max="8457" width="9.140625" style="14"/>
    <col min="8458" max="8458" width="11.5703125" style="14" bestFit="1" customWidth="1"/>
    <col min="8459" max="8705" width="9.140625" style="14"/>
    <col min="8706" max="8706" width="17.28515625" style="14" customWidth="1"/>
    <col min="8707" max="8713" width="9.140625" style="14"/>
    <col min="8714" max="8714" width="11.5703125" style="14" bestFit="1" customWidth="1"/>
    <col min="8715" max="8961" width="9.140625" style="14"/>
    <col min="8962" max="8962" width="17.28515625" style="14" customWidth="1"/>
    <col min="8963" max="8969" width="9.140625" style="14"/>
    <col min="8970" max="8970" width="11.5703125" style="14" bestFit="1" customWidth="1"/>
    <col min="8971" max="9217" width="9.140625" style="14"/>
    <col min="9218" max="9218" width="17.28515625" style="14" customWidth="1"/>
    <col min="9219" max="9225" width="9.140625" style="14"/>
    <col min="9226" max="9226" width="11.5703125" style="14" bestFit="1" customWidth="1"/>
    <col min="9227" max="9473" width="9.140625" style="14"/>
    <col min="9474" max="9474" width="17.28515625" style="14" customWidth="1"/>
    <col min="9475" max="9481" width="9.140625" style="14"/>
    <col min="9482" max="9482" width="11.5703125" style="14" bestFit="1" customWidth="1"/>
    <col min="9483" max="9729" width="9.140625" style="14"/>
    <col min="9730" max="9730" width="17.28515625" style="14" customWidth="1"/>
    <col min="9731" max="9737" width="9.140625" style="14"/>
    <col min="9738" max="9738" width="11.5703125" style="14" bestFit="1" customWidth="1"/>
    <col min="9739" max="9985" width="9.140625" style="14"/>
    <col min="9986" max="9986" width="17.28515625" style="14" customWidth="1"/>
    <col min="9987" max="9993" width="9.140625" style="14"/>
    <col min="9994" max="9994" width="11.5703125" style="14" bestFit="1" customWidth="1"/>
    <col min="9995" max="10241" width="9.140625" style="14"/>
    <col min="10242" max="10242" width="17.28515625" style="14" customWidth="1"/>
    <col min="10243" max="10249" width="9.140625" style="14"/>
    <col min="10250" max="10250" width="11.5703125" style="14" bestFit="1" customWidth="1"/>
    <col min="10251" max="10497" width="9.140625" style="14"/>
    <col min="10498" max="10498" width="17.28515625" style="14" customWidth="1"/>
    <col min="10499" max="10505" width="9.140625" style="14"/>
    <col min="10506" max="10506" width="11.5703125" style="14" bestFit="1" customWidth="1"/>
    <col min="10507" max="10753" width="9.140625" style="14"/>
    <col min="10754" max="10754" width="17.28515625" style="14" customWidth="1"/>
    <col min="10755" max="10761" width="9.140625" style="14"/>
    <col min="10762" max="10762" width="11.5703125" style="14" bestFit="1" customWidth="1"/>
    <col min="10763" max="11009" width="9.140625" style="14"/>
    <col min="11010" max="11010" width="17.28515625" style="14" customWidth="1"/>
    <col min="11011" max="11017" width="9.140625" style="14"/>
    <col min="11018" max="11018" width="11.5703125" style="14" bestFit="1" customWidth="1"/>
    <col min="11019" max="11265" width="9.140625" style="14"/>
    <col min="11266" max="11266" width="17.28515625" style="14" customWidth="1"/>
    <col min="11267" max="11273" width="9.140625" style="14"/>
    <col min="11274" max="11274" width="11.5703125" style="14" bestFit="1" customWidth="1"/>
    <col min="11275" max="11521" width="9.140625" style="14"/>
    <col min="11522" max="11522" width="17.28515625" style="14" customWidth="1"/>
    <col min="11523" max="11529" width="9.140625" style="14"/>
    <col min="11530" max="11530" width="11.5703125" style="14" bestFit="1" customWidth="1"/>
    <col min="11531" max="11777" width="9.140625" style="14"/>
    <col min="11778" max="11778" width="17.28515625" style="14" customWidth="1"/>
    <col min="11779" max="11785" width="9.140625" style="14"/>
    <col min="11786" max="11786" width="11.5703125" style="14" bestFit="1" customWidth="1"/>
    <col min="11787" max="12033" width="9.140625" style="14"/>
    <col min="12034" max="12034" width="17.28515625" style="14" customWidth="1"/>
    <col min="12035" max="12041" width="9.140625" style="14"/>
    <col min="12042" max="12042" width="11.5703125" style="14" bestFit="1" customWidth="1"/>
    <col min="12043" max="12289" width="9.140625" style="14"/>
    <col min="12290" max="12290" width="17.28515625" style="14" customWidth="1"/>
    <col min="12291" max="12297" width="9.140625" style="14"/>
    <col min="12298" max="12298" width="11.5703125" style="14" bestFit="1" customWidth="1"/>
    <col min="12299" max="12545" width="9.140625" style="14"/>
    <col min="12546" max="12546" width="17.28515625" style="14" customWidth="1"/>
    <col min="12547" max="12553" width="9.140625" style="14"/>
    <col min="12554" max="12554" width="11.5703125" style="14" bestFit="1" customWidth="1"/>
    <col min="12555" max="12801" width="9.140625" style="14"/>
    <col min="12802" max="12802" width="17.28515625" style="14" customWidth="1"/>
    <col min="12803" max="12809" width="9.140625" style="14"/>
    <col min="12810" max="12810" width="11.5703125" style="14" bestFit="1" customWidth="1"/>
    <col min="12811" max="13057" width="9.140625" style="14"/>
    <col min="13058" max="13058" width="17.28515625" style="14" customWidth="1"/>
    <col min="13059" max="13065" width="9.140625" style="14"/>
    <col min="13066" max="13066" width="11.5703125" style="14" bestFit="1" customWidth="1"/>
    <col min="13067" max="13313" width="9.140625" style="14"/>
    <col min="13314" max="13314" width="17.28515625" style="14" customWidth="1"/>
    <col min="13315" max="13321" width="9.140625" style="14"/>
    <col min="13322" max="13322" width="11.5703125" style="14" bestFit="1" customWidth="1"/>
    <col min="13323" max="13569" width="9.140625" style="14"/>
    <col min="13570" max="13570" width="17.28515625" style="14" customWidth="1"/>
    <col min="13571" max="13577" width="9.140625" style="14"/>
    <col min="13578" max="13578" width="11.5703125" style="14" bestFit="1" customWidth="1"/>
    <col min="13579" max="13825" width="9.140625" style="14"/>
    <col min="13826" max="13826" width="17.28515625" style="14" customWidth="1"/>
    <col min="13827" max="13833" width="9.140625" style="14"/>
    <col min="13834" max="13834" width="11.5703125" style="14" bestFit="1" customWidth="1"/>
    <col min="13835" max="14081" width="9.140625" style="14"/>
    <col min="14082" max="14082" width="17.28515625" style="14" customWidth="1"/>
    <col min="14083" max="14089" width="9.140625" style="14"/>
    <col min="14090" max="14090" width="11.5703125" style="14" bestFit="1" customWidth="1"/>
    <col min="14091" max="14337" width="9.140625" style="14"/>
    <col min="14338" max="14338" width="17.28515625" style="14" customWidth="1"/>
    <col min="14339" max="14345" width="9.140625" style="14"/>
    <col min="14346" max="14346" width="11.5703125" style="14" bestFit="1" customWidth="1"/>
    <col min="14347" max="14593" width="9.140625" style="14"/>
    <col min="14594" max="14594" width="17.28515625" style="14" customWidth="1"/>
    <col min="14595" max="14601" width="9.140625" style="14"/>
    <col min="14602" max="14602" width="11.5703125" style="14" bestFit="1" customWidth="1"/>
    <col min="14603" max="14849" width="9.140625" style="14"/>
    <col min="14850" max="14850" width="17.28515625" style="14" customWidth="1"/>
    <col min="14851" max="14857" width="9.140625" style="14"/>
    <col min="14858" max="14858" width="11.5703125" style="14" bestFit="1" customWidth="1"/>
    <col min="14859" max="15105" width="9.140625" style="14"/>
    <col min="15106" max="15106" width="17.28515625" style="14" customWidth="1"/>
    <col min="15107" max="15113" width="9.140625" style="14"/>
    <col min="15114" max="15114" width="11.5703125" style="14" bestFit="1" customWidth="1"/>
    <col min="15115" max="15361" width="9.140625" style="14"/>
    <col min="15362" max="15362" width="17.28515625" style="14" customWidth="1"/>
    <col min="15363" max="15369" width="9.140625" style="14"/>
    <col min="15370" max="15370" width="11.5703125" style="14" bestFit="1" customWidth="1"/>
    <col min="15371" max="15617" width="9.140625" style="14"/>
    <col min="15618" max="15618" width="17.28515625" style="14" customWidth="1"/>
    <col min="15619" max="15625" width="9.140625" style="14"/>
    <col min="15626" max="15626" width="11.5703125" style="14" bestFit="1" customWidth="1"/>
    <col min="15627" max="15873" width="9.140625" style="14"/>
    <col min="15874" max="15874" width="17.28515625" style="14" customWidth="1"/>
    <col min="15875" max="15881" width="9.140625" style="14"/>
    <col min="15882" max="15882" width="11.5703125" style="14" bestFit="1" customWidth="1"/>
    <col min="15883" max="16129" width="9.140625" style="14"/>
    <col min="16130" max="16130" width="17.28515625" style="14" customWidth="1"/>
    <col min="16131" max="16137" width="9.140625" style="14"/>
    <col min="16138" max="16138" width="11.5703125" style="14" bestFit="1" customWidth="1"/>
    <col min="16139" max="16384" width="9.140625" style="14"/>
  </cols>
  <sheetData>
    <row r="2" spans="1:30" ht="15" x14ac:dyDescent="0.2">
      <c r="A2" s="1304" t="s">
        <v>42</v>
      </c>
      <c r="B2" s="1304"/>
      <c r="C2" s="1304"/>
      <c r="D2" s="1304"/>
      <c r="E2" s="1304"/>
      <c r="F2" s="1304"/>
      <c r="G2" s="1304"/>
      <c r="H2" s="1304"/>
      <c r="I2" s="1304"/>
      <c r="J2" s="1304"/>
      <c r="K2" s="1304"/>
      <c r="L2" s="1304"/>
      <c r="M2" s="1304"/>
      <c r="N2" s="1304"/>
      <c r="O2" s="1304"/>
      <c r="P2" s="1304"/>
      <c r="Q2" s="1304"/>
      <c r="R2" s="1304"/>
      <c r="S2" s="1304"/>
      <c r="T2" s="1304"/>
      <c r="U2" s="570"/>
      <c r="V2" s="570"/>
      <c r="W2" s="570"/>
      <c r="X2" s="570"/>
      <c r="Y2" s="570"/>
      <c r="Z2" s="570"/>
      <c r="AA2" s="570"/>
      <c r="AB2" s="570"/>
      <c r="AC2" s="570"/>
      <c r="AD2" s="570"/>
    </row>
    <row r="3" spans="1:30" ht="15.75" thickBot="1" x14ac:dyDescent="0.25">
      <c r="A3" s="1307" t="s">
        <v>43</v>
      </c>
      <c r="B3" s="1307"/>
      <c r="C3" s="1307"/>
      <c r="D3" s="1307"/>
      <c r="E3" s="1307"/>
      <c r="F3" s="1307"/>
      <c r="G3" s="1307"/>
      <c r="H3" s="1307"/>
      <c r="I3" s="1307"/>
      <c r="J3" s="1307"/>
      <c r="K3" s="1307"/>
      <c r="L3" s="1307"/>
      <c r="M3" s="1307"/>
      <c r="N3" s="1307"/>
      <c r="O3" s="1307"/>
      <c r="P3" s="1307"/>
      <c r="Q3" s="1307"/>
      <c r="R3" s="1307"/>
      <c r="S3" s="1307"/>
      <c r="T3" s="1307"/>
      <c r="U3" s="571"/>
      <c r="V3" s="571"/>
      <c r="W3" s="571"/>
      <c r="X3" s="571"/>
      <c r="Y3" s="571"/>
      <c r="Z3" s="571"/>
      <c r="AA3" s="571"/>
      <c r="AB3" s="571"/>
      <c r="AC3" s="571"/>
      <c r="AD3" s="571"/>
    </row>
    <row r="4" spans="1:30" ht="12.75" customHeight="1" x14ac:dyDescent="0.2">
      <c r="A4" s="1308" t="s">
        <v>44</v>
      </c>
      <c r="B4" s="1309"/>
      <c r="C4" s="1309"/>
      <c r="D4" s="1309"/>
      <c r="E4" s="1309"/>
      <c r="F4" s="1309"/>
      <c r="G4" s="1309"/>
      <c r="H4" s="1309"/>
      <c r="I4" s="1309"/>
      <c r="J4" s="1309"/>
      <c r="K4" s="1309"/>
      <c r="L4" s="1302" t="s">
        <v>45</v>
      </c>
      <c r="M4" s="1303"/>
      <c r="N4" s="1303"/>
      <c r="O4" s="1303"/>
      <c r="P4" s="1303"/>
      <c r="Q4" s="1303"/>
      <c r="R4" s="1303"/>
      <c r="S4" s="1303"/>
      <c r="T4" s="1303"/>
      <c r="U4" s="568"/>
      <c r="V4" s="568"/>
      <c r="W4" s="568"/>
      <c r="X4" s="568"/>
      <c r="Y4" s="568"/>
      <c r="Z4" s="568"/>
      <c r="AA4" s="568"/>
      <c r="AB4" s="568"/>
      <c r="AC4" s="568"/>
      <c r="AD4" s="569"/>
    </row>
    <row r="5" spans="1:30" x14ac:dyDescent="0.2">
      <c r="A5" s="1310" t="s">
        <v>9</v>
      </c>
      <c r="B5" s="1312" t="s">
        <v>46</v>
      </c>
      <c r="C5" s="1312"/>
      <c r="D5" s="1312"/>
      <c r="E5" s="1313" t="s">
        <v>47</v>
      </c>
      <c r="F5" s="1300" t="s">
        <v>48</v>
      </c>
      <c r="G5" s="1315"/>
      <c r="H5" s="1299" t="s">
        <v>49</v>
      </c>
      <c r="I5" s="1316"/>
      <c r="J5" s="1299" t="s">
        <v>50</v>
      </c>
      <c r="K5" s="1300"/>
      <c r="L5" s="1317" t="s">
        <v>51</v>
      </c>
      <c r="M5" s="39" t="s">
        <v>52</v>
      </c>
      <c r="N5" s="39" t="s">
        <v>6</v>
      </c>
      <c r="O5" s="1298" t="s">
        <v>48</v>
      </c>
      <c r="P5" s="1298"/>
      <c r="Q5" s="1298"/>
      <c r="R5" s="1298"/>
      <c r="S5" s="1318"/>
      <c r="T5" s="1298"/>
      <c r="U5" s="1298" t="s">
        <v>49</v>
      </c>
      <c r="V5" s="1298"/>
      <c r="W5" s="1298"/>
      <c r="X5" s="1298"/>
      <c r="Y5" s="1298"/>
      <c r="Z5" s="1299" t="s">
        <v>50</v>
      </c>
      <c r="AA5" s="1300"/>
      <c r="AB5" s="1300"/>
      <c r="AC5" s="1300"/>
      <c r="AD5" s="1301"/>
    </row>
    <row r="6" spans="1:30" x14ac:dyDescent="0.2">
      <c r="A6" s="1311"/>
      <c r="B6" s="40" t="s">
        <v>53</v>
      </c>
      <c r="C6" s="41" t="s">
        <v>54</v>
      </c>
      <c r="D6" s="41" t="s">
        <v>55</v>
      </c>
      <c r="E6" s="1314"/>
      <c r="F6" s="42" t="s">
        <v>56</v>
      </c>
      <c r="G6" s="43" t="s">
        <v>39</v>
      </c>
      <c r="H6" s="44" t="s">
        <v>56</v>
      </c>
      <c r="I6" s="43" t="s">
        <v>39</v>
      </c>
      <c r="J6" s="44" t="s">
        <v>56</v>
      </c>
      <c r="K6" s="352" t="s">
        <v>39</v>
      </c>
      <c r="L6" s="1317"/>
      <c r="M6" s="46" t="s">
        <v>57</v>
      </c>
      <c r="N6" s="46" t="s">
        <v>57</v>
      </c>
      <c r="O6" s="47" t="s">
        <v>58</v>
      </c>
      <c r="P6" s="44" t="s">
        <v>59</v>
      </c>
      <c r="Q6" s="44" t="s">
        <v>60</v>
      </c>
      <c r="R6" s="44" t="s">
        <v>61</v>
      </c>
      <c r="S6" s="44" t="s">
        <v>62</v>
      </c>
      <c r="T6" s="44" t="s">
        <v>67</v>
      </c>
      <c r="U6" s="47" t="s">
        <v>58</v>
      </c>
      <c r="V6" s="44" t="s">
        <v>59</v>
      </c>
      <c r="W6" s="44" t="s">
        <v>60</v>
      </c>
      <c r="X6" s="44" t="s">
        <v>61</v>
      </c>
      <c r="Y6" s="44" t="s">
        <v>62</v>
      </c>
      <c r="Z6" s="47" t="s">
        <v>58</v>
      </c>
      <c r="AA6" s="44" t="s">
        <v>59</v>
      </c>
      <c r="AB6" s="44" t="s">
        <v>60</v>
      </c>
      <c r="AC6" s="44" t="s">
        <v>61</v>
      </c>
      <c r="AD6" s="48" t="s">
        <v>62</v>
      </c>
    </row>
    <row r="7" spans="1:30" x14ac:dyDescent="0.2">
      <c r="A7" s="272" t="s">
        <v>207</v>
      </c>
      <c r="B7" s="277"/>
      <c r="C7" s="278"/>
      <c r="D7" s="278">
        <v>1</v>
      </c>
      <c r="E7" s="277">
        <v>0.83</v>
      </c>
      <c r="F7" s="272">
        <v>2</v>
      </c>
      <c r="G7" s="51">
        <f t="shared" ref="G7:G15" si="0">F7*E7</f>
        <v>1.66</v>
      </c>
      <c r="H7" s="272"/>
      <c r="I7" s="51">
        <f>E7*H7</f>
        <v>0</v>
      </c>
      <c r="J7" s="272"/>
      <c r="K7" s="353">
        <f t="shared" ref="K7:K11" si="1">J7*E7</f>
        <v>0</v>
      </c>
      <c r="L7" s="635" t="s">
        <v>63</v>
      </c>
      <c r="M7" s="277">
        <v>2.5</v>
      </c>
      <c r="N7" s="51" t="s">
        <v>64</v>
      </c>
      <c r="O7" s="311">
        <v>2</v>
      </c>
      <c r="P7" s="51" t="str">
        <f>IFERROR(IF(SEARCH($L7,P$6),$M7,"")*$O7,"")</f>
        <v/>
      </c>
      <c r="Q7" s="51">
        <f t="shared" ref="Q7:R15" si="2">IFERROR(IF(SEARCH($L7,Q$6),$M7,"")*$O7,"")</f>
        <v>5</v>
      </c>
      <c r="R7" s="51" t="str">
        <f t="shared" si="2"/>
        <v/>
      </c>
      <c r="S7" s="51" t="str">
        <f>(IFERROR(IF(SEARCH($L7,S$6),$M7,"")*$O7*N7,""))</f>
        <v/>
      </c>
      <c r="T7" s="51" t="str">
        <f>(IFERROR(IF(SEARCH($L7,T$6),$M7,"")*$O7*O7,""))</f>
        <v/>
      </c>
      <c r="U7" s="311"/>
      <c r="V7" s="51" t="str">
        <f t="shared" ref="V7:Y12" si="3">IFERROR(IF(SEARCH($L7,V$6),$M7,"")*$U7,"")</f>
        <v/>
      </c>
      <c r="W7" s="51">
        <f t="shared" si="3"/>
        <v>0</v>
      </c>
      <c r="X7" s="51" t="str">
        <f t="shared" si="3"/>
        <v/>
      </c>
      <c r="Y7" s="51" t="str">
        <f t="shared" si="3"/>
        <v/>
      </c>
      <c r="Z7" s="311"/>
      <c r="AA7" s="51" t="str">
        <f t="shared" ref="AA7:AD12" si="4">IFERROR(IF(SEARCH($L7,AA$6),$M7,"")*$Z7,"")</f>
        <v/>
      </c>
      <c r="AB7" s="51">
        <f t="shared" si="4"/>
        <v>0</v>
      </c>
      <c r="AC7" s="51" t="str">
        <f t="shared" si="4"/>
        <v/>
      </c>
      <c r="AD7" s="51" t="str">
        <f t="shared" si="4"/>
        <v/>
      </c>
    </row>
    <row r="8" spans="1:30" x14ac:dyDescent="0.2">
      <c r="A8" s="272" t="s">
        <v>2739</v>
      </c>
      <c r="B8" s="277"/>
      <c r="C8" s="278"/>
      <c r="D8" s="278">
        <v>0.8</v>
      </c>
      <c r="E8" s="277">
        <v>0.5</v>
      </c>
      <c r="F8" s="272">
        <v>2</v>
      </c>
      <c r="G8" s="51">
        <f t="shared" si="0"/>
        <v>1</v>
      </c>
      <c r="H8" s="272"/>
      <c r="I8" s="51">
        <f>E8*H8</f>
        <v>0</v>
      </c>
      <c r="J8" s="272"/>
      <c r="K8" s="353">
        <f t="shared" si="1"/>
        <v>0</v>
      </c>
      <c r="L8" s="635" t="s">
        <v>63</v>
      </c>
      <c r="M8" s="277">
        <v>2.5</v>
      </c>
      <c r="N8" s="51" t="s">
        <v>64</v>
      </c>
      <c r="O8" s="311">
        <v>2</v>
      </c>
      <c r="P8" s="51" t="str">
        <f t="shared" ref="P8:P12" si="5">IFERROR(IF(SEARCH($L8,P$6),$M8,"")*$O8,"")</f>
        <v/>
      </c>
      <c r="Q8" s="51">
        <f t="shared" si="2"/>
        <v>5</v>
      </c>
      <c r="R8" s="51" t="str">
        <f t="shared" si="2"/>
        <v/>
      </c>
      <c r="S8" s="51" t="str">
        <f t="shared" ref="S8:S13" si="6">(IFERROR(IF(SEARCH($L8,S$6),$M8,"")*$O8*N8,""))</f>
        <v/>
      </c>
      <c r="T8" s="51" t="str">
        <f t="shared" ref="T8:T13" si="7">(IFERROR(IF(SEARCH($L8,T$6),$M8,"")*$O8*O8,""))</f>
        <v/>
      </c>
      <c r="U8" s="311"/>
      <c r="V8" s="51" t="str">
        <f t="shared" si="3"/>
        <v/>
      </c>
      <c r="W8" s="51">
        <f t="shared" si="3"/>
        <v>0</v>
      </c>
      <c r="X8" s="51" t="str">
        <f t="shared" si="3"/>
        <v/>
      </c>
      <c r="Y8" s="51" t="str">
        <f t="shared" si="3"/>
        <v/>
      </c>
      <c r="Z8" s="311"/>
      <c r="AA8" s="51" t="str">
        <f t="shared" si="4"/>
        <v/>
      </c>
      <c r="AB8" s="51">
        <f t="shared" si="4"/>
        <v>0</v>
      </c>
      <c r="AC8" s="51" t="str">
        <f t="shared" si="4"/>
        <v/>
      </c>
      <c r="AD8" s="51" t="str">
        <f t="shared" si="4"/>
        <v/>
      </c>
    </row>
    <row r="9" spans="1:30" x14ac:dyDescent="0.2">
      <c r="A9" s="272" t="s">
        <v>2740</v>
      </c>
      <c r="B9" s="277"/>
      <c r="C9" s="278"/>
      <c r="D9" s="278">
        <v>0.8</v>
      </c>
      <c r="E9" s="277">
        <v>0.5</v>
      </c>
      <c r="F9" s="272">
        <v>1</v>
      </c>
      <c r="G9" s="51">
        <f t="shared" si="0"/>
        <v>0.5</v>
      </c>
      <c r="H9" s="272"/>
      <c r="I9" s="51">
        <f>E9*H9</f>
        <v>0</v>
      </c>
      <c r="J9" s="272"/>
      <c r="K9" s="353">
        <f t="shared" si="1"/>
        <v>0</v>
      </c>
      <c r="L9" s="635" t="s">
        <v>63</v>
      </c>
      <c r="M9" s="277">
        <v>2.5</v>
      </c>
      <c r="N9" s="51">
        <v>0</v>
      </c>
      <c r="O9" s="311">
        <v>1</v>
      </c>
      <c r="P9" s="51" t="str">
        <f t="shared" si="5"/>
        <v/>
      </c>
      <c r="Q9" s="51">
        <f t="shared" si="2"/>
        <v>2.5</v>
      </c>
      <c r="R9" s="51" t="str">
        <f t="shared" si="2"/>
        <v/>
      </c>
      <c r="S9" s="51" t="str">
        <f t="shared" si="6"/>
        <v/>
      </c>
      <c r="T9" s="51" t="str">
        <f t="shared" si="7"/>
        <v/>
      </c>
      <c r="U9" s="311"/>
      <c r="V9" s="51" t="str">
        <f t="shared" si="3"/>
        <v/>
      </c>
      <c r="W9" s="51">
        <f t="shared" si="3"/>
        <v>0</v>
      </c>
      <c r="X9" s="51" t="str">
        <f t="shared" si="3"/>
        <v/>
      </c>
      <c r="Y9" s="51" t="str">
        <f t="shared" si="3"/>
        <v/>
      </c>
      <c r="Z9" s="311"/>
      <c r="AA9" s="51" t="str">
        <f t="shared" si="4"/>
        <v/>
      </c>
      <c r="AB9" s="51">
        <f t="shared" si="4"/>
        <v>0</v>
      </c>
      <c r="AC9" s="51" t="str">
        <f t="shared" si="4"/>
        <v/>
      </c>
      <c r="AD9" s="51" t="str">
        <f t="shared" si="4"/>
        <v/>
      </c>
    </row>
    <row r="10" spans="1:30" x14ac:dyDescent="0.2">
      <c r="A10" s="272" t="s">
        <v>213</v>
      </c>
      <c r="B10" s="277"/>
      <c r="C10" s="278"/>
      <c r="D10" s="278">
        <v>0.8</v>
      </c>
      <c r="E10" s="277">
        <v>0.5</v>
      </c>
      <c r="F10" s="272">
        <v>1</v>
      </c>
      <c r="G10" s="51">
        <f t="shared" si="0"/>
        <v>0.5</v>
      </c>
      <c r="H10" s="272"/>
      <c r="I10" s="51">
        <f t="shared" ref="I10:I13" si="8">E10*H10</f>
        <v>0</v>
      </c>
      <c r="J10" s="272"/>
      <c r="K10" s="353">
        <f t="shared" si="1"/>
        <v>0</v>
      </c>
      <c r="L10" s="635" t="s">
        <v>63</v>
      </c>
      <c r="M10" s="277">
        <v>2.5</v>
      </c>
      <c r="N10" s="51" t="s">
        <v>64</v>
      </c>
      <c r="O10" s="311">
        <v>1</v>
      </c>
      <c r="P10" s="51" t="str">
        <f t="shared" si="5"/>
        <v/>
      </c>
      <c r="Q10" s="51">
        <f t="shared" si="2"/>
        <v>2.5</v>
      </c>
      <c r="R10" s="51" t="str">
        <f t="shared" si="2"/>
        <v/>
      </c>
      <c r="S10" s="51" t="str">
        <f t="shared" si="6"/>
        <v/>
      </c>
      <c r="T10" s="51" t="str">
        <f t="shared" si="7"/>
        <v/>
      </c>
      <c r="U10" s="311"/>
      <c r="V10" s="51" t="str">
        <f t="shared" si="3"/>
        <v/>
      </c>
      <c r="W10" s="51">
        <f t="shared" si="3"/>
        <v>0</v>
      </c>
      <c r="X10" s="51" t="str">
        <f t="shared" si="3"/>
        <v/>
      </c>
      <c r="Y10" s="51" t="str">
        <f t="shared" si="3"/>
        <v/>
      </c>
      <c r="Z10" s="311"/>
      <c r="AA10" s="51" t="str">
        <f t="shared" si="4"/>
        <v/>
      </c>
      <c r="AB10" s="51">
        <f t="shared" si="4"/>
        <v>0</v>
      </c>
      <c r="AC10" s="51" t="str">
        <f t="shared" si="4"/>
        <v/>
      </c>
      <c r="AD10" s="51" t="str">
        <f t="shared" si="4"/>
        <v/>
      </c>
    </row>
    <row r="11" spans="1:30" x14ac:dyDescent="0.2">
      <c r="A11" s="272" t="s">
        <v>2741</v>
      </c>
      <c r="B11" s="277">
        <v>0.3</v>
      </c>
      <c r="C11" s="278">
        <v>0.6</v>
      </c>
      <c r="D11" s="278"/>
      <c r="E11" s="277">
        <v>0.18</v>
      </c>
      <c r="F11" s="272">
        <v>2</v>
      </c>
      <c r="G11" s="51">
        <f t="shared" si="0"/>
        <v>0.36</v>
      </c>
      <c r="H11" s="272"/>
      <c r="I11" s="51">
        <f t="shared" si="8"/>
        <v>0</v>
      </c>
      <c r="J11" s="272"/>
      <c r="K11" s="353">
        <f t="shared" si="1"/>
        <v>0</v>
      </c>
      <c r="L11" s="635" t="s">
        <v>63</v>
      </c>
      <c r="M11" s="277">
        <v>3.1</v>
      </c>
      <c r="N11" s="51" t="s">
        <v>64</v>
      </c>
      <c r="O11" s="311">
        <v>2</v>
      </c>
      <c r="P11" s="51" t="str">
        <f t="shared" si="5"/>
        <v/>
      </c>
      <c r="Q11" s="51">
        <f t="shared" si="2"/>
        <v>6.2</v>
      </c>
      <c r="R11" s="51" t="str">
        <f t="shared" si="2"/>
        <v/>
      </c>
      <c r="S11" s="51" t="str">
        <f t="shared" si="6"/>
        <v/>
      </c>
      <c r="T11" s="51" t="str">
        <f t="shared" si="7"/>
        <v/>
      </c>
      <c r="U11" s="311"/>
      <c r="V11" s="51" t="str">
        <f t="shared" si="3"/>
        <v/>
      </c>
      <c r="W11" s="51">
        <f t="shared" si="3"/>
        <v>0</v>
      </c>
      <c r="X11" s="51" t="str">
        <f t="shared" si="3"/>
        <v/>
      </c>
      <c r="Y11" s="51" t="str">
        <f t="shared" si="3"/>
        <v/>
      </c>
      <c r="Z11" s="311"/>
      <c r="AA11" s="51" t="str">
        <f t="shared" si="4"/>
        <v/>
      </c>
      <c r="AB11" s="51">
        <f t="shared" si="4"/>
        <v>0</v>
      </c>
      <c r="AC11" s="51" t="str">
        <f t="shared" si="4"/>
        <v/>
      </c>
      <c r="AD11" s="51" t="str">
        <f t="shared" si="4"/>
        <v/>
      </c>
    </row>
    <row r="12" spans="1:30" x14ac:dyDescent="0.2">
      <c r="A12" s="272" t="s">
        <v>210</v>
      </c>
      <c r="B12" s="277">
        <v>3</v>
      </c>
      <c r="C12" s="278">
        <v>1.8</v>
      </c>
      <c r="D12" s="278"/>
      <c r="E12" s="277">
        <v>5.4</v>
      </c>
      <c r="F12" s="272">
        <v>1</v>
      </c>
      <c r="G12" s="51">
        <f t="shared" si="0"/>
        <v>5.4</v>
      </c>
      <c r="H12" s="272"/>
      <c r="I12" s="51">
        <f t="shared" si="8"/>
        <v>0</v>
      </c>
      <c r="J12" s="272"/>
      <c r="K12" s="353">
        <f>J12*E12</f>
        <v>0</v>
      </c>
      <c r="L12" s="635" t="s">
        <v>63</v>
      </c>
      <c r="M12" s="277">
        <v>4.3</v>
      </c>
      <c r="N12" s="51" t="s">
        <v>64</v>
      </c>
      <c r="O12" s="311">
        <v>2</v>
      </c>
      <c r="P12" s="51" t="str">
        <f t="shared" si="5"/>
        <v/>
      </c>
      <c r="Q12" s="51">
        <f t="shared" si="2"/>
        <v>8.6</v>
      </c>
      <c r="R12" s="51" t="str">
        <f t="shared" si="2"/>
        <v/>
      </c>
      <c r="S12" s="51" t="str">
        <f t="shared" si="6"/>
        <v/>
      </c>
      <c r="T12" s="51" t="str">
        <f t="shared" si="7"/>
        <v/>
      </c>
      <c r="U12" s="311"/>
      <c r="V12" s="51" t="str">
        <f t="shared" si="3"/>
        <v/>
      </c>
      <c r="W12" s="51">
        <f t="shared" si="3"/>
        <v>0</v>
      </c>
      <c r="X12" s="51" t="str">
        <f t="shared" si="3"/>
        <v/>
      </c>
      <c r="Y12" s="51" t="str">
        <f t="shared" si="3"/>
        <v/>
      </c>
      <c r="Z12" s="311"/>
      <c r="AA12" s="51" t="str">
        <f t="shared" si="4"/>
        <v/>
      </c>
      <c r="AB12" s="51">
        <f t="shared" si="4"/>
        <v>0</v>
      </c>
      <c r="AC12" s="51" t="str">
        <f t="shared" si="4"/>
        <v/>
      </c>
      <c r="AD12" s="51" t="str">
        <f t="shared" si="4"/>
        <v/>
      </c>
    </row>
    <row r="13" spans="1:30" x14ac:dyDescent="0.2">
      <c r="A13" s="272" t="s">
        <v>214</v>
      </c>
      <c r="B13" s="277">
        <v>2.6</v>
      </c>
      <c r="C13" s="278">
        <v>1.6</v>
      </c>
      <c r="D13" s="278"/>
      <c r="E13" s="277">
        <v>4.16</v>
      </c>
      <c r="F13" s="272">
        <v>1</v>
      </c>
      <c r="G13" s="51">
        <f t="shared" si="0"/>
        <v>4.16</v>
      </c>
      <c r="H13" s="272"/>
      <c r="I13" s="51">
        <f t="shared" si="8"/>
        <v>0</v>
      </c>
      <c r="J13" s="272"/>
      <c r="K13" s="353">
        <f t="shared" ref="K13" si="9">J13*E13</f>
        <v>0</v>
      </c>
      <c r="L13" s="635" t="s">
        <v>63</v>
      </c>
      <c r="M13" s="277">
        <v>4.0999999999999996</v>
      </c>
      <c r="N13" s="51" t="s">
        <v>64</v>
      </c>
      <c r="O13" s="311">
        <v>2</v>
      </c>
      <c r="P13" s="51"/>
      <c r="Q13" s="51">
        <f t="shared" si="2"/>
        <v>8.1999999999999993</v>
      </c>
      <c r="R13" s="51"/>
      <c r="S13" s="51" t="str">
        <f t="shared" si="6"/>
        <v/>
      </c>
      <c r="T13" s="51" t="str">
        <f t="shared" si="7"/>
        <v/>
      </c>
      <c r="U13" s="311"/>
      <c r="V13" s="51"/>
      <c r="W13" s="51">
        <f t="shared" ref="W13" si="10">IFERROR(IF(SEARCH($L13,W$6),$M13,"")*$U13,"")</f>
        <v>0</v>
      </c>
      <c r="X13" s="51"/>
      <c r="Y13" s="51"/>
      <c r="Z13" s="311"/>
      <c r="AA13" s="51"/>
      <c r="AB13" s="51">
        <f t="shared" ref="AB13" si="11">IFERROR(IF(SEARCH($L13,AB$6),$M13,"")*$Z13,"")</f>
        <v>0</v>
      </c>
      <c r="AC13" s="51"/>
      <c r="AD13" s="51" t="str">
        <f t="shared" ref="AD13" si="12">IFERROR(IF(SEARCH($L13,AD$6),$M13,"")*$Z13,"")</f>
        <v/>
      </c>
    </row>
    <row r="14" spans="1:30" x14ac:dyDescent="0.2">
      <c r="A14" s="272" t="s">
        <v>2742</v>
      </c>
      <c r="B14" s="277">
        <v>2.6</v>
      </c>
      <c r="C14" s="278">
        <v>1.6</v>
      </c>
      <c r="D14" s="278"/>
      <c r="E14" s="277">
        <v>4.16</v>
      </c>
      <c r="F14" s="272">
        <v>1</v>
      </c>
      <c r="G14" s="51">
        <f t="shared" si="0"/>
        <v>4.16</v>
      </c>
      <c r="H14" s="272"/>
      <c r="I14" s="51"/>
      <c r="J14" s="272"/>
      <c r="K14" s="353"/>
      <c r="L14" s="635" t="s">
        <v>63</v>
      </c>
      <c r="M14" s="277">
        <v>4.0999999999999996</v>
      </c>
      <c r="N14" s="51"/>
      <c r="O14" s="311">
        <v>2</v>
      </c>
      <c r="P14" s="51"/>
      <c r="Q14" s="51">
        <f t="shared" si="2"/>
        <v>8.1999999999999993</v>
      </c>
      <c r="R14" s="51"/>
      <c r="S14" s="51"/>
      <c r="T14" s="51"/>
      <c r="U14" s="311"/>
      <c r="V14" s="51"/>
      <c r="W14" s="51"/>
      <c r="X14" s="51"/>
      <c r="Y14" s="51"/>
      <c r="Z14" s="311"/>
      <c r="AA14" s="51"/>
      <c r="AB14" s="51"/>
      <c r="AC14" s="51"/>
      <c r="AD14" s="51"/>
    </row>
    <row r="15" spans="1:30" x14ac:dyDescent="0.2">
      <c r="A15" s="272" t="s">
        <v>2743</v>
      </c>
      <c r="B15" s="277">
        <v>2.7</v>
      </c>
      <c r="C15" s="278">
        <v>1.6</v>
      </c>
      <c r="D15" s="278"/>
      <c r="E15" s="277">
        <v>4.32</v>
      </c>
      <c r="F15" s="272">
        <v>1</v>
      </c>
      <c r="G15" s="51">
        <f t="shared" si="0"/>
        <v>4.32</v>
      </c>
      <c r="H15" s="272"/>
      <c r="I15" s="51"/>
      <c r="J15" s="272"/>
      <c r="K15" s="353"/>
      <c r="L15" s="635" t="s">
        <v>63</v>
      </c>
      <c r="M15" s="277">
        <v>4.0999999999999996</v>
      </c>
      <c r="N15" s="51"/>
      <c r="O15" s="311">
        <v>2</v>
      </c>
      <c r="P15" s="51"/>
      <c r="Q15" s="51">
        <f t="shared" si="2"/>
        <v>8.1999999999999993</v>
      </c>
      <c r="R15" s="51"/>
      <c r="S15" s="51"/>
      <c r="T15" s="51"/>
      <c r="U15" s="311"/>
      <c r="V15" s="51"/>
      <c r="W15" s="51"/>
      <c r="X15" s="51"/>
      <c r="Y15" s="51"/>
      <c r="Z15" s="311"/>
      <c r="AA15" s="51"/>
      <c r="AB15" s="51"/>
      <c r="AC15" s="51"/>
      <c r="AD15" s="51"/>
    </row>
    <row r="16" spans="1:30" ht="13.5" thickBot="1" x14ac:dyDescent="0.25">
      <c r="A16" s="1305" t="s">
        <v>65</v>
      </c>
      <c r="B16" s="1306"/>
      <c r="C16" s="1306"/>
      <c r="D16" s="1306"/>
      <c r="E16" s="1306"/>
      <c r="F16" s="56">
        <f>SUM(F7:F15)</f>
        <v>12</v>
      </c>
      <c r="G16" s="57">
        <f>SUM(G7:G15)</f>
        <v>22.060000000000002</v>
      </c>
      <c r="H16" s="56">
        <f>SUM(H7:H13)</f>
        <v>0</v>
      </c>
      <c r="I16" s="57">
        <f>SUM(I7:I13)</f>
        <v>0</v>
      </c>
      <c r="J16" s="56">
        <f>SUM(J7:J13)</f>
        <v>0</v>
      </c>
      <c r="K16" s="354">
        <f>SUM(K7:K13)</f>
        <v>0</v>
      </c>
      <c r="L16" s="1305" t="s">
        <v>14</v>
      </c>
      <c r="M16" s="1306"/>
      <c r="N16" s="1306"/>
      <c r="O16" s="57">
        <f>SUM(O7:O13)</f>
        <v>12</v>
      </c>
      <c r="P16" s="57">
        <f>SUM(P7:P13)</f>
        <v>0</v>
      </c>
      <c r="Q16" s="58">
        <f>SUM(Q7:Q15)</f>
        <v>54.400000000000006</v>
      </c>
      <c r="R16" s="58">
        <f>SUM(R7:R13)</f>
        <v>0</v>
      </c>
      <c r="S16" s="58">
        <f>SUM(S7:S13)</f>
        <v>0</v>
      </c>
      <c r="T16" s="58">
        <f>SUM(T7:T13)</f>
        <v>0</v>
      </c>
      <c r="U16" s="59">
        <f>SUM(U7:U13)</f>
        <v>0</v>
      </c>
      <c r="V16" s="58">
        <f>SUM(V6:V13)</f>
        <v>0</v>
      </c>
      <c r="W16" s="58">
        <f>SUM(W7:W13)</f>
        <v>0</v>
      </c>
      <c r="X16" s="58"/>
      <c r="Y16" s="58">
        <f>SUM(Y9:Y13)</f>
        <v>0</v>
      </c>
      <c r="Z16" s="56">
        <f>SUM(Z7:Z13)</f>
        <v>0</v>
      </c>
      <c r="AA16" s="57">
        <f>SUM(AA7:AA13)</f>
        <v>0</v>
      </c>
      <c r="AB16" s="58">
        <f>SUM(AB7:AB13)</f>
        <v>0</v>
      </c>
      <c r="AC16" s="58">
        <f>SUM(AC7:AC13)</f>
        <v>0</v>
      </c>
      <c r="AD16" s="60">
        <f>SUM(AD7:AD13)</f>
        <v>0</v>
      </c>
    </row>
    <row r="17" spans="1:29" s="174" customFormat="1" x14ac:dyDescent="0.2">
      <c r="K17" s="355"/>
    </row>
    <row r="18" spans="1:29" x14ac:dyDescent="0.2">
      <c r="F18" s="38" t="s">
        <v>171</v>
      </c>
      <c r="I18" s="14">
        <f>SUMIFS(I7:I13,L7:L13,"*"&amp;"SP"&amp;"*",L7:L13,"PORT")</f>
        <v>0</v>
      </c>
    </row>
    <row r="19" spans="1:29" ht="15" hidden="1" x14ac:dyDescent="0.2">
      <c r="A19" s="1304" t="s">
        <v>42</v>
      </c>
      <c r="B19" s="1304"/>
      <c r="C19" s="1304"/>
      <c r="D19" s="1304"/>
      <c r="E19" s="1304"/>
      <c r="F19" s="1304"/>
      <c r="G19" s="1304"/>
      <c r="H19" s="1304"/>
      <c r="I19" s="1304"/>
      <c r="J19" s="1304"/>
      <c r="K19" s="1304"/>
      <c r="L19" s="1304"/>
      <c r="M19" s="1304"/>
      <c r="N19" s="1304"/>
      <c r="O19" s="1304"/>
      <c r="P19" s="1304"/>
      <c r="Q19" s="1304"/>
      <c r="R19" s="1304"/>
      <c r="S19" s="1304"/>
      <c r="T19" s="1304"/>
      <c r="U19" s="1304"/>
      <c r="V19" s="1304"/>
      <c r="W19" s="1304"/>
      <c r="X19" s="1304"/>
      <c r="Y19" s="1304"/>
      <c r="Z19" s="1304"/>
      <c r="AA19" s="1304"/>
      <c r="AB19" s="1304"/>
      <c r="AC19" s="1304"/>
    </row>
    <row r="20" spans="1:29" ht="15.75" hidden="1" thickBot="1" x14ac:dyDescent="0.25">
      <c r="A20" s="1307" t="s">
        <v>66</v>
      </c>
      <c r="B20" s="1307"/>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row>
    <row r="21" spans="1:29" hidden="1" x14ac:dyDescent="0.2">
      <c r="A21" s="1308" t="s">
        <v>44</v>
      </c>
      <c r="B21" s="1309"/>
      <c r="C21" s="1309"/>
      <c r="D21" s="1309"/>
      <c r="E21" s="1309"/>
      <c r="F21" s="1309"/>
      <c r="G21" s="1309"/>
      <c r="H21" s="1309"/>
      <c r="I21" s="1309"/>
      <c r="J21" s="1319"/>
      <c r="K21" s="1302" t="s">
        <v>45</v>
      </c>
      <c r="L21" s="1303"/>
      <c r="M21" s="1303"/>
      <c r="N21" s="1303"/>
      <c r="O21" s="1303"/>
      <c r="P21" s="1303"/>
      <c r="Q21" s="1303"/>
      <c r="R21" s="1303"/>
      <c r="S21" s="1303"/>
      <c r="T21" s="1303"/>
      <c r="U21" s="1303"/>
      <c r="V21" s="1303"/>
      <c r="W21" s="1303"/>
      <c r="X21" s="1303"/>
      <c r="Y21" s="1303"/>
      <c r="Z21" s="1303"/>
      <c r="AA21" s="1303"/>
      <c r="AB21" s="1303"/>
      <c r="AC21" s="1320"/>
    </row>
    <row r="22" spans="1:29" hidden="1" x14ac:dyDescent="0.2">
      <c r="A22" s="1310" t="s">
        <v>9</v>
      </c>
      <c r="B22" s="1312" t="s">
        <v>46</v>
      </c>
      <c r="C22" s="1312"/>
      <c r="D22" s="1313" t="s">
        <v>47</v>
      </c>
      <c r="E22" s="1300" t="s">
        <v>48</v>
      </c>
      <c r="F22" s="1315"/>
      <c r="G22" s="1299" t="s">
        <v>49</v>
      </c>
      <c r="H22" s="1316"/>
      <c r="I22" s="1299" t="s">
        <v>50</v>
      </c>
      <c r="J22" s="1300"/>
      <c r="K22" s="1324" t="s">
        <v>51</v>
      </c>
      <c r="L22" s="39" t="s">
        <v>52</v>
      </c>
      <c r="M22" s="39" t="s">
        <v>6</v>
      </c>
      <c r="N22" s="1298" t="s">
        <v>48</v>
      </c>
      <c r="O22" s="1298"/>
      <c r="P22" s="1298"/>
      <c r="Q22" s="1298"/>
      <c r="R22" s="1298"/>
      <c r="S22" s="335"/>
      <c r="T22" s="1298" t="s">
        <v>49</v>
      </c>
      <c r="U22" s="1298"/>
      <c r="V22" s="1298"/>
      <c r="W22" s="1298"/>
      <c r="X22" s="1298"/>
      <c r="Y22" s="1299" t="s">
        <v>50</v>
      </c>
      <c r="Z22" s="1300"/>
      <c r="AA22" s="1300"/>
      <c r="AB22" s="1300"/>
      <c r="AC22" s="1301"/>
    </row>
    <row r="23" spans="1:29" hidden="1" x14ac:dyDescent="0.2">
      <c r="A23" s="1311"/>
      <c r="B23" s="40" t="s">
        <v>53</v>
      </c>
      <c r="C23" s="41" t="s">
        <v>54</v>
      </c>
      <c r="D23" s="1314"/>
      <c r="E23" s="42" t="s">
        <v>56</v>
      </c>
      <c r="F23" s="43" t="s">
        <v>39</v>
      </c>
      <c r="G23" s="44" t="s">
        <v>56</v>
      </c>
      <c r="H23" s="43" t="s">
        <v>39</v>
      </c>
      <c r="I23" s="44" t="s">
        <v>56</v>
      </c>
      <c r="J23" s="45" t="s">
        <v>39</v>
      </c>
      <c r="K23" s="1324"/>
      <c r="L23" s="46" t="s">
        <v>57</v>
      </c>
      <c r="M23" s="46" t="s">
        <v>57</v>
      </c>
      <c r="N23" s="47" t="s">
        <v>58</v>
      </c>
      <c r="O23" s="44" t="s">
        <v>62</v>
      </c>
      <c r="P23" s="44" t="s">
        <v>60</v>
      </c>
      <c r="Q23" s="44" t="s">
        <v>61</v>
      </c>
      <c r="R23" s="44" t="s">
        <v>67</v>
      </c>
      <c r="S23" s="289"/>
      <c r="T23" s="47" t="s">
        <v>58</v>
      </c>
      <c r="U23" s="44" t="s">
        <v>59</v>
      </c>
      <c r="V23" s="44" t="s">
        <v>60</v>
      </c>
      <c r="W23" s="44" t="s">
        <v>61</v>
      </c>
      <c r="X23" s="44" t="s">
        <v>67</v>
      </c>
      <c r="Y23" s="47" t="s">
        <v>58</v>
      </c>
      <c r="Z23" s="44" t="s">
        <v>62</v>
      </c>
      <c r="AA23" s="44" t="s">
        <v>60</v>
      </c>
      <c r="AB23" s="44" t="s">
        <v>61</v>
      </c>
      <c r="AC23" s="48" t="s">
        <v>67</v>
      </c>
    </row>
    <row r="24" spans="1:29" hidden="1" x14ac:dyDescent="0.2">
      <c r="A24" s="49"/>
      <c r="B24" s="44"/>
      <c r="C24" s="82"/>
      <c r="D24" s="50"/>
      <c r="E24" s="52">
        <v>0</v>
      </c>
      <c r="F24" s="51">
        <f>$D24*E24</f>
        <v>0</v>
      </c>
      <c r="G24" s="53">
        <v>0</v>
      </c>
      <c r="H24" s="51">
        <f>$D24*G24</f>
        <v>0</v>
      </c>
      <c r="I24" s="44">
        <v>0</v>
      </c>
      <c r="J24" s="51">
        <f>$D24*I24</f>
        <v>0</v>
      </c>
      <c r="K24" s="357" t="s">
        <v>63</v>
      </c>
      <c r="L24" s="83">
        <v>6.2</v>
      </c>
      <c r="M24" s="46"/>
      <c r="N24" s="54">
        <v>0</v>
      </c>
      <c r="O24" s="51" t="str">
        <f>IFERROR(IF(SEARCH($K24,O$23),$L24,"")*$N24,"")</f>
        <v/>
      </c>
      <c r="P24" s="51">
        <f t="shared" ref="P24:R24" si="13">IFERROR(IF(SEARCH($K24,P$23),$L24,"")*$N24,"")</f>
        <v>0</v>
      </c>
      <c r="Q24" s="51" t="str">
        <f t="shared" si="13"/>
        <v/>
      </c>
      <c r="R24" s="51" t="str">
        <f t="shared" si="13"/>
        <v/>
      </c>
      <c r="S24" s="274"/>
      <c r="T24" s="54">
        <f>G24*2</f>
        <v>0</v>
      </c>
      <c r="U24" s="51" t="str">
        <f>IFERROR(IF(SEARCH($K24,U$23),$L24,"")*$T24,"")</f>
        <v/>
      </c>
      <c r="V24" s="51">
        <f t="shared" ref="V24:X24" si="14">IFERROR(IF(SEARCH($K24,V$23),$L24,"")*$T24,"")</f>
        <v>0</v>
      </c>
      <c r="W24" s="51" t="str">
        <f t="shared" si="14"/>
        <v/>
      </c>
      <c r="X24" s="51" t="str">
        <f t="shared" si="14"/>
        <v/>
      </c>
      <c r="Y24" s="50">
        <f>I24</f>
        <v>0</v>
      </c>
      <c r="Z24" s="51" t="str">
        <f>IFERROR(IF(SEARCH($K24,Z$23),$L24,"")*$Y24,"")</f>
        <v/>
      </c>
      <c r="AA24" s="51">
        <f>IFERROR(IF(SEARCH($K24,AA$23),$L24,"")*$Y24,"")</f>
        <v>0</v>
      </c>
      <c r="AB24" s="51" t="str">
        <f>IFERROR(IF(SEARCH($K24,AB$23),$L24,"")*$Y24,"")</f>
        <v/>
      </c>
      <c r="AC24" s="55" t="str">
        <f>IFERROR(IF(SEARCH($K24,AC$23),$L24,"")*$Y24,"")</f>
        <v/>
      </c>
    </row>
    <row r="25" spans="1:29" hidden="1" x14ac:dyDescent="0.2">
      <c r="A25" s="49"/>
      <c r="B25" s="50"/>
      <c r="C25" s="51"/>
      <c r="D25" s="50"/>
      <c r="E25" s="52"/>
      <c r="F25" s="51"/>
      <c r="G25" s="53"/>
      <c r="H25" s="51"/>
      <c r="I25" s="53"/>
      <c r="J25" s="51"/>
      <c r="K25" s="357"/>
      <c r="L25" s="51"/>
      <c r="M25" s="51"/>
      <c r="N25" s="54"/>
      <c r="O25" s="51"/>
      <c r="P25" s="51"/>
      <c r="Q25" s="51"/>
      <c r="R25" s="51"/>
      <c r="S25" s="274"/>
      <c r="T25" s="54"/>
      <c r="U25" s="54"/>
      <c r="V25" s="51"/>
      <c r="W25" s="51"/>
      <c r="X25" s="51"/>
      <c r="Y25" s="50"/>
      <c r="Z25" s="51"/>
      <c r="AA25" s="51"/>
      <c r="AB25" s="51"/>
      <c r="AC25" s="55"/>
    </row>
    <row r="26" spans="1:29" hidden="1" x14ac:dyDescent="0.2">
      <c r="A26" s="61"/>
      <c r="B26" s="50"/>
      <c r="C26" s="51"/>
      <c r="D26" s="50"/>
      <c r="E26" s="53"/>
      <c r="F26" s="51"/>
      <c r="G26" s="62"/>
      <c r="H26" s="63"/>
      <c r="I26" s="62"/>
      <c r="J26" s="51"/>
      <c r="K26" s="357"/>
      <c r="L26" s="51"/>
      <c r="M26" s="64"/>
      <c r="N26" s="54"/>
      <c r="O26" s="65"/>
      <c r="P26" s="65"/>
      <c r="Q26" s="65"/>
      <c r="R26" s="65"/>
      <c r="S26" s="336"/>
      <c r="T26" s="66"/>
      <c r="U26" s="54"/>
      <c r="V26" s="51"/>
      <c r="W26" s="65"/>
      <c r="X26" s="65"/>
      <c r="Y26" s="50"/>
      <c r="Z26" s="65"/>
      <c r="AA26" s="51"/>
      <c r="AB26" s="51"/>
      <c r="AC26" s="55"/>
    </row>
    <row r="27" spans="1:29" ht="13.5" hidden="1" thickBot="1" x14ac:dyDescent="0.25">
      <c r="A27" s="1305" t="s">
        <v>65</v>
      </c>
      <c r="B27" s="1306"/>
      <c r="C27" s="1306"/>
      <c r="D27" s="1306"/>
      <c r="E27" s="58">
        <f t="shared" ref="E27:J27" si="15">SUM(E24:E26)</f>
        <v>0</v>
      </c>
      <c r="F27" s="58">
        <f t="shared" si="15"/>
        <v>0</v>
      </c>
      <c r="G27" s="58">
        <f t="shared" si="15"/>
        <v>0</v>
      </c>
      <c r="H27" s="58">
        <f t="shared" si="15"/>
        <v>0</v>
      </c>
      <c r="I27" s="58">
        <f t="shared" si="15"/>
        <v>0</v>
      </c>
      <c r="J27" s="58">
        <f t="shared" si="15"/>
        <v>0</v>
      </c>
      <c r="K27" s="1305" t="s">
        <v>14</v>
      </c>
      <c r="L27" s="1306"/>
      <c r="M27" s="1306"/>
      <c r="N27" s="67">
        <f>SUM(N24:N26)</f>
        <v>0</v>
      </c>
      <c r="O27" s="67">
        <f t="shared" ref="O27:AC27" si="16">SUM(O24:O25)</f>
        <v>0</v>
      </c>
      <c r="P27" s="67">
        <f>SUM(P24:P26)</f>
        <v>0</v>
      </c>
      <c r="Q27" s="67">
        <f t="shared" si="16"/>
        <v>0</v>
      </c>
      <c r="R27" s="67">
        <f t="shared" si="16"/>
        <v>0</v>
      </c>
      <c r="S27" s="67"/>
      <c r="T27" s="67">
        <f>SUM(T24:T25)</f>
        <v>0</v>
      </c>
      <c r="U27" s="67">
        <f t="shared" si="16"/>
        <v>0</v>
      </c>
      <c r="V27" s="67">
        <f>SUM(V24:V26)</f>
        <v>0</v>
      </c>
      <c r="W27" s="67">
        <f t="shared" si="16"/>
        <v>0</v>
      </c>
      <c r="X27" s="67">
        <f t="shared" si="16"/>
        <v>0</v>
      </c>
      <c r="Y27" s="67">
        <f>SUM(Y24:Y26)</f>
        <v>0</v>
      </c>
      <c r="Z27" s="67">
        <f t="shared" si="16"/>
        <v>0</v>
      </c>
      <c r="AA27" s="67">
        <f>SUM(AA24:AA26)</f>
        <v>0</v>
      </c>
      <c r="AB27" s="67">
        <f t="shared" si="16"/>
        <v>0</v>
      </c>
      <c r="AC27" s="68">
        <f t="shared" si="16"/>
        <v>0</v>
      </c>
    </row>
    <row r="28" spans="1:29" x14ac:dyDescent="0.2">
      <c r="F28" s="38" t="s">
        <v>172</v>
      </c>
    </row>
    <row r="29" spans="1:29" ht="13.5" thickBot="1" x14ac:dyDescent="0.25"/>
    <row r="30" spans="1:29" ht="13.5" thickBot="1" x14ac:dyDescent="0.25">
      <c r="B30" s="1321" t="s">
        <v>28</v>
      </c>
      <c r="C30" s="1322"/>
      <c r="D30" s="1322"/>
      <c r="E30" s="1322"/>
      <c r="F30" s="1322"/>
      <c r="G30" s="1322"/>
      <c r="H30" s="1322"/>
      <c r="I30" s="1322"/>
      <c r="J30" s="1323"/>
      <c r="Q30" s="35"/>
    </row>
    <row r="31" spans="1:29" ht="13.5" thickBot="1" x14ac:dyDescent="0.25">
      <c r="A31" s="30" t="s">
        <v>9</v>
      </c>
      <c r="B31" s="1292" t="s">
        <v>29</v>
      </c>
      <c r="C31" s="1293"/>
      <c r="D31" s="1293"/>
      <c r="E31" s="1293"/>
      <c r="F31" s="1293"/>
      <c r="G31" s="1293"/>
      <c r="H31" s="1294"/>
      <c r="I31" s="69" t="s">
        <v>0</v>
      </c>
      <c r="J31" s="69" t="s">
        <v>105</v>
      </c>
      <c r="K31" s="358" t="s">
        <v>170</v>
      </c>
      <c r="L31" s="175"/>
      <c r="M31" s="175"/>
      <c r="N31" s="35"/>
    </row>
    <row r="32" spans="1:29" ht="15" customHeight="1" thickBot="1" x14ac:dyDescent="0.25">
      <c r="A32" s="416" t="s">
        <v>28921</v>
      </c>
      <c r="B32" s="417" t="s">
        <v>303</v>
      </c>
      <c r="C32" s="418"/>
      <c r="D32" s="418"/>
      <c r="E32" s="418"/>
      <c r="F32" s="418"/>
      <c r="G32" s="418"/>
      <c r="H32" s="418"/>
      <c r="I32" s="419" t="s">
        <v>227</v>
      </c>
      <c r="J32" s="420">
        <f>G16</f>
        <v>22.060000000000002</v>
      </c>
      <c r="K32" s="359">
        <f>SUMIF(Orçamento!$B$1:$B$102,A32,Orçamento!$F$1:$F$102)-J32</f>
        <v>0</v>
      </c>
    </row>
    <row r="33" spans="1:11" ht="15" customHeight="1" x14ac:dyDescent="0.2">
      <c r="A33" s="416" t="s">
        <v>272</v>
      </c>
      <c r="B33" s="423" t="s">
        <v>273</v>
      </c>
      <c r="C33" s="424"/>
      <c r="D33" s="424"/>
      <c r="E33" s="424"/>
      <c r="F33" s="424"/>
      <c r="G33" s="424"/>
      <c r="H33" s="424"/>
      <c r="I33" s="419" t="s">
        <v>226</v>
      </c>
      <c r="J33" s="428"/>
      <c r="K33" s="359">
        <f>SUMIF(Orçamento!$B$1:$B$102,A33,Orçamento!$F$1:$F$102)-J33</f>
        <v>0</v>
      </c>
    </row>
    <row r="34" spans="1:11" ht="15" customHeight="1" x14ac:dyDescent="0.2">
      <c r="A34" s="346" t="s">
        <v>274</v>
      </c>
      <c r="B34" s="347" t="s">
        <v>275</v>
      </c>
      <c r="C34" s="425"/>
      <c r="D34" s="425"/>
      <c r="E34" s="425"/>
      <c r="F34" s="425"/>
      <c r="G34" s="425"/>
      <c r="H34" s="425"/>
      <c r="I34" s="350" t="s">
        <v>226</v>
      </c>
      <c r="J34" s="426"/>
      <c r="K34" s="359">
        <f>SUMIF(Orçamento!$B$1:$B$102,A34,Orçamento!$F$1:$F$102)-J34</f>
        <v>0</v>
      </c>
    </row>
    <row r="35" spans="1:11" ht="15" customHeight="1" x14ac:dyDescent="0.2">
      <c r="A35" s="346" t="s">
        <v>276</v>
      </c>
      <c r="B35" s="347" t="s">
        <v>277</v>
      </c>
      <c r="C35" s="421"/>
      <c r="D35" s="421"/>
      <c r="E35" s="421"/>
      <c r="F35" s="421"/>
      <c r="G35" s="421"/>
      <c r="H35" s="421"/>
      <c r="I35" s="350" t="s">
        <v>226</v>
      </c>
      <c r="J35" s="426"/>
      <c r="K35" s="359">
        <f>SUMIF(Orçamento!$B$1:$B$102,A35,Orçamento!$F$1:$F$102)-J35</f>
        <v>0</v>
      </c>
    </row>
    <row r="36" spans="1:11" ht="15" customHeight="1" x14ac:dyDescent="0.2">
      <c r="A36" s="346" t="s">
        <v>278</v>
      </c>
      <c r="B36" s="347" t="s">
        <v>279</v>
      </c>
      <c r="C36" s="421"/>
      <c r="D36" s="421"/>
      <c r="E36" s="421"/>
      <c r="F36" s="421"/>
      <c r="G36" s="421"/>
      <c r="H36" s="421"/>
      <c r="I36" s="350" t="s">
        <v>226</v>
      </c>
      <c r="J36" s="426"/>
      <c r="K36" s="359">
        <f>SUMIF(Orçamento!$B$1:$B$102,A36,Orçamento!$F$1:$F$102)-J36</f>
        <v>0</v>
      </c>
    </row>
    <row r="37" spans="1:11" ht="15" customHeight="1" x14ac:dyDescent="0.2">
      <c r="A37" s="346" t="s">
        <v>280</v>
      </c>
      <c r="B37" s="347" t="s">
        <v>281</v>
      </c>
      <c r="C37" s="421"/>
      <c r="D37" s="421"/>
      <c r="E37" s="421"/>
      <c r="F37" s="421"/>
      <c r="G37" s="421"/>
      <c r="H37" s="421"/>
      <c r="I37" s="350" t="s">
        <v>226</v>
      </c>
      <c r="J37" s="426"/>
      <c r="K37" s="359">
        <f>SUMIF(Orçamento!$B$1:$B$102,A37,Orçamento!$F$1:$F$102)-J37</f>
        <v>0</v>
      </c>
    </row>
    <row r="38" spans="1:11" ht="15" customHeight="1" x14ac:dyDescent="0.2">
      <c r="A38" s="346" t="s">
        <v>282</v>
      </c>
      <c r="B38" s="347" t="s">
        <v>283</v>
      </c>
      <c r="C38" s="421"/>
      <c r="D38" s="421"/>
      <c r="E38" s="421"/>
      <c r="F38" s="421"/>
      <c r="G38" s="421"/>
      <c r="H38" s="421"/>
      <c r="I38" s="350" t="s">
        <v>226</v>
      </c>
      <c r="J38" s="426"/>
      <c r="K38" s="359">
        <f>SUMIF(Orçamento!$B$1:$B$102,A38,Orçamento!$F$1:$F$102)-J38</f>
        <v>0</v>
      </c>
    </row>
    <row r="39" spans="1:11" ht="15" customHeight="1" thickBot="1" x14ac:dyDescent="0.25">
      <c r="A39" s="360" t="s">
        <v>284</v>
      </c>
      <c r="B39" s="427" t="s">
        <v>285</v>
      </c>
      <c r="C39" s="422"/>
      <c r="D39" s="422"/>
      <c r="E39" s="422"/>
      <c r="F39" s="422"/>
      <c r="G39" s="422"/>
      <c r="H39" s="422"/>
      <c r="I39" s="361" t="s">
        <v>226</v>
      </c>
      <c r="J39" s="429"/>
      <c r="K39" s="359">
        <f>SUMIF(Orçamento!$B$1:$B$102,A39,Orçamento!$F$1:$F$102)-J39</f>
        <v>0</v>
      </c>
    </row>
    <row r="40" spans="1:11" ht="15" customHeight="1" thickBot="1" x14ac:dyDescent="0.25">
      <c r="A40" s="360" t="s">
        <v>28983</v>
      </c>
      <c r="B40" s="427" t="s">
        <v>7</v>
      </c>
      <c r="C40" s="422"/>
      <c r="D40" s="422"/>
      <c r="E40" s="422"/>
      <c r="F40" s="422"/>
      <c r="G40" s="422"/>
      <c r="H40" s="422"/>
      <c r="I40" s="361" t="s">
        <v>158</v>
      </c>
      <c r="J40" s="429">
        <f>Q16</f>
        <v>54.400000000000006</v>
      </c>
      <c r="K40" s="359">
        <f>SUMIF(Orçamento!$B$1:$B$102,A40,Orçamento!$F$1:$F$102)-J40</f>
        <v>0</v>
      </c>
    </row>
  </sheetData>
  <mergeCells count="34">
    <mergeCell ref="B30:J30"/>
    <mergeCell ref="B31:H31"/>
    <mergeCell ref="K22:K23"/>
    <mergeCell ref="N22:R22"/>
    <mergeCell ref="T22:X22"/>
    <mergeCell ref="A27:D27"/>
    <mergeCell ref="K27:M27"/>
    <mergeCell ref="I22:J22"/>
    <mergeCell ref="Y22:AC22"/>
    <mergeCell ref="A19:AC19"/>
    <mergeCell ref="A20:AC20"/>
    <mergeCell ref="A21:J21"/>
    <mergeCell ref="K21:AC21"/>
    <mergeCell ref="A22:A23"/>
    <mergeCell ref="B22:C22"/>
    <mergeCell ref="D22:D23"/>
    <mergeCell ref="E22:F22"/>
    <mergeCell ref="G22:H22"/>
    <mergeCell ref="U5:Y5"/>
    <mergeCell ref="Z5:AD5"/>
    <mergeCell ref="L4:T4"/>
    <mergeCell ref="A2:T2"/>
    <mergeCell ref="A16:E16"/>
    <mergeCell ref="L16:N16"/>
    <mergeCell ref="A3:T3"/>
    <mergeCell ref="A4:K4"/>
    <mergeCell ref="A5:A6"/>
    <mergeCell ref="B5:D5"/>
    <mergeCell ref="E5:E6"/>
    <mergeCell ref="F5:G5"/>
    <mergeCell ref="H5:I5"/>
    <mergeCell ref="J5:K5"/>
    <mergeCell ref="L5:L6"/>
    <mergeCell ref="O5:T5"/>
  </mergeCells>
  <conditionalFormatting sqref="K6 I6 O5:O6 Z6 N9 U6 P6:S6 K9:K15 I9:I15 G6:G15">
    <cfRule type="cellIs" dxfId="352" priority="918" stopIfTrue="1" operator="equal">
      <formula>"SUB"</formula>
    </cfRule>
    <cfRule type="cellIs" dxfId="351" priority="919" stopIfTrue="1" operator="equal">
      <formula>"RET"</formula>
    </cfRule>
  </conditionalFormatting>
  <conditionalFormatting sqref="I6 K6 O5:O6 Z6 Y25:Y26 U6 P6:S6 G6:G15">
    <cfRule type="cellIs" dxfId="350" priority="916" operator="equal">
      <formula>"SUB"</formula>
    </cfRule>
    <cfRule type="cellIs" dxfId="349" priority="917" operator="equal">
      <formula>"RET"</formula>
    </cfRule>
  </conditionalFormatting>
  <conditionalFormatting sqref="V6:Y6">
    <cfRule type="cellIs" dxfId="348" priority="912" operator="equal">
      <formula>"SUB"</formula>
    </cfRule>
    <cfRule type="cellIs" dxfId="347" priority="913" operator="equal">
      <formula>"RET"</formula>
    </cfRule>
  </conditionalFormatting>
  <conditionalFormatting sqref="V6:Y6">
    <cfRule type="cellIs" dxfId="346" priority="914" stopIfTrue="1" operator="equal">
      <formula>"SUB"</formula>
    </cfRule>
    <cfRule type="cellIs" dxfId="345" priority="915" stopIfTrue="1" operator="equal">
      <formula>"RET"</formula>
    </cfRule>
  </conditionalFormatting>
  <conditionalFormatting sqref="AA6:AD6">
    <cfRule type="cellIs" dxfId="344" priority="910" stopIfTrue="1" operator="equal">
      <formula>"SUB"</formula>
    </cfRule>
    <cfRule type="cellIs" dxfId="343" priority="911" stopIfTrue="1" operator="equal">
      <formula>"RET"</formula>
    </cfRule>
  </conditionalFormatting>
  <conditionalFormatting sqref="AA6:AD6">
    <cfRule type="cellIs" dxfId="342" priority="908" operator="equal">
      <formula>"SUB"</formula>
    </cfRule>
    <cfRule type="cellIs" dxfId="341" priority="909" operator="equal">
      <formula>"RET"</formula>
    </cfRule>
  </conditionalFormatting>
  <conditionalFormatting sqref="AC25:AC26">
    <cfRule type="cellIs" dxfId="340" priority="718" stopIfTrue="1" operator="equal">
      <formula>"SUB"</formula>
    </cfRule>
    <cfRule type="cellIs" dxfId="339" priority="719" stopIfTrue="1" operator="equal">
      <formula>"RET"</formula>
    </cfRule>
  </conditionalFormatting>
  <conditionalFormatting sqref="AC25:AC26">
    <cfRule type="cellIs" dxfId="338" priority="716" operator="equal">
      <formula>"SUB"</formula>
    </cfRule>
    <cfRule type="cellIs" dxfId="337" priority="717" operator="equal">
      <formula>"RET"</formula>
    </cfRule>
  </conditionalFormatting>
  <conditionalFormatting sqref="I7:I15">
    <cfRule type="cellIs" dxfId="336" priority="714" stopIfTrue="1" operator="equal">
      <formula>"SUB"</formula>
    </cfRule>
    <cfRule type="cellIs" dxfId="335" priority="715" stopIfTrue="1" operator="equal">
      <formula>"RET"</formula>
    </cfRule>
  </conditionalFormatting>
  <conditionalFormatting sqref="I7:I15">
    <cfRule type="cellIs" dxfId="334" priority="712" operator="equal">
      <formula>"SUB"</formula>
    </cfRule>
    <cfRule type="cellIs" dxfId="333" priority="713" operator="equal">
      <formula>"RET"</formula>
    </cfRule>
  </conditionalFormatting>
  <conditionalFormatting sqref="K7:K8 N7:N8 I8:I15 P7:T15">
    <cfRule type="cellIs" dxfId="332" priority="788" stopIfTrue="1" operator="equal">
      <formula>"SUB"</formula>
    </cfRule>
    <cfRule type="cellIs" dxfId="331" priority="789" stopIfTrue="1" operator="equal">
      <formula>"RET"</formula>
    </cfRule>
  </conditionalFormatting>
  <conditionalFormatting sqref="P7:T15">
    <cfRule type="cellIs" dxfId="330" priority="786" operator="equal">
      <formula>"SUB"</formula>
    </cfRule>
    <cfRule type="cellIs" dxfId="329" priority="787" operator="equal">
      <formula>"RET"</formula>
    </cfRule>
  </conditionalFormatting>
  <conditionalFormatting sqref="O27">
    <cfRule type="cellIs" dxfId="328" priority="644" stopIfTrue="1" operator="equal">
      <formula>"SUB"</formula>
    </cfRule>
    <cfRule type="cellIs" dxfId="327" priority="645" stopIfTrue="1" operator="equal">
      <formula>"RET"</formula>
    </cfRule>
  </conditionalFormatting>
  <conditionalFormatting sqref="O27">
    <cfRule type="cellIs" dxfId="326" priority="642" operator="equal">
      <formula>"SUB"</formula>
    </cfRule>
    <cfRule type="cellIs" dxfId="325" priority="643" operator="equal">
      <formula>"RET"</formula>
    </cfRule>
  </conditionalFormatting>
  <conditionalFormatting sqref="O23:T23 J23 H23 N22:N23 Y23 N27 F23 F25:F26 K25:K26 M25:M26">
    <cfRule type="cellIs" dxfId="324" priority="756" stopIfTrue="1" operator="equal">
      <formula>"SUB"</formula>
    </cfRule>
    <cfRule type="cellIs" dxfId="323" priority="757" stopIfTrue="1" operator="equal">
      <formula>"RET"</formula>
    </cfRule>
  </conditionalFormatting>
  <conditionalFormatting sqref="H23 J23 N22:N23 Y23 O23:T23 N27 F23 F25:F26">
    <cfRule type="cellIs" dxfId="322" priority="754" operator="equal">
      <formula>"SUB"</formula>
    </cfRule>
    <cfRule type="cellIs" dxfId="321" priority="755" operator="equal">
      <formula>"RET"</formula>
    </cfRule>
  </conditionalFormatting>
  <conditionalFormatting sqref="U23:X23">
    <cfRule type="cellIs" dxfId="320" priority="750" operator="equal">
      <formula>"SUB"</formula>
    </cfRule>
    <cfRule type="cellIs" dxfId="319" priority="751" operator="equal">
      <formula>"RET"</formula>
    </cfRule>
  </conditionalFormatting>
  <conditionalFormatting sqref="U23:X23">
    <cfRule type="cellIs" dxfId="318" priority="752" stopIfTrue="1" operator="equal">
      <formula>"SUB"</formula>
    </cfRule>
    <cfRule type="cellIs" dxfId="317" priority="753" stopIfTrue="1" operator="equal">
      <formula>"RET"</formula>
    </cfRule>
  </conditionalFormatting>
  <conditionalFormatting sqref="Z23:AC23">
    <cfRule type="cellIs" dxfId="316" priority="748" stopIfTrue="1" operator="equal">
      <formula>"SUB"</formula>
    </cfRule>
    <cfRule type="cellIs" dxfId="315" priority="749" stopIfTrue="1" operator="equal">
      <formula>"RET"</formula>
    </cfRule>
  </conditionalFormatting>
  <conditionalFormatting sqref="Z23:AC23">
    <cfRule type="cellIs" dxfId="314" priority="746" operator="equal">
      <formula>"SUB"</formula>
    </cfRule>
    <cfRule type="cellIs" dxfId="313" priority="747" operator="equal">
      <formula>"RET"</formula>
    </cfRule>
  </conditionalFormatting>
  <conditionalFormatting sqref="O25:Q26">
    <cfRule type="cellIs" dxfId="312" priority="744" stopIfTrue="1" operator="equal">
      <formula>"SUB"</formula>
    </cfRule>
    <cfRule type="cellIs" dxfId="311" priority="745" stopIfTrue="1" operator="equal">
      <formula>"RET"</formula>
    </cfRule>
  </conditionalFormatting>
  <conditionalFormatting sqref="O25:Q26">
    <cfRule type="cellIs" dxfId="310" priority="742" operator="equal">
      <formula>"SUB"</formula>
    </cfRule>
    <cfRule type="cellIs" dxfId="309" priority="743" operator="equal">
      <formula>"RET"</formula>
    </cfRule>
  </conditionalFormatting>
  <conditionalFormatting sqref="T26">
    <cfRule type="cellIs" dxfId="308" priority="740" stopIfTrue="1" operator="equal">
      <formula>"SUB"</formula>
    </cfRule>
    <cfRule type="cellIs" dxfId="307" priority="741" stopIfTrue="1" operator="equal">
      <formula>"RET"</formula>
    </cfRule>
  </conditionalFormatting>
  <conditionalFormatting sqref="T26">
    <cfRule type="cellIs" dxfId="306" priority="738" operator="equal">
      <formula>"SUB"</formula>
    </cfRule>
    <cfRule type="cellIs" dxfId="305" priority="739" operator="equal">
      <formula>"RET"</formula>
    </cfRule>
  </conditionalFormatting>
  <conditionalFormatting sqref="Y25:Y26">
    <cfRule type="cellIs" dxfId="304" priority="736" stopIfTrue="1" operator="equal">
      <formula>"SUB"</formula>
    </cfRule>
    <cfRule type="cellIs" dxfId="303" priority="737" stopIfTrue="1" operator="equal">
      <formula>"RET"</formula>
    </cfRule>
  </conditionalFormatting>
  <conditionalFormatting sqref="R25:S26">
    <cfRule type="cellIs" dxfId="302" priority="734" stopIfTrue="1" operator="equal">
      <formula>"SUB"</formula>
    </cfRule>
    <cfRule type="cellIs" dxfId="301" priority="735" stopIfTrue="1" operator="equal">
      <formula>"RET"</formula>
    </cfRule>
  </conditionalFormatting>
  <conditionalFormatting sqref="R25:S26">
    <cfRule type="cellIs" dxfId="300" priority="732" operator="equal">
      <formula>"SUB"</formula>
    </cfRule>
    <cfRule type="cellIs" dxfId="299" priority="733" operator="equal">
      <formula>"RET"</formula>
    </cfRule>
  </conditionalFormatting>
  <conditionalFormatting sqref="V25:W26">
    <cfRule type="cellIs" dxfId="298" priority="730" stopIfTrue="1" operator="equal">
      <formula>"SUB"</formula>
    </cfRule>
    <cfRule type="cellIs" dxfId="297" priority="731" stopIfTrue="1" operator="equal">
      <formula>"RET"</formula>
    </cfRule>
  </conditionalFormatting>
  <conditionalFormatting sqref="V25:W26">
    <cfRule type="cellIs" dxfId="296" priority="728" operator="equal">
      <formula>"SUB"</formula>
    </cfRule>
    <cfRule type="cellIs" dxfId="295" priority="729" operator="equal">
      <formula>"RET"</formula>
    </cfRule>
  </conditionalFormatting>
  <conditionalFormatting sqref="X25:X26">
    <cfRule type="cellIs" dxfId="294" priority="726" stopIfTrue="1" operator="equal">
      <formula>"SUB"</formula>
    </cfRule>
    <cfRule type="cellIs" dxfId="293" priority="727" stopIfTrue="1" operator="equal">
      <formula>"RET"</formula>
    </cfRule>
  </conditionalFormatting>
  <conditionalFormatting sqref="X25:X26">
    <cfRule type="cellIs" dxfId="292" priority="724" operator="equal">
      <formula>"SUB"</formula>
    </cfRule>
    <cfRule type="cellIs" dxfId="291" priority="725" operator="equal">
      <formula>"RET"</formula>
    </cfRule>
  </conditionalFormatting>
  <conditionalFormatting sqref="Z25:AB26">
    <cfRule type="cellIs" dxfId="290" priority="722" stopIfTrue="1" operator="equal">
      <formula>"SUB"</formula>
    </cfRule>
    <cfRule type="cellIs" dxfId="289" priority="723" stopIfTrue="1" operator="equal">
      <formula>"RET"</formula>
    </cfRule>
  </conditionalFormatting>
  <conditionalFormatting sqref="Z25:AB26">
    <cfRule type="cellIs" dxfId="288" priority="720" operator="equal">
      <formula>"SUB"</formula>
    </cfRule>
    <cfRule type="cellIs" dxfId="287" priority="721" operator="equal">
      <formula>"RET"</formula>
    </cfRule>
  </conditionalFormatting>
  <conditionalFormatting sqref="H25:H26">
    <cfRule type="cellIs" dxfId="286" priority="706" stopIfTrue="1" operator="equal">
      <formula>"SUB"</formula>
    </cfRule>
    <cfRule type="cellIs" dxfId="285" priority="707" stopIfTrue="1" operator="equal">
      <formula>"RET"</formula>
    </cfRule>
  </conditionalFormatting>
  <conditionalFormatting sqref="H25:H26">
    <cfRule type="cellIs" dxfId="284" priority="704" operator="equal">
      <formula>"SUB"</formula>
    </cfRule>
    <cfRule type="cellIs" dxfId="283" priority="705" operator="equal">
      <formula>"RET"</formula>
    </cfRule>
  </conditionalFormatting>
  <conditionalFormatting sqref="J25:J26">
    <cfRule type="cellIs" dxfId="282" priority="702" stopIfTrue="1" operator="equal">
      <formula>"SUB"</formula>
    </cfRule>
    <cfRule type="cellIs" dxfId="281" priority="703" stopIfTrue="1" operator="equal">
      <formula>"RET"</formula>
    </cfRule>
  </conditionalFormatting>
  <conditionalFormatting sqref="J25:J26">
    <cfRule type="cellIs" dxfId="280" priority="700" operator="equal">
      <formula>"SUB"</formula>
    </cfRule>
    <cfRule type="cellIs" dxfId="279" priority="701" operator="equal">
      <formula>"RET"</formula>
    </cfRule>
  </conditionalFormatting>
  <conditionalFormatting sqref="U25:U26">
    <cfRule type="cellIs" dxfId="278" priority="698" stopIfTrue="1" operator="equal">
      <formula>"SUB"</formula>
    </cfRule>
    <cfRule type="cellIs" dxfId="277" priority="699" stopIfTrue="1" operator="equal">
      <formula>"RET"</formula>
    </cfRule>
  </conditionalFormatting>
  <conditionalFormatting sqref="U25:U26">
    <cfRule type="cellIs" dxfId="276" priority="696" operator="equal">
      <formula>"SUB"</formula>
    </cfRule>
    <cfRule type="cellIs" dxfId="275" priority="697" operator="equal">
      <formula>"RET"</formula>
    </cfRule>
  </conditionalFormatting>
  <conditionalFormatting sqref="J24">
    <cfRule type="cellIs" dxfId="274" priority="694" stopIfTrue="1" operator="equal">
      <formula>"SUB"</formula>
    </cfRule>
    <cfRule type="cellIs" dxfId="273" priority="695" stopIfTrue="1" operator="equal">
      <formula>"RET"</formula>
    </cfRule>
  </conditionalFormatting>
  <conditionalFormatting sqref="J24">
    <cfRule type="cellIs" dxfId="272" priority="692" operator="equal">
      <formula>"SUB"</formula>
    </cfRule>
    <cfRule type="cellIs" dxfId="271" priority="693" operator="equal">
      <formula>"RET"</formula>
    </cfRule>
  </conditionalFormatting>
  <conditionalFormatting sqref="F24">
    <cfRule type="cellIs" dxfId="270" priority="690" stopIfTrue="1" operator="equal">
      <formula>"SUB"</formula>
    </cfRule>
    <cfRule type="cellIs" dxfId="269" priority="691" stopIfTrue="1" operator="equal">
      <formula>"RET"</formula>
    </cfRule>
  </conditionalFormatting>
  <conditionalFormatting sqref="F24">
    <cfRule type="cellIs" dxfId="268" priority="688" operator="equal">
      <formula>"SUB"</formula>
    </cfRule>
    <cfRule type="cellIs" dxfId="267" priority="689" operator="equal">
      <formula>"RET"</formula>
    </cfRule>
  </conditionalFormatting>
  <conditionalFormatting sqref="H24">
    <cfRule type="cellIs" dxfId="266" priority="686" stopIfTrue="1" operator="equal">
      <formula>"SUB"</formula>
    </cfRule>
    <cfRule type="cellIs" dxfId="265" priority="687" stopIfTrue="1" operator="equal">
      <formula>"RET"</formula>
    </cfRule>
  </conditionalFormatting>
  <conditionalFormatting sqref="H24">
    <cfRule type="cellIs" dxfId="264" priority="684" operator="equal">
      <formula>"SUB"</formula>
    </cfRule>
    <cfRule type="cellIs" dxfId="263" priority="685" operator="equal">
      <formula>"RET"</formula>
    </cfRule>
  </conditionalFormatting>
  <conditionalFormatting sqref="K24:L24 L25:L26">
    <cfRule type="cellIs" dxfId="262" priority="682" stopIfTrue="1" operator="equal">
      <formula>"SUB"</formula>
    </cfRule>
    <cfRule type="cellIs" dxfId="261" priority="683" stopIfTrue="1" operator="equal">
      <formula>"RET"</formula>
    </cfRule>
  </conditionalFormatting>
  <conditionalFormatting sqref="Y24">
    <cfRule type="cellIs" dxfId="260" priority="680" operator="equal">
      <formula>"SUB"</formula>
    </cfRule>
    <cfRule type="cellIs" dxfId="259" priority="681" operator="equal">
      <formula>"RET"</formula>
    </cfRule>
  </conditionalFormatting>
  <conditionalFormatting sqref="N24:N26">
    <cfRule type="cellIs" dxfId="258" priority="678" stopIfTrue="1" operator="equal">
      <formula>"SUB"</formula>
    </cfRule>
    <cfRule type="cellIs" dxfId="257" priority="679" stopIfTrue="1" operator="equal">
      <formula>"RET"</formula>
    </cfRule>
  </conditionalFormatting>
  <conditionalFormatting sqref="N24:N26">
    <cfRule type="cellIs" dxfId="256" priority="676" operator="equal">
      <formula>"SUB"</formula>
    </cfRule>
    <cfRule type="cellIs" dxfId="255" priority="677" operator="equal">
      <formula>"RET"</formula>
    </cfRule>
  </conditionalFormatting>
  <conditionalFormatting sqref="T24:T25">
    <cfRule type="cellIs" dxfId="254" priority="674" stopIfTrue="1" operator="equal">
      <formula>"SUB"</formula>
    </cfRule>
    <cfRule type="cellIs" dxfId="253" priority="675" stopIfTrue="1" operator="equal">
      <formula>"RET"</formula>
    </cfRule>
  </conditionalFormatting>
  <conditionalFormatting sqref="T24:T25">
    <cfRule type="cellIs" dxfId="252" priority="672" operator="equal">
      <formula>"SUB"</formula>
    </cfRule>
    <cfRule type="cellIs" dxfId="251" priority="673" operator="equal">
      <formula>"RET"</formula>
    </cfRule>
  </conditionalFormatting>
  <conditionalFormatting sqref="Y24">
    <cfRule type="cellIs" dxfId="250" priority="670" stopIfTrue="1" operator="equal">
      <formula>"SUB"</formula>
    </cfRule>
    <cfRule type="cellIs" dxfId="249" priority="671" stopIfTrue="1" operator="equal">
      <formula>"RET"</formula>
    </cfRule>
  </conditionalFormatting>
  <conditionalFormatting sqref="U27">
    <cfRule type="cellIs" dxfId="248" priority="624" stopIfTrue="1" operator="equal">
      <formula>"SUB"</formula>
    </cfRule>
    <cfRule type="cellIs" dxfId="247" priority="625" stopIfTrue="1" operator="equal">
      <formula>"RET"</formula>
    </cfRule>
  </conditionalFormatting>
  <conditionalFormatting sqref="U27">
    <cfRule type="cellIs" dxfId="246" priority="622" operator="equal">
      <formula>"SUB"</formula>
    </cfRule>
    <cfRule type="cellIs" dxfId="245" priority="623" operator="equal">
      <formula>"RET"</formula>
    </cfRule>
  </conditionalFormatting>
  <conditionalFormatting sqref="P27">
    <cfRule type="cellIs" dxfId="244" priority="640" stopIfTrue="1" operator="equal">
      <formula>"SUB"</formula>
    </cfRule>
    <cfRule type="cellIs" dxfId="243" priority="641" stopIfTrue="1" operator="equal">
      <formula>"RET"</formula>
    </cfRule>
  </conditionalFormatting>
  <conditionalFormatting sqref="P27">
    <cfRule type="cellIs" dxfId="242" priority="638" operator="equal">
      <formula>"SUB"</formula>
    </cfRule>
    <cfRule type="cellIs" dxfId="241" priority="639" operator="equal">
      <formula>"RET"</formula>
    </cfRule>
  </conditionalFormatting>
  <conditionalFormatting sqref="Q27">
    <cfRule type="cellIs" dxfId="240" priority="636" stopIfTrue="1" operator="equal">
      <formula>"SUB"</formula>
    </cfRule>
    <cfRule type="cellIs" dxfId="239" priority="637" stopIfTrue="1" operator="equal">
      <formula>"RET"</formula>
    </cfRule>
  </conditionalFormatting>
  <conditionalFormatting sqref="Q27">
    <cfRule type="cellIs" dxfId="238" priority="634" operator="equal">
      <formula>"SUB"</formula>
    </cfRule>
    <cfRule type="cellIs" dxfId="237" priority="635" operator="equal">
      <formula>"RET"</formula>
    </cfRule>
  </conditionalFormatting>
  <conditionalFormatting sqref="R27:S27">
    <cfRule type="cellIs" dxfId="236" priority="632" stopIfTrue="1" operator="equal">
      <formula>"SUB"</formula>
    </cfRule>
    <cfRule type="cellIs" dxfId="235" priority="633" stopIfTrue="1" operator="equal">
      <formula>"RET"</formula>
    </cfRule>
  </conditionalFormatting>
  <conditionalFormatting sqref="R27:S27">
    <cfRule type="cellIs" dxfId="234" priority="630" operator="equal">
      <formula>"SUB"</formula>
    </cfRule>
    <cfRule type="cellIs" dxfId="233" priority="631" operator="equal">
      <formula>"RET"</formula>
    </cfRule>
  </conditionalFormatting>
  <conditionalFormatting sqref="T27">
    <cfRule type="cellIs" dxfId="232" priority="628" stopIfTrue="1" operator="equal">
      <formula>"SUB"</formula>
    </cfRule>
    <cfRule type="cellIs" dxfId="231" priority="629" stopIfTrue="1" operator="equal">
      <formula>"RET"</formula>
    </cfRule>
  </conditionalFormatting>
  <conditionalFormatting sqref="T27">
    <cfRule type="cellIs" dxfId="230" priority="626" operator="equal">
      <formula>"SUB"</formula>
    </cfRule>
    <cfRule type="cellIs" dxfId="229" priority="627" operator="equal">
      <formula>"RET"</formula>
    </cfRule>
  </conditionalFormatting>
  <conditionalFormatting sqref="V27">
    <cfRule type="cellIs" dxfId="228" priority="620" stopIfTrue="1" operator="equal">
      <formula>"SUB"</formula>
    </cfRule>
    <cfRule type="cellIs" dxfId="227" priority="621" stopIfTrue="1" operator="equal">
      <formula>"RET"</formula>
    </cfRule>
  </conditionalFormatting>
  <conditionalFormatting sqref="V27">
    <cfRule type="cellIs" dxfId="226" priority="618" operator="equal">
      <formula>"SUB"</formula>
    </cfRule>
    <cfRule type="cellIs" dxfId="225" priority="619" operator="equal">
      <formula>"RET"</formula>
    </cfRule>
  </conditionalFormatting>
  <conditionalFormatting sqref="W27">
    <cfRule type="cellIs" dxfId="224" priority="616" stopIfTrue="1" operator="equal">
      <formula>"SUB"</formula>
    </cfRule>
    <cfRule type="cellIs" dxfId="223" priority="617" stopIfTrue="1" operator="equal">
      <formula>"RET"</formula>
    </cfRule>
  </conditionalFormatting>
  <conditionalFormatting sqref="W27">
    <cfRule type="cellIs" dxfId="222" priority="614" operator="equal">
      <formula>"SUB"</formula>
    </cfRule>
    <cfRule type="cellIs" dxfId="221" priority="615" operator="equal">
      <formula>"RET"</formula>
    </cfRule>
  </conditionalFormatting>
  <conditionalFormatting sqref="X27">
    <cfRule type="cellIs" dxfId="220" priority="612" stopIfTrue="1" operator="equal">
      <formula>"SUB"</formula>
    </cfRule>
    <cfRule type="cellIs" dxfId="219" priority="613" stopIfTrue="1" operator="equal">
      <formula>"RET"</formula>
    </cfRule>
  </conditionalFormatting>
  <conditionalFormatting sqref="X27">
    <cfRule type="cellIs" dxfId="218" priority="610" operator="equal">
      <formula>"SUB"</formula>
    </cfRule>
    <cfRule type="cellIs" dxfId="217" priority="611" operator="equal">
      <formula>"RET"</formula>
    </cfRule>
  </conditionalFormatting>
  <conditionalFormatting sqref="Y27">
    <cfRule type="cellIs" dxfId="216" priority="608" stopIfTrue="1" operator="equal">
      <formula>"SUB"</formula>
    </cfRule>
    <cfRule type="cellIs" dxfId="215" priority="609" stopIfTrue="1" operator="equal">
      <formula>"RET"</formula>
    </cfRule>
  </conditionalFormatting>
  <conditionalFormatting sqref="Y27">
    <cfRule type="cellIs" dxfId="214" priority="606" operator="equal">
      <formula>"SUB"</formula>
    </cfRule>
    <cfRule type="cellIs" dxfId="213" priority="607" operator="equal">
      <formula>"RET"</formula>
    </cfRule>
  </conditionalFormatting>
  <conditionalFormatting sqref="Z27">
    <cfRule type="cellIs" dxfId="212" priority="604" stopIfTrue="1" operator="equal">
      <formula>"SUB"</formula>
    </cfRule>
    <cfRule type="cellIs" dxfId="211" priority="605" stopIfTrue="1" operator="equal">
      <formula>"RET"</formula>
    </cfRule>
  </conditionalFormatting>
  <conditionalFormatting sqref="Z27">
    <cfRule type="cellIs" dxfId="210" priority="602" operator="equal">
      <formula>"SUB"</formula>
    </cfRule>
    <cfRule type="cellIs" dxfId="209" priority="603" operator="equal">
      <formula>"RET"</formula>
    </cfRule>
  </conditionalFormatting>
  <conditionalFormatting sqref="AA27">
    <cfRule type="cellIs" dxfId="208" priority="600" stopIfTrue="1" operator="equal">
      <formula>"SUB"</formula>
    </cfRule>
    <cfRule type="cellIs" dxfId="207" priority="601" stopIfTrue="1" operator="equal">
      <formula>"RET"</formula>
    </cfRule>
  </conditionalFormatting>
  <conditionalFormatting sqref="AA27">
    <cfRule type="cellIs" dxfId="206" priority="598" operator="equal">
      <formula>"SUB"</formula>
    </cfRule>
    <cfRule type="cellIs" dxfId="205" priority="599" operator="equal">
      <formula>"RET"</formula>
    </cfRule>
  </conditionalFormatting>
  <conditionalFormatting sqref="AB27">
    <cfRule type="cellIs" dxfId="204" priority="596" stopIfTrue="1" operator="equal">
      <formula>"SUB"</formula>
    </cfRule>
    <cfRule type="cellIs" dxfId="203" priority="597" stopIfTrue="1" operator="equal">
      <formula>"RET"</formula>
    </cfRule>
  </conditionalFormatting>
  <conditionalFormatting sqref="AB27">
    <cfRule type="cellIs" dxfId="202" priority="594" operator="equal">
      <formula>"SUB"</formula>
    </cfRule>
    <cfRule type="cellIs" dxfId="201" priority="595" operator="equal">
      <formula>"RET"</formula>
    </cfRule>
  </conditionalFormatting>
  <conditionalFormatting sqref="AC27">
    <cfRule type="cellIs" dxfId="200" priority="592" stopIfTrue="1" operator="equal">
      <formula>"SUB"</formula>
    </cfRule>
    <cfRule type="cellIs" dxfId="199" priority="593" stopIfTrue="1" operator="equal">
      <formula>"RET"</formula>
    </cfRule>
  </conditionalFormatting>
  <conditionalFormatting sqref="AC27">
    <cfRule type="cellIs" dxfId="198" priority="590" operator="equal">
      <formula>"SUB"</formula>
    </cfRule>
    <cfRule type="cellIs" dxfId="197" priority="591" operator="equal">
      <formula>"RET"</formula>
    </cfRule>
  </conditionalFormatting>
  <conditionalFormatting sqref="N10:N15">
    <cfRule type="cellIs" dxfId="196" priority="524" stopIfTrue="1" operator="equal">
      <formula>"SUB"</formula>
    </cfRule>
    <cfRule type="cellIs" dxfId="195" priority="525" stopIfTrue="1" operator="equal">
      <formula>"RET"</formula>
    </cfRule>
  </conditionalFormatting>
  <conditionalFormatting sqref="K7:K15">
    <cfRule type="cellIs" dxfId="194" priority="512" stopIfTrue="1" operator="equal">
      <formula>"SUB"</formula>
    </cfRule>
    <cfRule type="cellIs" dxfId="193" priority="513" stopIfTrue="1" operator="equal">
      <formula>"RET"</formula>
    </cfRule>
  </conditionalFormatting>
  <conditionalFormatting sqref="K7:K15">
    <cfRule type="cellIs" dxfId="192" priority="510" operator="equal">
      <formula>"SUB"</formula>
    </cfRule>
    <cfRule type="cellIs" dxfId="191" priority="511" operator="equal">
      <formula>"RET"</formula>
    </cfRule>
  </conditionalFormatting>
  <conditionalFormatting sqref="Z24:AC24">
    <cfRule type="cellIs" dxfId="190" priority="308" stopIfTrue="1" operator="equal">
      <formula>"SUB"</formula>
    </cfRule>
    <cfRule type="cellIs" dxfId="189" priority="309" stopIfTrue="1" operator="equal">
      <formula>"RET"</formula>
    </cfRule>
  </conditionalFormatting>
  <conditionalFormatting sqref="Z24:AC24">
    <cfRule type="cellIs" dxfId="188" priority="306" operator="equal">
      <formula>"SUB"</formula>
    </cfRule>
    <cfRule type="cellIs" dxfId="187" priority="307" operator="equal">
      <formula>"RET"</formula>
    </cfRule>
  </conditionalFormatting>
  <conditionalFormatting sqref="Z24:AC24">
    <cfRule type="cellIs" dxfId="186" priority="304" stopIfTrue="1" operator="equal">
      <formula>"SUB"</formula>
    </cfRule>
    <cfRule type="cellIs" dxfId="185" priority="305" stopIfTrue="1" operator="equal">
      <formula>"RET"</formula>
    </cfRule>
  </conditionalFormatting>
  <conditionalFormatting sqref="Z24:AC24">
    <cfRule type="cellIs" dxfId="184" priority="302" operator="equal">
      <formula>"SUB"</formula>
    </cfRule>
    <cfRule type="cellIs" dxfId="183" priority="303" operator="equal">
      <formula>"RET"</formula>
    </cfRule>
  </conditionalFormatting>
  <conditionalFormatting sqref="U24:X24">
    <cfRule type="cellIs" dxfId="182" priority="324" stopIfTrue="1" operator="equal">
      <formula>"SUB"</formula>
    </cfRule>
    <cfRule type="cellIs" dxfId="181" priority="325" stopIfTrue="1" operator="equal">
      <formula>"RET"</formula>
    </cfRule>
  </conditionalFormatting>
  <conditionalFormatting sqref="U24:X24">
    <cfRule type="cellIs" dxfId="180" priority="322" operator="equal">
      <formula>"SUB"</formula>
    </cfRule>
    <cfRule type="cellIs" dxfId="179" priority="323" operator="equal">
      <formula>"RET"</formula>
    </cfRule>
  </conditionalFormatting>
  <conditionalFormatting sqref="U24:X24">
    <cfRule type="cellIs" dxfId="178" priority="320" stopIfTrue="1" operator="equal">
      <formula>"SUB"</formula>
    </cfRule>
    <cfRule type="cellIs" dxfId="177" priority="321" stopIfTrue="1" operator="equal">
      <formula>"RET"</formula>
    </cfRule>
  </conditionalFormatting>
  <conditionalFormatting sqref="U24:X24">
    <cfRule type="cellIs" dxfId="176" priority="318" operator="equal">
      <formula>"SUB"</formula>
    </cfRule>
    <cfRule type="cellIs" dxfId="175" priority="319" operator="equal">
      <formula>"RET"</formula>
    </cfRule>
  </conditionalFormatting>
  <conditionalFormatting sqref="V7:Y15">
    <cfRule type="cellIs" dxfId="174" priority="372" stopIfTrue="1" operator="equal">
      <formula>"SUB"</formula>
    </cfRule>
    <cfRule type="cellIs" dxfId="173" priority="373" stopIfTrue="1" operator="equal">
      <formula>"RET"</formula>
    </cfRule>
  </conditionalFormatting>
  <conditionalFormatting sqref="V7:Y15">
    <cfRule type="cellIs" dxfId="172" priority="370" operator="equal">
      <formula>"SUB"</formula>
    </cfRule>
    <cfRule type="cellIs" dxfId="171" priority="371" operator="equal">
      <formula>"RET"</formula>
    </cfRule>
  </conditionalFormatting>
  <conditionalFormatting sqref="V7:Y15">
    <cfRule type="cellIs" dxfId="170" priority="368" stopIfTrue="1" operator="equal">
      <formula>"SUB"</formula>
    </cfRule>
    <cfRule type="cellIs" dxfId="169" priority="369" stopIfTrue="1" operator="equal">
      <formula>"RET"</formula>
    </cfRule>
  </conditionalFormatting>
  <conditionalFormatting sqref="V7:Y15">
    <cfRule type="cellIs" dxfId="168" priority="366" operator="equal">
      <formula>"SUB"</formula>
    </cfRule>
    <cfRule type="cellIs" dxfId="167" priority="367" operator="equal">
      <formula>"RET"</formula>
    </cfRule>
  </conditionalFormatting>
  <conditionalFormatting sqref="V7:Y15">
    <cfRule type="cellIs" dxfId="166" priority="364" stopIfTrue="1" operator="equal">
      <formula>"SUB"</formula>
    </cfRule>
    <cfRule type="cellIs" dxfId="165" priority="365" stopIfTrue="1" operator="equal">
      <formula>"RET"</formula>
    </cfRule>
  </conditionalFormatting>
  <conditionalFormatting sqref="V7:Y15">
    <cfRule type="cellIs" dxfId="164" priority="362" operator="equal">
      <formula>"SUB"</formula>
    </cfRule>
    <cfRule type="cellIs" dxfId="163" priority="363" operator="equal">
      <formula>"RET"</formula>
    </cfRule>
  </conditionalFormatting>
  <conditionalFormatting sqref="P7:T15">
    <cfRule type="cellIs" dxfId="162" priority="432" stopIfTrue="1" operator="equal">
      <formula>"SUB"</formula>
    </cfRule>
    <cfRule type="cellIs" dxfId="161" priority="433" stopIfTrue="1" operator="equal">
      <formula>"RET"</formula>
    </cfRule>
  </conditionalFormatting>
  <conditionalFormatting sqref="P7:T15">
    <cfRule type="cellIs" dxfId="160" priority="430" operator="equal">
      <formula>"SUB"</formula>
    </cfRule>
    <cfRule type="cellIs" dxfId="159" priority="431" operator="equal">
      <formula>"RET"</formula>
    </cfRule>
  </conditionalFormatting>
  <conditionalFormatting sqref="P7:T15">
    <cfRule type="cellIs" dxfId="158" priority="428" stopIfTrue="1" operator="equal">
      <formula>"SUB"</formula>
    </cfRule>
    <cfRule type="cellIs" dxfId="157" priority="429" stopIfTrue="1" operator="equal">
      <formula>"RET"</formula>
    </cfRule>
  </conditionalFormatting>
  <conditionalFormatting sqref="P7:T15">
    <cfRule type="cellIs" dxfId="156" priority="426" operator="equal">
      <formula>"SUB"</formula>
    </cfRule>
    <cfRule type="cellIs" dxfId="155" priority="427" operator="equal">
      <formula>"RET"</formula>
    </cfRule>
  </conditionalFormatting>
  <conditionalFormatting sqref="AA7:AD15">
    <cfRule type="cellIs" dxfId="154" priority="360" stopIfTrue="1" operator="equal">
      <formula>"SUB"</formula>
    </cfRule>
    <cfRule type="cellIs" dxfId="153" priority="361" stopIfTrue="1" operator="equal">
      <formula>"RET"</formula>
    </cfRule>
  </conditionalFormatting>
  <conditionalFormatting sqref="AA7:AD15">
    <cfRule type="cellIs" dxfId="152" priority="358" operator="equal">
      <formula>"SUB"</formula>
    </cfRule>
    <cfRule type="cellIs" dxfId="151" priority="359" operator="equal">
      <formula>"RET"</formula>
    </cfRule>
  </conditionalFormatting>
  <conditionalFormatting sqref="AA7:AD15">
    <cfRule type="cellIs" dxfId="150" priority="356" stopIfTrue="1" operator="equal">
      <formula>"SUB"</formula>
    </cfRule>
    <cfRule type="cellIs" dxfId="149" priority="357" stopIfTrue="1" operator="equal">
      <formula>"RET"</formula>
    </cfRule>
  </conditionalFormatting>
  <conditionalFormatting sqref="AA7:AD15">
    <cfRule type="cellIs" dxfId="148" priority="354" operator="equal">
      <formula>"SUB"</formula>
    </cfRule>
    <cfRule type="cellIs" dxfId="147" priority="355" operator="equal">
      <formula>"RET"</formula>
    </cfRule>
  </conditionalFormatting>
  <conditionalFormatting sqref="AA7:AD15">
    <cfRule type="cellIs" dxfId="146" priority="352" stopIfTrue="1" operator="equal">
      <formula>"SUB"</formula>
    </cfRule>
    <cfRule type="cellIs" dxfId="145" priority="353" stopIfTrue="1" operator="equal">
      <formula>"RET"</formula>
    </cfRule>
  </conditionalFormatting>
  <conditionalFormatting sqref="AA7:AD15">
    <cfRule type="cellIs" dxfId="144" priority="350" operator="equal">
      <formula>"SUB"</formula>
    </cfRule>
    <cfRule type="cellIs" dxfId="143" priority="351" operator="equal">
      <formula>"RET"</formula>
    </cfRule>
  </conditionalFormatting>
  <conditionalFormatting sqref="O24:S24">
    <cfRule type="cellIs" dxfId="142" priority="336" stopIfTrue="1" operator="equal">
      <formula>"SUB"</formula>
    </cfRule>
    <cfRule type="cellIs" dxfId="141" priority="337" stopIfTrue="1" operator="equal">
      <formula>"RET"</formula>
    </cfRule>
  </conditionalFormatting>
  <conditionalFormatting sqref="O24:S24">
    <cfRule type="cellIs" dxfId="140" priority="334" operator="equal">
      <formula>"SUB"</formula>
    </cfRule>
    <cfRule type="cellIs" dxfId="139" priority="335" operator="equal">
      <formula>"RET"</formula>
    </cfRule>
  </conditionalFormatting>
  <conditionalFormatting sqref="O24:S24">
    <cfRule type="cellIs" dxfId="138" priority="332" stopIfTrue="1" operator="equal">
      <formula>"SUB"</formula>
    </cfRule>
    <cfRule type="cellIs" dxfId="137" priority="333" stopIfTrue="1" operator="equal">
      <formula>"RET"</formula>
    </cfRule>
  </conditionalFormatting>
  <conditionalFormatting sqref="O24:S24">
    <cfRule type="cellIs" dxfId="136" priority="330" operator="equal">
      <formula>"SUB"</formula>
    </cfRule>
    <cfRule type="cellIs" dxfId="135" priority="331" operator="equal">
      <formula>"RET"</formula>
    </cfRule>
  </conditionalFormatting>
  <conditionalFormatting sqref="O24:S24">
    <cfRule type="cellIs" dxfId="134" priority="328" stopIfTrue="1" operator="equal">
      <formula>"SUB"</formula>
    </cfRule>
    <cfRule type="cellIs" dxfId="133" priority="329" stopIfTrue="1" operator="equal">
      <formula>"RET"</formula>
    </cfRule>
  </conditionalFormatting>
  <conditionalFormatting sqref="O24:S24">
    <cfRule type="cellIs" dxfId="132" priority="326" operator="equal">
      <formula>"SUB"</formula>
    </cfRule>
    <cfRule type="cellIs" dxfId="131" priority="327" operator="equal">
      <formula>"RET"</formula>
    </cfRule>
  </conditionalFormatting>
  <conditionalFormatting sqref="U24:X24">
    <cfRule type="cellIs" dxfId="130" priority="316" stopIfTrue="1" operator="equal">
      <formula>"SUB"</formula>
    </cfRule>
    <cfRule type="cellIs" dxfId="129" priority="317" stopIfTrue="1" operator="equal">
      <formula>"RET"</formula>
    </cfRule>
  </conditionalFormatting>
  <conditionalFormatting sqref="U24:X24">
    <cfRule type="cellIs" dxfId="128" priority="314" operator="equal">
      <formula>"SUB"</formula>
    </cfRule>
    <cfRule type="cellIs" dxfId="127" priority="315" operator="equal">
      <formula>"RET"</formula>
    </cfRule>
  </conditionalFormatting>
  <conditionalFormatting sqref="Z24:AC24">
    <cfRule type="cellIs" dxfId="126" priority="312" stopIfTrue="1" operator="equal">
      <formula>"SUB"</formula>
    </cfRule>
    <cfRule type="cellIs" dxfId="125" priority="313" stopIfTrue="1" operator="equal">
      <formula>"RET"</formula>
    </cfRule>
  </conditionalFormatting>
  <conditionalFormatting sqref="Z24:AC24">
    <cfRule type="cellIs" dxfId="124" priority="310" operator="equal">
      <formula>"SUB"</formula>
    </cfRule>
    <cfRule type="cellIs" dxfId="123" priority="311" operator="equal">
      <formula>"RET"</formula>
    </cfRule>
  </conditionalFormatting>
  <conditionalFormatting sqref="O7">
    <cfRule type="cellIs" dxfId="122" priority="300" stopIfTrue="1" operator="equal">
      <formula>"SUB"</formula>
    </cfRule>
    <cfRule type="cellIs" dxfId="121" priority="301" stopIfTrue="1" operator="equal">
      <formula>"RET"</formula>
    </cfRule>
  </conditionalFormatting>
  <conditionalFormatting sqref="O7">
    <cfRule type="cellIs" dxfId="120" priority="298" operator="equal">
      <formula>"SUB"</formula>
    </cfRule>
    <cfRule type="cellIs" dxfId="119" priority="299" operator="equal">
      <formula>"RET"</formula>
    </cfRule>
  </conditionalFormatting>
  <conditionalFormatting sqref="O9">
    <cfRule type="cellIs" dxfId="118" priority="296" stopIfTrue="1" operator="equal">
      <formula>"SUB"</formula>
    </cfRule>
    <cfRule type="cellIs" dxfId="117" priority="297" stopIfTrue="1" operator="equal">
      <formula>"RET"</formula>
    </cfRule>
  </conditionalFormatting>
  <conditionalFormatting sqref="O9">
    <cfRule type="cellIs" dxfId="116" priority="294" operator="equal">
      <formula>"SUB"</formula>
    </cfRule>
    <cfRule type="cellIs" dxfId="115" priority="295" operator="equal">
      <formula>"RET"</formula>
    </cfRule>
  </conditionalFormatting>
  <conditionalFormatting sqref="O10:O15">
    <cfRule type="cellIs" dxfId="114" priority="292" stopIfTrue="1" operator="equal">
      <formula>"SUB"</formula>
    </cfRule>
    <cfRule type="cellIs" dxfId="113" priority="293" stopIfTrue="1" operator="equal">
      <formula>"RET"</formula>
    </cfRule>
  </conditionalFormatting>
  <conditionalFormatting sqref="O10:O15">
    <cfRule type="cellIs" dxfId="112" priority="290" operator="equal">
      <formula>"SUB"</formula>
    </cfRule>
    <cfRule type="cellIs" dxfId="111" priority="291" operator="equal">
      <formula>"RET"</formula>
    </cfRule>
  </conditionalFormatting>
  <conditionalFormatting sqref="O8">
    <cfRule type="cellIs" dxfId="110" priority="276" stopIfTrue="1" operator="equal">
      <formula>"SUB"</formula>
    </cfRule>
    <cfRule type="cellIs" dxfId="109" priority="277" stopIfTrue="1" operator="equal">
      <formula>"RET"</formula>
    </cfRule>
  </conditionalFormatting>
  <conditionalFormatting sqref="O8">
    <cfRule type="cellIs" dxfId="108" priority="274" operator="equal">
      <formula>"SUB"</formula>
    </cfRule>
    <cfRule type="cellIs" dxfId="107" priority="275" operator="equal">
      <formula>"RET"</formula>
    </cfRule>
  </conditionalFormatting>
  <conditionalFormatting sqref="U9">
    <cfRule type="cellIs" dxfId="106" priority="216" stopIfTrue="1" operator="equal">
      <formula>"SUB"</formula>
    </cfRule>
    <cfRule type="cellIs" dxfId="105" priority="217" stopIfTrue="1" operator="equal">
      <formula>"RET"</formula>
    </cfRule>
  </conditionalFormatting>
  <conditionalFormatting sqref="U9">
    <cfRule type="cellIs" dxfId="104" priority="214" operator="equal">
      <formula>"SUB"</formula>
    </cfRule>
    <cfRule type="cellIs" dxfId="103" priority="215" operator="equal">
      <formula>"RET"</formula>
    </cfRule>
  </conditionalFormatting>
  <conditionalFormatting sqref="U10:U15">
    <cfRule type="cellIs" dxfId="102" priority="212" stopIfTrue="1" operator="equal">
      <formula>"SUB"</formula>
    </cfRule>
    <cfRule type="cellIs" dxfId="101" priority="213" stopIfTrue="1" operator="equal">
      <formula>"RET"</formula>
    </cfRule>
  </conditionalFormatting>
  <conditionalFormatting sqref="U10:U15">
    <cfRule type="cellIs" dxfId="100" priority="210" operator="equal">
      <formula>"SUB"</formula>
    </cfRule>
    <cfRule type="cellIs" dxfId="99" priority="211" operator="equal">
      <formula>"RET"</formula>
    </cfRule>
  </conditionalFormatting>
  <conditionalFormatting sqref="U7:U8">
    <cfRule type="cellIs" dxfId="98" priority="196" stopIfTrue="1" operator="equal">
      <formula>"SUB"</formula>
    </cfRule>
    <cfRule type="cellIs" dxfId="97" priority="197" stopIfTrue="1" operator="equal">
      <formula>"RET"</formula>
    </cfRule>
  </conditionalFormatting>
  <conditionalFormatting sqref="U7:U8">
    <cfRule type="cellIs" dxfId="96" priority="194" operator="equal">
      <formula>"SUB"</formula>
    </cfRule>
    <cfRule type="cellIs" dxfId="95" priority="195" operator="equal">
      <formula>"RET"</formula>
    </cfRule>
  </conditionalFormatting>
  <conditionalFormatting sqref="Z7">
    <cfRule type="cellIs" dxfId="94" priority="136" stopIfTrue="1" operator="equal">
      <formula>"SUB"</formula>
    </cfRule>
    <cfRule type="cellIs" dxfId="93" priority="137" stopIfTrue="1" operator="equal">
      <formula>"RET"</formula>
    </cfRule>
  </conditionalFormatting>
  <conditionalFormatting sqref="Z7">
    <cfRule type="cellIs" dxfId="92" priority="134" operator="equal">
      <formula>"SUB"</formula>
    </cfRule>
    <cfRule type="cellIs" dxfId="91" priority="135" operator="equal">
      <formula>"RET"</formula>
    </cfRule>
  </conditionalFormatting>
  <conditionalFormatting sqref="Z9">
    <cfRule type="cellIs" dxfId="90" priority="132" stopIfTrue="1" operator="equal">
      <formula>"SUB"</formula>
    </cfRule>
    <cfRule type="cellIs" dxfId="89" priority="133" stopIfTrue="1" operator="equal">
      <formula>"RET"</formula>
    </cfRule>
  </conditionalFormatting>
  <conditionalFormatting sqref="Z9">
    <cfRule type="cellIs" dxfId="88" priority="130" operator="equal">
      <formula>"SUB"</formula>
    </cfRule>
    <cfRule type="cellIs" dxfId="87" priority="131" operator="equal">
      <formula>"RET"</formula>
    </cfRule>
  </conditionalFormatting>
  <conditionalFormatting sqref="Z10:Z15">
    <cfRule type="cellIs" dxfId="86" priority="128" stopIfTrue="1" operator="equal">
      <formula>"SUB"</formula>
    </cfRule>
    <cfRule type="cellIs" dxfId="85" priority="129" stopIfTrue="1" operator="equal">
      <formula>"RET"</formula>
    </cfRule>
  </conditionalFormatting>
  <conditionalFormatting sqref="Z10:Z15">
    <cfRule type="cellIs" dxfId="84" priority="126" operator="equal">
      <formula>"SUB"</formula>
    </cfRule>
    <cfRule type="cellIs" dxfId="83" priority="127" operator="equal">
      <formula>"RET"</formula>
    </cfRule>
  </conditionalFormatting>
  <conditionalFormatting sqref="Z8">
    <cfRule type="cellIs" dxfId="82" priority="110" operator="equal">
      <formula>"SUB"</formula>
    </cfRule>
    <cfRule type="cellIs" dxfId="81" priority="111" operator="equal">
      <formula>"RET"</formula>
    </cfRule>
  </conditionalFormatting>
  <conditionalFormatting sqref="Z8">
    <cfRule type="cellIs" dxfId="80" priority="112" stopIfTrue="1" operator="equal">
      <formula>"SUB"</formula>
    </cfRule>
    <cfRule type="cellIs" dxfId="79" priority="113" stopIfTrue="1" operator="equal">
      <formula>"RET"</formula>
    </cfRule>
  </conditionalFormatting>
  <conditionalFormatting sqref="M7">
    <cfRule type="cellIs" dxfId="78" priority="56" stopIfTrue="1" operator="equal">
      <formula>"SUB"</formula>
    </cfRule>
    <cfRule type="cellIs" dxfId="77" priority="57" stopIfTrue="1" operator="equal">
      <formula>"RET"</formula>
    </cfRule>
  </conditionalFormatting>
  <conditionalFormatting sqref="M7">
    <cfRule type="cellIs" dxfId="76" priority="54" operator="equal">
      <formula>"SUB"</formula>
    </cfRule>
    <cfRule type="cellIs" dxfId="75" priority="55" operator="equal">
      <formula>"RET"</formula>
    </cfRule>
  </conditionalFormatting>
  <conditionalFormatting sqref="M9">
    <cfRule type="cellIs" dxfId="74" priority="52" stopIfTrue="1" operator="equal">
      <formula>"SUB"</formula>
    </cfRule>
    <cfRule type="cellIs" dxfId="73" priority="53" stopIfTrue="1" operator="equal">
      <formula>"RET"</formula>
    </cfRule>
  </conditionalFormatting>
  <conditionalFormatting sqref="M9">
    <cfRule type="cellIs" dxfId="72" priority="50" operator="equal">
      <formula>"SUB"</formula>
    </cfRule>
    <cfRule type="cellIs" dxfId="71" priority="51" operator="equal">
      <formula>"RET"</formula>
    </cfRule>
  </conditionalFormatting>
  <conditionalFormatting sqref="M10:M15">
    <cfRule type="cellIs" dxfId="70" priority="48" stopIfTrue="1" operator="equal">
      <formula>"SUB"</formula>
    </cfRule>
    <cfRule type="cellIs" dxfId="69" priority="49" stopIfTrue="1" operator="equal">
      <formula>"RET"</formula>
    </cfRule>
  </conditionalFormatting>
  <conditionalFormatting sqref="M10:M15">
    <cfRule type="cellIs" dxfId="68" priority="46" operator="equal">
      <formula>"SUB"</formula>
    </cfRule>
    <cfRule type="cellIs" dxfId="67" priority="47" operator="equal">
      <formula>"RET"</formula>
    </cfRule>
  </conditionalFormatting>
  <conditionalFormatting sqref="M8">
    <cfRule type="cellIs" dxfId="66" priority="36" stopIfTrue="1" operator="equal">
      <formula>"SUB"</formula>
    </cfRule>
    <cfRule type="cellIs" dxfId="65" priority="37" stopIfTrue="1" operator="equal">
      <formula>"RET"</formula>
    </cfRule>
  </conditionalFormatting>
  <conditionalFormatting sqref="M8">
    <cfRule type="cellIs" dxfId="64" priority="34" operator="equal">
      <formula>"SUB"</formula>
    </cfRule>
    <cfRule type="cellIs" dxfId="63" priority="35" operator="equal">
      <formula>"RET"</formula>
    </cfRule>
  </conditionalFormatting>
  <conditionalFormatting sqref="T6">
    <cfRule type="cellIs" dxfId="62" priority="4" stopIfTrue="1" operator="equal">
      <formula>"SUB"</formula>
    </cfRule>
    <cfRule type="cellIs" dxfId="61" priority="5" stopIfTrue="1" operator="equal">
      <formula>"RET"</formula>
    </cfRule>
  </conditionalFormatting>
  <conditionalFormatting sqref="T6:T15">
    <cfRule type="cellIs" dxfId="60" priority="2" operator="equal">
      <formula>"SUB"</formula>
    </cfRule>
    <cfRule type="cellIs" dxfId="59" priority="3" operator="equal">
      <formula>"RET"</formula>
    </cfRule>
  </conditionalFormatting>
  <dataValidations disablePrompts="1" count="1">
    <dataValidation type="list" allowBlank="1" showInputMessage="1" showErrorMessage="1" sqref="WVJ983004:WVJ983012 A65500:A65508 IX65500:IX65508 ST65500:ST65508 ACP65500:ACP65508 AML65500:AML65508 AWH65500:AWH65508 BGD65500:BGD65508 BPZ65500:BPZ65508 BZV65500:BZV65508 CJR65500:CJR65508 CTN65500:CTN65508 DDJ65500:DDJ65508 DNF65500:DNF65508 DXB65500:DXB65508 EGX65500:EGX65508 EQT65500:EQT65508 FAP65500:FAP65508 FKL65500:FKL65508 FUH65500:FUH65508 GED65500:GED65508 GNZ65500:GNZ65508 GXV65500:GXV65508 HHR65500:HHR65508 HRN65500:HRN65508 IBJ65500:IBJ65508 ILF65500:ILF65508 IVB65500:IVB65508 JEX65500:JEX65508 JOT65500:JOT65508 JYP65500:JYP65508 KIL65500:KIL65508 KSH65500:KSH65508 LCD65500:LCD65508 LLZ65500:LLZ65508 LVV65500:LVV65508 MFR65500:MFR65508 MPN65500:MPN65508 MZJ65500:MZJ65508 NJF65500:NJF65508 NTB65500:NTB65508 OCX65500:OCX65508 OMT65500:OMT65508 OWP65500:OWP65508 PGL65500:PGL65508 PQH65500:PQH65508 QAD65500:QAD65508 QJZ65500:QJZ65508 QTV65500:QTV65508 RDR65500:RDR65508 RNN65500:RNN65508 RXJ65500:RXJ65508 SHF65500:SHF65508 SRB65500:SRB65508 TAX65500:TAX65508 TKT65500:TKT65508 TUP65500:TUP65508 UEL65500:UEL65508 UOH65500:UOH65508 UYD65500:UYD65508 VHZ65500:VHZ65508 VRV65500:VRV65508 WBR65500:WBR65508 WLN65500:WLN65508 WVJ65500:WVJ65508 A131036:A131044 IX131036:IX131044 ST131036:ST131044 ACP131036:ACP131044 AML131036:AML131044 AWH131036:AWH131044 BGD131036:BGD131044 BPZ131036:BPZ131044 BZV131036:BZV131044 CJR131036:CJR131044 CTN131036:CTN131044 DDJ131036:DDJ131044 DNF131036:DNF131044 DXB131036:DXB131044 EGX131036:EGX131044 EQT131036:EQT131044 FAP131036:FAP131044 FKL131036:FKL131044 FUH131036:FUH131044 GED131036:GED131044 GNZ131036:GNZ131044 GXV131036:GXV131044 HHR131036:HHR131044 HRN131036:HRN131044 IBJ131036:IBJ131044 ILF131036:ILF131044 IVB131036:IVB131044 JEX131036:JEX131044 JOT131036:JOT131044 JYP131036:JYP131044 KIL131036:KIL131044 KSH131036:KSH131044 LCD131036:LCD131044 LLZ131036:LLZ131044 LVV131036:LVV131044 MFR131036:MFR131044 MPN131036:MPN131044 MZJ131036:MZJ131044 NJF131036:NJF131044 NTB131036:NTB131044 OCX131036:OCX131044 OMT131036:OMT131044 OWP131036:OWP131044 PGL131036:PGL131044 PQH131036:PQH131044 QAD131036:QAD131044 QJZ131036:QJZ131044 QTV131036:QTV131044 RDR131036:RDR131044 RNN131036:RNN131044 RXJ131036:RXJ131044 SHF131036:SHF131044 SRB131036:SRB131044 TAX131036:TAX131044 TKT131036:TKT131044 TUP131036:TUP131044 UEL131036:UEL131044 UOH131036:UOH131044 UYD131036:UYD131044 VHZ131036:VHZ131044 VRV131036:VRV131044 WBR131036:WBR131044 WLN131036:WLN131044 WVJ131036:WVJ131044 A196572:A196580 IX196572:IX196580 ST196572:ST196580 ACP196572:ACP196580 AML196572:AML196580 AWH196572:AWH196580 BGD196572:BGD196580 BPZ196572:BPZ196580 BZV196572:BZV196580 CJR196572:CJR196580 CTN196572:CTN196580 DDJ196572:DDJ196580 DNF196572:DNF196580 DXB196572:DXB196580 EGX196572:EGX196580 EQT196572:EQT196580 FAP196572:FAP196580 FKL196572:FKL196580 FUH196572:FUH196580 GED196572:GED196580 GNZ196572:GNZ196580 GXV196572:GXV196580 HHR196572:HHR196580 HRN196572:HRN196580 IBJ196572:IBJ196580 ILF196572:ILF196580 IVB196572:IVB196580 JEX196572:JEX196580 JOT196572:JOT196580 JYP196572:JYP196580 KIL196572:KIL196580 KSH196572:KSH196580 LCD196572:LCD196580 LLZ196572:LLZ196580 LVV196572:LVV196580 MFR196572:MFR196580 MPN196572:MPN196580 MZJ196572:MZJ196580 NJF196572:NJF196580 NTB196572:NTB196580 OCX196572:OCX196580 OMT196572:OMT196580 OWP196572:OWP196580 PGL196572:PGL196580 PQH196572:PQH196580 QAD196572:QAD196580 QJZ196572:QJZ196580 QTV196572:QTV196580 RDR196572:RDR196580 RNN196572:RNN196580 RXJ196572:RXJ196580 SHF196572:SHF196580 SRB196572:SRB196580 TAX196572:TAX196580 TKT196572:TKT196580 TUP196572:TUP196580 UEL196572:UEL196580 UOH196572:UOH196580 UYD196572:UYD196580 VHZ196572:VHZ196580 VRV196572:VRV196580 WBR196572:WBR196580 WLN196572:WLN196580 WVJ196572:WVJ196580 A262108:A262116 IX262108:IX262116 ST262108:ST262116 ACP262108:ACP262116 AML262108:AML262116 AWH262108:AWH262116 BGD262108:BGD262116 BPZ262108:BPZ262116 BZV262108:BZV262116 CJR262108:CJR262116 CTN262108:CTN262116 DDJ262108:DDJ262116 DNF262108:DNF262116 DXB262108:DXB262116 EGX262108:EGX262116 EQT262108:EQT262116 FAP262108:FAP262116 FKL262108:FKL262116 FUH262108:FUH262116 GED262108:GED262116 GNZ262108:GNZ262116 GXV262108:GXV262116 HHR262108:HHR262116 HRN262108:HRN262116 IBJ262108:IBJ262116 ILF262108:ILF262116 IVB262108:IVB262116 JEX262108:JEX262116 JOT262108:JOT262116 JYP262108:JYP262116 KIL262108:KIL262116 KSH262108:KSH262116 LCD262108:LCD262116 LLZ262108:LLZ262116 LVV262108:LVV262116 MFR262108:MFR262116 MPN262108:MPN262116 MZJ262108:MZJ262116 NJF262108:NJF262116 NTB262108:NTB262116 OCX262108:OCX262116 OMT262108:OMT262116 OWP262108:OWP262116 PGL262108:PGL262116 PQH262108:PQH262116 QAD262108:QAD262116 QJZ262108:QJZ262116 QTV262108:QTV262116 RDR262108:RDR262116 RNN262108:RNN262116 RXJ262108:RXJ262116 SHF262108:SHF262116 SRB262108:SRB262116 TAX262108:TAX262116 TKT262108:TKT262116 TUP262108:TUP262116 UEL262108:UEL262116 UOH262108:UOH262116 UYD262108:UYD262116 VHZ262108:VHZ262116 VRV262108:VRV262116 WBR262108:WBR262116 WLN262108:WLN262116 WVJ262108:WVJ262116 A327644:A327652 IX327644:IX327652 ST327644:ST327652 ACP327644:ACP327652 AML327644:AML327652 AWH327644:AWH327652 BGD327644:BGD327652 BPZ327644:BPZ327652 BZV327644:BZV327652 CJR327644:CJR327652 CTN327644:CTN327652 DDJ327644:DDJ327652 DNF327644:DNF327652 DXB327644:DXB327652 EGX327644:EGX327652 EQT327644:EQT327652 FAP327644:FAP327652 FKL327644:FKL327652 FUH327644:FUH327652 GED327644:GED327652 GNZ327644:GNZ327652 GXV327644:GXV327652 HHR327644:HHR327652 HRN327644:HRN327652 IBJ327644:IBJ327652 ILF327644:ILF327652 IVB327644:IVB327652 JEX327644:JEX327652 JOT327644:JOT327652 JYP327644:JYP327652 KIL327644:KIL327652 KSH327644:KSH327652 LCD327644:LCD327652 LLZ327644:LLZ327652 LVV327644:LVV327652 MFR327644:MFR327652 MPN327644:MPN327652 MZJ327644:MZJ327652 NJF327644:NJF327652 NTB327644:NTB327652 OCX327644:OCX327652 OMT327644:OMT327652 OWP327644:OWP327652 PGL327644:PGL327652 PQH327644:PQH327652 QAD327644:QAD327652 QJZ327644:QJZ327652 QTV327644:QTV327652 RDR327644:RDR327652 RNN327644:RNN327652 RXJ327644:RXJ327652 SHF327644:SHF327652 SRB327644:SRB327652 TAX327644:TAX327652 TKT327644:TKT327652 TUP327644:TUP327652 UEL327644:UEL327652 UOH327644:UOH327652 UYD327644:UYD327652 VHZ327644:VHZ327652 VRV327644:VRV327652 WBR327644:WBR327652 WLN327644:WLN327652 WVJ327644:WVJ327652 A393180:A393188 IX393180:IX393188 ST393180:ST393188 ACP393180:ACP393188 AML393180:AML393188 AWH393180:AWH393188 BGD393180:BGD393188 BPZ393180:BPZ393188 BZV393180:BZV393188 CJR393180:CJR393188 CTN393180:CTN393188 DDJ393180:DDJ393188 DNF393180:DNF393188 DXB393180:DXB393188 EGX393180:EGX393188 EQT393180:EQT393188 FAP393180:FAP393188 FKL393180:FKL393188 FUH393180:FUH393188 GED393180:GED393188 GNZ393180:GNZ393188 GXV393180:GXV393188 HHR393180:HHR393188 HRN393180:HRN393188 IBJ393180:IBJ393188 ILF393180:ILF393188 IVB393180:IVB393188 JEX393180:JEX393188 JOT393180:JOT393188 JYP393180:JYP393188 KIL393180:KIL393188 KSH393180:KSH393188 LCD393180:LCD393188 LLZ393180:LLZ393188 LVV393180:LVV393188 MFR393180:MFR393188 MPN393180:MPN393188 MZJ393180:MZJ393188 NJF393180:NJF393188 NTB393180:NTB393188 OCX393180:OCX393188 OMT393180:OMT393188 OWP393180:OWP393188 PGL393180:PGL393188 PQH393180:PQH393188 QAD393180:QAD393188 QJZ393180:QJZ393188 QTV393180:QTV393188 RDR393180:RDR393188 RNN393180:RNN393188 RXJ393180:RXJ393188 SHF393180:SHF393188 SRB393180:SRB393188 TAX393180:TAX393188 TKT393180:TKT393188 TUP393180:TUP393188 UEL393180:UEL393188 UOH393180:UOH393188 UYD393180:UYD393188 VHZ393180:VHZ393188 VRV393180:VRV393188 WBR393180:WBR393188 WLN393180:WLN393188 WVJ393180:WVJ393188 A458716:A458724 IX458716:IX458724 ST458716:ST458724 ACP458716:ACP458724 AML458716:AML458724 AWH458716:AWH458724 BGD458716:BGD458724 BPZ458716:BPZ458724 BZV458716:BZV458724 CJR458716:CJR458724 CTN458716:CTN458724 DDJ458716:DDJ458724 DNF458716:DNF458724 DXB458716:DXB458724 EGX458716:EGX458724 EQT458716:EQT458724 FAP458716:FAP458724 FKL458716:FKL458724 FUH458716:FUH458724 GED458716:GED458724 GNZ458716:GNZ458724 GXV458716:GXV458724 HHR458716:HHR458724 HRN458716:HRN458724 IBJ458716:IBJ458724 ILF458716:ILF458724 IVB458716:IVB458724 JEX458716:JEX458724 JOT458716:JOT458724 JYP458716:JYP458724 KIL458716:KIL458724 KSH458716:KSH458724 LCD458716:LCD458724 LLZ458716:LLZ458724 LVV458716:LVV458724 MFR458716:MFR458724 MPN458716:MPN458724 MZJ458716:MZJ458724 NJF458716:NJF458724 NTB458716:NTB458724 OCX458716:OCX458724 OMT458716:OMT458724 OWP458716:OWP458724 PGL458716:PGL458724 PQH458716:PQH458724 QAD458716:QAD458724 QJZ458716:QJZ458724 QTV458716:QTV458724 RDR458716:RDR458724 RNN458716:RNN458724 RXJ458716:RXJ458724 SHF458716:SHF458724 SRB458716:SRB458724 TAX458716:TAX458724 TKT458716:TKT458724 TUP458716:TUP458724 UEL458716:UEL458724 UOH458716:UOH458724 UYD458716:UYD458724 VHZ458716:VHZ458724 VRV458716:VRV458724 WBR458716:WBR458724 WLN458716:WLN458724 WVJ458716:WVJ458724 A524252:A524260 IX524252:IX524260 ST524252:ST524260 ACP524252:ACP524260 AML524252:AML524260 AWH524252:AWH524260 BGD524252:BGD524260 BPZ524252:BPZ524260 BZV524252:BZV524260 CJR524252:CJR524260 CTN524252:CTN524260 DDJ524252:DDJ524260 DNF524252:DNF524260 DXB524252:DXB524260 EGX524252:EGX524260 EQT524252:EQT524260 FAP524252:FAP524260 FKL524252:FKL524260 FUH524252:FUH524260 GED524252:GED524260 GNZ524252:GNZ524260 GXV524252:GXV524260 HHR524252:HHR524260 HRN524252:HRN524260 IBJ524252:IBJ524260 ILF524252:ILF524260 IVB524252:IVB524260 JEX524252:JEX524260 JOT524252:JOT524260 JYP524252:JYP524260 KIL524252:KIL524260 KSH524252:KSH524260 LCD524252:LCD524260 LLZ524252:LLZ524260 LVV524252:LVV524260 MFR524252:MFR524260 MPN524252:MPN524260 MZJ524252:MZJ524260 NJF524252:NJF524260 NTB524252:NTB524260 OCX524252:OCX524260 OMT524252:OMT524260 OWP524252:OWP524260 PGL524252:PGL524260 PQH524252:PQH524260 QAD524252:QAD524260 QJZ524252:QJZ524260 QTV524252:QTV524260 RDR524252:RDR524260 RNN524252:RNN524260 RXJ524252:RXJ524260 SHF524252:SHF524260 SRB524252:SRB524260 TAX524252:TAX524260 TKT524252:TKT524260 TUP524252:TUP524260 UEL524252:UEL524260 UOH524252:UOH524260 UYD524252:UYD524260 VHZ524252:VHZ524260 VRV524252:VRV524260 WBR524252:WBR524260 WLN524252:WLN524260 WVJ524252:WVJ524260 A589788:A589796 IX589788:IX589796 ST589788:ST589796 ACP589788:ACP589796 AML589788:AML589796 AWH589788:AWH589796 BGD589788:BGD589796 BPZ589788:BPZ589796 BZV589788:BZV589796 CJR589788:CJR589796 CTN589788:CTN589796 DDJ589788:DDJ589796 DNF589788:DNF589796 DXB589788:DXB589796 EGX589788:EGX589796 EQT589788:EQT589796 FAP589788:FAP589796 FKL589788:FKL589796 FUH589788:FUH589796 GED589788:GED589796 GNZ589788:GNZ589796 GXV589788:GXV589796 HHR589788:HHR589796 HRN589788:HRN589796 IBJ589788:IBJ589796 ILF589788:ILF589796 IVB589788:IVB589796 JEX589788:JEX589796 JOT589788:JOT589796 JYP589788:JYP589796 KIL589788:KIL589796 KSH589788:KSH589796 LCD589788:LCD589796 LLZ589788:LLZ589796 LVV589788:LVV589796 MFR589788:MFR589796 MPN589788:MPN589796 MZJ589788:MZJ589796 NJF589788:NJF589796 NTB589788:NTB589796 OCX589788:OCX589796 OMT589788:OMT589796 OWP589788:OWP589796 PGL589788:PGL589796 PQH589788:PQH589796 QAD589788:QAD589796 QJZ589788:QJZ589796 QTV589788:QTV589796 RDR589788:RDR589796 RNN589788:RNN589796 RXJ589788:RXJ589796 SHF589788:SHF589796 SRB589788:SRB589796 TAX589788:TAX589796 TKT589788:TKT589796 TUP589788:TUP589796 UEL589788:UEL589796 UOH589788:UOH589796 UYD589788:UYD589796 VHZ589788:VHZ589796 VRV589788:VRV589796 WBR589788:WBR589796 WLN589788:WLN589796 WVJ589788:WVJ589796 A655324:A655332 IX655324:IX655332 ST655324:ST655332 ACP655324:ACP655332 AML655324:AML655332 AWH655324:AWH655332 BGD655324:BGD655332 BPZ655324:BPZ655332 BZV655324:BZV655332 CJR655324:CJR655332 CTN655324:CTN655332 DDJ655324:DDJ655332 DNF655324:DNF655332 DXB655324:DXB655332 EGX655324:EGX655332 EQT655324:EQT655332 FAP655324:FAP655332 FKL655324:FKL655332 FUH655324:FUH655332 GED655324:GED655332 GNZ655324:GNZ655332 GXV655324:GXV655332 HHR655324:HHR655332 HRN655324:HRN655332 IBJ655324:IBJ655332 ILF655324:ILF655332 IVB655324:IVB655332 JEX655324:JEX655332 JOT655324:JOT655332 JYP655324:JYP655332 KIL655324:KIL655332 KSH655324:KSH655332 LCD655324:LCD655332 LLZ655324:LLZ655332 LVV655324:LVV655332 MFR655324:MFR655332 MPN655324:MPN655332 MZJ655324:MZJ655332 NJF655324:NJF655332 NTB655324:NTB655332 OCX655324:OCX655332 OMT655324:OMT655332 OWP655324:OWP655332 PGL655324:PGL655332 PQH655324:PQH655332 QAD655324:QAD655332 QJZ655324:QJZ655332 QTV655324:QTV655332 RDR655324:RDR655332 RNN655324:RNN655332 RXJ655324:RXJ655332 SHF655324:SHF655332 SRB655324:SRB655332 TAX655324:TAX655332 TKT655324:TKT655332 TUP655324:TUP655332 UEL655324:UEL655332 UOH655324:UOH655332 UYD655324:UYD655332 VHZ655324:VHZ655332 VRV655324:VRV655332 WBR655324:WBR655332 WLN655324:WLN655332 WVJ655324:WVJ655332 A720860:A720868 IX720860:IX720868 ST720860:ST720868 ACP720860:ACP720868 AML720860:AML720868 AWH720860:AWH720868 BGD720860:BGD720868 BPZ720860:BPZ720868 BZV720860:BZV720868 CJR720860:CJR720868 CTN720860:CTN720868 DDJ720860:DDJ720868 DNF720860:DNF720868 DXB720860:DXB720868 EGX720860:EGX720868 EQT720860:EQT720868 FAP720860:FAP720868 FKL720860:FKL720868 FUH720860:FUH720868 GED720860:GED720868 GNZ720860:GNZ720868 GXV720860:GXV720868 HHR720860:HHR720868 HRN720860:HRN720868 IBJ720860:IBJ720868 ILF720860:ILF720868 IVB720860:IVB720868 JEX720860:JEX720868 JOT720860:JOT720868 JYP720860:JYP720868 KIL720860:KIL720868 KSH720860:KSH720868 LCD720860:LCD720868 LLZ720860:LLZ720868 LVV720860:LVV720868 MFR720860:MFR720868 MPN720860:MPN720868 MZJ720860:MZJ720868 NJF720860:NJF720868 NTB720860:NTB720868 OCX720860:OCX720868 OMT720860:OMT720868 OWP720860:OWP720868 PGL720860:PGL720868 PQH720860:PQH720868 QAD720860:QAD720868 QJZ720860:QJZ720868 QTV720860:QTV720868 RDR720860:RDR720868 RNN720860:RNN720868 RXJ720860:RXJ720868 SHF720860:SHF720868 SRB720860:SRB720868 TAX720860:TAX720868 TKT720860:TKT720868 TUP720860:TUP720868 UEL720860:UEL720868 UOH720860:UOH720868 UYD720860:UYD720868 VHZ720860:VHZ720868 VRV720860:VRV720868 WBR720860:WBR720868 WLN720860:WLN720868 WVJ720860:WVJ720868 A786396:A786404 IX786396:IX786404 ST786396:ST786404 ACP786396:ACP786404 AML786396:AML786404 AWH786396:AWH786404 BGD786396:BGD786404 BPZ786396:BPZ786404 BZV786396:BZV786404 CJR786396:CJR786404 CTN786396:CTN786404 DDJ786396:DDJ786404 DNF786396:DNF786404 DXB786396:DXB786404 EGX786396:EGX786404 EQT786396:EQT786404 FAP786396:FAP786404 FKL786396:FKL786404 FUH786396:FUH786404 GED786396:GED786404 GNZ786396:GNZ786404 GXV786396:GXV786404 HHR786396:HHR786404 HRN786396:HRN786404 IBJ786396:IBJ786404 ILF786396:ILF786404 IVB786396:IVB786404 JEX786396:JEX786404 JOT786396:JOT786404 JYP786396:JYP786404 KIL786396:KIL786404 KSH786396:KSH786404 LCD786396:LCD786404 LLZ786396:LLZ786404 LVV786396:LVV786404 MFR786396:MFR786404 MPN786396:MPN786404 MZJ786396:MZJ786404 NJF786396:NJF786404 NTB786396:NTB786404 OCX786396:OCX786404 OMT786396:OMT786404 OWP786396:OWP786404 PGL786396:PGL786404 PQH786396:PQH786404 QAD786396:QAD786404 QJZ786396:QJZ786404 QTV786396:QTV786404 RDR786396:RDR786404 RNN786396:RNN786404 RXJ786396:RXJ786404 SHF786396:SHF786404 SRB786396:SRB786404 TAX786396:TAX786404 TKT786396:TKT786404 TUP786396:TUP786404 UEL786396:UEL786404 UOH786396:UOH786404 UYD786396:UYD786404 VHZ786396:VHZ786404 VRV786396:VRV786404 WBR786396:WBR786404 WLN786396:WLN786404 WVJ786396:WVJ786404 A851932:A851940 IX851932:IX851940 ST851932:ST851940 ACP851932:ACP851940 AML851932:AML851940 AWH851932:AWH851940 BGD851932:BGD851940 BPZ851932:BPZ851940 BZV851932:BZV851940 CJR851932:CJR851940 CTN851932:CTN851940 DDJ851932:DDJ851940 DNF851932:DNF851940 DXB851932:DXB851940 EGX851932:EGX851940 EQT851932:EQT851940 FAP851932:FAP851940 FKL851932:FKL851940 FUH851932:FUH851940 GED851932:GED851940 GNZ851932:GNZ851940 GXV851932:GXV851940 HHR851932:HHR851940 HRN851932:HRN851940 IBJ851932:IBJ851940 ILF851932:ILF851940 IVB851932:IVB851940 JEX851932:JEX851940 JOT851932:JOT851940 JYP851932:JYP851940 KIL851932:KIL851940 KSH851932:KSH851940 LCD851932:LCD851940 LLZ851932:LLZ851940 LVV851932:LVV851940 MFR851932:MFR851940 MPN851932:MPN851940 MZJ851932:MZJ851940 NJF851932:NJF851940 NTB851932:NTB851940 OCX851932:OCX851940 OMT851932:OMT851940 OWP851932:OWP851940 PGL851932:PGL851940 PQH851932:PQH851940 QAD851932:QAD851940 QJZ851932:QJZ851940 QTV851932:QTV851940 RDR851932:RDR851940 RNN851932:RNN851940 RXJ851932:RXJ851940 SHF851932:SHF851940 SRB851932:SRB851940 TAX851932:TAX851940 TKT851932:TKT851940 TUP851932:TUP851940 UEL851932:UEL851940 UOH851932:UOH851940 UYD851932:UYD851940 VHZ851932:VHZ851940 VRV851932:VRV851940 WBR851932:WBR851940 WLN851932:WLN851940 WVJ851932:WVJ851940 A917468:A917476 IX917468:IX917476 ST917468:ST917476 ACP917468:ACP917476 AML917468:AML917476 AWH917468:AWH917476 BGD917468:BGD917476 BPZ917468:BPZ917476 BZV917468:BZV917476 CJR917468:CJR917476 CTN917468:CTN917476 DDJ917468:DDJ917476 DNF917468:DNF917476 DXB917468:DXB917476 EGX917468:EGX917476 EQT917468:EQT917476 FAP917468:FAP917476 FKL917468:FKL917476 FUH917468:FUH917476 GED917468:GED917476 GNZ917468:GNZ917476 GXV917468:GXV917476 HHR917468:HHR917476 HRN917468:HRN917476 IBJ917468:IBJ917476 ILF917468:ILF917476 IVB917468:IVB917476 JEX917468:JEX917476 JOT917468:JOT917476 JYP917468:JYP917476 KIL917468:KIL917476 KSH917468:KSH917476 LCD917468:LCD917476 LLZ917468:LLZ917476 LVV917468:LVV917476 MFR917468:MFR917476 MPN917468:MPN917476 MZJ917468:MZJ917476 NJF917468:NJF917476 NTB917468:NTB917476 OCX917468:OCX917476 OMT917468:OMT917476 OWP917468:OWP917476 PGL917468:PGL917476 PQH917468:PQH917476 QAD917468:QAD917476 QJZ917468:QJZ917476 QTV917468:QTV917476 RDR917468:RDR917476 RNN917468:RNN917476 RXJ917468:RXJ917476 SHF917468:SHF917476 SRB917468:SRB917476 TAX917468:TAX917476 TKT917468:TKT917476 TUP917468:TUP917476 UEL917468:UEL917476 UOH917468:UOH917476 UYD917468:UYD917476 VHZ917468:VHZ917476 VRV917468:VRV917476 WBR917468:WBR917476 WLN917468:WLN917476 WVJ917468:WVJ917476 A983004:A983012 IX983004:IX983012 ST983004:ST983012 ACP983004:ACP983012 AML983004:AML983012 AWH983004:AWH983012 BGD983004:BGD983012 BPZ983004:BPZ983012 BZV983004:BZV983012 CJR983004:CJR983012 CTN983004:CTN983012 DDJ983004:DDJ983012 DNF983004:DNF983012 DXB983004:DXB983012 EGX983004:EGX983012 EQT983004:EQT983012 FAP983004:FAP983012 FKL983004:FKL983012 FUH983004:FUH983012 GED983004:GED983012 GNZ983004:GNZ983012 GXV983004:GXV983012 HHR983004:HHR983012 HRN983004:HRN983012 IBJ983004:IBJ983012 ILF983004:ILF983012 IVB983004:IVB983012 JEX983004:JEX983012 JOT983004:JOT983012 JYP983004:JYP983012 KIL983004:KIL983012 KSH983004:KSH983012 LCD983004:LCD983012 LLZ983004:LLZ983012 LVV983004:LVV983012 MFR983004:MFR983012 MPN983004:MPN983012 MZJ983004:MZJ983012 NJF983004:NJF983012 NTB983004:NTB983012 OCX983004:OCX983012 OMT983004:OMT983012 OWP983004:OWP983012 PGL983004:PGL983012 PQH983004:PQH983012 QAD983004:QAD983012 QJZ983004:QJZ983012 QTV983004:QTV983012 RDR983004:RDR983012 RNN983004:RNN983012 RXJ983004:RXJ983012 SHF983004:SHF983012 SRB983004:SRB983012 TAX983004:TAX983012 TKT983004:TKT983012 TUP983004:TUP983012 UEL983004:UEL983012 UOH983004:UOH983012 UYD983004:UYD983012 VHZ983004:VHZ983012 VRV983004:VRV983012 WBR983004:WBR983012 WLN983004:WLN983012" xr:uid="{00000000-0002-0000-0500-000000000000}">
      <formula1>TIPOS</formula1>
    </dataValidation>
  </dataValidations>
  <pageMargins left="0.511811024" right="0.511811024" top="0.78740157499999996" bottom="0.78740157499999996" header="0.31496062000000002" footer="0.31496062000000002"/>
  <pageSetup paperSize="9" scale="70" fitToHeight="0" orientation="landscape" r:id="rId1"/>
  <ignoredErrors>
    <ignoredError sqref="N7:N13" numberStoredAsText="1"/>
    <ignoredError sqref="O27 V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dimension ref="A1:I36"/>
  <sheetViews>
    <sheetView view="pageBreakPreview" topLeftCell="A22" zoomScaleNormal="85" zoomScaleSheetLayoutView="100" workbookViewId="0">
      <selection activeCell="A34" sqref="A34"/>
    </sheetView>
  </sheetViews>
  <sheetFormatPr defaultRowHeight="12.75" x14ac:dyDescent="0.2"/>
  <cols>
    <col min="1" max="1" width="30.140625" style="14" bestFit="1" customWidth="1"/>
    <col min="2" max="2" width="27.7109375" style="14" bestFit="1" customWidth="1"/>
    <col min="3" max="3" width="18.5703125" style="14" bestFit="1" customWidth="1"/>
    <col min="4" max="4" width="19.28515625" style="14" bestFit="1" customWidth="1"/>
    <col min="5" max="6" width="11.28515625" style="14" bestFit="1" customWidth="1"/>
    <col min="7" max="7" width="28.140625" style="14" bestFit="1" customWidth="1"/>
    <col min="8" max="8" width="13.42578125" style="14" bestFit="1" customWidth="1"/>
    <col min="9" max="9" width="21.140625" style="14" bestFit="1" customWidth="1"/>
    <col min="10" max="254" width="9.140625" style="14"/>
    <col min="255" max="255" width="0.5703125" style="14" customWidth="1"/>
    <col min="256" max="256" width="30.140625" style="14" bestFit="1" customWidth="1"/>
    <col min="257" max="257" width="27.7109375" style="14" bestFit="1" customWidth="1"/>
    <col min="258" max="258" width="18.5703125" style="14" bestFit="1" customWidth="1"/>
    <col min="259" max="259" width="19.28515625" style="14" bestFit="1" customWidth="1"/>
    <col min="260" max="261" width="11.28515625" style="14" bestFit="1" customWidth="1"/>
    <col min="262" max="262" width="28.140625" style="14" bestFit="1" customWidth="1"/>
    <col min="263" max="263" width="13.42578125" style="14" bestFit="1" customWidth="1"/>
    <col min="264" max="264" width="21.140625" style="14" bestFit="1" customWidth="1"/>
    <col min="265" max="265" width="1.5703125" style="14" customWidth="1"/>
    <col min="266" max="510" width="9.140625" style="14"/>
    <col min="511" max="511" width="0.5703125" style="14" customWidth="1"/>
    <col min="512" max="512" width="30.140625" style="14" bestFit="1" customWidth="1"/>
    <col min="513" max="513" width="27.7109375" style="14" bestFit="1" customWidth="1"/>
    <col min="514" max="514" width="18.5703125" style="14" bestFit="1" customWidth="1"/>
    <col min="515" max="515" width="19.28515625" style="14" bestFit="1" customWidth="1"/>
    <col min="516" max="517" width="11.28515625" style="14" bestFit="1" customWidth="1"/>
    <col min="518" max="518" width="28.140625" style="14" bestFit="1" customWidth="1"/>
    <col min="519" max="519" width="13.42578125" style="14" bestFit="1" customWidth="1"/>
    <col min="520" max="520" width="21.140625" style="14" bestFit="1" customWidth="1"/>
    <col min="521" max="521" width="1.5703125" style="14" customWidth="1"/>
    <col min="522" max="766" width="9.140625" style="14"/>
    <col min="767" max="767" width="0.5703125" style="14" customWidth="1"/>
    <col min="768" max="768" width="30.140625" style="14" bestFit="1" customWidth="1"/>
    <col min="769" max="769" width="27.7109375" style="14" bestFit="1" customWidth="1"/>
    <col min="770" max="770" width="18.5703125" style="14" bestFit="1" customWidth="1"/>
    <col min="771" max="771" width="19.28515625" style="14" bestFit="1" customWidth="1"/>
    <col min="772" max="773" width="11.28515625" style="14" bestFit="1" customWidth="1"/>
    <col min="774" max="774" width="28.140625" style="14" bestFit="1" customWidth="1"/>
    <col min="775" max="775" width="13.42578125" style="14" bestFit="1" customWidth="1"/>
    <col min="776" max="776" width="21.140625" style="14" bestFit="1" customWidth="1"/>
    <col min="777" max="777" width="1.5703125" style="14" customWidth="1"/>
    <col min="778" max="1022" width="9.140625" style="14"/>
    <col min="1023" max="1023" width="0.5703125" style="14" customWidth="1"/>
    <col min="1024" max="1024" width="30.140625" style="14" bestFit="1" customWidth="1"/>
    <col min="1025" max="1025" width="27.7109375" style="14" bestFit="1" customWidth="1"/>
    <col min="1026" max="1026" width="18.5703125" style="14" bestFit="1" customWidth="1"/>
    <col min="1027" max="1027" width="19.28515625" style="14" bestFit="1" customWidth="1"/>
    <col min="1028" max="1029" width="11.28515625" style="14" bestFit="1" customWidth="1"/>
    <col min="1030" max="1030" width="28.140625" style="14" bestFit="1" customWidth="1"/>
    <col min="1031" max="1031" width="13.42578125" style="14" bestFit="1" customWidth="1"/>
    <col min="1032" max="1032" width="21.140625" style="14" bestFit="1" customWidth="1"/>
    <col min="1033" max="1033" width="1.5703125" style="14" customWidth="1"/>
    <col min="1034" max="1278" width="9.140625" style="14"/>
    <col min="1279" max="1279" width="0.5703125" style="14" customWidth="1"/>
    <col min="1280" max="1280" width="30.140625" style="14" bestFit="1" customWidth="1"/>
    <col min="1281" max="1281" width="27.7109375" style="14" bestFit="1" customWidth="1"/>
    <col min="1282" max="1282" width="18.5703125" style="14" bestFit="1" customWidth="1"/>
    <col min="1283" max="1283" width="19.28515625" style="14" bestFit="1" customWidth="1"/>
    <col min="1284" max="1285" width="11.28515625" style="14" bestFit="1" customWidth="1"/>
    <col min="1286" max="1286" width="28.140625" style="14" bestFit="1" customWidth="1"/>
    <col min="1287" max="1287" width="13.42578125" style="14" bestFit="1" customWidth="1"/>
    <col min="1288" max="1288" width="21.140625" style="14" bestFit="1" customWidth="1"/>
    <col min="1289" max="1289" width="1.5703125" style="14" customWidth="1"/>
    <col min="1290" max="1534" width="9.140625" style="14"/>
    <col min="1535" max="1535" width="0.5703125" style="14" customWidth="1"/>
    <col min="1536" max="1536" width="30.140625" style="14" bestFit="1" customWidth="1"/>
    <col min="1537" max="1537" width="27.7109375" style="14" bestFit="1" customWidth="1"/>
    <col min="1538" max="1538" width="18.5703125" style="14" bestFit="1" customWidth="1"/>
    <col min="1539" max="1539" width="19.28515625" style="14" bestFit="1" customWidth="1"/>
    <col min="1540" max="1541" width="11.28515625" style="14" bestFit="1" customWidth="1"/>
    <col min="1542" max="1542" width="28.140625" style="14" bestFit="1" customWidth="1"/>
    <col min="1543" max="1543" width="13.42578125" style="14" bestFit="1" customWidth="1"/>
    <col min="1544" max="1544" width="21.140625" style="14" bestFit="1" customWidth="1"/>
    <col min="1545" max="1545" width="1.5703125" style="14" customWidth="1"/>
    <col min="1546" max="1790" width="9.140625" style="14"/>
    <col min="1791" max="1791" width="0.5703125" style="14" customWidth="1"/>
    <col min="1792" max="1792" width="30.140625" style="14" bestFit="1" customWidth="1"/>
    <col min="1793" max="1793" width="27.7109375" style="14" bestFit="1" customWidth="1"/>
    <col min="1794" max="1794" width="18.5703125" style="14" bestFit="1" customWidth="1"/>
    <col min="1795" max="1795" width="19.28515625" style="14" bestFit="1" customWidth="1"/>
    <col min="1796" max="1797" width="11.28515625" style="14" bestFit="1" customWidth="1"/>
    <col min="1798" max="1798" width="28.140625" style="14" bestFit="1" customWidth="1"/>
    <col min="1799" max="1799" width="13.42578125" style="14" bestFit="1" customWidth="1"/>
    <col min="1800" max="1800" width="21.140625" style="14" bestFit="1" customWidth="1"/>
    <col min="1801" max="1801" width="1.5703125" style="14" customWidth="1"/>
    <col min="1802" max="2046" width="9.140625" style="14"/>
    <col min="2047" max="2047" width="0.5703125" style="14" customWidth="1"/>
    <col min="2048" max="2048" width="30.140625" style="14" bestFit="1" customWidth="1"/>
    <col min="2049" max="2049" width="27.7109375" style="14" bestFit="1" customWidth="1"/>
    <col min="2050" max="2050" width="18.5703125" style="14" bestFit="1" customWidth="1"/>
    <col min="2051" max="2051" width="19.28515625" style="14" bestFit="1" customWidth="1"/>
    <col min="2052" max="2053" width="11.28515625" style="14" bestFit="1" customWidth="1"/>
    <col min="2054" max="2054" width="28.140625" style="14" bestFit="1" customWidth="1"/>
    <col min="2055" max="2055" width="13.42578125" style="14" bestFit="1" customWidth="1"/>
    <col min="2056" max="2056" width="21.140625" style="14" bestFit="1" customWidth="1"/>
    <col min="2057" max="2057" width="1.5703125" style="14" customWidth="1"/>
    <col min="2058" max="2302" width="9.140625" style="14"/>
    <col min="2303" max="2303" width="0.5703125" style="14" customWidth="1"/>
    <col min="2304" max="2304" width="30.140625" style="14" bestFit="1" customWidth="1"/>
    <col min="2305" max="2305" width="27.7109375" style="14" bestFit="1" customWidth="1"/>
    <col min="2306" max="2306" width="18.5703125" style="14" bestFit="1" customWidth="1"/>
    <col min="2307" max="2307" width="19.28515625" style="14" bestFit="1" customWidth="1"/>
    <col min="2308" max="2309" width="11.28515625" style="14" bestFit="1" customWidth="1"/>
    <col min="2310" max="2310" width="28.140625" style="14" bestFit="1" customWidth="1"/>
    <col min="2311" max="2311" width="13.42578125" style="14" bestFit="1" customWidth="1"/>
    <col min="2312" max="2312" width="21.140625" style="14" bestFit="1" customWidth="1"/>
    <col min="2313" max="2313" width="1.5703125" style="14" customWidth="1"/>
    <col min="2314" max="2558" width="9.140625" style="14"/>
    <col min="2559" max="2559" width="0.5703125" style="14" customWidth="1"/>
    <col min="2560" max="2560" width="30.140625" style="14" bestFit="1" customWidth="1"/>
    <col min="2561" max="2561" width="27.7109375" style="14" bestFit="1" customWidth="1"/>
    <col min="2562" max="2562" width="18.5703125" style="14" bestFit="1" customWidth="1"/>
    <col min="2563" max="2563" width="19.28515625" style="14" bestFit="1" customWidth="1"/>
    <col min="2564" max="2565" width="11.28515625" style="14" bestFit="1" customWidth="1"/>
    <col min="2566" max="2566" width="28.140625" style="14" bestFit="1" customWidth="1"/>
    <col min="2567" max="2567" width="13.42578125" style="14" bestFit="1" customWidth="1"/>
    <col min="2568" max="2568" width="21.140625" style="14" bestFit="1" customWidth="1"/>
    <col min="2569" max="2569" width="1.5703125" style="14" customWidth="1"/>
    <col min="2570" max="2814" width="9.140625" style="14"/>
    <col min="2815" max="2815" width="0.5703125" style="14" customWidth="1"/>
    <col min="2816" max="2816" width="30.140625" style="14" bestFit="1" customWidth="1"/>
    <col min="2817" max="2817" width="27.7109375" style="14" bestFit="1" customWidth="1"/>
    <col min="2818" max="2818" width="18.5703125" style="14" bestFit="1" customWidth="1"/>
    <col min="2819" max="2819" width="19.28515625" style="14" bestFit="1" customWidth="1"/>
    <col min="2820" max="2821" width="11.28515625" style="14" bestFit="1" customWidth="1"/>
    <col min="2822" max="2822" width="28.140625" style="14" bestFit="1" customWidth="1"/>
    <col min="2823" max="2823" width="13.42578125" style="14" bestFit="1" customWidth="1"/>
    <col min="2824" max="2824" width="21.140625" style="14" bestFit="1" customWidth="1"/>
    <col min="2825" max="2825" width="1.5703125" style="14" customWidth="1"/>
    <col min="2826" max="3070" width="9.140625" style="14"/>
    <col min="3071" max="3071" width="0.5703125" style="14" customWidth="1"/>
    <col min="3072" max="3072" width="30.140625" style="14" bestFit="1" customWidth="1"/>
    <col min="3073" max="3073" width="27.7109375" style="14" bestFit="1" customWidth="1"/>
    <col min="3074" max="3074" width="18.5703125" style="14" bestFit="1" customWidth="1"/>
    <col min="3075" max="3075" width="19.28515625" style="14" bestFit="1" customWidth="1"/>
    <col min="3076" max="3077" width="11.28515625" style="14" bestFit="1" customWidth="1"/>
    <col min="3078" max="3078" width="28.140625" style="14" bestFit="1" customWidth="1"/>
    <col min="3079" max="3079" width="13.42578125" style="14" bestFit="1" customWidth="1"/>
    <col min="3080" max="3080" width="21.140625" style="14" bestFit="1" customWidth="1"/>
    <col min="3081" max="3081" width="1.5703125" style="14" customWidth="1"/>
    <col min="3082" max="3326" width="9.140625" style="14"/>
    <col min="3327" max="3327" width="0.5703125" style="14" customWidth="1"/>
    <col min="3328" max="3328" width="30.140625" style="14" bestFit="1" customWidth="1"/>
    <col min="3329" max="3329" width="27.7109375" style="14" bestFit="1" customWidth="1"/>
    <col min="3330" max="3330" width="18.5703125" style="14" bestFit="1" customWidth="1"/>
    <col min="3331" max="3331" width="19.28515625" style="14" bestFit="1" customWidth="1"/>
    <col min="3332" max="3333" width="11.28515625" style="14" bestFit="1" customWidth="1"/>
    <col min="3334" max="3334" width="28.140625" style="14" bestFit="1" customWidth="1"/>
    <col min="3335" max="3335" width="13.42578125" style="14" bestFit="1" customWidth="1"/>
    <col min="3336" max="3336" width="21.140625" style="14" bestFit="1" customWidth="1"/>
    <col min="3337" max="3337" width="1.5703125" style="14" customWidth="1"/>
    <col min="3338" max="3582" width="9.140625" style="14"/>
    <col min="3583" max="3583" width="0.5703125" style="14" customWidth="1"/>
    <col min="3584" max="3584" width="30.140625" style="14" bestFit="1" customWidth="1"/>
    <col min="3585" max="3585" width="27.7109375" style="14" bestFit="1" customWidth="1"/>
    <col min="3586" max="3586" width="18.5703125" style="14" bestFit="1" customWidth="1"/>
    <col min="3587" max="3587" width="19.28515625" style="14" bestFit="1" customWidth="1"/>
    <col min="3588" max="3589" width="11.28515625" style="14" bestFit="1" customWidth="1"/>
    <col min="3590" max="3590" width="28.140625" style="14" bestFit="1" customWidth="1"/>
    <col min="3591" max="3591" width="13.42578125" style="14" bestFit="1" customWidth="1"/>
    <col min="3592" max="3592" width="21.140625" style="14" bestFit="1" customWidth="1"/>
    <col min="3593" max="3593" width="1.5703125" style="14" customWidth="1"/>
    <col min="3594" max="3838" width="9.140625" style="14"/>
    <col min="3839" max="3839" width="0.5703125" style="14" customWidth="1"/>
    <col min="3840" max="3840" width="30.140625" style="14" bestFit="1" customWidth="1"/>
    <col min="3841" max="3841" width="27.7109375" style="14" bestFit="1" customWidth="1"/>
    <col min="3842" max="3842" width="18.5703125" style="14" bestFit="1" customWidth="1"/>
    <col min="3843" max="3843" width="19.28515625" style="14" bestFit="1" customWidth="1"/>
    <col min="3844" max="3845" width="11.28515625" style="14" bestFit="1" customWidth="1"/>
    <col min="3846" max="3846" width="28.140625" style="14" bestFit="1" customWidth="1"/>
    <col min="3847" max="3847" width="13.42578125" style="14" bestFit="1" customWidth="1"/>
    <col min="3848" max="3848" width="21.140625" style="14" bestFit="1" customWidth="1"/>
    <col min="3849" max="3849" width="1.5703125" style="14" customWidth="1"/>
    <col min="3850" max="4094" width="9.140625" style="14"/>
    <col min="4095" max="4095" width="0.5703125" style="14" customWidth="1"/>
    <col min="4096" max="4096" width="30.140625" style="14" bestFit="1" customWidth="1"/>
    <col min="4097" max="4097" width="27.7109375" style="14" bestFit="1" customWidth="1"/>
    <col min="4098" max="4098" width="18.5703125" style="14" bestFit="1" customWidth="1"/>
    <col min="4099" max="4099" width="19.28515625" style="14" bestFit="1" customWidth="1"/>
    <col min="4100" max="4101" width="11.28515625" style="14" bestFit="1" customWidth="1"/>
    <col min="4102" max="4102" width="28.140625" style="14" bestFit="1" customWidth="1"/>
    <col min="4103" max="4103" width="13.42578125" style="14" bestFit="1" customWidth="1"/>
    <col min="4104" max="4104" width="21.140625" style="14" bestFit="1" customWidth="1"/>
    <col min="4105" max="4105" width="1.5703125" style="14" customWidth="1"/>
    <col min="4106" max="4350" width="9.140625" style="14"/>
    <col min="4351" max="4351" width="0.5703125" style="14" customWidth="1"/>
    <col min="4352" max="4352" width="30.140625" style="14" bestFit="1" customWidth="1"/>
    <col min="4353" max="4353" width="27.7109375" style="14" bestFit="1" customWidth="1"/>
    <col min="4354" max="4354" width="18.5703125" style="14" bestFit="1" customWidth="1"/>
    <col min="4355" max="4355" width="19.28515625" style="14" bestFit="1" customWidth="1"/>
    <col min="4356" max="4357" width="11.28515625" style="14" bestFit="1" customWidth="1"/>
    <col min="4358" max="4358" width="28.140625" style="14" bestFit="1" customWidth="1"/>
    <col min="4359" max="4359" width="13.42578125" style="14" bestFit="1" customWidth="1"/>
    <col min="4360" max="4360" width="21.140625" style="14" bestFit="1" customWidth="1"/>
    <col min="4361" max="4361" width="1.5703125" style="14" customWidth="1"/>
    <col min="4362" max="4606" width="9.140625" style="14"/>
    <col min="4607" max="4607" width="0.5703125" style="14" customWidth="1"/>
    <col min="4608" max="4608" width="30.140625" style="14" bestFit="1" customWidth="1"/>
    <col min="4609" max="4609" width="27.7109375" style="14" bestFit="1" customWidth="1"/>
    <col min="4610" max="4610" width="18.5703125" style="14" bestFit="1" customWidth="1"/>
    <col min="4611" max="4611" width="19.28515625" style="14" bestFit="1" customWidth="1"/>
    <col min="4612" max="4613" width="11.28515625" style="14" bestFit="1" customWidth="1"/>
    <col min="4614" max="4614" width="28.140625" style="14" bestFit="1" customWidth="1"/>
    <col min="4615" max="4615" width="13.42578125" style="14" bestFit="1" customWidth="1"/>
    <col min="4616" max="4616" width="21.140625" style="14" bestFit="1" customWidth="1"/>
    <col min="4617" max="4617" width="1.5703125" style="14" customWidth="1"/>
    <col min="4618" max="4862" width="9.140625" style="14"/>
    <col min="4863" max="4863" width="0.5703125" style="14" customWidth="1"/>
    <col min="4864" max="4864" width="30.140625" style="14" bestFit="1" customWidth="1"/>
    <col min="4865" max="4865" width="27.7109375" style="14" bestFit="1" customWidth="1"/>
    <col min="4866" max="4866" width="18.5703125" style="14" bestFit="1" customWidth="1"/>
    <col min="4867" max="4867" width="19.28515625" style="14" bestFit="1" customWidth="1"/>
    <col min="4868" max="4869" width="11.28515625" style="14" bestFit="1" customWidth="1"/>
    <col min="4870" max="4870" width="28.140625" style="14" bestFit="1" customWidth="1"/>
    <col min="4871" max="4871" width="13.42578125" style="14" bestFit="1" customWidth="1"/>
    <col min="4872" max="4872" width="21.140625" style="14" bestFit="1" customWidth="1"/>
    <col min="4873" max="4873" width="1.5703125" style="14" customWidth="1"/>
    <col min="4874" max="5118" width="9.140625" style="14"/>
    <col min="5119" max="5119" width="0.5703125" style="14" customWidth="1"/>
    <col min="5120" max="5120" width="30.140625" style="14" bestFit="1" customWidth="1"/>
    <col min="5121" max="5121" width="27.7109375" style="14" bestFit="1" customWidth="1"/>
    <col min="5122" max="5122" width="18.5703125" style="14" bestFit="1" customWidth="1"/>
    <col min="5123" max="5123" width="19.28515625" style="14" bestFit="1" customWidth="1"/>
    <col min="5124" max="5125" width="11.28515625" style="14" bestFit="1" customWidth="1"/>
    <col min="5126" max="5126" width="28.140625" style="14" bestFit="1" customWidth="1"/>
    <col min="5127" max="5127" width="13.42578125" style="14" bestFit="1" customWidth="1"/>
    <col min="5128" max="5128" width="21.140625" style="14" bestFit="1" customWidth="1"/>
    <col min="5129" max="5129" width="1.5703125" style="14" customWidth="1"/>
    <col min="5130" max="5374" width="9.140625" style="14"/>
    <col min="5375" max="5375" width="0.5703125" style="14" customWidth="1"/>
    <col min="5376" max="5376" width="30.140625" style="14" bestFit="1" customWidth="1"/>
    <col min="5377" max="5377" width="27.7109375" style="14" bestFit="1" customWidth="1"/>
    <col min="5378" max="5378" width="18.5703125" style="14" bestFit="1" customWidth="1"/>
    <col min="5379" max="5379" width="19.28515625" style="14" bestFit="1" customWidth="1"/>
    <col min="5380" max="5381" width="11.28515625" style="14" bestFit="1" customWidth="1"/>
    <col min="5382" max="5382" width="28.140625" style="14" bestFit="1" customWidth="1"/>
    <col min="5383" max="5383" width="13.42578125" style="14" bestFit="1" customWidth="1"/>
    <col min="5384" max="5384" width="21.140625" style="14" bestFit="1" customWidth="1"/>
    <col min="5385" max="5385" width="1.5703125" style="14" customWidth="1"/>
    <col min="5386" max="5630" width="9.140625" style="14"/>
    <col min="5631" max="5631" width="0.5703125" style="14" customWidth="1"/>
    <col min="5632" max="5632" width="30.140625" style="14" bestFit="1" customWidth="1"/>
    <col min="5633" max="5633" width="27.7109375" style="14" bestFit="1" customWidth="1"/>
    <col min="5634" max="5634" width="18.5703125" style="14" bestFit="1" customWidth="1"/>
    <col min="5635" max="5635" width="19.28515625" style="14" bestFit="1" customWidth="1"/>
    <col min="5636" max="5637" width="11.28515625" style="14" bestFit="1" customWidth="1"/>
    <col min="5638" max="5638" width="28.140625" style="14" bestFit="1" customWidth="1"/>
    <col min="5639" max="5639" width="13.42578125" style="14" bestFit="1" customWidth="1"/>
    <col min="5640" max="5640" width="21.140625" style="14" bestFit="1" customWidth="1"/>
    <col min="5641" max="5641" width="1.5703125" style="14" customWidth="1"/>
    <col min="5642" max="5886" width="9.140625" style="14"/>
    <col min="5887" max="5887" width="0.5703125" style="14" customWidth="1"/>
    <col min="5888" max="5888" width="30.140625" style="14" bestFit="1" customWidth="1"/>
    <col min="5889" max="5889" width="27.7109375" style="14" bestFit="1" customWidth="1"/>
    <col min="5890" max="5890" width="18.5703125" style="14" bestFit="1" customWidth="1"/>
    <col min="5891" max="5891" width="19.28515625" style="14" bestFit="1" customWidth="1"/>
    <col min="5892" max="5893" width="11.28515625" style="14" bestFit="1" customWidth="1"/>
    <col min="5894" max="5894" width="28.140625" style="14" bestFit="1" customWidth="1"/>
    <col min="5895" max="5895" width="13.42578125" style="14" bestFit="1" customWidth="1"/>
    <col min="5896" max="5896" width="21.140625" style="14" bestFit="1" customWidth="1"/>
    <col min="5897" max="5897" width="1.5703125" style="14" customWidth="1"/>
    <col min="5898" max="6142" width="9.140625" style="14"/>
    <col min="6143" max="6143" width="0.5703125" style="14" customWidth="1"/>
    <col min="6144" max="6144" width="30.140625" style="14" bestFit="1" customWidth="1"/>
    <col min="6145" max="6145" width="27.7109375" style="14" bestFit="1" customWidth="1"/>
    <col min="6146" max="6146" width="18.5703125" style="14" bestFit="1" customWidth="1"/>
    <col min="6147" max="6147" width="19.28515625" style="14" bestFit="1" customWidth="1"/>
    <col min="6148" max="6149" width="11.28515625" style="14" bestFit="1" customWidth="1"/>
    <col min="6150" max="6150" width="28.140625" style="14" bestFit="1" customWidth="1"/>
    <col min="6151" max="6151" width="13.42578125" style="14" bestFit="1" customWidth="1"/>
    <col min="6152" max="6152" width="21.140625" style="14" bestFit="1" customWidth="1"/>
    <col min="6153" max="6153" width="1.5703125" style="14" customWidth="1"/>
    <col min="6154" max="6398" width="9.140625" style="14"/>
    <col min="6399" max="6399" width="0.5703125" style="14" customWidth="1"/>
    <col min="6400" max="6400" width="30.140625" style="14" bestFit="1" customWidth="1"/>
    <col min="6401" max="6401" width="27.7109375" style="14" bestFit="1" customWidth="1"/>
    <col min="6402" max="6402" width="18.5703125" style="14" bestFit="1" customWidth="1"/>
    <col min="6403" max="6403" width="19.28515625" style="14" bestFit="1" customWidth="1"/>
    <col min="6404" max="6405" width="11.28515625" style="14" bestFit="1" customWidth="1"/>
    <col min="6406" max="6406" width="28.140625" style="14" bestFit="1" customWidth="1"/>
    <col min="6407" max="6407" width="13.42578125" style="14" bestFit="1" customWidth="1"/>
    <col min="6408" max="6408" width="21.140625" style="14" bestFit="1" customWidth="1"/>
    <col min="6409" max="6409" width="1.5703125" style="14" customWidth="1"/>
    <col min="6410" max="6654" width="9.140625" style="14"/>
    <col min="6655" max="6655" width="0.5703125" style="14" customWidth="1"/>
    <col min="6656" max="6656" width="30.140625" style="14" bestFit="1" customWidth="1"/>
    <col min="6657" max="6657" width="27.7109375" style="14" bestFit="1" customWidth="1"/>
    <col min="6658" max="6658" width="18.5703125" style="14" bestFit="1" customWidth="1"/>
    <col min="6659" max="6659" width="19.28515625" style="14" bestFit="1" customWidth="1"/>
    <col min="6660" max="6661" width="11.28515625" style="14" bestFit="1" customWidth="1"/>
    <col min="6662" max="6662" width="28.140625" style="14" bestFit="1" customWidth="1"/>
    <col min="6663" max="6663" width="13.42578125" style="14" bestFit="1" customWidth="1"/>
    <col min="6664" max="6664" width="21.140625" style="14" bestFit="1" customWidth="1"/>
    <col min="6665" max="6665" width="1.5703125" style="14" customWidth="1"/>
    <col min="6666" max="6910" width="9.140625" style="14"/>
    <col min="6911" max="6911" width="0.5703125" style="14" customWidth="1"/>
    <col min="6912" max="6912" width="30.140625" style="14" bestFit="1" customWidth="1"/>
    <col min="6913" max="6913" width="27.7109375" style="14" bestFit="1" customWidth="1"/>
    <col min="6914" max="6914" width="18.5703125" style="14" bestFit="1" customWidth="1"/>
    <col min="6915" max="6915" width="19.28515625" style="14" bestFit="1" customWidth="1"/>
    <col min="6916" max="6917" width="11.28515625" style="14" bestFit="1" customWidth="1"/>
    <col min="6918" max="6918" width="28.140625" style="14" bestFit="1" customWidth="1"/>
    <col min="6919" max="6919" width="13.42578125" style="14" bestFit="1" customWidth="1"/>
    <col min="6920" max="6920" width="21.140625" style="14" bestFit="1" customWidth="1"/>
    <col min="6921" max="6921" width="1.5703125" style="14" customWidth="1"/>
    <col min="6922" max="7166" width="9.140625" style="14"/>
    <col min="7167" max="7167" width="0.5703125" style="14" customWidth="1"/>
    <col min="7168" max="7168" width="30.140625" style="14" bestFit="1" customWidth="1"/>
    <col min="7169" max="7169" width="27.7109375" style="14" bestFit="1" customWidth="1"/>
    <col min="7170" max="7170" width="18.5703125" style="14" bestFit="1" customWidth="1"/>
    <col min="7171" max="7171" width="19.28515625" style="14" bestFit="1" customWidth="1"/>
    <col min="7172" max="7173" width="11.28515625" style="14" bestFit="1" customWidth="1"/>
    <col min="7174" max="7174" width="28.140625" style="14" bestFit="1" customWidth="1"/>
    <col min="7175" max="7175" width="13.42578125" style="14" bestFit="1" customWidth="1"/>
    <col min="7176" max="7176" width="21.140625" style="14" bestFit="1" customWidth="1"/>
    <col min="7177" max="7177" width="1.5703125" style="14" customWidth="1"/>
    <col min="7178" max="7422" width="9.140625" style="14"/>
    <col min="7423" max="7423" width="0.5703125" style="14" customWidth="1"/>
    <col min="7424" max="7424" width="30.140625" style="14" bestFit="1" customWidth="1"/>
    <col min="7425" max="7425" width="27.7109375" style="14" bestFit="1" customWidth="1"/>
    <col min="7426" max="7426" width="18.5703125" style="14" bestFit="1" customWidth="1"/>
    <col min="7427" max="7427" width="19.28515625" style="14" bestFit="1" customWidth="1"/>
    <col min="7428" max="7429" width="11.28515625" style="14" bestFit="1" customWidth="1"/>
    <col min="7430" max="7430" width="28.140625" style="14" bestFit="1" customWidth="1"/>
    <col min="7431" max="7431" width="13.42578125" style="14" bestFit="1" customWidth="1"/>
    <col min="7432" max="7432" width="21.140625" style="14" bestFit="1" customWidth="1"/>
    <col min="7433" max="7433" width="1.5703125" style="14" customWidth="1"/>
    <col min="7434" max="7678" width="9.140625" style="14"/>
    <col min="7679" max="7679" width="0.5703125" style="14" customWidth="1"/>
    <col min="7680" max="7680" width="30.140625" style="14" bestFit="1" customWidth="1"/>
    <col min="7681" max="7681" width="27.7109375" style="14" bestFit="1" customWidth="1"/>
    <col min="7682" max="7682" width="18.5703125" style="14" bestFit="1" customWidth="1"/>
    <col min="7683" max="7683" width="19.28515625" style="14" bestFit="1" customWidth="1"/>
    <col min="7684" max="7685" width="11.28515625" style="14" bestFit="1" customWidth="1"/>
    <col min="7686" max="7686" width="28.140625" style="14" bestFit="1" customWidth="1"/>
    <col min="7687" max="7687" width="13.42578125" style="14" bestFit="1" customWidth="1"/>
    <col min="7688" max="7688" width="21.140625" style="14" bestFit="1" customWidth="1"/>
    <col min="7689" max="7689" width="1.5703125" style="14" customWidth="1"/>
    <col min="7690" max="7934" width="9.140625" style="14"/>
    <col min="7935" max="7935" width="0.5703125" style="14" customWidth="1"/>
    <col min="7936" max="7936" width="30.140625" style="14" bestFit="1" customWidth="1"/>
    <col min="7937" max="7937" width="27.7109375" style="14" bestFit="1" customWidth="1"/>
    <col min="7938" max="7938" width="18.5703125" style="14" bestFit="1" customWidth="1"/>
    <col min="7939" max="7939" width="19.28515625" style="14" bestFit="1" customWidth="1"/>
    <col min="7940" max="7941" width="11.28515625" style="14" bestFit="1" customWidth="1"/>
    <col min="7942" max="7942" width="28.140625" style="14" bestFit="1" customWidth="1"/>
    <col min="7943" max="7943" width="13.42578125" style="14" bestFit="1" customWidth="1"/>
    <col min="7944" max="7944" width="21.140625" style="14" bestFit="1" customWidth="1"/>
    <col min="7945" max="7945" width="1.5703125" style="14" customWidth="1"/>
    <col min="7946" max="8190" width="9.140625" style="14"/>
    <col min="8191" max="8191" width="0.5703125" style="14" customWidth="1"/>
    <col min="8192" max="8192" width="30.140625" style="14" bestFit="1" customWidth="1"/>
    <col min="8193" max="8193" width="27.7109375" style="14" bestFit="1" customWidth="1"/>
    <col min="8194" max="8194" width="18.5703125" style="14" bestFit="1" customWidth="1"/>
    <col min="8195" max="8195" width="19.28515625" style="14" bestFit="1" customWidth="1"/>
    <col min="8196" max="8197" width="11.28515625" style="14" bestFit="1" customWidth="1"/>
    <col min="8198" max="8198" width="28.140625" style="14" bestFit="1" customWidth="1"/>
    <col min="8199" max="8199" width="13.42578125" style="14" bestFit="1" customWidth="1"/>
    <col min="8200" max="8200" width="21.140625" style="14" bestFit="1" customWidth="1"/>
    <col min="8201" max="8201" width="1.5703125" style="14" customWidth="1"/>
    <col min="8202" max="8446" width="9.140625" style="14"/>
    <col min="8447" max="8447" width="0.5703125" style="14" customWidth="1"/>
    <col min="8448" max="8448" width="30.140625" style="14" bestFit="1" customWidth="1"/>
    <col min="8449" max="8449" width="27.7109375" style="14" bestFit="1" customWidth="1"/>
    <col min="8450" max="8450" width="18.5703125" style="14" bestFit="1" customWidth="1"/>
    <col min="8451" max="8451" width="19.28515625" style="14" bestFit="1" customWidth="1"/>
    <col min="8452" max="8453" width="11.28515625" style="14" bestFit="1" customWidth="1"/>
    <col min="8454" max="8454" width="28.140625" style="14" bestFit="1" customWidth="1"/>
    <col min="8455" max="8455" width="13.42578125" style="14" bestFit="1" customWidth="1"/>
    <col min="8456" max="8456" width="21.140625" style="14" bestFit="1" customWidth="1"/>
    <col min="8457" max="8457" width="1.5703125" style="14" customWidth="1"/>
    <col min="8458" max="8702" width="9.140625" style="14"/>
    <col min="8703" max="8703" width="0.5703125" style="14" customWidth="1"/>
    <col min="8704" max="8704" width="30.140625" style="14" bestFit="1" customWidth="1"/>
    <col min="8705" max="8705" width="27.7109375" style="14" bestFit="1" customWidth="1"/>
    <col min="8706" max="8706" width="18.5703125" style="14" bestFit="1" customWidth="1"/>
    <col min="8707" max="8707" width="19.28515625" style="14" bestFit="1" customWidth="1"/>
    <col min="8708" max="8709" width="11.28515625" style="14" bestFit="1" customWidth="1"/>
    <col min="8710" max="8710" width="28.140625" style="14" bestFit="1" customWidth="1"/>
    <col min="8711" max="8711" width="13.42578125" style="14" bestFit="1" customWidth="1"/>
    <col min="8712" max="8712" width="21.140625" style="14" bestFit="1" customWidth="1"/>
    <col min="8713" max="8713" width="1.5703125" style="14" customWidth="1"/>
    <col min="8714" max="8958" width="9.140625" style="14"/>
    <col min="8959" max="8959" width="0.5703125" style="14" customWidth="1"/>
    <col min="8960" max="8960" width="30.140625" style="14" bestFit="1" customWidth="1"/>
    <col min="8961" max="8961" width="27.7109375" style="14" bestFit="1" customWidth="1"/>
    <col min="8962" max="8962" width="18.5703125" style="14" bestFit="1" customWidth="1"/>
    <col min="8963" max="8963" width="19.28515625" style="14" bestFit="1" customWidth="1"/>
    <col min="8964" max="8965" width="11.28515625" style="14" bestFit="1" customWidth="1"/>
    <col min="8966" max="8966" width="28.140625" style="14" bestFit="1" customWidth="1"/>
    <col min="8967" max="8967" width="13.42578125" style="14" bestFit="1" customWidth="1"/>
    <col min="8968" max="8968" width="21.140625" style="14" bestFit="1" customWidth="1"/>
    <col min="8969" max="8969" width="1.5703125" style="14" customWidth="1"/>
    <col min="8970" max="9214" width="9.140625" style="14"/>
    <col min="9215" max="9215" width="0.5703125" style="14" customWidth="1"/>
    <col min="9216" max="9216" width="30.140625" style="14" bestFit="1" customWidth="1"/>
    <col min="9217" max="9217" width="27.7109375" style="14" bestFit="1" customWidth="1"/>
    <col min="9218" max="9218" width="18.5703125" style="14" bestFit="1" customWidth="1"/>
    <col min="9219" max="9219" width="19.28515625" style="14" bestFit="1" customWidth="1"/>
    <col min="9220" max="9221" width="11.28515625" style="14" bestFit="1" customWidth="1"/>
    <col min="9222" max="9222" width="28.140625" style="14" bestFit="1" customWidth="1"/>
    <col min="9223" max="9223" width="13.42578125" style="14" bestFit="1" customWidth="1"/>
    <col min="9224" max="9224" width="21.140625" style="14" bestFit="1" customWidth="1"/>
    <col min="9225" max="9225" width="1.5703125" style="14" customWidth="1"/>
    <col min="9226" max="9470" width="9.140625" style="14"/>
    <col min="9471" max="9471" width="0.5703125" style="14" customWidth="1"/>
    <col min="9472" max="9472" width="30.140625" style="14" bestFit="1" customWidth="1"/>
    <col min="9473" max="9473" width="27.7109375" style="14" bestFit="1" customWidth="1"/>
    <col min="9474" max="9474" width="18.5703125" style="14" bestFit="1" customWidth="1"/>
    <col min="9475" max="9475" width="19.28515625" style="14" bestFit="1" customWidth="1"/>
    <col min="9476" max="9477" width="11.28515625" style="14" bestFit="1" customWidth="1"/>
    <col min="9478" max="9478" width="28.140625" style="14" bestFit="1" customWidth="1"/>
    <col min="9479" max="9479" width="13.42578125" style="14" bestFit="1" customWidth="1"/>
    <col min="9480" max="9480" width="21.140625" style="14" bestFit="1" customWidth="1"/>
    <col min="9481" max="9481" width="1.5703125" style="14" customWidth="1"/>
    <col min="9482" max="9726" width="9.140625" style="14"/>
    <col min="9727" max="9727" width="0.5703125" style="14" customWidth="1"/>
    <col min="9728" max="9728" width="30.140625" style="14" bestFit="1" customWidth="1"/>
    <col min="9729" max="9729" width="27.7109375" style="14" bestFit="1" customWidth="1"/>
    <col min="9730" max="9730" width="18.5703125" style="14" bestFit="1" customWidth="1"/>
    <col min="9731" max="9731" width="19.28515625" style="14" bestFit="1" customWidth="1"/>
    <col min="9732" max="9733" width="11.28515625" style="14" bestFit="1" customWidth="1"/>
    <col min="9734" max="9734" width="28.140625" style="14" bestFit="1" customWidth="1"/>
    <col min="9735" max="9735" width="13.42578125" style="14" bestFit="1" customWidth="1"/>
    <col min="9736" max="9736" width="21.140625" style="14" bestFit="1" customWidth="1"/>
    <col min="9737" max="9737" width="1.5703125" style="14" customWidth="1"/>
    <col min="9738" max="9982" width="9.140625" style="14"/>
    <col min="9983" max="9983" width="0.5703125" style="14" customWidth="1"/>
    <col min="9984" max="9984" width="30.140625" style="14" bestFit="1" customWidth="1"/>
    <col min="9985" max="9985" width="27.7109375" style="14" bestFit="1" customWidth="1"/>
    <col min="9986" max="9986" width="18.5703125" style="14" bestFit="1" customWidth="1"/>
    <col min="9987" max="9987" width="19.28515625" style="14" bestFit="1" customWidth="1"/>
    <col min="9988" max="9989" width="11.28515625" style="14" bestFit="1" customWidth="1"/>
    <col min="9990" max="9990" width="28.140625" style="14" bestFit="1" customWidth="1"/>
    <col min="9991" max="9991" width="13.42578125" style="14" bestFit="1" customWidth="1"/>
    <col min="9992" max="9992" width="21.140625" style="14" bestFit="1" customWidth="1"/>
    <col min="9993" max="9993" width="1.5703125" style="14" customWidth="1"/>
    <col min="9994" max="10238" width="9.140625" style="14"/>
    <col min="10239" max="10239" width="0.5703125" style="14" customWidth="1"/>
    <col min="10240" max="10240" width="30.140625" style="14" bestFit="1" customWidth="1"/>
    <col min="10241" max="10241" width="27.7109375" style="14" bestFit="1" customWidth="1"/>
    <col min="10242" max="10242" width="18.5703125" style="14" bestFit="1" customWidth="1"/>
    <col min="10243" max="10243" width="19.28515625" style="14" bestFit="1" customWidth="1"/>
    <col min="10244" max="10245" width="11.28515625" style="14" bestFit="1" customWidth="1"/>
    <col min="10246" max="10246" width="28.140625" style="14" bestFit="1" customWidth="1"/>
    <col min="10247" max="10247" width="13.42578125" style="14" bestFit="1" customWidth="1"/>
    <col min="10248" max="10248" width="21.140625" style="14" bestFit="1" customWidth="1"/>
    <col min="10249" max="10249" width="1.5703125" style="14" customWidth="1"/>
    <col min="10250" max="10494" width="9.140625" style="14"/>
    <col min="10495" max="10495" width="0.5703125" style="14" customWidth="1"/>
    <col min="10496" max="10496" width="30.140625" style="14" bestFit="1" customWidth="1"/>
    <col min="10497" max="10497" width="27.7109375" style="14" bestFit="1" customWidth="1"/>
    <col min="10498" max="10498" width="18.5703125" style="14" bestFit="1" customWidth="1"/>
    <col min="10499" max="10499" width="19.28515625" style="14" bestFit="1" customWidth="1"/>
    <col min="10500" max="10501" width="11.28515625" style="14" bestFit="1" customWidth="1"/>
    <col min="10502" max="10502" width="28.140625" style="14" bestFit="1" customWidth="1"/>
    <col min="10503" max="10503" width="13.42578125" style="14" bestFit="1" customWidth="1"/>
    <col min="10504" max="10504" width="21.140625" style="14" bestFit="1" customWidth="1"/>
    <col min="10505" max="10505" width="1.5703125" style="14" customWidth="1"/>
    <col min="10506" max="10750" width="9.140625" style="14"/>
    <col min="10751" max="10751" width="0.5703125" style="14" customWidth="1"/>
    <col min="10752" max="10752" width="30.140625" style="14" bestFit="1" customWidth="1"/>
    <col min="10753" max="10753" width="27.7109375" style="14" bestFit="1" customWidth="1"/>
    <col min="10754" max="10754" width="18.5703125" style="14" bestFit="1" customWidth="1"/>
    <col min="10755" max="10755" width="19.28515625" style="14" bestFit="1" customWidth="1"/>
    <col min="10756" max="10757" width="11.28515625" style="14" bestFit="1" customWidth="1"/>
    <col min="10758" max="10758" width="28.140625" style="14" bestFit="1" customWidth="1"/>
    <col min="10759" max="10759" width="13.42578125" style="14" bestFit="1" customWidth="1"/>
    <col min="10760" max="10760" width="21.140625" style="14" bestFit="1" customWidth="1"/>
    <col min="10761" max="10761" width="1.5703125" style="14" customWidth="1"/>
    <col min="10762" max="11006" width="9.140625" style="14"/>
    <col min="11007" max="11007" width="0.5703125" style="14" customWidth="1"/>
    <col min="11008" max="11008" width="30.140625" style="14" bestFit="1" customWidth="1"/>
    <col min="11009" max="11009" width="27.7109375" style="14" bestFit="1" customWidth="1"/>
    <col min="11010" max="11010" width="18.5703125" style="14" bestFit="1" customWidth="1"/>
    <col min="11011" max="11011" width="19.28515625" style="14" bestFit="1" customWidth="1"/>
    <col min="11012" max="11013" width="11.28515625" style="14" bestFit="1" customWidth="1"/>
    <col min="11014" max="11014" width="28.140625" style="14" bestFit="1" customWidth="1"/>
    <col min="11015" max="11015" width="13.42578125" style="14" bestFit="1" customWidth="1"/>
    <col min="11016" max="11016" width="21.140625" style="14" bestFit="1" customWidth="1"/>
    <col min="11017" max="11017" width="1.5703125" style="14" customWidth="1"/>
    <col min="11018" max="11262" width="9.140625" style="14"/>
    <col min="11263" max="11263" width="0.5703125" style="14" customWidth="1"/>
    <col min="11264" max="11264" width="30.140625" style="14" bestFit="1" customWidth="1"/>
    <col min="11265" max="11265" width="27.7109375" style="14" bestFit="1" customWidth="1"/>
    <col min="11266" max="11266" width="18.5703125" style="14" bestFit="1" customWidth="1"/>
    <col min="11267" max="11267" width="19.28515625" style="14" bestFit="1" customWidth="1"/>
    <col min="11268" max="11269" width="11.28515625" style="14" bestFit="1" customWidth="1"/>
    <col min="11270" max="11270" width="28.140625" style="14" bestFit="1" customWidth="1"/>
    <col min="11271" max="11271" width="13.42578125" style="14" bestFit="1" customWidth="1"/>
    <col min="11272" max="11272" width="21.140625" style="14" bestFit="1" customWidth="1"/>
    <col min="11273" max="11273" width="1.5703125" style="14" customWidth="1"/>
    <col min="11274" max="11518" width="9.140625" style="14"/>
    <col min="11519" max="11519" width="0.5703125" style="14" customWidth="1"/>
    <col min="11520" max="11520" width="30.140625" style="14" bestFit="1" customWidth="1"/>
    <col min="11521" max="11521" width="27.7109375" style="14" bestFit="1" customWidth="1"/>
    <col min="11522" max="11522" width="18.5703125" style="14" bestFit="1" customWidth="1"/>
    <col min="11523" max="11523" width="19.28515625" style="14" bestFit="1" customWidth="1"/>
    <col min="11524" max="11525" width="11.28515625" style="14" bestFit="1" customWidth="1"/>
    <col min="11526" max="11526" width="28.140625" style="14" bestFit="1" customWidth="1"/>
    <col min="11527" max="11527" width="13.42578125" style="14" bestFit="1" customWidth="1"/>
    <col min="11528" max="11528" width="21.140625" style="14" bestFit="1" customWidth="1"/>
    <col min="11529" max="11529" width="1.5703125" style="14" customWidth="1"/>
    <col min="11530" max="11774" width="9.140625" style="14"/>
    <col min="11775" max="11775" width="0.5703125" style="14" customWidth="1"/>
    <col min="11776" max="11776" width="30.140625" style="14" bestFit="1" customWidth="1"/>
    <col min="11777" max="11777" width="27.7109375" style="14" bestFit="1" customWidth="1"/>
    <col min="11778" max="11778" width="18.5703125" style="14" bestFit="1" customWidth="1"/>
    <col min="11779" max="11779" width="19.28515625" style="14" bestFit="1" customWidth="1"/>
    <col min="11780" max="11781" width="11.28515625" style="14" bestFit="1" customWidth="1"/>
    <col min="11782" max="11782" width="28.140625" style="14" bestFit="1" customWidth="1"/>
    <col min="11783" max="11783" width="13.42578125" style="14" bestFit="1" customWidth="1"/>
    <col min="11784" max="11784" width="21.140625" style="14" bestFit="1" customWidth="1"/>
    <col min="11785" max="11785" width="1.5703125" style="14" customWidth="1"/>
    <col min="11786" max="12030" width="9.140625" style="14"/>
    <col min="12031" max="12031" width="0.5703125" style="14" customWidth="1"/>
    <col min="12032" max="12032" width="30.140625" style="14" bestFit="1" customWidth="1"/>
    <col min="12033" max="12033" width="27.7109375" style="14" bestFit="1" customWidth="1"/>
    <col min="12034" max="12034" width="18.5703125" style="14" bestFit="1" customWidth="1"/>
    <col min="12035" max="12035" width="19.28515625" style="14" bestFit="1" customWidth="1"/>
    <col min="12036" max="12037" width="11.28515625" style="14" bestFit="1" customWidth="1"/>
    <col min="12038" max="12038" width="28.140625" style="14" bestFit="1" customWidth="1"/>
    <col min="12039" max="12039" width="13.42578125" style="14" bestFit="1" customWidth="1"/>
    <col min="12040" max="12040" width="21.140625" style="14" bestFit="1" customWidth="1"/>
    <col min="12041" max="12041" width="1.5703125" style="14" customWidth="1"/>
    <col min="12042" max="12286" width="9.140625" style="14"/>
    <col min="12287" max="12287" width="0.5703125" style="14" customWidth="1"/>
    <col min="12288" max="12288" width="30.140625" style="14" bestFit="1" customWidth="1"/>
    <col min="12289" max="12289" width="27.7109375" style="14" bestFit="1" customWidth="1"/>
    <col min="12290" max="12290" width="18.5703125" style="14" bestFit="1" customWidth="1"/>
    <col min="12291" max="12291" width="19.28515625" style="14" bestFit="1" customWidth="1"/>
    <col min="12292" max="12293" width="11.28515625" style="14" bestFit="1" customWidth="1"/>
    <col min="12294" max="12294" width="28.140625" style="14" bestFit="1" customWidth="1"/>
    <col min="12295" max="12295" width="13.42578125" style="14" bestFit="1" customWidth="1"/>
    <col min="12296" max="12296" width="21.140625" style="14" bestFit="1" customWidth="1"/>
    <col min="12297" max="12297" width="1.5703125" style="14" customWidth="1"/>
    <col min="12298" max="12542" width="9.140625" style="14"/>
    <col min="12543" max="12543" width="0.5703125" style="14" customWidth="1"/>
    <col min="12544" max="12544" width="30.140625" style="14" bestFit="1" customWidth="1"/>
    <col min="12545" max="12545" width="27.7109375" style="14" bestFit="1" customWidth="1"/>
    <col min="12546" max="12546" width="18.5703125" style="14" bestFit="1" customWidth="1"/>
    <col min="12547" max="12547" width="19.28515625" style="14" bestFit="1" customWidth="1"/>
    <col min="12548" max="12549" width="11.28515625" style="14" bestFit="1" customWidth="1"/>
    <col min="12550" max="12550" width="28.140625" style="14" bestFit="1" customWidth="1"/>
    <col min="12551" max="12551" width="13.42578125" style="14" bestFit="1" customWidth="1"/>
    <col min="12552" max="12552" width="21.140625" style="14" bestFit="1" customWidth="1"/>
    <col min="12553" max="12553" width="1.5703125" style="14" customWidth="1"/>
    <col min="12554" max="12798" width="9.140625" style="14"/>
    <col min="12799" max="12799" width="0.5703125" style="14" customWidth="1"/>
    <col min="12800" max="12800" width="30.140625" style="14" bestFit="1" customWidth="1"/>
    <col min="12801" max="12801" width="27.7109375" style="14" bestFit="1" customWidth="1"/>
    <col min="12802" max="12802" width="18.5703125" style="14" bestFit="1" customWidth="1"/>
    <col min="12803" max="12803" width="19.28515625" style="14" bestFit="1" customWidth="1"/>
    <col min="12804" max="12805" width="11.28515625" style="14" bestFit="1" customWidth="1"/>
    <col min="12806" max="12806" width="28.140625" style="14" bestFit="1" customWidth="1"/>
    <col min="12807" max="12807" width="13.42578125" style="14" bestFit="1" customWidth="1"/>
    <col min="12808" max="12808" width="21.140625" style="14" bestFit="1" customWidth="1"/>
    <col min="12809" max="12809" width="1.5703125" style="14" customWidth="1"/>
    <col min="12810" max="13054" width="9.140625" style="14"/>
    <col min="13055" max="13055" width="0.5703125" style="14" customWidth="1"/>
    <col min="13056" max="13056" width="30.140625" style="14" bestFit="1" customWidth="1"/>
    <col min="13057" max="13057" width="27.7109375" style="14" bestFit="1" customWidth="1"/>
    <col min="13058" max="13058" width="18.5703125" style="14" bestFit="1" customWidth="1"/>
    <col min="13059" max="13059" width="19.28515625" style="14" bestFit="1" customWidth="1"/>
    <col min="13060" max="13061" width="11.28515625" style="14" bestFit="1" customWidth="1"/>
    <col min="13062" max="13062" width="28.140625" style="14" bestFit="1" customWidth="1"/>
    <col min="13063" max="13063" width="13.42578125" style="14" bestFit="1" customWidth="1"/>
    <col min="13064" max="13064" width="21.140625" style="14" bestFit="1" customWidth="1"/>
    <col min="13065" max="13065" width="1.5703125" style="14" customWidth="1"/>
    <col min="13066" max="13310" width="9.140625" style="14"/>
    <col min="13311" max="13311" width="0.5703125" style="14" customWidth="1"/>
    <col min="13312" max="13312" width="30.140625" style="14" bestFit="1" customWidth="1"/>
    <col min="13313" max="13313" width="27.7109375" style="14" bestFit="1" customWidth="1"/>
    <col min="13314" max="13314" width="18.5703125" style="14" bestFit="1" customWidth="1"/>
    <col min="13315" max="13315" width="19.28515625" style="14" bestFit="1" customWidth="1"/>
    <col min="13316" max="13317" width="11.28515625" style="14" bestFit="1" customWidth="1"/>
    <col min="13318" max="13318" width="28.140625" style="14" bestFit="1" customWidth="1"/>
    <col min="13319" max="13319" width="13.42578125" style="14" bestFit="1" customWidth="1"/>
    <col min="13320" max="13320" width="21.140625" style="14" bestFit="1" customWidth="1"/>
    <col min="13321" max="13321" width="1.5703125" style="14" customWidth="1"/>
    <col min="13322" max="13566" width="9.140625" style="14"/>
    <col min="13567" max="13567" width="0.5703125" style="14" customWidth="1"/>
    <col min="13568" max="13568" width="30.140625" style="14" bestFit="1" customWidth="1"/>
    <col min="13569" max="13569" width="27.7109375" style="14" bestFit="1" customWidth="1"/>
    <col min="13570" max="13570" width="18.5703125" style="14" bestFit="1" customWidth="1"/>
    <col min="13571" max="13571" width="19.28515625" style="14" bestFit="1" customWidth="1"/>
    <col min="13572" max="13573" width="11.28515625" style="14" bestFit="1" customWidth="1"/>
    <col min="13574" max="13574" width="28.140625" style="14" bestFit="1" customWidth="1"/>
    <col min="13575" max="13575" width="13.42578125" style="14" bestFit="1" customWidth="1"/>
    <col min="13576" max="13576" width="21.140625" style="14" bestFit="1" customWidth="1"/>
    <col min="13577" max="13577" width="1.5703125" style="14" customWidth="1"/>
    <col min="13578" max="13822" width="9.140625" style="14"/>
    <col min="13823" max="13823" width="0.5703125" style="14" customWidth="1"/>
    <col min="13824" max="13824" width="30.140625" style="14" bestFit="1" customWidth="1"/>
    <col min="13825" max="13825" width="27.7109375" style="14" bestFit="1" customWidth="1"/>
    <col min="13826" max="13826" width="18.5703125" style="14" bestFit="1" customWidth="1"/>
    <col min="13827" max="13827" width="19.28515625" style="14" bestFit="1" customWidth="1"/>
    <col min="13828" max="13829" width="11.28515625" style="14" bestFit="1" customWidth="1"/>
    <col min="13830" max="13830" width="28.140625" style="14" bestFit="1" customWidth="1"/>
    <col min="13831" max="13831" width="13.42578125" style="14" bestFit="1" customWidth="1"/>
    <col min="13832" max="13832" width="21.140625" style="14" bestFit="1" customWidth="1"/>
    <col min="13833" max="13833" width="1.5703125" style="14" customWidth="1"/>
    <col min="13834" max="14078" width="9.140625" style="14"/>
    <col min="14079" max="14079" width="0.5703125" style="14" customWidth="1"/>
    <col min="14080" max="14080" width="30.140625" style="14" bestFit="1" customWidth="1"/>
    <col min="14081" max="14081" width="27.7109375" style="14" bestFit="1" customWidth="1"/>
    <col min="14082" max="14082" width="18.5703125" style="14" bestFit="1" customWidth="1"/>
    <col min="14083" max="14083" width="19.28515625" style="14" bestFit="1" customWidth="1"/>
    <col min="14084" max="14085" width="11.28515625" style="14" bestFit="1" customWidth="1"/>
    <col min="14086" max="14086" width="28.140625" style="14" bestFit="1" customWidth="1"/>
    <col min="14087" max="14087" width="13.42578125" style="14" bestFit="1" customWidth="1"/>
    <col min="14088" max="14088" width="21.140625" style="14" bestFit="1" customWidth="1"/>
    <col min="14089" max="14089" width="1.5703125" style="14" customWidth="1"/>
    <col min="14090" max="14334" width="9.140625" style="14"/>
    <col min="14335" max="14335" width="0.5703125" style="14" customWidth="1"/>
    <col min="14336" max="14336" width="30.140625" style="14" bestFit="1" customWidth="1"/>
    <col min="14337" max="14337" width="27.7109375" style="14" bestFit="1" customWidth="1"/>
    <col min="14338" max="14338" width="18.5703125" style="14" bestFit="1" customWidth="1"/>
    <col min="14339" max="14339" width="19.28515625" style="14" bestFit="1" customWidth="1"/>
    <col min="14340" max="14341" width="11.28515625" style="14" bestFit="1" customWidth="1"/>
    <col min="14342" max="14342" width="28.140625" style="14" bestFit="1" customWidth="1"/>
    <col min="14343" max="14343" width="13.42578125" style="14" bestFit="1" customWidth="1"/>
    <col min="14344" max="14344" width="21.140625" style="14" bestFit="1" customWidth="1"/>
    <col min="14345" max="14345" width="1.5703125" style="14" customWidth="1"/>
    <col min="14346" max="14590" width="9.140625" style="14"/>
    <col min="14591" max="14591" width="0.5703125" style="14" customWidth="1"/>
    <col min="14592" max="14592" width="30.140625" style="14" bestFit="1" customWidth="1"/>
    <col min="14593" max="14593" width="27.7109375" style="14" bestFit="1" customWidth="1"/>
    <col min="14594" max="14594" width="18.5703125" style="14" bestFit="1" customWidth="1"/>
    <col min="14595" max="14595" width="19.28515625" style="14" bestFit="1" customWidth="1"/>
    <col min="14596" max="14597" width="11.28515625" style="14" bestFit="1" customWidth="1"/>
    <col min="14598" max="14598" width="28.140625" style="14" bestFit="1" customWidth="1"/>
    <col min="14599" max="14599" width="13.42578125" style="14" bestFit="1" customWidth="1"/>
    <col min="14600" max="14600" width="21.140625" style="14" bestFit="1" customWidth="1"/>
    <col min="14601" max="14601" width="1.5703125" style="14" customWidth="1"/>
    <col min="14602" max="14846" width="9.140625" style="14"/>
    <col min="14847" max="14847" width="0.5703125" style="14" customWidth="1"/>
    <col min="14848" max="14848" width="30.140625" style="14" bestFit="1" customWidth="1"/>
    <col min="14849" max="14849" width="27.7109375" style="14" bestFit="1" customWidth="1"/>
    <col min="14850" max="14850" width="18.5703125" style="14" bestFit="1" customWidth="1"/>
    <col min="14851" max="14851" width="19.28515625" style="14" bestFit="1" customWidth="1"/>
    <col min="14852" max="14853" width="11.28515625" style="14" bestFit="1" customWidth="1"/>
    <col min="14854" max="14854" width="28.140625" style="14" bestFit="1" customWidth="1"/>
    <col min="14855" max="14855" width="13.42578125" style="14" bestFit="1" customWidth="1"/>
    <col min="14856" max="14856" width="21.140625" style="14" bestFit="1" customWidth="1"/>
    <col min="14857" max="14857" width="1.5703125" style="14" customWidth="1"/>
    <col min="14858" max="15102" width="9.140625" style="14"/>
    <col min="15103" max="15103" width="0.5703125" style="14" customWidth="1"/>
    <col min="15104" max="15104" width="30.140625" style="14" bestFit="1" customWidth="1"/>
    <col min="15105" max="15105" width="27.7109375" style="14" bestFit="1" customWidth="1"/>
    <col min="15106" max="15106" width="18.5703125" style="14" bestFit="1" customWidth="1"/>
    <col min="15107" max="15107" width="19.28515625" style="14" bestFit="1" customWidth="1"/>
    <col min="15108" max="15109" width="11.28515625" style="14" bestFit="1" customWidth="1"/>
    <col min="15110" max="15110" width="28.140625" style="14" bestFit="1" customWidth="1"/>
    <col min="15111" max="15111" width="13.42578125" style="14" bestFit="1" customWidth="1"/>
    <col min="15112" max="15112" width="21.140625" style="14" bestFit="1" customWidth="1"/>
    <col min="15113" max="15113" width="1.5703125" style="14" customWidth="1"/>
    <col min="15114" max="15358" width="9.140625" style="14"/>
    <col min="15359" max="15359" width="0.5703125" style="14" customWidth="1"/>
    <col min="15360" max="15360" width="30.140625" style="14" bestFit="1" customWidth="1"/>
    <col min="15361" max="15361" width="27.7109375" style="14" bestFit="1" customWidth="1"/>
    <col min="15362" max="15362" width="18.5703125" style="14" bestFit="1" customWidth="1"/>
    <col min="15363" max="15363" width="19.28515625" style="14" bestFit="1" customWidth="1"/>
    <col min="15364" max="15365" width="11.28515625" style="14" bestFit="1" customWidth="1"/>
    <col min="15366" max="15366" width="28.140625" style="14" bestFit="1" customWidth="1"/>
    <col min="15367" max="15367" width="13.42578125" style="14" bestFit="1" customWidth="1"/>
    <col min="15368" max="15368" width="21.140625" style="14" bestFit="1" customWidth="1"/>
    <col min="15369" max="15369" width="1.5703125" style="14" customWidth="1"/>
    <col min="15370" max="15614" width="9.140625" style="14"/>
    <col min="15615" max="15615" width="0.5703125" style="14" customWidth="1"/>
    <col min="15616" max="15616" width="30.140625" style="14" bestFit="1" customWidth="1"/>
    <col min="15617" max="15617" width="27.7109375" style="14" bestFit="1" customWidth="1"/>
    <col min="15618" max="15618" width="18.5703125" style="14" bestFit="1" customWidth="1"/>
    <col min="15619" max="15619" width="19.28515625" style="14" bestFit="1" customWidth="1"/>
    <col min="15620" max="15621" width="11.28515625" style="14" bestFit="1" customWidth="1"/>
    <col min="15622" max="15622" width="28.140625" style="14" bestFit="1" customWidth="1"/>
    <col min="15623" max="15623" width="13.42578125" style="14" bestFit="1" customWidth="1"/>
    <col min="15624" max="15624" width="21.140625" style="14" bestFit="1" customWidth="1"/>
    <col min="15625" max="15625" width="1.5703125" style="14" customWidth="1"/>
    <col min="15626" max="15870" width="9.140625" style="14"/>
    <col min="15871" max="15871" width="0.5703125" style="14" customWidth="1"/>
    <col min="15872" max="15872" width="30.140625" style="14" bestFit="1" customWidth="1"/>
    <col min="15873" max="15873" width="27.7109375" style="14" bestFit="1" customWidth="1"/>
    <col min="15874" max="15874" width="18.5703125" style="14" bestFit="1" customWidth="1"/>
    <col min="15875" max="15875" width="19.28515625" style="14" bestFit="1" customWidth="1"/>
    <col min="15876" max="15877" width="11.28515625" style="14" bestFit="1" customWidth="1"/>
    <col min="15878" max="15878" width="28.140625" style="14" bestFit="1" customWidth="1"/>
    <col min="15879" max="15879" width="13.42578125" style="14" bestFit="1" customWidth="1"/>
    <col min="15880" max="15880" width="21.140625" style="14" bestFit="1" customWidth="1"/>
    <col min="15881" max="15881" width="1.5703125" style="14" customWidth="1"/>
    <col min="15882" max="16126" width="9.140625" style="14"/>
    <col min="16127" max="16127" width="0.5703125" style="14" customWidth="1"/>
    <col min="16128" max="16128" width="30.140625" style="14" bestFit="1" customWidth="1"/>
    <col min="16129" max="16129" width="27.7109375" style="14" bestFit="1" customWidth="1"/>
    <col min="16130" max="16130" width="18.5703125" style="14" bestFit="1" customWidth="1"/>
    <col min="16131" max="16131" width="19.28515625" style="14" bestFit="1" customWidth="1"/>
    <col min="16132" max="16133" width="11.28515625" style="14" bestFit="1" customWidth="1"/>
    <col min="16134" max="16134" width="28.140625" style="14" bestFit="1" customWidth="1"/>
    <col min="16135" max="16135" width="13.42578125" style="14" bestFit="1" customWidth="1"/>
    <col min="16136" max="16136" width="21.140625" style="14" bestFit="1" customWidth="1"/>
    <col min="16137" max="16137" width="1.5703125" style="14" customWidth="1"/>
    <col min="16138" max="16384" width="9.140625" style="14"/>
  </cols>
  <sheetData>
    <row r="1" spans="1:9" ht="16.5" customHeight="1" thickBot="1" x14ac:dyDescent="0.25">
      <c r="A1" s="1325" t="s">
        <v>141</v>
      </c>
      <c r="B1" s="1326"/>
      <c r="C1" s="1326"/>
      <c r="D1" s="1326"/>
      <c r="E1" s="1326"/>
      <c r="F1" s="1326"/>
      <c r="G1" s="1326"/>
      <c r="H1" s="1326"/>
      <c r="I1" s="1327"/>
    </row>
    <row r="2" spans="1:9" ht="15.75" x14ac:dyDescent="0.2">
      <c r="A2" s="1328" t="s">
        <v>107</v>
      </c>
      <c r="B2" s="1329"/>
      <c r="C2" s="1329"/>
      <c r="D2" s="1329"/>
      <c r="E2" s="1330"/>
      <c r="F2" s="126" t="s">
        <v>108</v>
      </c>
      <c r="G2" s="1328" t="s">
        <v>109</v>
      </c>
      <c r="H2" s="1329"/>
      <c r="I2" s="1330"/>
    </row>
    <row r="3" spans="1:9" ht="15.75" x14ac:dyDescent="0.2">
      <c r="A3" s="101" t="s">
        <v>110</v>
      </c>
      <c r="B3" s="101" t="s">
        <v>111</v>
      </c>
      <c r="C3" s="101" t="s">
        <v>112</v>
      </c>
      <c r="D3" s="101" t="s">
        <v>113</v>
      </c>
      <c r="E3" s="102" t="s">
        <v>114</v>
      </c>
      <c r="F3" s="103" t="s">
        <v>115</v>
      </c>
      <c r="G3" s="101" t="s">
        <v>116</v>
      </c>
      <c r="H3" s="102" t="s">
        <v>117</v>
      </c>
      <c r="I3" s="101" t="s">
        <v>118</v>
      </c>
    </row>
    <row r="4" spans="1:9" x14ac:dyDescent="0.2">
      <c r="A4" s="104"/>
      <c r="B4" s="104" t="s">
        <v>119</v>
      </c>
      <c r="C4" s="105">
        <v>0.1</v>
      </c>
      <c r="D4" s="104">
        <v>540</v>
      </c>
      <c r="E4" s="106">
        <f>C4*D4*2</f>
        <v>108</v>
      </c>
      <c r="F4" s="1331" t="s">
        <v>120</v>
      </c>
      <c r="G4" s="104">
        <v>2</v>
      </c>
      <c r="H4" s="107">
        <f>D4/G4</f>
        <v>270</v>
      </c>
      <c r="I4" s="1332" t="s">
        <v>121</v>
      </c>
    </row>
    <row r="5" spans="1:9" x14ac:dyDescent="0.2">
      <c r="A5" s="104"/>
      <c r="B5" s="104" t="s">
        <v>208</v>
      </c>
      <c r="C5" s="105"/>
      <c r="D5" s="104"/>
      <c r="E5" s="106">
        <f>C5*D5/2</f>
        <v>0</v>
      </c>
      <c r="F5" s="1331"/>
      <c r="G5" s="104">
        <v>2</v>
      </c>
      <c r="H5" s="107">
        <v>0</v>
      </c>
      <c r="I5" s="1332"/>
    </row>
    <row r="6" spans="1:9" x14ac:dyDescent="0.2">
      <c r="A6" s="104"/>
      <c r="B6" s="108" t="s">
        <v>122</v>
      </c>
      <c r="C6" s="105">
        <v>0.2</v>
      </c>
      <c r="D6" s="104">
        <v>60</v>
      </c>
      <c r="E6" s="106">
        <f>C6*D6*2</f>
        <v>24</v>
      </c>
      <c r="F6" s="106" t="s">
        <v>123</v>
      </c>
      <c r="G6" s="104">
        <v>2</v>
      </c>
      <c r="H6" s="107">
        <f>D6/G6</f>
        <v>30</v>
      </c>
      <c r="I6" s="104" t="s">
        <v>124</v>
      </c>
    </row>
    <row r="7" spans="1:9" ht="15" x14ac:dyDescent="0.2">
      <c r="A7" s="104"/>
      <c r="B7" s="108" t="s">
        <v>125</v>
      </c>
      <c r="C7" s="51">
        <v>0.5</v>
      </c>
      <c r="D7" s="104">
        <v>45</v>
      </c>
      <c r="E7" s="109">
        <f>D7*C7*2</f>
        <v>45</v>
      </c>
      <c r="F7" s="106" t="s">
        <v>123</v>
      </c>
      <c r="G7" s="104" t="s">
        <v>106</v>
      </c>
      <c r="H7" s="107"/>
      <c r="I7" s="104"/>
    </row>
    <row r="8" spans="1:9" ht="15" x14ac:dyDescent="0.2">
      <c r="A8" s="1336"/>
      <c r="B8" s="1336"/>
      <c r="C8" s="1337"/>
      <c r="D8" s="110" t="s">
        <v>126</v>
      </c>
      <c r="E8" s="106">
        <f>ROUNDUP(SUM(E4:E5),0)</f>
        <v>108</v>
      </c>
      <c r="F8" s="1340"/>
      <c r="G8" s="101" t="s">
        <v>127</v>
      </c>
      <c r="H8" s="107">
        <f>SUM(H4:H5)</f>
        <v>270</v>
      </c>
      <c r="I8" s="111"/>
    </row>
    <row r="9" spans="1:9" ht="15" x14ac:dyDescent="0.2">
      <c r="A9" s="1338"/>
      <c r="B9" s="1338"/>
      <c r="C9" s="1339"/>
      <c r="D9" s="110" t="s">
        <v>128</v>
      </c>
      <c r="E9" s="106">
        <f>ROUNDUP(SUM(E6:E7),0)</f>
        <v>69</v>
      </c>
      <c r="F9" s="1341"/>
      <c r="G9" s="101" t="s">
        <v>129</v>
      </c>
      <c r="H9" s="107">
        <f>H6</f>
        <v>30</v>
      </c>
      <c r="I9" s="112"/>
    </row>
    <row r="10" spans="1:9" ht="15" x14ac:dyDescent="0.2">
      <c r="A10" s="1338"/>
      <c r="B10" s="1338"/>
      <c r="C10" s="1339"/>
      <c r="D10" s="110" t="s">
        <v>130</v>
      </c>
      <c r="E10" s="106">
        <f>SUM(E8:E9)</f>
        <v>177</v>
      </c>
      <c r="F10" s="1342"/>
      <c r="G10" s="101" t="s">
        <v>131</v>
      </c>
      <c r="H10" s="113">
        <f>SUM(H8:H9)</f>
        <v>300</v>
      </c>
      <c r="I10" s="114"/>
    </row>
    <row r="11" spans="1:9" ht="15.75" x14ac:dyDescent="0.2">
      <c r="A11" s="1343" t="s">
        <v>132</v>
      </c>
      <c r="B11" s="1344"/>
      <c r="C11" s="1344"/>
      <c r="D11" s="1344"/>
      <c r="E11" s="1345"/>
      <c r="F11" s="100" t="s">
        <v>108</v>
      </c>
      <c r="G11" s="1346" t="s">
        <v>133</v>
      </c>
      <c r="H11" s="1346"/>
      <c r="I11" s="1346"/>
    </row>
    <row r="12" spans="1:9" ht="15.75" x14ac:dyDescent="0.2">
      <c r="A12" s="101" t="s">
        <v>110</v>
      </c>
      <c r="B12" s="101" t="s">
        <v>111</v>
      </c>
      <c r="C12" s="101" t="s">
        <v>112</v>
      </c>
      <c r="D12" s="101" t="s">
        <v>113</v>
      </c>
      <c r="E12" s="102" t="s">
        <v>114</v>
      </c>
      <c r="F12" s="103" t="s">
        <v>115</v>
      </c>
      <c r="G12" s="101" t="s">
        <v>116</v>
      </c>
      <c r="H12" s="102" t="s">
        <v>117</v>
      </c>
      <c r="I12" s="101" t="s">
        <v>118</v>
      </c>
    </row>
    <row r="13" spans="1:9" ht="15" x14ac:dyDescent="0.2">
      <c r="A13" s="104"/>
      <c r="B13" s="104" t="s">
        <v>134</v>
      </c>
      <c r="C13" s="105">
        <v>0.1</v>
      </c>
      <c r="D13" s="572">
        <v>635</v>
      </c>
      <c r="E13" s="106">
        <f>(C13*D13)</f>
        <v>63.5</v>
      </c>
      <c r="F13" s="1356" t="s">
        <v>120</v>
      </c>
      <c r="G13" s="104">
        <v>8</v>
      </c>
      <c r="H13" s="107">
        <f>D13/G13</f>
        <v>79.375</v>
      </c>
      <c r="I13" s="1347" t="s">
        <v>135</v>
      </c>
    </row>
    <row r="14" spans="1:9" ht="15" x14ac:dyDescent="0.2">
      <c r="A14" s="104"/>
      <c r="B14" s="104" t="s">
        <v>2736</v>
      </c>
      <c r="C14" s="105"/>
      <c r="D14" s="312"/>
      <c r="E14" s="106">
        <f>(C14*D14)</f>
        <v>0</v>
      </c>
      <c r="F14" s="1351"/>
      <c r="G14" s="104">
        <v>1</v>
      </c>
      <c r="H14" s="107">
        <f>D14/G14</f>
        <v>0</v>
      </c>
      <c r="I14" s="1348"/>
    </row>
    <row r="15" spans="1:9" ht="15" x14ac:dyDescent="0.2">
      <c r="A15" s="104"/>
      <c r="B15" s="104" t="s">
        <v>2737</v>
      </c>
      <c r="C15" s="105">
        <v>0.2</v>
      </c>
      <c r="D15" s="573">
        <v>50</v>
      </c>
      <c r="E15" s="106">
        <f>(C15*D15)</f>
        <v>10</v>
      </c>
      <c r="F15" s="1351"/>
      <c r="G15" s="104">
        <v>3</v>
      </c>
      <c r="H15" s="107">
        <f>D15/G15</f>
        <v>16.666666666666668</v>
      </c>
      <c r="I15" s="1348"/>
    </row>
    <row r="16" spans="1:9" ht="15" x14ac:dyDescent="0.2">
      <c r="A16" s="104"/>
      <c r="B16" s="104" t="s">
        <v>2738</v>
      </c>
      <c r="C16" s="105">
        <v>0.5</v>
      </c>
      <c r="D16" s="125">
        <v>50</v>
      </c>
      <c r="E16" s="106">
        <f>C16*D16</f>
        <v>25</v>
      </c>
      <c r="F16" s="1351"/>
      <c r="G16" s="104"/>
      <c r="H16" s="107"/>
      <c r="I16" s="1348"/>
    </row>
    <row r="17" spans="1:9" x14ac:dyDescent="0.2">
      <c r="A17" s="104"/>
      <c r="B17" s="104" t="s">
        <v>2483</v>
      </c>
      <c r="C17" s="105">
        <v>0.1</v>
      </c>
      <c r="D17" s="574"/>
      <c r="E17" s="577">
        <v>0</v>
      </c>
      <c r="F17" s="1352"/>
      <c r="G17" s="104"/>
      <c r="H17" s="575"/>
      <c r="I17" s="1348"/>
    </row>
    <row r="18" spans="1:9" ht="15" x14ac:dyDescent="0.2">
      <c r="A18" s="115"/>
      <c r="B18" s="312" t="s">
        <v>2484</v>
      </c>
      <c r="C18" s="116"/>
      <c r="D18" s="117"/>
      <c r="E18" s="576"/>
      <c r="F18" s="1350" t="s">
        <v>123</v>
      </c>
      <c r="G18" s="104"/>
      <c r="H18" s="127"/>
      <c r="I18" s="1348"/>
    </row>
    <row r="19" spans="1:9" ht="15" x14ac:dyDescent="0.2">
      <c r="A19" s="104"/>
      <c r="B19" s="312" t="s">
        <v>2485</v>
      </c>
      <c r="C19" s="51"/>
      <c r="D19" s="104" t="s">
        <v>13</v>
      </c>
      <c r="E19" s="576"/>
      <c r="F19" s="1351"/>
      <c r="G19" s="104"/>
      <c r="H19" s="107"/>
      <c r="I19" s="1348"/>
    </row>
    <row r="20" spans="1:9" ht="15" x14ac:dyDescent="0.2">
      <c r="A20" s="118"/>
      <c r="B20" s="312" t="s">
        <v>136</v>
      </c>
      <c r="C20" s="51"/>
      <c r="D20" s="119">
        <v>0</v>
      </c>
      <c r="E20" s="576"/>
      <c r="F20" s="1351"/>
      <c r="G20" s="121"/>
      <c r="H20" s="122"/>
      <c r="I20" s="1348"/>
    </row>
    <row r="21" spans="1:9" ht="15" x14ac:dyDescent="0.2">
      <c r="A21" s="118"/>
      <c r="B21" s="312" t="s">
        <v>2486</v>
      </c>
      <c r="C21" s="123">
        <v>0</v>
      </c>
      <c r="D21" s="119">
        <v>0</v>
      </c>
      <c r="E21" s="576"/>
      <c r="F21" s="1351"/>
      <c r="G21" s="121"/>
      <c r="H21" s="122"/>
      <c r="I21" s="1348"/>
    </row>
    <row r="22" spans="1:9" x14ac:dyDescent="0.2">
      <c r="A22" s="118"/>
      <c r="B22" s="104"/>
      <c r="C22" s="123"/>
      <c r="D22" s="119"/>
      <c r="E22" s="120"/>
      <c r="F22" s="1351"/>
      <c r="G22" s="121"/>
      <c r="H22" s="122"/>
      <c r="I22" s="1348"/>
    </row>
    <row r="23" spans="1:9" x14ac:dyDescent="0.2">
      <c r="A23" s="118"/>
      <c r="B23" s="104"/>
      <c r="C23" s="123"/>
      <c r="D23" s="119"/>
      <c r="E23" s="120"/>
      <c r="F23" s="1352"/>
      <c r="G23" s="121"/>
      <c r="H23" s="122"/>
      <c r="I23" s="1348"/>
    </row>
    <row r="24" spans="1:9" ht="15" x14ac:dyDescent="0.2">
      <c r="A24" s="1336"/>
      <c r="B24" s="1336"/>
      <c r="C24" s="1337"/>
      <c r="D24" s="110" t="s">
        <v>126</v>
      </c>
      <c r="E24" s="176">
        <f>SUM(E13:E15)</f>
        <v>73.5</v>
      </c>
      <c r="F24" s="1340"/>
      <c r="G24" s="1353" t="s">
        <v>137</v>
      </c>
      <c r="H24" s="1333">
        <f>ROUNDUP(SUM(H13:H18),0)</f>
        <v>97</v>
      </c>
      <c r="I24" s="1348"/>
    </row>
    <row r="25" spans="1:9" ht="15" x14ac:dyDescent="0.2">
      <c r="A25" s="1338"/>
      <c r="B25" s="1338"/>
      <c r="C25" s="1339"/>
      <c r="D25" s="110" t="s">
        <v>128</v>
      </c>
      <c r="E25" s="176">
        <f>(SUM(E16:E23))</f>
        <v>25</v>
      </c>
      <c r="F25" s="1341"/>
      <c r="G25" s="1354"/>
      <c r="H25" s="1334"/>
      <c r="I25" s="1348"/>
    </row>
    <row r="26" spans="1:9" ht="15" x14ac:dyDescent="0.2">
      <c r="A26" s="1338"/>
      <c r="B26" s="1338"/>
      <c r="C26" s="1339"/>
      <c r="D26" s="110" t="s">
        <v>138</v>
      </c>
      <c r="E26" s="176">
        <f>SUM(E24:E24:E25)</f>
        <v>98.5</v>
      </c>
      <c r="F26" s="1341"/>
      <c r="G26" s="1355"/>
      <c r="H26" s="1335"/>
      <c r="I26" s="1349"/>
    </row>
    <row r="28" spans="1:9" x14ac:dyDescent="0.2">
      <c r="B28" s="177" t="s">
        <v>152</v>
      </c>
      <c r="C28" s="178"/>
      <c r="D28" s="178"/>
      <c r="E28" s="178"/>
    </row>
    <row r="29" spans="1:9" x14ac:dyDescent="0.2">
      <c r="B29" s="177" t="s">
        <v>153</v>
      </c>
      <c r="C29" s="177">
        <v>0.2</v>
      </c>
      <c r="D29" s="177"/>
      <c r="E29" s="177">
        <f>C29*D29</f>
        <v>0</v>
      </c>
    </row>
    <row r="30" spans="1:9" x14ac:dyDescent="0.2">
      <c r="B30" s="177" t="s">
        <v>154</v>
      </c>
      <c r="C30" s="177">
        <v>0.2</v>
      </c>
      <c r="D30" s="177"/>
      <c r="E30" s="177">
        <f>(D30*C30)/2</f>
        <v>0</v>
      </c>
    </row>
    <row r="31" spans="1:9" ht="13.5" thickBot="1" x14ac:dyDescent="0.25"/>
    <row r="32" spans="1:9" ht="13.5" thickBot="1" x14ac:dyDescent="0.25">
      <c r="A32" s="1292" t="s">
        <v>28</v>
      </c>
      <c r="B32" s="1293"/>
      <c r="C32" s="1293"/>
      <c r="D32" s="1293"/>
      <c r="E32" s="1294"/>
    </row>
    <row r="33" spans="1:9" ht="13.5" thickBot="1" x14ac:dyDescent="0.25">
      <c r="A33" s="124" t="s">
        <v>142</v>
      </c>
      <c r="B33" s="128" t="s">
        <v>29</v>
      </c>
      <c r="C33" s="129"/>
      <c r="D33" s="130"/>
      <c r="E33" s="131"/>
      <c r="F33" s="30" t="s">
        <v>139</v>
      </c>
      <c r="G33" s="30" t="s">
        <v>140</v>
      </c>
      <c r="H33" s="308" t="s">
        <v>170</v>
      </c>
      <c r="I33" s="310">
        <f>E26+E10+H10+H24-SUM(G34:G36)</f>
        <v>0</v>
      </c>
    </row>
    <row r="34" spans="1:9" ht="15" customHeight="1" x14ac:dyDescent="0.2">
      <c r="A34" s="346" t="s">
        <v>15468</v>
      </c>
      <c r="B34" s="349" t="s">
        <v>302</v>
      </c>
      <c r="C34" s="430"/>
      <c r="D34" s="430"/>
      <c r="E34" s="430"/>
      <c r="F34" s="350" t="s">
        <v>227</v>
      </c>
      <c r="G34" s="431">
        <f>SUM(E26,E10)</f>
        <v>275.5</v>
      </c>
      <c r="H34" s="359">
        <f>SUMIF(Orçamento!$B$1:$B$102,A34,Orçamento!$F$1:$F$102)-G34</f>
        <v>0</v>
      </c>
      <c r="I34" s="313"/>
    </row>
    <row r="35" spans="1:9" ht="15" customHeight="1" x14ac:dyDescent="0.2">
      <c r="A35" s="346" t="s">
        <v>28949</v>
      </c>
      <c r="B35" s="347" t="s">
        <v>286</v>
      </c>
      <c r="C35" s="430"/>
      <c r="D35" s="430"/>
      <c r="E35" s="430"/>
      <c r="F35" s="350" t="s">
        <v>226</v>
      </c>
      <c r="G35" s="432">
        <f>H10</f>
        <v>300</v>
      </c>
      <c r="H35" s="359">
        <f>SUMIF(Orçamento!$B$1:$B$102,A35,Orçamento!$F$1:$F$102)-G35</f>
        <v>0</v>
      </c>
    </row>
    <row r="36" spans="1:9" ht="15" customHeight="1" x14ac:dyDescent="0.2">
      <c r="A36" s="346" t="s">
        <v>28958</v>
      </c>
      <c r="B36" s="347" t="s">
        <v>287</v>
      </c>
      <c r="C36" s="430"/>
      <c r="D36" s="430"/>
      <c r="E36" s="430"/>
      <c r="F36" s="350" t="s">
        <v>226</v>
      </c>
      <c r="G36" s="432">
        <f>H24</f>
        <v>97</v>
      </c>
      <c r="H36" s="359">
        <f>SUMIF(Orçamento!$B$1:$B$102,A36,Orçamento!$F$1:$F$102)-G36</f>
        <v>0</v>
      </c>
    </row>
  </sheetData>
  <mergeCells count="17">
    <mergeCell ref="H24:H26"/>
    <mergeCell ref="A32:E32"/>
    <mergeCell ref="A8:C10"/>
    <mergeCell ref="F8:F10"/>
    <mergeCell ref="A11:E11"/>
    <mergeCell ref="G11:I11"/>
    <mergeCell ref="I13:I26"/>
    <mergeCell ref="F18:F23"/>
    <mergeCell ref="A24:C26"/>
    <mergeCell ref="F24:F26"/>
    <mergeCell ref="G24:G26"/>
    <mergeCell ref="F13:F17"/>
    <mergeCell ref="A1:I1"/>
    <mergeCell ref="A2:E2"/>
    <mergeCell ref="G2:I2"/>
    <mergeCell ref="F4:F5"/>
    <mergeCell ref="I4:I5"/>
  </mergeCells>
  <pageMargins left="0.511811024" right="0.511811024" top="0.78740157499999996" bottom="0.78740157499999996" header="0.31496062000000002" footer="0.31496062000000002"/>
  <pageSetup paperSize="9" scale="62"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dimension ref="A1:F1048513"/>
  <sheetViews>
    <sheetView showGridLines="0" zoomScale="85" zoomScaleNormal="85" workbookViewId="0">
      <selection activeCell="B9" sqref="B9"/>
    </sheetView>
  </sheetViews>
  <sheetFormatPr defaultColWidth="9.140625" defaultRowHeight="12.75" x14ac:dyDescent="0.2"/>
  <cols>
    <col min="1" max="1" width="12.7109375" style="953" customWidth="1"/>
    <col min="2" max="2" width="62.28515625" style="14" customWidth="1"/>
    <col min="3" max="3" width="10.7109375" style="14" customWidth="1"/>
    <col min="4" max="4" width="12.85546875" style="14" bestFit="1" customWidth="1"/>
    <col min="5" max="5" width="9.140625" style="276"/>
    <col min="6" max="10" width="9.140625" style="14"/>
    <col min="11" max="11" width="11.5703125" style="14" bestFit="1" customWidth="1"/>
    <col min="12" max="16384" width="9.140625" style="14"/>
  </cols>
  <sheetData>
    <row r="1" spans="1:6" ht="13.5" thickBot="1" x14ac:dyDescent="0.25">
      <c r="A1" s="132"/>
    </row>
    <row r="2" spans="1:6" ht="15" customHeight="1" x14ac:dyDescent="0.2">
      <c r="A2" s="179" t="s">
        <v>308</v>
      </c>
      <c r="B2" s="180"/>
      <c r="C2" s="181"/>
      <c r="D2" s="182"/>
    </row>
    <row r="3" spans="1:6" ht="15" customHeight="1" thickBot="1" x14ac:dyDescent="0.25">
      <c r="A3" s="183" t="s">
        <v>9</v>
      </c>
      <c r="B3" s="184" t="s">
        <v>29</v>
      </c>
      <c r="C3" s="185" t="s">
        <v>0</v>
      </c>
      <c r="D3" s="186" t="s">
        <v>30</v>
      </c>
      <c r="E3" s="358" t="s">
        <v>170</v>
      </c>
    </row>
    <row r="4" spans="1:6" ht="15" customHeight="1" x14ac:dyDescent="0.2">
      <c r="A4" s="608" t="s">
        <v>39620</v>
      </c>
      <c r="B4" s="609" t="s">
        <v>269</v>
      </c>
      <c r="C4" s="610" t="s">
        <v>158</v>
      </c>
      <c r="D4" s="613">
        <v>484</v>
      </c>
      <c r="E4" s="631">
        <f ca="1">SUMIF(Orçamento!$B$1:$G$525,A4,Orçamento!$F$1:$F$525)-D4</f>
        <v>-484</v>
      </c>
    </row>
    <row r="5" spans="1:6" ht="15" customHeight="1" x14ac:dyDescent="0.2">
      <c r="A5" s="611" t="s">
        <v>39620</v>
      </c>
      <c r="B5" s="609" t="s">
        <v>143</v>
      </c>
      <c r="C5" s="612" t="s">
        <v>158</v>
      </c>
      <c r="D5" s="613">
        <f>2*16</f>
        <v>32</v>
      </c>
      <c r="E5" s="631">
        <f ca="1">SUMIF(Orçamento!$B$1:$G$525,A5,Orçamento!$F$1:$F$525)-D5</f>
        <v>-32</v>
      </c>
    </row>
    <row r="6" spans="1:6" ht="15" customHeight="1" x14ac:dyDescent="0.2">
      <c r="A6" s="608" t="str">
        <f>A4</f>
        <v>70.01.050</v>
      </c>
      <c r="B6" s="615" t="s">
        <v>156</v>
      </c>
      <c r="C6" s="616" t="s">
        <v>158</v>
      </c>
      <c r="D6" s="612">
        <v>20</v>
      </c>
      <c r="E6" s="631">
        <f ca="1">SUMIF(Orçamento!$B$1:$G$525,A6,Orçamento!$F$1:$F$525)-D6</f>
        <v>-20</v>
      </c>
    </row>
    <row r="7" spans="1:6" ht="15" customHeight="1" x14ac:dyDescent="0.2">
      <c r="A7" s="608" t="s">
        <v>13</v>
      </c>
      <c r="B7" s="609" t="s">
        <v>21</v>
      </c>
      <c r="C7" s="612" t="s">
        <v>2444</v>
      </c>
      <c r="D7" s="614">
        <v>0</v>
      </c>
      <c r="E7" s="631">
        <f ca="1">SUMIF(Orçamento!$B$1:$G$525,A7,Orçamento!$F$1:$F$525)-D7</f>
        <v>0</v>
      </c>
    </row>
    <row r="8" spans="1:6" ht="15" customHeight="1" x14ac:dyDescent="0.2">
      <c r="A8" s="608" t="s">
        <v>28970</v>
      </c>
      <c r="B8" s="609" t="s">
        <v>2735</v>
      </c>
      <c r="C8" s="612" t="s">
        <v>320</v>
      </c>
      <c r="D8" s="612">
        <v>2</v>
      </c>
      <c r="E8" s="631">
        <f ca="1">SUMIF(Orçamento!$B$1:$G$525,A8,Orçamento!$F$1:$F$525)-D8</f>
        <v>0</v>
      </c>
    </row>
    <row r="9" spans="1:6" ht="15" customHeight="1" x14ac:dyDescent="0.2">
      <c r="A9" s="608" t="s">
        <v>28997</v>
      </c>
      <c r="B9" s="609" t="s">
        <v>21622</v>
      </c>
      <c r="C9" s="616" t="s">
        <v>157</v>
      </c>
      <c r="D9" s="612">
        <f>SUM(D4)/4</f>
        <v>121</v>
      </c>
      <c r="E9" s="631">
        <f ca="1">SUMIF(Orçamento!$B$1:$G$525,A9,Orçamento!$F$1:$F$525)-D9</f>
        <v>0</v>
      </c>
    </row>
    <row r="10" spans="1:6" ht="15" hidden="1" customHeight="1" x14ac:dyDescent="0.2">
      <c r="A10" s="608"/>
      <c r="B10" s="609" t="s">
        <v>144</v>
      </c>
      <c r="C10" s="612"/>
      <c r="D10" s="612"/>
      <c r="E10" s="631">
        <f ca="1">SUMIF(Orçamento!$B$1:$G$525,A10,Orçamento!$F$1:$F$525)-D10</f>
        <v>0</v>
      </c>
    </row>
    <row r="11" spans="1:6" ht="15" hidden="1" customHeight="1" x14ac:dyDescent="0.2">
      <c r="A11" s="608"/>
      <c r="B11" s="609" t="s">
        <v>145</v>
      </c>
      <c r="C11" s="612"/>
      <c r="D11" s="612"/>
      <c r="E11" s="631">
        <f ca="1">SUMIF(Orçamento!$B$1:$G$525,A11,Orçamento!$F$1:$F$525)-D11</f>
        <v>0</v>
      </c>
    </row>
    <row r="12" spans="1:6" ht="15" customHeight="1" x14ac:dyDescent="0.2">
      <c r="A12" s="608" t="s">
        <v>28987</v>
      </c>
      <c r="B12" s="615" t="s">
        <v>224</v>
      </c>
      <c r="C12" s="616" t="s">
        <v>158</v>
      </c>
      <c r="D12" s="612">
        <v>0</v>
      </c>
      <c r="E12" s="631">
        <f ca="1">SUMIF(Orçamento!$B$1:$G$525,A12,Orçamento!$F$1:$F$525)-D12</f>
        <v>0</v>
      </c>
      <c r="F12" s="607"/>
    </row>
    <row r="13" spans="1:6" ht="15" customHeight="1" x14ac:dyDescent="0.2">
      <c r="A13" s="608" t="s">
        <v>20</v>
      </c>
      <c r="B13" s="615" t="s">
        <v>215</v>
      </c>
      <c r="C13" s="616" t="s">
        <v>158</v>
      </c>
      <c r="D13" s="612">
        <v>0</v>
      </c>
      <c r="E13" s="631">
        <f ca="1">SUMIF(Orçamento!$B$1:$G$525,A13,Orçamento!$F$1:$F$525)-D13</f>
        <v>0</v>
      </c>
      <c r="F13" s="607"/>
    </row>
    <row r="14" spans="1:6" ht="24.95" customHeight="1" x14ac:dyDescent="0.2">
      <c r="A14" s="608" t="s">
        <v>28998</v>
      </c>
      <c r="B14" s="615" t="s">
        <v>8</v>
      </c>
      <c r="C14" s="616" t="s">
        <v>157</v>
      </c>
      <c r="D14" s="612">
        <f>ROUND(D12/4,0)</f>
        <v>0</v>
      </c>
      <c r="E14" s="631">
        <f ca="1">SUMIF(Orçamento!$B$1:$G$525,A14,Orçamento!$F$1:$F$525)-D14</f>
        <v>0</v>
      </c>
    </row>
    <row r="15" spans="1:6" ht="15" hidden="1" customHeight="1" x14ac:dyDescent="0.2">
      <c r="A15" s="611"/>
      <c r="B15" s="615" t="s">
        <v>151</v>
      </c>
      <c r="C15" s="616" t="s">
        <v>157</v>
      </c>
      <c r="D15" s="612">
        <v>0</v>
      </c>
      <c r="E15" s="631"/>
    </row>
    <row r="16" spans="1:6" ht="15" hidden="1" customHeight="1" x14ac:dyDescent="0.2">
      <c r="A16" s="611"/>
      <c r="B16" s="615" t="s">
        <v>147</v>
      </c>
      <c r="C16" s="616"/>
      <c r="D16" s="613">
        <v>0.18729999999999999</v>
      </c>
      <c r="E16" s="632"/>
    </row>
    <row r="17" spans="1:5" ht="15" hidden="1" customHeight="1" x14ac:dyDescent="0.2">
      <c r="A17" s="617" t="s">
        <v>19</v>
      </c>
      <c r="B17" s="615" t="s">
        <v>148</v>
      </c>
      <c r="C17" s="616"/>
      <c r="D17" s="613">
        <f>(D16*D15)+((D16/2)*(D15-1))</f>
        <v>-9.3649999999999997E-2</v>
      </c>
      <c r="E17" s="632">
        <f ca="1">SUMIF(Orçamento!$B$1:$G$5,A17,Orçamento!$F$1:$F$5)-D17</f>
        <v>9.3649999999999997E-2</v>
      </c>
    </row>
    <row r="18" spans="1:5" ht="15" hidden="1" customHeight="1" x14ac:dyDescent="0.2">
      <c r="A18" s="617" t="s">
        <v>18</v>
      </c>
      <c r="B18" s="615" t="s">
        <v>149</v>
      </c>
      <c r="C18" s="616"/>
      <c r="D18" s="613">
        <f>(0.25*0.38)*D15</f>
        <v>0</v>
      </c>
      <c r="E18" s="632">
        <f ca="1">SUMIF(Orçamento!$B$1:$G$5,A18,Orçamento!$F$1:$F$5)-D18</f>
        <v>0</v>
      </c>
    </row>
    <row r="19" spans="1:5" ht="15" hidden="1" customHeight="1" x14ac:dyDescent="0.2">
      <c r="A19" s="617" t="s">
        <v>17</v>
      </c>
      <c r="B19" s="615" t="s">
        <v>150</v>
      </c>
      <c r="C19" s="616"/>
      <c r="D19" s="613">
        <f>(2.21+(2.21/2))*D15</f>
        <v>0</v>
      </c>
      <c r="E19" s="632">
        <f ca="1">SUMIF(Orçamento!$B$1:$G$5,A19,Orçamento!$F$1:$F$5)-D19</f>
        <v>0</v>
      </c>
    </row>
    <row r="20" spans="1:5" s="178" customFormat="1" ht="15" hidden="1" customHeight="1" x14ac:dyDescent="0.2">
      <c r="A20" s="618"/>
      <c r="B20" s="619" t="s">
        <v>146</v>
      </c>
      <c r="C20" s="620"/>
      <c r="D20" s="620">
        <v>0</v>
      </c>
      <c r="E20" s="633"/>
    </row>
    <row r="21" spans="1:5" s="178" customFormat="1" ht="15" hidden="1" customHeight="1" x14ac:dyDescent="0.2">
      <c r="A21" s="620" t="s">
        <v>13</v>
      </c>
      <c r="B21" s="621" t="s">
        <v>155</v>
      </c>
      <c r="C21" s="622"/>
      <c r="D21" s="623">
        <v>0</v>
      </c>
      <c r="E21" s="633"/>
    </row>
    <row r="22" spans="1:5" s="178" customFormat="1" ht="15" hidden="1" customHeight="1" x14ac:dyDescent="0.2">
      <c r="A22" s="624" t="s">
        <v>15</v>
      </c>
      <c r="B22" s="625" t="s">
        <v>4</v>
      </c>
      <c r="C22" s="626" t="s">
        <v>159</v>
      </c>
      <c r="D22" s="627">
        <f>D21*0.19</f>
        <v>0</v>
      </c>
      <c r="E22" s="632">
        <f ca="1">SUMIF(Orçamento!$B$1:$G$5,A22,Orçamento!$F$1:$F$5)-D22</f>
        <v>0</v>
      </c>
    </row>
    <row r="23" spans="1:5" s="178" customFormat="1" ht="15" hidden="1" customHeight="1" x14ac:dyDescent="0.2">
      <c r="A23" s="628" t="s">
        <v>16</v>
      </c>
      <c r="B23" s="629" t="s">
        <v>33</v>
      </c>
      <c r="C23" s="630" t="s">
        <v>173</v>
      </c>
      <c r="D23" s="620">
        <f>D22*10</f>
        <v>0</v>
      </c>
      <c r="E23" s="632">
        <f ca="1">SUMIF(Orçamento!$B$1:$G$5,A23,Orçamento!$F$1:$F$5)-D23</f>
        <v>0</v>
      </c>
    </row>
    <row r="24" spans="1:5" s="178" customFormat="1" x14ac:dyDescent="0.2">
      <c r="A24" s="1154"/>
      <c r="B24" s="178" t="s">
        <v>31562</v>
      </c>
      <c r="E24" s="1155"/>
    </row>
    <row r="1048513" spans="1:1" x14ac:dyDescent="0.2">
      <c r="A1048513" s="954"/>
    </row>
  </sheetData>
  <autoFilter ref="A3:D23" xr:uid="{00000000-0001-0000-0700-000000000000}"/>
  <conditionalFormatting sqref="A4:A14">
    <cfRule type="duplicateValues" dxfId="58" priority="1"/>
  </conditionalFormatting>
  <pageMargins left="0.511811024" right="0.511811024" top="0.78740157499999996" bottom="0.78740157499999996" header="0.31496062000000002" footer="0.31496062000000002"/>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pageSetUpPr fitToPage="1"/>
  </sheetPr>
  <dimension ref="A2:Z74"/>
  <sheetViews>
    <sheetView showZeros="0" topLeftCell="A46" zoomScale="85" zoomScaleNormal="85" workbookViewId="0">
      <selection activeCell="A70" sqref="A70"/>
    </sheetView>
  </sheetViews>
  <sheetFormatPr defaultRowHeight="12.75" x14ac:dyDescent="0.2"/>
  <cols>
    <col min="1" max="1" width="17.28515625" style="14" customWidth="1"/>
    <col min="2" max="3" width="9.140625" style="14" customWidth="1"/>
    <col min="4" max="7" width="9.140625" style="14"/>
    <col min="8" max="13" width="8.7109375" style="14" customWidth="1"/>
    <col min="14" max="253" width="9.140625" style="14"/>
    <col min="254" max="254" width="17.28515625" style="14" customWidth="1"/>
    <col min="255" max="261" width="9.140625" style="14"/>
    <col min="262" max="262" width="11.5703125" style="14" bestFit="1" customWidth="1"/>
    <col min="263" max="509" width="9.140625" style="14"/>
    <col min="510" max="510" width="17.28515625" style="14" customWidth="1"/>
    <col min="511" max="517" width="9.140625" style="14"/>
    <col min="518" max="518" width="11.5703125" style="14" bestFit="1" customWidth="1"/>
    <col min="519" max="765" width="9.140625" style="14"/>
    <col min="766" max="766" width="17.28515625" style="14" customWidth="1"/>
    <col min="767" max="773" width="9.140625" style="14"/>
    <col min="774" max="774" width="11.5703125" style="14" bestFit="1" customWidth="1"/>
    <col min="775" max="1021" width="9.140625" style="14"/>
    <col min="1022" max="1022" width="17.28515625" style="14" customWidth="1"/>
    <col min="1023" max="1029" width="9.140625" style="14"/>
    <col min="1030" max="1030" width="11.5703125" style="14" bestFit="1" customWidth="1"/>
    <col min="1031" max="1277" width="9.140625" style="14"/>
    <col min="1278" max="1278" width="17.28515625" style="14" customWidth="1"/>
    <col min="1279" max="1285" width="9.140625" style="14"/>
    <col min="1286" max="1286" width="11.5703125" style="14" bestFit="1" customWidth="1"/>
    <col min="1287" max="1533" width="9.140625" style="14"/>
    <col min="1534" max="1534" width="17.28515625" style="14" customWidth="1"/>
    <col min="1535" max="1541" width="9.140625" style="14"/>
    <col min="1542" max="1542" width="11.5703125" style="14" bestFit="1" customWidth="1"/>
    <col min="1543" max="1789" width="9.140625" style="14"/>
    <col min="1790" max="1790" width="17.28515625" style="14" customWidth="1"/>
    <col min="1791" max="1797" width="9.140625" style="14"/>
    <col min="1798" max="1798" width="11.5703125" style="14" bestFit="1" customWidth="1"/>
    <col min="1799" max="2045" width="9.140625" style="14"/>
    <col min="2046" max="2046" width="17.28515625" style="14" customWidth="1"/>
    <col min="2047" max="2053" width="9.140625" style="14"/>
    <col min="2054" max="2054" width="11.5703125" style="14" bestFit="1" customWidth="1"/>
    <col min="2055" max="2301" width="9.140625" style="14"/>
    <col min="2302" max="2302" width="17.28515625" style="14" customWidth="1"/>
    <col min="2303" max="2309" width="9.140625" style="14"/>
    <col min="2310" max="2310" width="11.5703125" style="14" bestFit="1" customWidth="1"/>
    <col min="2311" max="2557" width="9.140625" style="14"/>
    <col min="2558" max="2558" width="17.28515625" style="14" customWidth="1"/>
    <col min="2559" max="2565" width="9.140625" style="14"/>
    <col min="2566" max="2566" width="11.5703125" style="14" bestFit="1" customWidth="1"/>
    <col min="2567" max="2813" width="9.140625" style="14"/>
    <col min="2814" max="2814" width="17.28515625" style="14" customWidth="1"/>
    <col min="2815" max="2821" width="9.140625" style="14"/>
    <col min="2822" max="2822" width="11.5703125" style="14" bestFit="1" customWidth="1"/>
    <col min="2823" max="3069" width="9.140625" style="14"/>
    <col min="3070" max="3070" width="17.28515625" style="14" customWidth="1"/>
    <col min="3071" max="3077" width="9.140625" style="14"/>
    <col min="3078" max="3078" width="11.5703125" style="14" bestFit="1" customWidth="1"/>
    <col min="3079" max="3325" width="9.140625" style="14"/>
    <col min="3326" max="3326" width="17.28515625" style="14" customWidth="1"/>
    <col min="3327" max="3333" width="9.140625" style="14"/>
    <col min="3334" max="3334" width="11.5703125" style="14" bestFit="1" customWidth="1"/>
    <col min="3335" max="3581" width="9.140625" style="14"/>
    <col min="3582" max="3582" width="17.28515625" style="14" customWidth="1"/>
    <col min="3583" max="3589" width="9.140625" style="14"/>
    <col min="3590" max="3590" width="11.5703125" style="14" bestFit="1" customWidth="1"/>
    <col min="3591" max="3837" width="9.140625" style="14"/>
    <col min="3838" max="3838" width="17.28515625" style="14" customWidth="1"/>
    <col min="3839" max="3845" width="9.140625" style="14"/>
    <col min="3846" max="3846" width="11.5703125" style="14" bestFit="1" customWidth="1"/>
    <col min="3847" max="4093" width="9.140625" style="14"/>
    <col min="4094" max="4094" width="17.28515625" style="14" customWidth="1"/>
    <col min="4095" max="4101" width="9.140625" style="14"/>
    <col min="4102" max="4102" width="11.5703125" style="14" bestFit="1" customWidth="1"/>
    <col min="4103" max="4349" width="9.140625" style="14"/>
    <col min="4350" max="4350" width="17.28515625" style="14" customWidth="1"/>
    <col min="4351" max="4357" width="9.140625" style="14"/>
    <col min="4358" max="4358" width="11.5703125" style="14" bestFit="1" customWidth="1"/>
    <col min="4359" max="4605" width="9.140625" style="14"/>
    <col min="4606" max="4606" width="17.28515625" style="14" customWidth="1"/>
    <col min="4607" max="4613" width="9.140625" style="14"/>
    <col min="4614" max="4614" width="11.5703125" style="14" bestFit="1" customWidth="1"/>
    <col min="4615" max="4861" width="9.140625" style="14"/>
    <col min="4862" max="4862" width="17.28515625" style="14" customWidth="1"/>
    <col min="4863" max="4869" width="9.140625" style="14"/>
    <col min="4870" max="4870" width="11.5703125" style="14" bestFit="1" customWidth="1"/>
    <col min="4871" max="5117" width="9.140625" style="14"/>
    <col min="5118" max="5118" width="17.28515625" style="14" customWidth="1"/>
    <col min="5119" max="5125" width="9.140625" style="14"/>
    <col min="5126" max="5126" width="11.5703125" style="14" bestFit="1" customWidth="1"/>
    <col min="5127" max="5373" width="9.140625" style="14"/>
    <col min="5374" max="5374" width="17.28515625" style="14" customWidth="1"/>
    <col min="5375" max="5381" width="9.140625" style="14"/>
    <col min="5382" max="5382" width="11.5703125" style="14" bestFit="1" customWidth="1"/>
    <col min="5383" max="5629" width="9.140625" style="14"/>
    <col min="5630" max="5630" width="17.28515625" style="14" customWidth="1"/>
    <col min="5631" max="5637" width="9.140625" style="14"/>
    <col min="5638" max="5638" width="11.5703125" style="14" bestFit="1" customWidth="1"/>
    <col min="5639" max="5885" width="9.140625" style="14"/>
    <col min="5886" max="5886" width="17.28515625" style="14" customWidth="1"/>
    <col min="5887" max="5893" width="9.140625" style="14"/>
    <col min="5894" max="5894" width="11.5703125" style="14" bestFit="1" customWidth="1"/>
    <col min="5895" max="6141" width="9.140625" style="14"/>
    <col min="6142" max="6142" width="17.28515625" style="14" customWidth="1"/>
    <col min="6143" max="6149" width="9.140625" style="14"/>
    <col min="6150" max="6150" width="11.5703125" style="14" bestFit="1" customWidth="1"/>
    <col min="6151" max="6397" width="9.140625" style="14"/>
    <col min="6398" max="6398" width="17.28515625" style="14" customWidth="1"/>
    <col min="6399" max="6405" width="9.140625" style="14"/>
    <col min="6406" max="6406" width="11.5703125" style="14" bestFit="1" customWidth="1"/>
    <col min="6407" max="6653" width="9.140625" style="14"/>
    <col min="6654" max="6654" width="17.28515625" style="14" customWidth="1"/>
    <col min="6655" max="6661" width="9.140625" style="14"/>
    <col min="6662" max="6662" width="11.5703125" style="14" bestFit="1" customWidth="1"/>
    <col min="6663" max="6909" width="9.140625" style="14"/>
    <col min="6910" max="6910" width="17.28515625" style="14" customWidth="1"/>
    <col min="6911" max="6917" width="9.140625" style="14"/>
    <col min="6918" max="6918" width="11.5703125" style="14" bestFit="1" customWidth="1"/>
    <col min="6919" max="7165" width="9.140625" style="14"/>
    <col min="7166" max="7166" width="17.28515625" style="14" customWidth="1"/>
    <col min="7167" max="7173" width="9.140625" style="14"/>
    <col min="7174" max="7174" width="11.5703125" style="14" bestFit="1" customWidth="1"/>
    <col min="7175" max="7421" width="9.140625" style="14"/>
    <col min="7422" max="7422" width="17.28515625" style="14" customWidth="1"/>
    <col min="7423" max="7429" width="9.140625" style="14"/>
    <col min="7430" max="7430" width="11.5703125" style="14" bestFit="1" customWidth="1"/>
    <col min="7431" max="7677" width="9.140625" style="14"/>
    <col min="7678" max="7678" width="17.28515625" style="14" customWidth="1"/>
    <col min="7679" max="7685" width="9.140625" style="14"/>
    <col min="7686" max="7686" width="11.5703125" style="14" bestFit="1" customWidth="1"/>
    <col min="7687" max="7933" width="9.140625" style="14"/>
    <col min="7934" max="7934" width="17.28515625" style="14" customWidth="1"/>
    <col min="7935" max="7941" width="9.140625" style="14"/>
    <col min="7942" max="7942" width="11.5703125" style="14" bestFit="1" customWidth="1"/>
    <col min="7943" max="8189" width="9.140625" style="14"/>
    <col min="8190" max="8190" width="17.28515625" style="14" customWidth="1"/>
    <col min="8191" max="8197" width="9.140625" style="14"/>
    <col min="8198" max="8198" width="11.5703125" style="14" bestFit="1" customWidth="1"/>
    <col min="8199" max="8445" width="9.140625" style="14"/>
    <col min="8446" max="8446" width="17.28515625" style="14" customWidth="1"/>
    <col min="8447" max="8453" width="9.140625" style="14"/>
    <col min="8454" max="8454" width="11.5703125" style="14" bestFit="1" customWidth="1"/>
    <col min="8455" max="8701" width="9.140625" style="14"/>
    <col min="8702" max="8702" width="17.28515625" style="14" customWidth="1"/>
    <col min="8703" max="8709" width="9.140625" style="14"/>
    <col min="8710" max="8710" width="11.5703125" style="14" bestFit="1" customWidth="1"/>
    <col min="8711" max="8957" width="9.140625" style="14"/>
    <col min="8958" max="8958" width="17.28515625" style="14" customWidth="1"/>
    <col min="8959" max="8965" width="9.140625" style="14"/>
    <col min="8966" max="8966" width="11.5703125" style="14" bestFit="1" customWidth="1"/>
    <col min="8967" max="9213" width="9.140625" style="14"/>
    <col min="9214" max="9214" width="17.28515625" style="14" customWidth="1"/>
    <col min="9215" max="9221" width="9.140625" style="14"/>
    <col min="9222" max="9222" width="11.5703125" style="14" bestFit="1" customWidth="1"/>
    <col min="9223" max="9469" width="9.140625" style="14"/>
    <col min="9470" max="9470" width="17.28515625" style="14" customWidth="1"/>
    <col min="9471" max="9477" width="9.140625" style="14"/>
    <col min="9478" max="9478" width="11.5703125" style="14" bestFit="1" customWidth="1"/>
    <col min="9479" max="9725" width="9.140625" style="14"/>
    <col min="9726" max="9726" width="17.28515625" style="14" customWidth="1"/>
    <col min="9727" max="9733" width="9.140625" style="14"/>
    <col min="9734" max="9734" width="11.5703125" style="14" bestFit="1" customWidth="1"/>
    <col min="9735" max="9981" width="9.140625" style="14"/>
    <col min="9982" max="9982" width="17.28515625" style="14" customWidth="1"/>
    <col min="9983" max="9989" width="9.140625" style="14"/>
    <col min="9990" max="9990" width="11.5703125" style="14" bestFit="1" customWidth="1"/>
    <col min="9991" max="10237" width="9.140625" style="14"/>
    <col min="10238" max="10238" width="17.28515625" style="14" customWidth="1"/>
    <col min="10239" max="10245" width="9.140625" style="14"/>
    <col min="10246" max="10246" width="11.5703125" style="14" bestFit="1" customWidth="1"/>
    <col min="10247" max="10493" width="9.140625" style="14"/>
    <col min="10494" max="10494" width="17.28515625" style="14" customWidth="1"/>
    <col min="10495" max="10501" width="9.140625" style="14"/>
    <col min="10502" max="10502" width="11.5703125" style="14" bestFit="1" customWidth="1"/>
    <col min="10503" max="10749" width="9.140625" style="14"/>
    <col min="10750" max="10750" width="17.28515625" style="14" customWidth="1"/>
    <col min="10751" max="10757" width="9.140625" style="14"/>
    <col min="10758" max="10758" width="11.5703125" style="14" bestFit="1" customWidth="1"/>
    <col min="10759" max="11005" width="9.140625" style="14"/>
    <col min="11006" max="11006" width="17.28515625" style="14" customWidth="1"/>
    <col min="11007" max="11013" width="9.140625" style="14"/>
    <col min="11014" max="11014" width="11.5703125" style="14" bestFit="1" customWidth="1"/>
    <col min="11015" max="11261" width="9.140625" style="14"/>
    <col min="11262" max="11262" width="17.28515625" style="14" customWidth="1"/>
    <col min="11263" max="11269" width="9.140625" style="14"/>
    <col min="11270" max="11270" width="11.5703125" style="14" bestFit="1" customWidth="1"/>
    <col min="11271" max="11517" width="9.140625" style="14"/>
    <col min="11518" max="11518" width="17.28515625" style="14" customWidth="1"/>
    <col min="11519" max="11525" width="9.140625" style="14"/>
    <col min="11526" max="11526" width="11.5703125" style="14" bestFit="1" customWidth="1"/>
    <col min="11527" max="11773" width="9.140625" style="14"/>
    <col min="11774" max="11774" width="17.28515625" style="14" customWidth="1"/>
    <col min="11775" max="11781" width="9.140625" style="14"/>
    <col min="11782" max="11782" width="11.5703125" style="14" bestFit="1" customWidth="1"/>
    <col min="11783" max="12029" width="9.140625" style="14"/>
    <col min="12030" max="12030" width="17.28515625" style="14" customWidth="1"/>
    <col min="12031" max="12037" width="9.140625" style="14"/>
    <col min="12038" max="12038" width="11.5703125" style="14" bestFit="1" customWidth="1"/>
    <col min="12039" max="12285" width="9.140625" style="14"/>
    <col min="12286" max="12286" width="17.28515625" style="14" customWidth="1"/>
    <col min="12287" max="12293" width="9.140625" style="14"/>
    <col min="12294" max="12294" width="11.5703125" style="14" bestFit="1" customWidth="1"/>
    <col min="12295" max="12541" width="9.140625" style="14"/>
    <col min="12542" max="12542" width="17.28515625" style="14" customWidth="1"/>
    <col min="12543" max="12549" width="9.140625" style="14"/>
    <col min="12550" max="12550" width="11.5703125" style="14" bestFit="1" customWidth="1"/>
    <col min="12551" max="12797" width="9.140625" style="14"/>
    <col min="12798" max="12798" width="17.28515625" style="14" customWidth="1"/>
    <col min="12799" max="12805" width="9.140625" style="14"/>
    <col min="12806" max="12806" width="11.5703125" style="14" bestFit="1" customWidth="1"/>
    <col min="12807" max="13053" width="9.140625" style="14"/>
    <col min="13054" max="13054" width="17.28515625" style="14" customWidth="1"/>
    <col min="13055" max="13061" width="9.140625" style="14"/>
    <col min="13062" max="13062" width="11.5703125" style="14" bestFit="1" customWidth="1"/>
    <col min="13063" max="13309" width="9.140625" style="14"/>
    <col min="13310" max="13310" width="17.28515625" style="14" customWidth="1"/>
    <col min="13311" max="13317" width="9.140625" style="14"/>
    <col min="13318" max="13318" width="11.5703125" style="14" bestFit="1" customWidth="1"/>
    <col min="13319" max="13565" width="9.140625" style="14"/>
    <col min="13566" max="13566" width="17.28515625" style="14" customWidth="1"/>
    <col min="13567" max="13573" width="9.140625" style="14"/>
    <col min="13574" max="13574" width="11.5703125" style="14" bestFit="1" customWidth="1"/>
    <col min="13575" max="13821" width="9.140625" style="14"/>
    <col min="13822" max="13822" width="17.28515625" style="14" customWidth="1"/>
    <col min="13823" max="13829" width="9.140625" style="14"/>
    <col min="13830" max="13830" width="11.5703125" style="14" bestFit="1" customWidth="1"/>
    <col min="13831" max="14077" width="9.140625" style="14"/>
    <col min="14078" max="14078" width="17.28515625" style="14" customWidth="1"/>
    <col min="14079" max="14085" width="9.140625" style="14"/>
    <col min="14086" max="14086" width="11.5703125" style="14" bestFit="1" customWidth="1"/>
    <col min="14087" max="14333" width="9.140625" style="14"/>
    <col min="14334" max="14334" width="17.28515625" style="14" customWidth="1"/>
    <col min="14335" max="14341" width="9.140625" style="14"/>
    <col min="14342" max="14342" width="11.5703125" style="14" bestFit="1" customWidth="1"/>
    <col min="14343" max="14589" width="9.140625" style="14"/>
    <col min="14590" max="14590" width="17.28515625" style="14" customWidth="1"/>
    <col min="14591" max="14597" width="9.140625" style="14"/>
    <col min="14598" max="14598" width="11.5703125" style="14" bestFit="1" customWidth="1"/>
    <col min="14599" max="14845" width="9.140625" style="14"/>
    <col min="14846" max="14846" width="17.28515625" style="14" customWidth="1"/>
    <col min="14847" max="14853" width="9.140625" style="14"/>
    <col min="14854" max="14854" width="11.5703125" style="14" bestFit="1" customWidth="1"/>
    <col min="14855" max="15101" width="9.140625" style="14"/>
    <col min="15102" max="15102" width="17.28515625" style="14" customWidth="1"/>
    <col min="15103" max="15109" width="9.140625" style="14"/>
    <col min="15110" max="15110" width="11.5703125" style="14" bestFit="1" customWidth="1"/>
    <col min="15111" max="15357" width="9.140625" style="14"/>
    <col min="15358" max="15358" width="17.28515625" style="14" customWidth="1"/>
    <col min="15359" max="15365" width="9.140625" style="14"/>
    <col min="15366" max="15366" width="11.5703125" style="14" bestFit="1" customWidth="1"/>
    <col min="15367" max="15613" width="9.140625" style="14"/>
    <col min="15614" max="15614" width="17.28515625" style="14" customWidth="1"/>
    <col min="15615" max="15621" width="9.140625" style="14"/>
    <col min="15622" max="15622" width="11.5703125" style="14" bestFit="1" customWidth="1"/>
    <col min="15623" max="15869" width="9.140625" style="14"/>
    <col min="15870" max="15870" width="17.28515625" style="14" customWidth="1"/>
    <col min="15871" max="15877" width="9.140625" style="14"/>
    <col min="15878" max="15878" width="11.5703125" style="14" bestFit="1" customWidth="1"/>
    <col min="15879" max="16125" width="9.140625" style="14"/>
    <col min="16126" max="16126" width="17.28515625" style="14" customWidth="1"/>
    <col min="16127" max="16133" width="9.140625" style="14"/>
    <col min="16134" max="16134" width="11.5703125" style="14" bestFit="1" customWidth="1"/>
    <col min="16135" max="16384" width="9.140625" style="14"/>
  </cols>
  <sheetData>
    <row r="2" spans="1:26" ht="15" x14ac:dyDescent="0.2">
      <c r="A2" s="1304" t="s">
        <v>42</v>
      </c>
      <c r="B2" s="1304"/>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row>
    <row r="3" spans="1:26" ht="15.75" thickBot="1" x14ac:dyDescent="0.25">
      <c r="A3" s="1307" t="s">
        <v>160</v>
      </c>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row>
    <row r="4" spans="1:26" x14ac:dyDescent="0.2">
      <c r="A4" s="1308" t="s">
        <v>44</v>
      </c>
      <c r="B4" s="1309"/>
      <c r="C4" s="1309"/>
      <c r="D4" s="1309"/>
      <c r="E4" s="1309"/>
      <c r="F4" s="1309"/>
      <c r="G4" s="1309"/>
      <c r="H4" s="1309"/>
      <c r="I4" s="1309"/>
      <c r="J4" s="1309"/>
      <c r="K4" s="1319"/>
      <c r="L4" s="264"/>
      <c r="M4" s="264"/>
      <c r="N4" s="1302" t="s">
        <v>45</v>
      </c>
      <c r="O4" s="1303"/>
      <c r="P4" s="1303"/>
      <c r="Q4" s="1303"/>
      <c r="R4" s="1303"/>
      <c r="S4" s="1303"/>
      <c r="T4" s="1303"/>
      <c r="U4" s="1303"/>
      <c r="V4" s="1303"/>
      <c r="W4" s="1303"/>
      <c r="X4" s="1303"/>
      <c r="Y4" s="1303"/>
      <c r="Z4" s="1320"/>
    </row>
    <row r="5" spans="1:26" ht="12.75" customHeight="1" x14ac:dyDescent="0.2">
      <c r="A5" s="187"/>
      <c r="B5" s="188"/>
      <c r="C5" s="188"/>
      <c r="D5" s="188"/>
      <c r="E5" s="189"/>
      <c r="F5" s="1360" t="s">
        <v>216</v>
      </c>
      <c r="G5" s="1361"/>
      <c r="H5" s="194" t="s">
        <v>178</v>
      </c>
      <c r="I5" s="194"/>
      <c r="J5" s="194"/>
      <c r="K5" s="194"/>
      <c r="L5" s="194"/>
      <c r="M5" s="194"/>
      <c r="N5" s="190"/>
      <c r="O5" s="191"/>
      <c r="P5" s="191"/>
      <c r="Q5" s="192"/>
      <c r="R5" s="192"/>
      <c r="S5" s="192"/>
      <c r="T5" s="192"/>
      <c r="U5" s="192"/>
      <c r="V5" s="192"/>
      <c r="W5" s="192"/>
      <c r="X5" s="192"/>
      <c r="Y5" s="192"/>
      <c r="Z5" s="193"/>
    </row>
    <row r="6" spans="1:26" x14ac:dyDescent="0.2">
      <c r="A6" s="1357" t="s">
        <v>9</v>
      </c>
      <c r="B6" s="1358" t="s">
        <v>46</v>
      </c>
      <c r="C6" s="1358"/>
      <c r="D6" s="1358"/>
      <c r="E6" s="1359" t="s">
        <v>47</v>
      </c>
      <c r="F6" s="1362"/>
      <c r="G6" s="1363"/>
      <c r="H6" s="281" t="s">
        <v>176</v>
      </c>
      <c r="I6" s="282"/>
      <c r="J6" s="283" t="s">
        <v>177</v>
      </c>
      <c r="K6" s="283"/>
      <c r="L6" s="283" t="s">
        <v>179</v>
      </c>
      <c r="M6" s="283"/>
      <c r="N6" s="1364" t="s">
        <v>51</v>
      </c>
      <c r="O6" s="284" t="s">
        <v>52</v>
      </c>
      <c r="P6" s="284" t="s">
        <v>6</v>
      </c>
      <c r="Q6" s="1318" t="s">
        <v>48</v>
      </c>
      <c r="R6" s="1318"/>
      <c r="S6" s="1318"/>
      <c r="T6" s="1318"/>
      <c r="U6" s="1318"/>
      <c r="V6" s="1365" t="s">
        <v>50</v>
      </c>
      <c r="W6" s="1366"/>
      <c r="X6" s="1366"/>
      <c r="Y6" s="1366"/>
      <c r="Z6" s="1367"/>
    </row>
    <row r="7" spans="1:26" x14ac:dyDescent="0.2">
      <c r="A7" s="1311"/>
      <c r="B7" s="285" t="s">
        <v>53</v>
      </c>
      <c r="C7" s="286" t="s">
        <v>54</v>
      </c>
      <c r="D7" s="286" t="s">
        <v>55</v>
      </c>
      <c r="E7" s="1314"/>
      <c r="F7" s="287" t="s">
        <v>56</v>
      </c>
      <c r="G7" s="288" t="s">
        <v>39</v>
      </c>
      <c r="H7" s="289" t="s">
        <v>56</v>
      </c>
      <c r="I7" s="288" t="s">
        <v>39</v>
      </c>
      <c r="J7" s="289" t="s">
        <v>56</v>
      </c>
      <c r="K7" s="288" t="s">
        <v>39</v>
      </c>
      <c r="L7" s="289" t="s">
        <v>56</v>
      </c>
      <c r="M7" s="288" t="s">
        <v>39</v>
      </c>
      <c r="N7" s="1364"/>
      <c r="O7" s="46" t="s">
        <v>57</v>
      </c>
      <c r="P7" s="46" t="s">
        <v>57</v>
      </c>
      <c r="Q7" s="290" t="s">
        <v>58</v>
      </c>
      <c r="R7" s="289" t="s">
        <v>59</v>
      </c>
      <c r="S7" s="289" t="s">
        <v>60</v>
      </c>
      <c r="T7" s="289" t="s">
        <v>61</v>
      </c>
      <c r="U7" s="289" t="s">
        <v>62</v>
      </c>
      <c r="V7" s="290" t="s">
        <v>58</v>
      </c>
      <c r="W7" s="289" t="s">
        <v>59</v>
      </c>
      <c r="X7" s="289" t="s">
        <v>60</v>
      </c>
      <c r="Y7" s="289" t="s">
        <v>61</v>
      </c>
      <c r="Z7" s="291" t="s">
        <v>62</v>
      </c>
    </row>
    <row r="8" spans="1:26" x14ac:dyDescent="0.2">
      <c r="A8" s="292"/>
      <c r="B8" s="277"/>
      <c r="C8" s="278"/>
      <c r="D8" s="278"/>
      <c r="E8" s="273">
        <f>IF((LEFT(A8,1))="A",(C8*2)/2,IF(A8="R-2",(C8*(C8*1.15475)/2),IF(D8="",B8*C8,IF(A8&lt;&gt;"R-1",(D8/2)^2*3.14,IF(A8="R-1",TAN(22.5*PI()/180)*(D8/2)*(D8/2)*8)))))</f>
        <v>0</v>
      </c>
      <c r="F8" s="272"/>
      <c r="G8" s="274">
        <f t="shared" ref="G8:G19" si="0">F8*E8</f>
        <v>0</v>
      </c>
      <c r="H8" s="272"/>
      <c r="I8" s="274">
        <f>$H8*$E8</f>
        <v>0</v>
      </c>
      <c r="J8" s="274"/>
      <c r="K8" s="274">
        <f>$J8*$E8</f>
        <v>0</v>
      </c>
      <c r="L8" s="274"/>
      <c r="M8" s="274">
        <f>$L8*$E8</f>
        <v>0</v>
      </c>
      <c r="N8" s="279" t="s">
        <v>63</v>
      </c>
      <c r="O8" s="277">
        <f>0.7+1.5+SUM(C8:D8)</f>
        <v>2.2000000000000002</v>
      </c>
      <c r="P8" s="280">
        <v>0</v>
      </c>
      <c r="Q8" s="275">
        <f>F8</f>
        <v>0</v>
      </c>
      <c r="R8" s="274" t="str">
        <f>IFERROR(IF(SEARCH($N8,R$7),$O8,"")*$Q8,"")</f>
        <v/>
      </c>
      <c r="S8" s="274">
        <f t="shared" ref="S8:U19" si="1">IFERROR(IF(SEARCH($N8,S$7),$O8,"")*$Q8,"")</f>
        <v>0</v>
      </c>
      <c r="T8" s="274" t="str">
        <f t="shared" si="1"/>
        <v/>
      </c>
      <c r="U8" s="274" t="str">
        <f t="shared" si="1"/>
        <v/>
      </c>
      <c r="V8" s="275">
        <f>H8+J8+L8</f>
        <v>0</v>
      </c>
      <c r="W8" s="274" t="str">
        <f t="shared" ref="W8:Z18" si="2">IFERROR(IF(SEARCH($N8,W$7),$O8,"")*$V8,"")</f>
        <v/>
      </c>
      <c r="X8" s="274">
        <f t="shared" si="2"/>
        <v>0</v>
      </c>
      <c r="Y8" s="274" t="str">
        <f t="shared" si="2"/>
        <v/>
      </c>
      <c r="Z8" s="293" t="str">
        <f t="shared" si="2"/>
        <v/>
      </c>
    </row>
    <row r="9" spans="1:26" x14ac:dyDescent="0.2">
      <c r="A9" s="292"/>
      <c r="B9" s="277"/>
      <c r="C9" s="278"/>
      <c r="D9" s="278"/>
      <c r="E9" s="273">
        <f t="shared" ref="E9" si="3">IF((LEFT(A9,1))="A",(C9*2)/2,IF(A9="R-2",(C9*(C9*1.15475)/2),IF(D9="",B9*C9,IF(A9&lt;&gt;"R-1",(D9/2)^2*3.14,IF(A9="R-1",TAN(22.5*PI()/180)*(D9/2)*(D9/2)*8)))))</f>
        <v>0</v>
      </c>
      <c r="F9" s="272"/>
      <c r="G9" s="274">
        <f t="shared" ref="G9" si="4">F9*E9</f>
        <v>0</v>
      </c>
      <c r="H9" s="272"/>
      <c r="I9" s="274">
        <f>H9*E9</f>
        <v>0</v>
      </c>
      <c r="J9" s="274"/>
      <c r="K9" s="274">
        <f t="shared" ref="K9:K19" si="5">$J9*$E9</f>
        <v>0</v>
      </c>
      <c r="L9" s="274"/>
      <c r="M9" s="274">
        <f t="shared" ref="M9:M19" si="6">$L9*$E9</f>
        <v>0</v>
      </c>
      <c r="N9" s="279" t="s">
        <v>63</v>
      </c>
      <c r="O9" s="277">
        <f t="shared" ref="O9" si="7">0.7+1.5+SUM(C9:D9)</f>
        <v>2.2000000000000002</v>
      </c>
      <c r="P9" s="280">
        <v>0</v>
      </c>
      <c r="Q9" s="275">
        <f t="shared" ref="Q9" si="8">F9</f>
        <v>0</v>
      </c>
      <c r="R9" s="274" t="str">
        <f t="shared" ref="R9:R14" si="9">IFERROR(IF(SEARCH($N9,R$7),$O9,"")*$Q9,"")</f>
        <v/>
      </c>
      <c r="S9" s="274">
        <f t="shared" si="1"/>
        <v>0</v>
      </c>
      <c r="T9" s="274" t="str">
        <f t="shared" si="1"/>
        <v/>
      </c>
      <c r="U9" s="274" t="str">
        <f t="shared" si="1"/>
        <v/>
      </c>
      <c r="V9" s="275">
        <f t="shared" ref="V9:V13" si="10">H9+J9+L9</f>
        <v>0</v>
      </c>
      <c r="W9" s="274" t="str">
        <f t="shared" si="2"/>
        <v/>
      </c>
      <c r="X9" s="274">
        <f t="shared" si="2"/>
        <v>0</v>
      </c>
      <c r="Y9" s="274" t="str">
        <f t="shared" si="2"/>
        <v/>
      </c>
      <c r="Z9" s="293" t="str">
        <f t="shared" si="2"/>
        <v/>
      </c>
    </row>
    <row r="10" spans="1:26" x14ac:dyDescent="0.2">
      <c r="A10" s="292"/>
      <c r="B10" s="277"/>
      <c r="C10" s="278"/>
      <c r="D10" s="278"/>
      <c r="E10" s="273">
        <f t="shared" ref="E10:E19" si="11">IF((LEFT(A10,1))="A",(C10*2)/2,IF(A10="R-2",(C10*(C10*1.15475)/2),IF(D10="",B10*C10,IF(A10&lt;&gt;"R-1",(D10/2)^2*3.14,IF(A10="R-1",TAN(22.5*PI()/180)*(D10/2)*(D10/2)*8)))))</f>
        <v>0</v>
      </c>
      <c r="F10" s="272"/>
      <c r="G10" s="274">
        <f t="shared" si="0"/>
        <v>0</v>
      </c>
      <c r="H10" s="272"/>
      <c r="I10" s="274">
        <f t="shared" ref="I10:I13" si="12">H10*E10</f>
        <v>0</v>
      </c>
      <c r="J10" s="274"/>
      <c r="K10" s="274">
        <f t="shared" si="5"/>
        <v>0</v>
      </c>
      <c r="L10" s="274"/>
      <c r="M10" s="274">
        <f t="shared" si="6"/>
        <v>0</v>
      </c>
      <c r="N10" s="279" t="s">
        <v>63</v>
      </c>
      <c r="O10" s="277">
        <f t="shared" ref="O10:O19" si="13">0.7+1.5+SUM(C10:D10)</f>
        <v>2.2000000000000002</v>
      </c>
      <c r="P10" s="280">
        <v>0</v>
      </c>
      <c r="Q10" s="275">
        <f t="shared" ref="Q10:Q13" si="14">F10</f>
        <v>0</v>
      </c>
      <c r="R10" s="274" t="str">
        <f t="shared" si="9"/>
        <v/>
      </c>
      <c r="S10" s="274">
        <f t="shared" si="1"/>
        <v>0</v>
      </c>
      <c r="T10" s="274" t="str">
        <f t="shared" si="1"/>
        <v/>
      </c>
      <c r="U10" s="274" t="str">
        <f t="shared" si="1"/>
        <v/>
      </c>
      <c r="V10" s="275">
        <f t="shared" si="10"/>
        <v>0</v>
      </c>
      <c r="W10" s="274" t="str">
        <f t="shared" si="2"/>
        <v/>
      </c>
      <c r="X10" s="274">
        <f t="shared" si="2"/>
        <v>0</v>
      </c>
      <c r="Y10" s="274" t="str">
        <f t="shared" si="2"/>
        <v/>
      </c>
      <c r="Z10" s="293" t="str">
        <f t="shared" si="2"/>
        <v/>
      </c>
    </row>
    <row r="11" spans="1:26" x14ac:dyDescent="0.2">
      <c r="A11" s="292"/>
      <c r="B11" s="277"/>
      <c r="C11" s="278"/>
      <c r="D11" s="278"/>
      <c r="E11" s="273">
        <f t="shared" si="11"/>
        <v>0</v>
      </c>
      <c r="F11" s="272"/>
      <c r="G11" s="274">
        <f t="shared" si="0"/>
        <v>0</v>
      </c>
      <c r="H11" s="272"/>
      <c r="I11" s="274">
        <f t="shared" si="12"/>
        <v>0</v>
      </c>
      <c r="J11" s="274"/>
      <c r="K11" s="274">
        <f t="shared" si="5"/>
        <v>0</v>
      </c>
      <c r="L11" s="274"/>
      <c r="M11" s="274">
        <f t="shared" si="6"/>
        <v>0</v>
      </c>
      <c r="N11" s="279" t="s">
        <v>63</v>
      </c>
      <c r="O11" s="277">
        <f t="shared" si="13"/>
        <v>2.2000000000000002</v>
      </c>
      <c r="P11" s="280"/>
      <c r="Q11" s="275">
        <f t="shared" si="14"/>
        <v>0</v>
      </c>
      <c r="R11" s="274"/>
      <c r="S11" s="274">
        <f t="shared" si="1"/>
        <v>0</v>
      </c>
      <c r="T11" s="274"/>
      <c r="U11" s="274"/>
      <c r="V11" s="275">
        <f t="shared" si="10"/>
        <v>0</v>
      </c>
      <c r="W11" s="274"/>
      <c r="X11" s="274">
        <f t="shared" si="2"/>
        <v>0</v>
      </c>
      <c r="Y11" s="274"/>
      <c r="Z11" s="293"/>
    </row>
    <row r="12" spans="1:26" x14ac:dyDescent="0.2">
      <c r="A12" s="292"/>
      <c r="B12" s="277"/>
      <c r="C12" s="278"/>
      <c r="D12" s="278"/>
      <c r="E12" s="273">
        <f t="shared" si="11"/>
        <v>0</v>
      </c>
      <c r="F12" s="272"/>
      <c r="G12" s="274">
        <f t="shared" si="0"/>
        <v>0</v>
      </c>
      <c r="H12" s="272"/>
      <c r="I12" s="274">
        <f t="shared" si="12"/>
        <v>0</v>
      </c>
      <c r="J12" s="274"/>
      <c r="K12" s="274">
        <f t="shared" si="5"/>
        <v>0</v>
      </c>
      <c r="L12" s="274"/>
      <c r="M12" s="274">
        <f t="shared" si="6"/>
        <v>0</v>
      </c>
      <c r="N12" s="279" t="s">
        <v>63</v>
      </c>
      <c r="O12" s="277">
        <f t="shared" si="13"/>
        <v>2.2000000000000002</v>
      </c>
      <c r="P12" s="280"/>
      <c r="Q12" s="275">
        <f t="shared" si="14"/>
        <v>0</v>
      </c>
      <c r="R12" s="274"/>
      <c r="S12" s="274">
        <f t="shared" si="1"/>
        <v>0</v>
      </c>
      <c r="T12" s="274"/>
      <c r="U12" s="274"/>
      <c r="V12" s="275">
        <f t="shared" si="10"/>
        <v>0</v>
      </c>
      <c r="W12" s="274"/>
      <c r="X12" s="274">
        <f t="shared" si="2"/>
        <v>0</v>
      </c>
      <c r="Y12" s="274"/>
      <c r="Z12" s="293"/>
    </row>
    <row r="13" spans="1:26" x14ac:dyDescent="0.2">
      <c r="A13" s="292"/>
      <c r="B13" s="277"/>
      <c r="C13" s="278"/>
      <c r="D13" s="278"/>
      <c r="E13" s="273">
        <f t="shared" si="11"/>
        <v>0</v>
      </c>
      <c r="F13" s="272"/>
      <c r="G13" s="274">
        <f t="shared" si="0"/>
        <v>0</v>
      </c>
      <c r="H13" s="272"/>
      <c r="I13" s="274">
        <f t="shared" si="12"/>
        <v>0</v>
      </c>
      <c r="J13" s="274"/>
      <c r="K13" s="274"/>
      <c r="L13" s="274"/>
      <c r="M13" s="274">
        <f t="shared" si="6"/>
        <v>0</v>
      </c>
      <c r="N13" s="279" t="s">
        <v>63</v>
      </c>
      <c r="O13" s="277">
        <f t="shared" si="13"/>
        <v>2.2000000000000002</v>
      </c>
      <c r="P13" s="280"/>
      <c r="Q13" s="275">
        <f t="shared" si="14"/>
        <v>0</v>
      </c>
      <c r="R13" s="274"/>
      <c r="S13" s="274">
        <f t="shared" si="1"/>
        <v>0</v>
      </c>
      <c r="T13" s="274"/>
      <c r="U13" s="274"/>
      <c r="V13" s="275">
        <f t="shared" si="10"/>
        <v>0</v>
      </c>
      <c r="W13" s="274"/>
      <c r="X13" s="274">
        <f t="shared" si="2"/>
        <v>0</v>
      </c>
      <c r="Y13" s="274"/>
      <c r="Z13" s="293"/>
    </row>
    <row r="14" spans="1:26" x14ac:dyDescent="0.2">
      <c r="A14" s="292"/>
      <c r="B14" s="277"/>
      <c r="C14" s="278"/>
      <c r="D14" s="278"/>
      <c r="E14" s="273">
        <f t="shared" si="11"/>
        <v>0</v>
      </c>
      <c r="F14" s="272"/>
      <c r="G14" s="274">
        <f t="shared" si="0"/>
        <v>0</v>
      </c>
      <c r="H14" s="272"/>
      <c r="I14" s="274">
        <f>H14*E14</f>
        <v>0</v>
      </c>
      <c r="J14" s="274"/>
      <c r="K14" s="274">
        <f t="shared" si="5"/>
        <v>0</v>
      </c>
      <c r="L14" s="274"/>
      <c r="M14" s="274">
        <f t="shared" si="6"/>
        <v>0</v>
      </c>
      <c r="N14" s="279" t="s">
        <v>63</v>
      </c>
      <c r="O14" s="277">
        <f t="shared" si="13"/>
        <v>2.2000000000000002</v>
      </c>
      <c r="P14" s="280">
        <v>0</v>
      </c>
      <c r="Q14" s="275">
        <f>F14*2</f>
        <v>0</v>
      </c>
      <c r="R14" s="274" t="str">
        <f t="shared" si="9"/>
        <v/>
      </c>
      <c r="S14" s="274">
        <f t="shared" si="1"/>
        <v>0</v>
      </c>
      <c r="T14" s="274" t="str">
        <f t="shared" si="1"/>
        <v/>
      </c>
      <c r="U14" s="274" t="str">
        <f t="shared" si="1"/>
        <v/>
      </c>
      <c r="V14" s="275">
        <f>(H14+J14+L14)*2</f>
        <v>0</v>
      </c>
      <c r="W14" s="274" t="str">
        <f>IFERROR(IF(SEARCH($N14,W$7),$O14,"")*$V14,"")</f>
        <v/>
      </c>
      <c r="X14" s="274">
        <f t="shared" si="2"/>
        <v>0</v>
      </c>
      <c r="Y14" s="274" t="str">
        <f>IFERROR(IF(SEARCH($N14,Y$7),$O14,"")*$V14,"")</f>
        <v/>
      </c>
      <c r="Z14" s="293" t="str">
        <f>IFERROR(IF(SEARCH($N14,Z$7),$O14,"")*$V14,"")</f>
        <v/>
      </c>
    </row>
    <row r="15" spans="1:26" x14ac:dyDescent="0.2">
      <c r="A15" s="292"/>
      <c r="B15" s="277"/>
      <c r="C15" s="278"/>
      <c r="D15" s="278"/>
      <c r="E15" s="273">
        <f t="shared" si="11"/>
        <v>0</v>
      </c>
      <c r="F15" s="279"/>
      <c r="G15" s="274">
        <f t="shared" si="0"/>
        <v>0</v>
      </c>
      <c r="H15" s="272"/>
      <c r="I15" s="274"/>
      <c r="J15" s="274"/>
      <c r="K15" s="274"/>
      <c r="L15" s="274"/>
      <c r="M15" s="274"/>
      <c r="N15" s="279" t="s">
        <v>63</v>
      </c>
      <c r="O15" s="277">
        <f t="shared" si="13"/>
        <v>2.2000000000000002</v>
      </c>
      <c r="P15" s="280"/>
      <c r="Q15" s="275">
        <f t="shared" ref="Q15:Q19" si="15">F15*2</f>
        <v>0</v>
      </c>
      <c r="R15" s="274"/>
      <c r="S15" s="274">
        <f t="shared" si="1"/>
        <v>0</v>
      </c>
      <c r="T15" s="274"/>
      <c r="U15" s="274"/>
      <c r="V15" s="275">
        <f t="shared" ref="V15:V19" si="16">(H15+J15+L15)*2</f>
        <v>0</v>
      </c>
      <c r="W15" s="274"/>
      <c r="X15" s="274">
        <f t="shared" si="2"/>
        <v>0</v>
      </c>
      <c r="Y15" s="274"/>
      <c r="Z15" s="293"/>
    </row>
    <row r="16" spans="1:26" x14ac:dyDescent="0.2">
      <c r="A16" s="292"/>
      <c r="B16" s="277"/>
      <c r="C16" s="278"/>
      <c r="D16" s="278"/>
      <c r="E16" s="273">
        <f t="shared" si="11"/>
        <v>0</v>
      </c>
      <c r="F16" s="279"/>
      <c r="G16" s="274">
        <f t="shared" si="0"/>
        <v>0</v>
      </c>
      <c r="H16" s="272"/>
      <c r="I16" s="274">
        <f t="shared" ref="I16:I19" si="17">H16*E16</f>
        <v>0</v>
      </c>
      <c r="J16" s="274"/>
      <c r="K16" s="274">
        <f t="shared" si="5"/>
        <v>0</v>
      </c>
      <c r="L16" s="274"/>
      <c r="M16" s="274">
        <f t="shared" si="6"/>
        <v>0</v>
      </c>
      <c r="N16" s="279" t="s">
        <v>63</v>
      </c>
      <c r="O16" s="277">
        <f t="shared" si="13"/>
        <v>2.2000000000000002</v>
      </c>
      <c r="P16" s="280"/>
      <c r="Q16" s="275">
        <f t="shared" si="15"/>
        <v>0</v>
      </c>
      <c r="R16" s="274"/>
      <c r="S16" s="274">
        <f t="shared" si="1"/>
        <v>0</v>
      </c>
      <c r="T16" s="274"/>
      <c r="U16" s="274"/>
      <c r="V16" s="275">
        <f t="shared" si="16"/>
        <v>0</v>
      </c>
      <c r="W16" s="274"/>
      <c r="X16" s="274">
        <f t="shared" si="2"/>
        <v>0</v>
      </c>
      <c r="Y16" s="274"/>
      <c r="Z16" s="293"/>
    </row>
    <row r="17" spans="1:26" x14ac:dyDescent="0.2">
      <c r="A17" s="292"/>
      <c r="B17" s="277"/>
      <c r="C17" s="278"/>
      <c r="D17" s="278"/>
      <c r="E17" s="273">
        <f t="shared" si="11"/>
        <v>0</v>
      </c>
      <c r="F17" s="279"/>
      <c r="G17" s="274">
        <f t="shared" si="0"/>
        <v>0</v>
      </c>
      <c r="H17" s="272"/>
      <c r="I17" s="274">
        <f t="shared" si="17"/>
        <v>0</v>
      </c>
      <c r="J17" s="274"/>
      <c r="K17" s="274"/>
      <c r="L17" s="274"/>
      <c r="M17" s="274"/>
      <c r="N17" s="279" t="s">
        <v>63</v>
      </c>
      <c r="O17" s="277">
        <f t="shared" si="13"/>
        <v>2.2000000000000002</v>
      </c>
      <c r="P17" s="280"/>
      <c r="Q17" s="275">
        <f t="shared" si="15"/>
        <v>0</v>
      </c>
      <c r="R17" s="274"/>
      <c r="S17" s="274">
        <f t="shared" si="1"/>
        <v>0</v>
      </c>
      <c r="T17" s="274"/>
      <c r="U17" s="274"/>
      <c r="V17" s="275">
        <f t="shared" si="16"/>
        <v>0</v>
      </c>
      <c r="W17" s="274"/>
      <c r="X17" s="274">
        <f t="shared" si="2"/>
        <v>0</v>
      </c>
      <c r="Y17" s="274"/>
      <c r="Z17" s="293"/>
    </row>
    <row r="18" spans="1:26" x14ac:dyDescent="0.2">
      <c r="A18" s="292"/>
      <c r="B18" s="277"/>
      <c r="C18" s="278"/>
      <c r="D18" s="278"/>
      <c r="E18" s="273">
        <f t="shared" si="11"/>
        <v>0</v>
      </c>
      <c r="F18" s="279"/>
      <c r="G18" s="274">
        <f t="shared" si="0"/>
        <v>0</v>
      </c>
      <c r="H18" s="272"/>
      <c r="I18" s="274">
        <f t="shared" si="17"/>
        <v>0</v>
      </c>
      <c r="J18" s="274"/>
      <c r="K18" s="274">
        <f t="shared" si="5"/>
        <v>0</v>
      </c>
      <c r="L18" s="274"/>
      <c r="M18" s="274">
        <f t="shared" si="6"/>
        <v>0</v>
      </c>
      <c r="N18" s="279" t="s">
        <v>63</v>
      </c>
      <c r="O18" s="277">
        <f t="shared" si="13"/>
        <v>2.2000000000000002</v>
      </c>
      <c r="P18" s="280"/>
      <c r="Q18" s="275">
        <f t="shared" si="15"/>
        <v>0</v>
      </c>
      <c r="R18" s="274"/>
      <c r="S18" s="274">
        <f t="shared" si="1"/>
        <v>0</v>
      </c>
      <c r="T18" s="274"/>
      <c r="U18" s="274"/>
      <c r="V18" s="275">
        <f t="shared" si="16"/>
        <v>0</v>
      </c>
      <c r="W18" s="274"/>
      <c r="X18" s="274">
        <f t="shared" si="2"/>
        <v>0</v>
      </c>
      <c r="Y18" s="274"/>
      <c r="Z18" s="293"/>
    </row>
    <row r="19" spans="1:26" ht="13.5" thickBot="1" x14ac:dyDescent="0.25">
      <c r="A19" s="292"/>
      <c r="B19" s="277"/>
      <c r="C19" s="278"/>
      <c r="D19" s="278"/>
      <c r="E19" s="273">
        <f t="shared" si="11"/>
        <v>0</v>
      </c>
      <c r="F19" s="279"/>
      <c r="G19" s="274">
        <f t="shared" si="0"/>
        <v>0</v>
      </c>
      <c r="H19" s="272"/>
      <c r="I19" s="274">
        <f t="shared" si="17"/>
        <v>0</v>
      </c>
      <c r="J19" s="274"/>
      <c r="K19" s="274">
        <f t="shared" si="5"/>
        <v>0</v>
      </c>
      <c r="L19" s="274"/>
      <c r="M19" s="274">
        <f t="shared" si="6"/>
        <v>0</v>
      </c>
      <c r="N19" s="279" t="s">
        <v>63</v>
      </c>
      <c r="O19" s="277">
        <f t="shared" si="13"/>
        <v>2.2000000000000002</v>
      </c>
      <c r="P19" s="280"/>
      <c r="Q19" s="275">
        <f t="shared" si="15"/>
        <v>0</v>
      </c>
      <c r="R19" s="274"/>
      <c r="S19" s="274">
        <f t="shared" si="1"/>
        <v>0</v>
      </c>
      <c r="T19" s="274"/>
      <c r="U19" s="274"/>
      <c r="V19" s="275">
        <f t="shared" si="16"/>
        <v>0</v>
      </c>
      <c r="W19" s="274"/>
      <c r="X19" s="274">
        <f t="shared" ref="X19" si="18">IFERROR(IF(SEARCH($N19,X$7),$O19,"")*$V19,"")</f>
        <v>0</v>
      </c>
      <c r="Y19" s="274"/>
      <c r="Z19" s="293"/>
    </row>
    <row r="20" spans="1:26" ht="13.5" thickBot="1" x14ac:dyDescent="0.25">
      <c r="A20" s="1368" t="s">
        <v>65</v>
      </c>
      <c r="B20" s="1369"/>
      <c r="C20" s="1369"/>
      <c r="D20" s="1369"/>
      <c r="E20" s="1369"/>
      <c r="F20" s="198">
        <f>SUM(F8:F19)</f>
        <v>0</v>
      </c>
      <c r="G20" s="199">
        <f>SUM(G8:G19)</f>
        <v>0</v>
      </c>
      <c r="H20" s="198">
        <f>SUM(H8:H19)</f>
        <v>0</v>
      </c>
      <c r="I20" s="199">
        <f>SUM(I8:I19)</f>
        <v>0</v>
      </c>
      <c r="J20" s="199"/>
      <c r="K20" s="199">
        <f>SUM(K8:K19)</f>
        <v>0</v>
      </c>
      <c r="L20" s="199"/>
      <c r="M20" s="199">
        <f>SUM(M8:M19)</f>
        <v>0</v>
      </c>
      <c r="N20" s="1370" t="s">
        <v>14</v>
      </c>
      <c r="O20" s="1369"/>
      <c r="P20" s="1369"/>
      <c r="Q20" s="199">
        <f t="shared" ref="Q20:Z20" si="19">SUM(Q8:Q19)</f>
        <v>0</v>
      </c>
      <c r="R20" s="199">
        <f t="shared" si="19"/>
        <v>0</v>
      </c>
      <c r="S20" s="200">
        <f t="shared" si="19"/>
        <v>0</v>
      </c>
      <c r="T20" s="200">
        <f t="shared" si="19"/>
        <v>0</v>
      </c>
      <c r="U20" s="200">
        <f t="shared" si="19"/>
        <v>0</v>
      </c>
      <c r="V20" s="198">
        <f t="shared" si="19"/>
        <v>0</v>
      </c>
      <c r="W20" s="199">
        <f t="shared" si="19"/>
        <v>0</v>
      </c>
      <c r="X20" s="200">
        <f t="shared" si="19"/>
        <v>0</v>
      </c>
      <c r="Y20" s="200">
        <f t="shared" si="19"/>
        <v>0</v>
      </c>
      <c r="Z20" s="201">
        <f t="shared" si="19"/>
        <v>0</v>
      </c>
    </row>
    <row r="22" spans="1:26" x14ac:dyDescent="0.2">
      <c r="C22" s="195" t="s">
        <v>182</v>
      </c>
      <c r="D22" s="196"/>
      <c r="E22" s="196"/>
      <c r="F22" s="196"/>
      <c r="G22" s="196"/>
      <c r="H22" s="196"/>
      <c r="I22" s="196"/>
    </row>
    <row r="23" spans="1:26" x14ac:dyDescent="0.2">
      <c r="C23" s="195" t="s">
        <v>183</v>
      </c>
      <c r="D23" s="196"/>
      <c r="E23" s="197" t="s">
        <v>14</v>
      </c>
      <c r="F23" s="197" t="s">
        <v>175</v>
      </c>
      <c r="G23" s="197" t="s">
        <v>176</v>
      </c>
      <c r="H23" s="197" t="s">
        <v>177</v>
      </c>
      <c r="I23" s="197" t="s">
        <v>179</v>
      </c>
    </row>
    <row r="24" spans="1:26" x14ac:dyDescent="0.2">
      <c r="C24" s="302" t="s">
        <v>180</v>
      </c>
      <c r="D24" s="303"/>
      <c r="E24" s="261">
        <f>MAX(F24:I24)</f>
        <v>0</v>
      </c>
      <c r="F24" s="294"/>
      <c r="G24" s="294"/>
      <c r="H24" s="294">
        <v>0</v>
      </c>
      <c r="I24" s="295"/>
    </row>
    <row r="25" spans="1:26" x14ac:dyDescent="0.2">
      <c r="C25" s="304" t="s">
        <v>181</v>
      </c>
      <c r="D25" s="305"/>
      <c r="E25" s="262">
        <f>MAX(F25:I25)</f>
        <v>0</v>
      </c>
      <c r="F25" s="296"/>
      <c r="G25" s="296"/>
      <c r="H25" s="296"/>
      <c r="I25" s="297"/>
    </row>
    <row r="26" spans="1:26" x14ac:dyDescent="0.2">
      <c r="C26" s="304" t="s">
        <v>209</v>
      </c>
      <c r="D26" s="305"/>
      <c r="E26" s="262">
        <f>MAX(F26:I26)</f>
        <v>0</v>
      </c>
      <c r="F26" s="296"/>
      <c r="G26" s="296"/>
      <c r="H26" s="296"/>
      <c r="I26" s="297"/>
    </row>
    <row r="27" spans="1:26" x14ac:dyDescent="0.2">
      <c r="C27" s="304" t="s">
        <v>184</v>
      </c>
      <c r="D27" s="305"/>
      <c r="E27" s="262">
        <f>MAX(F27:I27)</f>
        <v>0</v>
      </c>
      <c r="F27" s="298"/>
      <c r="G27" s="298"/>
      <c r="H27" s="298">
        <v>0</v>
      </c>
      <c r="I27" s="299"/>
    </row>
    <row r="28" spans="1:26" x14ac:dyDescent="0.2">
      <c r="A28" s="38"/>
      <c r="C28" s="306" t="s">
        <v>211</v>
      </c>
      <c r="D28" s="307"/>
      <c r="E28" s="263">
        <f>MAX(F28:I28)</f>
        <v>0</v>
      </c>
      <c r="F28" s="300"/>
      <c r="G28" s="300">
        <v>0</v>
      </c>
      <c r="H28" s="300"/>
      <c r="I28" s="301"/>
    </row>
    <row r="29" spans="1:26" x14ac:dyDescent="0.2">
      <c r="A29" s="38"/>
    </row>
    <row r="30" spans="1:26" x14ac:dyDescent="0.2">
      <c r="A30" s="38"/>
    </row>
    <row r="31" spans="1:26" ht="13.5" thickBot="1" x14ac:dyDescent="0.25"/>
    <row r="32" spans="1:26" ht="13.5" thickBot="1" x14ac:dyDescent="0.25">
      <c r="B32" s="1321" t="s">
        <v>28</v>
      </c>
      <c r="C32" s="1322"/>
      <c r="D32" s="1322"/>
      <c r="E32" s="1322"/>
      <c r="F32" s="1322"/>
      <c r="G32" s="1322"/>
      <c r="H32" s="1322"/>
      <c r="I32" s="1322"/>
      <c r="J32" s="1323"/>
    </row>
    <row r="33" spans="1:15" ht="13.5" thickBot="1" x14ac:dyDescent="0.25">
      <c r="A33" s="30" t="s">
        <v>9</v>
      </c>
      <c r="B33" s="1292" t="s">
        <v>29</v>
      </c>
      <c r="C33" s="1293"/>
      <c r="D33" s="1293"/>
      <c r="E33" s="1293"/>
      <c r="F33" s="1293"/>
      <c r="G33" s="1293"/>
      <c r="H33" s="1294"/>
      <c r="I33" s="69" t="s">
        <v>0</v>
      </c>
      <c r="J33" s="69" t="s">
        <v>105</v>
      </c>
      <c r="K33" s="38" t="s">
        <v>170</v>
      </c>
    </row>
    <row r="34" spans="1:15" ht="15" x14ac:dyDescent="0.2">
      <c r="A34" s="84"/>
      <c r="B34" s="89" t="s">
        <v>102</v>
      </c>
      <c r="C34" s="70"/>
      <c r="D34" s="70"/>
      <c r="E34" s="70"/>
      <c r="F34" s="70"/>
      <c r="G34" s="70"/>
      <c r="H34" s="70"/>
      <c r="I34" s="71" t="s">
        <v>68</v>
      </c>
      <c r="J34" s="72">
        <f>SUM(G8:G13)</f>
        <v>0</v>
      </c>
      <c r="K34" s="133">
        <f>SUMIF(Orçamento!$B$1:$B$5,A34,Orçamento!$F$1:$F$5)-J34</f>
        <v>0</v>
      </c>
    </row>
    <row r="35" spans="1:15" ht="15" x14ac:dyDescent="0.2">
      <c r="A35" s="85"/>
      <c r="B35" s="90" t="s">
        <v>69</v>
      </c>
      <c r="C35" s="73"/>
      <c r="D35" s="73"/>
      <c r="E35" s="73"/>
      <c r="F35" s="73"/>
      <c r="G35" s="73"/>
      <c r="H35" s="73"/>
      <c r="I35" s="86" t="s">
        <v>68</v>
      </c>
      <c r="J35" s="74">
        <f>SUM(G14:G19)</f>
        <v>0</v>
      </c>
      <c r="K35" s="133">
        <f>SUMIF(Orçamento!$B$1:$B$5,A35,Orçamento!$F$1:$F$5)-J35</f>
        <v>0</v>
      </c>
      <c r="L35" s="133"/>
      <c r="M35" s="133"/>
      <c r="O35" s="35"/>
    </row>
    <row r="36" spans="1:15" ht="15" x14ac:dyDescent="0.2">
      <c r="A36" s="85"/>
      <c r="B36" s="90" t="s">
        <v>70</v>
      </c>
      <c r="C36" s="73"/>
      <c r="D36" s="73"/>
      <c r="E36" s="73"/>
      <c r="F36" s="73"/>
      <c r="G36" s="73"/>
      <c r="H36" s="73"/>
      <c r="I36" s="86" t="s">
        <v>68</v>
      </c>
      <c r="J36" s="75"/>
    </row>
    <row r="37" spans="1:15" ht="15" x14ac:dyDescent="0.2">
      <c r="A37" s="85"/>
      <c r="B37" s="90" t="s">
        <v>103</v>
      </c>
      <c r="C37" s="73"/>
      <c r="D37" s="73"/>
      <c r="E37" s="73"/>
      <c r="F37" s="73"/>
      <c r="G37" s="73"/>
      <c r="H37" s="73"/>
      <c r="I37" s="86" t="s">
        <v>68</v>
      </c>
      <c r="J37" s="75"/>
    </row>
    <row r="38" spans="1:15" ht="15" x14ac:dyDescent="0.2">
      <c r="A38" s="85"/>
      <c r="B38" s="90" t="s">
        <v>71</v>
      </c>
      <c r="C38" s="73"/>
      <c r="D38" s="73"/>
      <c r="E38" s="73"/>
      <c r="F38" s="73"/>
      <c r="G38" s="73"/>
      <c r="H38" s="73"/>
      <c r="I38" s="86" t="s">
        <v>68</v>
      </c>
      <c r="J38" s="76">
        <f>G20+I20+K20+M20</f>
        <v>0</v>
      </c>
      <c r="K38" s="133">
        <f>SUMIF(Orçamento!$B$1:$B$5,A38,Orçamento!$F$1:$F$5)-J38</f>
        <v>0</v>
      </c>
      <c r="L38" s="133"/>
      <c r="M38" s="133"/>
    </row>
    <row r="39" spans="1:15" ht="15" x14ac:dyDescent="0.2">
      <c r="A39" s="85"/>
      <c r="B39" s="90" t="s">
        <v>72</v>
      </c>
      <c r="C39" s="73"/>
      <c r="D39" s="73"/>
      <c r="E39" s="73"/>
      <c r="F39" s="73"/>
      <c r="G39" s="73"/>
      <c r="H39" s="73"/>
      <c r="I39" s="86" t="s">
        <v>68</v>
      </c>
      <c r="J39" s="75"/>
    </row>
    <row r="40" spans="1:15" ht="15" x14ac:dyDescent="0.2">
      <c r="A40" s="85"/>
      <c r="B40" s="90" t="s">
        <v>73</v>
      </c>
      <c r="C40" s="73"/>
      <c r="D40" s="73"/>
      <c r="E40" s="73"/>
      <c r="F40" s="73"/>
      <c r="G40" s="73"/>
      <c r="H40" s="73"/>
      <c r="I40" s="86" t="s">
        <v>68</v>
      </c>
      <c r="J40" s="76">
        <f>J38</f>
        <v>0</v>
      </c>
      <c r="K40" s="133">
        <f>SUMIF(Orçamento!$B$1:$B$5,A40,Orçamento!$F$1:$F$5)-J40</f>
        <v>0</v>
      </c>
    </row>
    <row r="41" spans="1:15" ht="15" x14ac:dyDescent="0.2">
      <c r="A41" s="85"/>
      <c r="B41" s="90" t="s">
        <v>74</v>
      </c>
      <c r="C41" s="73"/>
      <c r="D41" s="73"/>
      <c r="E41" s="73"/>
      <c r="F41" s="73"/>
      <c r="G41" s="73"/>
      <c r="H41" s="73"/>
      <c r="I41" s="86" t="s">
        <v>68</v>
      </c>
      <c r="J41" s="75"/>
    </row>
    <row r="42" spans="1:15" ht="15" x14ac:dyDescent="0.2">
      <c r="A42" s="10"/>
      <c r="B42" s="90" t="s">
        <v>7</v>
      </c>
      <c r="C42" s="134"/>
      <c r="D42" s="134"/>
      <c r="E42" s="134"/>
      <c r="F42" s="134"/>
      <c r="G42" s="134"/>
      <c r="H42" s="134"/>
      <c r="I42" s="86" t="s">
        <v>158</v>
      </c>
      <c r="J42" s="135">
        <f>S20</f>
        <v>0</v>
      </c>
      <c r="K42" s="133">
        <f>SUMIF(Orçamento!$B$1:$B$5,A42,Orçamento!$F$1:$F$5)-J42</f>
        <v>0</v>
      </c>
    </row>
    <row r="43" spans="1:15" ht="14.25" x14ac:dyDescent="0.2">
      <c r="A43" s="98"/>
      <c r="B43" s="90" t="s">
        <v>104</v>
      </c>
      <c r="C43" s="73"/>
      <c r="D43" s="73"/>
      <c r="E43" s="73"/>
      <c r="F43" s="73"/>
      <c r="G43" s="73"/>
      <c r="H43" s="73"/>
      <c r="I43" s="86" t="s">
        <v>68</v>
      </c>
      <c r="J43" s="75"/>
    </row>
    <row r="44" spans="1:15" ht="14.25" x14ac:dyDescent="0.2">
      <c r="A44" s="98"/>
      <c r="B44" s="90" t="s">
        <v>75</v>
      </c>
      <c r="C44" s="73"/>
      <c r="D44" s="73"/>
      <c r="E44" s="73"/>
      <c r="F44" s="73"/>
      <c r="G44" s="73"/>
      <c r="H44" s="73"/>
      <c r="I44" s="86" t="s">
        <v>68</v>
      </c>
      <c r="J44" s="75"/>
    </row>
    <row r="45" spans="1:15" ht="14.25" x14ac:dyDescent="0.2">
      <c r="A45" s="98"/>
      <c r="B45" s="90" t="s">
        <v>76</v>
      </c>
      <c r="C45" s="73"/>
      <c r="D45" s="73"/>
      <c r="E45" s="73"/>
      <c r="F45" s="73"/>
      <c r="G45" s="73"/>
      <c r="H45" s="73"/>
      <c r="I45" s="86" t="s">
        <v>68</v>
      </c>
      <c r="J45" s="75"/>
    </row>
    <row r="46" spans="1:15" x14ac:dyDescent="0.2">
      <c r="A46" s="98"/>
      <c r="B46" s="90" t="s">
        <v>77</v>
      </c>
      <c r="C46" s="73"/>
      <c r="D46" s="73"/>
      <c r="E46" s="73"/>
      <c r="F46" s="73"/>
      <c r="G46" s="73"/>
      <c r="H46" s="73"/>
      <c r="I46" s="86" t="s">
        <v>32</v>
      </c>
      <c r="J46" s="75"/>
    </row>
    <row r="47" spans="1:15" x14ac:dyDescent="0.2">
      <c r="A47" s="98"/>
      <c r="B47" s="90" t="s">
        <v>78</v>
      </c>
      <c r="C47" s="73"/>
      <c r="D47" s="73"/>
      <c r="E47" s="73"/>
      <c r="F47" s="73"/>
      <c r="G47" s="73"/>
      <c r="H47" s="73"/>
      <c r="I47" s="86" t="s">
        <v>32</v>
      </c>
      <c r="J47" s="75"/>
    </row>
    <row r="48" spans="1:15" x14ac:dyDescent="0.2">
      <c r="A48" s="98"/>
      <c r="B48" s="90" t="s">
        <v>79</v>
      </c>
      <c r="C48" s="73"/>
      <c r="D48" s="73"/>
      <c r="E48" s="73"/>
      <c r="F48" s="73"/>
      <c r="G48" s="73"/>
      <c r="H48" s="73"/>
      <c r="I48" s="86" t="s">
        <v>32</v>
      </c>
      <c r="J48" s="75"/>
    </row>
    <row r="49" spans="1:11" x14ac:dyDescent="0.2">
      <c r="A49" s="98"/>
      <c r="B49" s="90" t="s">
        <v>80</v>
      </c>
      <c r="C49" s="73"/>
      <c r="D49" s="73"/>
      <c r="E49" s="73"/>
      <c r="F49" s="73"/>
      <c r="G49" s="73"/>
      <c r="H49" s="73"/>
      <c r="I49" s="86" t="s">
        <v>32</v>
      </c>
      <c r="J49" s="75"/>
    </row>
    <row r="50" spans="1:11" x14ac:dyDescent="0.2">
      <c r="A50" s="98"/>
      <c r="B50" s="90" t="s">
        <v>81</v>
      </c>
      <c r="C50" s="73"/>
      <c r="D50" s="73"/>
      <c r="E50" s="73"/>
      <c r="F50" s="73"/>
      <c r="G50" s="73"/>
      <c r="H50" s="73"/>
      <c r="I50" s="86" t="s">
        <v>32</v>
      </c>
      <c r="J50" s="75"/>
    </row>
    <row r="51" spans="1:11" x14ac:dyDescent="0.2">
      <c r="A51" s="98"/>
      <c r="B51" s="90" t="s">
        <v>82</v>
      </c>
      <c r="C51" s="73"/>
      <c r="D51" s="73"/>
      <c r="E51" s="73"/>
      <c r="F51" s="73"/>
      <c r="G51" s="73"/>
      <c r="H51" s="73"/>
      <c r="I51" s="86" t="s">
        <v>32</v>
      </c>
      <c r="J51" s="75"/>
    </row>
    <row r="52" spans="1:11" x14ac:dyDescent="0.2">
      <c r="A52" s="98"/>
      <c r="B52" s="90" t="s">
        <v>83</v>
      </c>
      <c r="C52" s="73"/>
      <c r="D52" s="73"/>
      <c r="E52" s="73"/>
      <c r="F52" s="73"/>
      <c r="G52" s="73"/>
      <c r="H52" s="73"/>
      <c r="I52" s="86" t="s">
        <v>32</v>
      </c>
      <c r="J52" s="75"/>
    </row>
    <row r="53" spans="1:11" x14ac:dyDescent="0.2">
      <c r="A53" s="98"/>
      <c r="B53" s="90" t="s">
        <v>84</v>
      </c>
      <c r="C53" s="73"/>
      <c r="D53" s="73"/>
      <c r="E53" s="73"/>
      <c r="F53" s="73"/>
      <c r="G53" s="73"/>
      <c r="H53" s="73"/>
      <c r="I53" s="86" t="s">
        <v>32</v>
      </c>
      <c r="J53" s="75"/>
    </row>
    <row r="54" spans="1:11" x14ac:dyDescent="0.2">
      <c r="A54" s="98"/>
      <c r="B54" s="90" t="s">
        <v>85</v>
      </c>
      <c r="C54" s="73"/>
      <c r="D54" s="73"/>
      <c r="E54" s="73"/>
      <c r="F54" s="73"/>
      <c r="G54" s="73"/>
      <c r="H54" s="73"/>
      <c r="I54" s="86" t="s">
        <v>32</v>
      </c>
      <c r="J54" s="75"/>
    </row>
    <row r="55" spans="1:11" x14ac:dyDescent="0.2">
      <c r="A55" s="98"/>
      <c r="B55" s="90" t="s">
        <v>86</v>
      </c>
      <c r="C55" s="73"/>
      <c r="D55" s="73"/>
      <c r="E55" s="73"/>
      <c r="F55" s="73"/>
      <c r="G55" s="73"/>
      <c r="H55" s="73"/>
      <c r="I55" s="86" t="s">
        <v>32</v>
      </c>
      <c r="J55" s="75"/>
    </row>
    <row r="56" spans="1:11" x14ac:dyDescent="0.2">
      <c r="A56" s="98"/>
      <c r="B56" s="90" t="s">
        <v>87</v>
      </c>
      <c r="C56" s="73"/>
      <c r="D56" s="73"/>
      <c r="E56" s="73"/>
      <c r="F56" s="73"/>
      <c r="G56" s="73"/>
      <c r="H56" s="73"/>
      <c r="I56" s="86" t="s">
        <v>32</v>
      </c>
      <c r="J56" s="75"/>
    </row>
    <row r="57" spans="1:11" x14ac:dyDescent="0.2">
      <c r="A57" s="98"/>
      <c r="B57" s="90" t="s">
        <v>88</v>
      </c>
      <c r="C57" s="73"/>
      <c r="D57" s="73"/>
      <c r="E57" s="73"/>
      <c r="F57" s="73"/>
      <c r="G57" s="73"/>
      <c r="H57" s="73"/>
      <c r="I57" s="86" t="s">
        <v>32</v>
      </c>
      <c r="J57" s="75"/>
    </row>
    <row r="58" spans="1:11" x14ac:dyDescent="0.2">
      <c r="A58" s="98"/>
      <c r="B58" s="90" t="s">
        <v>89</v>
      </c>
      <c r="C58" s="73"/>
      <c r="D58" s="73"/>
      <c r="E58" s="73"/>
      <c r="F58" s="73"/>
      <c r="G58" s="73"/>
      <c r="H58" s="73"/>
      <c r="I58" s="86" t="s">
        <v>32</v>
      </c>
      <c r="J58" s="75"/>
    </row>
    <row r="59" spans="1:11" x14ac:dyDescent="0.2">
      <c r="A59" s="98"/>
      <c r="B59" s="90" t="s">
        <v>90</v>
      </c>
      <c r="C59" s="73"/>
      <c r="D59" s="73"/>
      <c r="E59" s="73"/>
      <c r="F59" s="73"/>
      <c r="G59" s="73"/>
      <c r="H59" s="73"/>
      <c r="I59" s="86" t="s">
        <v>32</v>
      </c>
      <c r="J59" s="75"/>
    </row>
    <row r="60" spans="1:11" ht="13.5" thickBot="1" x14ac:dyDescent="0.25">
      <c r="A60" s="99"/>
      <c r="B60" s="91" t="s">
        <v>91</v>
      </c>
      <c r="C60" s="77"/>
      <c r="D60" s="77"/>
      <c r="E60" s="77"/>
      <c r="F60" s="77"/>
      <c r="G60" s="77"/>
      <c r="H60" s="77"/>
      <c r="I60" s="78" t="s">
        <v>32</v>
      </c>
      <c r="J60" s="79"/>
    </row>
    <row r="61" spans="1:11" x14ac:dyDescent="0.2">
      <c r="A61" s="95"/>
      <c r="B61" s="96" t="s">
        <v>92</v>
      </c>
      <c r="C61" s="70"/>
      <c r="D61" s="70"/>
      <c r="E61" s="70"/>
      <c r="F61" s="70"/>
      <c r="G61" s="70"/>
      <c r="H61" s="70"/>
      <c r="I61" s="71" t="s">
        <v>34</v>
      </c>
      <c r="J61" s="97">
        <f>S20+X20</f>
        <v>0</v>
      </c>
      <c r="K61" s="133">
        <f>SUMIF(Orçamento!$B$1:$B$5,A61,Orçamento!$F$1:$F$5)-J61</f>
        <v>0</v>
      </c>
    </row>
    <row r="62" spans="1:11" x14ac:dyDescent="0.2">
      <c r="A62" s="98"/>
      <c r="B62" s="92" t="s">
        <v>93</v>
      </c>
      <c r="C62" s="73"/>
      <c r="D62" s="73"/>
      <c r="E62" s="73"/>
      <c r="F62" s="73"/>
      <c r="G62" s="73"/>
      <c r="H62" s="73"/>
      <c r="I62" s="86" t="s">
        <v>34</v>
      </c>
      <c r="J62" s="80"/>
    </row>
    <row r="63" spans="1:11" x14ac:dyDescent="0.2">
      <c r="A63" s="87"/>
      <c r="B63" s="92" t="s">
        <v>94</v>
      </c>
      <c r="C63" s="73"/>
      <c r="D63" s="73"/>
      <c r="E63" s="73"/>
      <c r="F63" s="73"/>
      <c r="G63" s="73"/>
      <c r="H63" s="73"/>
      <c r="I63" s="86" t="s">
        <v>95</v>
      </c>
      <c r="J63" s="80"/>
    </row>
    <row r="64" spans="1:11" x14ac:dyDescent="0.2">
      <c r="A64" s="87"/>
      <c r="B64" s="92" t="s">
        <v>96</v>
      </c>
      <c r="C64" s="73"/>
      <c r="D64" s="73"/>
      <c r="E64" s="73"/>
      <c r="F64" s="73"/>
      <c r="G64" s="73"/>
      <c r="H64" s="73"/>
      <c r="I64" s="86" t="s">
        <v>34</v>
      </c>
      <c r="J64" s="80"/>
    </row>
    <row r="65" spans="1:12" x14ac:dyDescent="0.2">
      <c r="A65" s="87"/>
      <c r="B65" s="92" t="s">
        <v>97</v>
      </c>
      <c r="C65" s="73"/>
      <c r="D65" s="73"/>
      <c r="E65" s="73"/>
      <c r="F65" s="73"/>
      <c r="G65" s="73"/>
      <c r="H65" s="73"/>
      <c r="I65" s="86" t="s">
        <v>34</v>
      </c>
      <c r="J65" s="80"/>
    </row>
    <row r="66" spans="1:12" x14ac:dyDescent="0.2">
      <c r="A66" s="87"/>
      <c r="B66" s="92" t="s">
        <v>98</v>
      </c>
      <c r="C66" s="73"/>
      <c r="D66" s="73"/>
      <c r="E66" s="73"/>
      <c r="F66" s="73"/>
      <c r="G66" s="73"/>
      <c r="H66" s="73"/>
      <c r="I66" s="86" t="s">
        <v>34</v>
      </c>
      <c r="J66" s="80"/>
    </row>
    <row r="67" spans="1:12" x14ac:dyDescent="0.2">
      <c r="A67" s="87"/>
      <c r="B67" s="92" t="s">
        <v>99</v>
      </c>
      <c r="C67" s="73"/>
      <c r="D67" s="73"/>
      <c r="E67" s="73"/>
      <c r="F67" s="73"/>
      <c r="G67" s="73"/>
      <c r="H67" s="73"/>
      <c r="I67" s="86" t="s">
        <v>34</v>
      </c>
      <c r="J67" s="80"/>
    </row>
    <row r="68" spans="1:12" ht="14.25" x14ac:dyDescent="0.2">
      <c r="A68" s="87"/>
      <c r="B68" s="92" t="s">
        <v>100</v>
      </c>
      <c r="C68" s="73"/>
      <c r="D68" s="73"/>
      <c r="E68" s="73"/>
      <c r="F68" s="73"/>
      <c r="G68" s="73"/>
      <c r="H68" s="73"/>
      <c r="I68" s="86" t="s">
        <v>68</v>
      </c>
      <c r="J68" s="80"/>
    </row>
    <row r="69" spans="1:12" ht="15" thickBot="1" x14ac:dyDescent="0.25">
      <c r="A69" s="88"/>
      <c r="B69" s="93" t="s">
        <v>101</v>
      </c>
      <c r="C69" s="77"/>
      <c r="D69" s="77"/>
      <c r="E69" s="77"/>
      <c r="F69" s="77"/>
      <c r="G69" s="77"/>
      <c r="H69" s="77"/>
      <c r="I69" s="78" t="s">
        <v>68</v>
      </c>
      <c r="J69" s="81"/>
    </row>
    <row r="70" spans="1:12" x14ac:dyDescent="0.2">
      <c r="A70" s="314">
        <v>5213835</v>
      </c>
      <c r="B70" s="90" t="s">
        <v>184</v>
      </c>
      <c r="C70" s="73"/>
      <c r="D70" s="73"/>
      <c r="E70" s="73"/>
      <c r="F70" s="73"/>
      <c r="G70" s="73"/>
      <c r="H70" s="73"/>
      <c r="I70" s="86" t="s">
        <v>3</v>
      </c>
      <c r="J70" s="75"/>
      <c r="K70" s="133">
        <f>SUMIF(Orçamento!$B$1:$B$5,A70,Orçamento!$F$1:$F$5)-J70</f>
        <v>0</v>
      </c>
    </row>
    <row r="71" spans="1:12" x14ac:dyDescent="0.2">
      <c r="A71" s="314" t="s">
        <v>220</v>
      </c>
      <c r="B71" s="90" t="s">
        <v>219</v>
      </c>
      <c r="C71" s="73"/>
      <c r="D71" s="73"/>
      <c r="E71" s="73"/>
      <c r="F71" s="73"/>
      <c r="G71" s="73"/>
      <c r="H71" s="73"/>
      <c r="I71" s="86" t="s">
        <v>3</v>
      </c>
      <c r="J71" s="75">
        <f>E28</f>
        <v>0</v>
      </c>
      <c r="K71" s="133">
        <f>SUMIF(Orçamento!$B$1:$B$5,A71,Orçamento!$F$1:$F$5)-J71</f>
        <v>0</v>
      </c>
    </row>
    <row r="72" spans="1:12" x14ac:dyDescent="0.2">
      <c r="A72" s="314">
        <v>5213840</v>
      </c>
      <c r="B72" s="90" t="s">
        <v>181</v>
      </c>
      <c r="C72" s="73"/>
      <c r="D72" s="73"/>
      <c r="E72" s="73"/>
      <c r="F72" s="73"/>
      <c r="G72" s="73"/>
      <c r="H72" s="73"/>
      <c r="I72" s="86" t="s">
        <v>2</v>
      </c>
      <c r="J72" s="75">
        <f>E25</f>
        <v>0</v>
      </c>
      <c r="K72" s="133">
        <f>SUMIF(Orçamento!$B$1:$B$5,A72,Orçamento!$F$1:$F$5)-J72</f>
        <v>0</v>
      </c>
    </row>
    <row r="73" spans="1:12" x14ac:dyDescent="0.2">
      <c r="A73" s="315" t="s">
        <v>222</v>
      </c>
      <c r="B73" s="90" t="s">
        <v>185</v>
      </c>
      <c r="C73" s="73"/>
      <c r="D73" s="73"/>
      <c r="E73" s="73"/>
      <c r="F73" s="73"/>
      <c r="G73" s="73"/>
      <c r="H73" s="73"/>
      <c r="I73" s="86" t="s">
        <v>2</v>
      </c>
      <c r="J73" s="75">
        <f>E26</f>
        <v>0</v>
      </c>
      <c r="K73" s="133">
        <f>SUMIF(Orçamento!$B$1:$B$5,A73,Orçamento!$F$1:$F$5)-J73</f>
        <v>0</v>
      </c>
    </row>
    <row r="74" spans="1:12" x14ac:dyDescent="0.2">
      <c r="A74" s="314" t="s">
        <v>221</v>
      </c>
      <c r="B74" s="90" t="s">
        <v>217</v>
      </c>
      <c r="C74" s="73"/>
      <c r="D74" s="73"/>
      <c r="E74" s="73"/>
      <c r="F74" s="73"/>
      <c r="G74" s="73"/>
      <c r="H74" s="73"/>
      <c r="I74" s="86" t="s">
        <v>3</v>
      </c>
      <c r="J74" s="75">
        <f>E24</f>
        <v>0</v>
      </c>
      <c r="K74" s="133">
        <f>SUMIF(Orçamento!$B$1:$B$5,A74,Orçamento!$F$1:$F$5)-J74</f>
        <v>0</v>
      </c>
      <c r="L74" s="14" t="s">
        <v>218</v>
      </c>
    </row>
  </sheetData>
  <mergeCells count="15">
    <mergeCell ref="B32:J32"/>
    <mergeCell ref="B33:H33"/>
    <mergeCell ref="N6:N7"/>
    <mergeCell ref="Q6:U6"/>
    <mergeCell ref="V6:Z6"/>
    <mergeCell ref="A20:E20"/>
    <mergeCell ref="N20:P20"/>
    <mergeCell ref="A2:Z2"/>
    <mergeCell ref="A3:Z3"/>
    <mergeCell ref="A4:K4"/>
    <mergeCell ref="N4:Z4"/>
    <mergeCell ref="A6:A7"/>
    <mergeCell ref="B6:D6"/>
    <mergeCell ref="E6:E7"/>
    <mergeCell ref="F5:G6"/>
  </mergeCells>
  <phoneticPr fontId="51" type="noConversion"/>
  <conditionalFormatting sqref="I7 Q6:Q7 W8:Z8 R7:V8 G7:G8 O8 I8:M8 J10:J13 I14:J19 P14:P19 W10:W19 K9:K19 M9:M19 L10:L19 O10:O19 Q10:U19 V9:V19 Y10:Z19 X9:X19 G10:G19">
    <cfRule type="cellIs" dxfId="57" priority="357" stopIfTrue="1" operator="equal">
      <formula>"SUB"</formula>
    </cfRule>
    <cfRule type="cellIs" dxfId="56" priority="358" stopIfTrue="1" operator="equal">
      <formula>"RET"</formula>
    </cfRule>
  </conditionalFormatting>
  <conditionalFormatting sqref="I7 Q6:Q7 W8:Z8 R7:V8 G7:G8 O8 I8:M8 J10:J13 I14:J19 W10:W19 K9:K19 M9:M19 L10:L19 O10:O19 Q10:U19 V9:V19 Y10:Z19 X9:X19 G10:G19">
    <cfRule type="cellIs" dxfId="55" priority="355" operator="equal">
      <formula>"SUB"</formula>
    </cfRule>
    <cfRule type="cellIs" dxfId="54" priority="356" operator="equal">
      <formula>"RET"</formula>
    </cfRule>
  </conditionalFormatting>
  <conditionalFormatting sqref="W7:Z7">
    <cfRule type="cellIs" dxfId="53" priority="349" stopIfTrue="1" operator="equal">
      <formula>"SUB"</formula>
    </cfRule>
    <cfRule type="cellIs" dxfId="52" priority="350" stopIfTrue="1" operator="equal">
      <formula>"RET"</formula>
    </cfRule>
  </conditionalFormatting>
  <conditionalFormatting sqref="W7:Z7">
    <cfRule type="cellIs" dxfId="51" priority="347" operator="equal">
      <formula>"SUB"</formula>
    </cfRule>
    <cfRule type="cellIs" dxfId="50" priority="348" operator="equal">
      <formula>"RET"</formula>
    </cfRule>
  </conditionalFormatting>
  <conditionalFormatting sqref="P10:P13 P8:U8 L10:L13 I8:M8 J10:J13">
    <cfRule type="cellIs" dxfId="49" priority="307" stopIfTrue="1" operator="equal">
      <formula>"SUB"</formula>
    </cfRule>
    <cfRule type="cellIs" dxfId="48" priority="308" stopIfTrue="1" operator="equal">
      <formula>"RET"</formula>
    </cfRule>
  </conditionalFormatting>
  <conditionalFormatting sqref="Q8:U8">
    <cfRule type="cellIs" dxfId="47" priority="305" operator="equal">
      <formula>"SUB"</formula>
    </cfRule>
    <cfRule type="cellIs" dxfId="46" priority="306" operator="equal">
      <formula>"RET"</formula>
    </cfRule>
  </conditionalFormatting>
  <conditionalFormatting sqref="K7">
    <cfRule type="cellIs" dxfId="45" priority="25" stopIfTrue="1" operator="equal">
      <formula>"SUB"</formula>
    </cfRule>
    <cfRule type="cellIs" dxfId="44" priority="26" stopIfTrue="1" operator="equal">
      <formula>"RET"</formula>
    </cfRule>
  </conditionalFormatting>
  <conditionalFormatting sqref="K7">
    <cfRule type="cellIs" dxfId="43" priority="23" operator="equal">
      <formula>"SUB"</formula>
    </cfRule>
    <cfRule type="cellIs" dxfId="42" priority="24" operator="equal">
      <formula>"RET"</formula>
    </cfRule>
  </conditionalFormatting>
  <conditionalFormatting sqref="M7">
    <cfRule type="cellIs" dxfId="41" priority="21" stopIfTrue="1" operator="equal">
      <formula>"SUB"</formula>
    </cfRule>
    <cfRule type="cellIs" dxfId="40" priority="22" stopIfTrue="1" operator="equal">
      <formula>"RET"</formula>
    </cfRule>
  </conditionalFormatting>
  <conditionalFormatting sqref="M7">
    <cfRule type="cellIs" dxfId="39" priority="19" operator="equal">
      <formula>"SUB"</formula>
    </cfRule>
    <cfRule type="cellIs" dxfId="38" priority="20" operator="equal">
      <formula>"RET"</formula>
    </cfRule>
  </conditionalFormatting>
  <conditionalFormatting sqref="I9:J9 G9 O9 R9:U9 L9 W9 Y9:Z9 I10:I13">
    <cfRule type="cellIs" dxfId="37" priority="11" stopIfTrue="1" operator="equal">
      <formula>"SUB"</formula>
    </cfRule>
    <cfRule type="cellIs" dxfId="36" priority="12" stopIfTrue="1" operator="equal">
      <formula>"RET"</formula>
    </cfRule>
  </conditionalFormatting>
  <conditionalFormatting sqref="I9:J9 G9 O9 R9:U9 L9 W9 Y9:Z9 I10:I13">
    <cfRule type="cellIs" dxfId="35" priority="9" operator="equal">
      <formula>"SUB"</formula>
    </cfRule>
    <cfRule type="cellIs" dxfId="34" priority="10" operator="equal">
      <formula>"RET"</formula>
    </cfRule>
  </conditionalFormatting>
  <conditionalFormatting sqref="I9:J9 P9:Q9 S9 L9 I10:I13">
    <cfRule type="cellIs" dxfId="33" priority="7" stopIfTrue="1" operator="equal">
      <formula>"SUB"</formula>
    </cfRule>
    <cfRule type="cellIs" dxfId="32" priority="8" stopIfTrue="1" operator="equal">
      <formula>"RET"</formula>
    </cfRule>
  </conditionalFormatting>
  <conditionalFormatting sqref="Q9 S9">
    <cfRule type="cellIs" dxfId="31" priority="5" operator="equal">
      <formula>"SUB"</formula>
    </cfRule>
    <cfRule type="cellIs" dxfId="30" priority="6" operator="equal">
      <formula>"RET"</formula>
    </cfRule>
  </conditionalFormatting>
  <conditionalFormatting sqref="E8:E19">
    <cfRule type="cellIs" dxfId="29" priority="4" operator="lessThanOrEqual">
      <formula>0</formula>
    </cfRule>
  </conditionalFormatting>
  <conditionalFormatting sqref="A72">
    <cfRule type="containsErrors" dxfId="28" priority="3" stopIfTrue="1">
      <formula>ISERROR(A72)</formula>
    </cfRule>
  </conditionalFormatting>
  <conditionalFormatting sqref="A70:A71">
    <cfRule type="containsErrors" dxfId="27" priority="2" stopIfTrue="1">
      <formula>ISERROR(A70)</formula>
    </cfRule>
  </conditionalFormatting>
  <conditionalFormatting sqref="A74">
    <cfRule type="containsErrors" dxfId="26" priority="1" stopIfTrue="1">
      <formula>ISERROR(A74)</formula>
    </cfRule>
  </conditionalFormatting>
  <dataValidations disablePrompts="1" count="1">
    <dataValidation type="list" allowBlank="1" showInputMessage="1" showErrorMessage="1" sqref="A65538:A65546 IT65538:IT65546 SP65538:SP65546 ACL65538:ACL65546 AMH65538:AMH65546 AWD65538:AWD65546 BFZ65538:BFZ65546 BPV65538:BPV65546 BZR65538:BZR65546 CJN65538:CJN65546 CTJ65538:CTJ65546 DDF65538:DDF65546 DNB65538:DNB65546 DWX65538:DWX65546 EGT65538:EGT65546 EQP65538:EQP65546 FAL65538:FAL65546 FKH65538:FKH65546 FUD65538:FUD65546 GDZ65538:GDZ65546 GNV65538:GNV65546 GXR65538:GXR65546 HHN65538:HHN65546 HRJ65538:HRJ65546 IBF65538:IBF65546 ILB65538:ILB65546 IUX65538:IUX65546 JET65538:JET65546 JOP65538:JOP65546 JYL65538:JYL65546 KIH65538:KIH65546 KSD65538:KSD65546 LBZ65538:LBZ65546 LLV65538:LLV65546 LVR65538:LVR65546 MFN65538:MFN65546 MPJ65538:MPJ65546 MZF65538:MZF65546 NJB65538:NJB65546 NSX65538:NSX65546 OCT65538:OCT65546 OMP65538:OMP65546 OWL65538:OWL65546 PGH65538:PGH65546 PQD65538:PQD65546 PZZ65538:PZZ65546 QJV65538:QJV65546 QTR65538:QTR65546 RDN65538:RDN65546 RNJ65538:RNJ65546 RXF65538:RXF65546 SHB65538:SHB65546 SQX65538:SQX65546 TAT65538:TAT65546 TKP65538:TKP65546 TUL65538:TUL65546 UEH65538:UEH65546 UOD65538:UOD65546 UXZ65538:UXZ65546 VHV65538:VHV65546 VRR65538:VRR65546 WBN65538:WBN65546 WLJ65538:WLJ65546 WVF65538:WVF65546 A131074:A131082 IT131074:IT131082 SP131074:SP131082 ACL131074:ACL131082 AMH131074:AMH131082 AWD131074:AWD131082 BFZ131074:BFZ131082 BPV131074:BPV131082 BZR131074:BZR131082 CJN131074:CJN131082 CTJ131074:CTJ131082 DDF131074:DDF131082 DNB131074:DNB131082 DWX131074:DWX131082 EGT131074:EGT131082 EQP131074:EQP131082 FAL131074:FAL131082 FKH131074:FKH131082 FUD131074:FUD131082 GDZ131074:GDZ131082 GNV131074:GNV131082 GXR131074:GXR131082 HHN131074:HHN131082 HRJ131074:HRJ131082 IBF131074:IBF131082 ILB131074:ILB131082 IUX131074:IUX131082 JET131074:JET131082 JOP131074:JOP131082 JYL131074:JYL131082 KIH131074:KIH131082 KSD131074:KSD131082 LBZ131074:LBZ131082 LLV131074:LLV131082 LVR131074:LVR131082 MFN131074:MFN131082 MPJ131074:MPJ131082 MZF131074:MZF131082 NJB131074:NJB131082 NSX131074:NSX131082 OCT131074:OCT131082 OMP131074:OMP131082 OWL131074:OWL131082 PGH131074:PGH131082 PQD131074:PQD131082 PZZ131074:PZZ131082 QJV131074:QJV131082 QTR131074:QTR131082 RDN131074:RDN131082 RNJ131074:RNJ131082 RXF131074:RXF131082 SHB131074:SHB131082 SQX131074:SQX131082 TAT131074:TAT131082 TKP131074:TKP131082 TUL131074:TUL131082 UEH131074:UEH131082 UOD131074:UOD131082 UXZ131074:UXZ131082 VHV131074:VHV131082 VRR131074:VRR131082 WBN131074:WBN131082 WLJ131074:WLJ131082 WVF131074:WVF131082 A196610:A196618 IT196610:IT196618 SP196610:SP196618 ACL196610:ACL196618 AMH196610:AMH196618 AWD196610:AWD196618 BFZ196610:BFZ196618 BPV196610:BPV196618 BZR196610:BZR196618 CJN196610:CJN196618 CTJ196610:CTJ196618 DDF196610:DDF196618 DNB196610:DNB196618 DWX196610:DWX196618 EGT196610:EGT196618 EQP196610:EQP196618 FAL196610:FAL196618 FKH196610:FKH196618 FUD196610:FUD196618 GDZ196610:GDZ196618 GNV196610:GNV196618 GXR196610:GXR196618 HHN196610:HHN196618 HRJ196610:HRJ196618 IBF196610:IBF196618 ILB196610:ILB196618 IUX196610:IUX196618 JET196610:JET196618 JOP196610:JOP196618 JYL196610:JYL196618 KIH196610:KIH196618 KSD196610:KSD196618 LBZ196610:LBZ196618 LLV196610:LLV196618 LVR196610:LVR196618 MFN196610:MFN196618 MPJ196610:MPJ196618 MZF196610:MZF196618 NJB196610:NJB196618 NSX196610:NSX196618 OCT196610:OCT196618 OMP196610:OMP196618 OWL196610:OWL196618 PGH196610:PGH196618 PQD196610:PQD196618 PZZ196610:PZZ196618 QJV196610:QJV196618 QTR196610:QTR196618 RDN196610:RDN196618 RNJ196610:RNJ196618 RXF196610:RXF196618 SHB196610:SHB196618 SQX196610:SQX196618 TAT196610:TAT196618 TKP196610:TKP196618 TUL196610:TUL196618 UEH196610:UEH196618 UOD196610:UOD196618 UXZ196610:UXZ196618 VHV196610:VHV196618 VRR196610:VRR196618 WBN196610:WBN196618 WLJ196610:WLJ196618 WVF196610:WVF196618 A262146:A262154 IT262146:IT262154 SP262146:SP262154 ACL262146:ACL262154 AMH262146:AMH262154 AWD262146:AWD262154 BFZ262146:BFZ262154 BPV262146:BPV262154 BZR262146:BZR262154 CJN262146:CJN262154 CTJ262146:CTJ262154 DDF262146:DDF262154 DNB262146:DNB262154 DWX262146:DWX262154 EGT262146:EGT262154 EQP262146:EQP262154 FAL262146:FAL262154 FKH262146:FKH262154 FUD262146:FUD262154 GDZ262146:GDZ262154 GNV262146:GNV262154 GXR262146:GXR262154 HHN262146:HHN262154 HRJ262146:HRJ262154 IBF262146:IBF262154 ILB262146:ILB262154 IUX262146:IUX262154 JET262146:JET262154 JOP262146:JOP262154 JYL262146:JYL262154 KIH262146:KIH262154 KSD262146:KSD262154 LBZ262146:LBZ262154 LLV262146:LLV262154 LVR262146:LVR262154 MFN262146:MFN262154 MPJ262146:MPJ262154 MZF262146:MZF262154 NJB262146:NJB262154 NSX262146:NSX262154 OCT262146:OCT262154 OMP262146:OMP262154 OWL262146:OWL262154 PGH262146:PGH262154 PQD262146:PQD262154 PZZ262146:PZZ262154 QJV262146:QJV262154 QTR262146:QTR262154 RDN262146:RDN262154 RNJ262146:RNJ262154 RXF262146:RXF262154 SHB262146:SHB262154 SQX262146:SQX262154 TAT262146:TAT262154 TKP262146:TKP262154 TUL262146:TUL262154 UEH262146:UEH262154 UOD262146:UOD262154 UXZ262146:UXZ262154 VHV262146:VHV262154 VRR262146:VRR262154 WBN262146:WBN262154 WLJ262146:WLJ262154 WVF262146:WVF262154 A327682:A327690 IT327682:IT327690 SP327682:SP327690 ACL327682:ACL327690 AMH327682:AMH327690 AWD327682:AWD327690 BFZ327682:BFZ327690 BPV327682:BPV327690 BZR327682:BZR327690 CJN327682:CJN327690 CTJ327682:CTJ327690 DDF327682:DDF327690 DNB327682:DNB327690 DWX327682:DWX327690 EGT327682:EGT327690 EQP327682:EQP327690 FAL327682:FAL327690 FKH327682:FKH327690 FUD327682:FUD327690 GDZ327682:GDZ327690 GNV327682:GNV327690 GXR327682:GXR327690 HHN327682:HHN327690 HRJ327682:HRJ327690 IBF327682:IBF327690 ILB327682:ILB327690 IUX327682:IUX327690 JET327682:JET327690 JOP327682:JOP327690 JYL327682:JYL327690 KIH327682:KIH327690 KSD327682:KSD327690 LBZ327682:LBZ327690 LLV327682:LLV327690 LVR327682:LVR327690 MFN327682:MFN327690 MPJ327682:MPJ327690 MZF327682:MZF327690 NJB327682:NJB327690 NSX327682:NSX327690 OCT327682:OCT327690 OMP327682:OMP327690 OWL327682:OWL327690 PGH327682:PGH327690 PQD327682:PQD327690 PZZ327682:PZZ327690 QJV327682:QJV327690 QTR327682:QTR327690 RDN327682:RDN327690 RNJ327682:RNJ327690 RXF327682:RXF327690 SHB327682:SHB327690 SQX327682:SQX327690 TAT327682:TAT327690 TKP327682:TKP327690 TUL327682:TUL327690 UEH327682:UEH327690 UOD327682:UOD327690 UXZ327682:UXZ327690 VHV327682:VHV327690 VRR327682:VRR327690 WBN327682:WBN327690 WLJ327682:WLJ327690 WVF327682:WVF327690 A393218:A393226 IT393218:IT393226 SP393218:SP393226 ACL393218:ACL393226 AMH393218:AMH393226 AWD393218:AWD393226 BFZ393218:BFZ393226 BPV393218:BPV393226 BZR393218:BZR393226 CJN393218:CJN393226 CTJ393218:CTJ393226 DDF393218:DDF393226 DNB393218:DNB393226 DWX393218:DWX393226 EGT393218:EGT393226 EQP393218:EQP393226 FAL393218:FAL393226 FKH393218:FKH393226 FUD393218:FUD393226 GDZ393218:GDZ393226 GNV393218:GNV393226 GXR393218:GXR393226 HHN393218:HHN393226 HRJ393218:HRJ393226 IBF393218:IBF393226 ILB393218:ILB393226 IUX393218:IUX393226 JET393218:JET393226 JOP393218:JOP393226 JYL393218:JYL393226 KIH393218:KIH393226 KSD393218:KSD393226 LBZ393218:LBZ393226 LLV393218:LLV393226 LVR393218:LVR393226 MFN393218:MFN393226 MPJ393218:MPJ393226 MZF393218:MZF393226 NJB393218:NJB393226 NSX393218:NSX393226 OCT393218:OCT393226 OMP393218:OMP393226 OWL393218:OWL393226 PGH393218:PGH393226 PQD393218:PQD393226 PZZ393218:PZZ393226 QJV393218:QJV393226 QTR393218:QTR393226 RDN393218:RDN393226 RNJ393218:RNJ393226 RXF393218:RXF393226 SHB393218:SHB393226 SQX393218:SQX393226 TAT393218:TAT393226 TKP393218:TKP393226 TUL393218:TUL393226 UEH393218:UEH393226 UOD393218:UOD393226 UXZ393218:UXZ393226 VHV393218:VHV393226 VRR393218:VRR393226 WBN393218:WBN393226 WLJ393218:WLJ393226 WVF393218:WVF393226 A458754:A458762 IT458754:IT458762 SP458754:SP458762 ACL458754:ACL458762 AMH458754:AMH458762 AWD458754:AWD458762 BFZ458754:BFZ458762 BPV458754:BPV458762 BZR458754:BZR458762 CJN458754:CJN458762 CTJ458754:CTJ458762 DDF458754:DDF458762 DNB458754:DNB458762 DWX458754:DWX458762 EGT458754:EGT458762 EQP458754:EQP458762 FAL458754:FAL458762 FKH458754:FKH458762 FUD458754:FUD458762 GDZ458754:GDZ458762 GNV458754:GNV458762 GXR458754:GXR458762 HHN458754:HHN458762 HRJ458754:HRJ458762 IBF458754:IBF458762 ILB458754:ILB458762 IUX458754:IUX458762 JET458754:JET458762 JOP458754:JOP458762 JYL458754:JYL458762 KIH458754:KIH458762 KSD458754:KSD458762 LBZ458754:LBZ458762 LLV458754:LLV458762 LVR458754:LVR458762 MFN458754:MFN458762 MPJ458754:MPJ458762 MZF458754:MZF458762 NJB458754:NJB458762 NSX458754:NSX458762 OCT458754:OCT458762 OMP458754:OMP458762 OWL458754:OWL458762 PGH458754:PGH458762 PQD458754:PQD458762 PZZ458754:PZZ458762 QJV458754:QJV458762 QTR458754:QTR458762 RDN458754:RDN458762 RNJ458754:RNJ458762 RXF458754:RXF458762 SHB458754:SHB458762 SQX458754:SQX458762 TAT458754:TAT458762 TKP458754:TKP458762 TUL458754:TUL458762 UEH458754:UEH458762 UOD458754:UOD458762 UXZ458754:UXZ458762 VHV458754:VHV458762 VRR458754:VRR458762 WBN458754:WBN458762 WLJ458754:WLJ458762 WVF458754:WVF458762 A524290:A524298 IT524290:IT524298 SP524290:SP524298 ACL524290:ACL524298 AMH524290:AMH524298 AWD524290:AWD524298 BFZ524290:BFZ524298 BPV524290:BPV524298 BZR524290:BZR524298 CJN524290:CJN524298 CTJ524290:CTJ524298 DDF524290:DDF524298 DNB524290:DNB524298 DWX524290:DWX524298 EGT524290:EGT524298 EQP524290:EQP524298 FAL524290:FAL524298 FKH524290:FKH524298 FUD524290:FUD524298 GDZ524290:GDZ524298 GNV524290:GNV524298 GXR524290:GXR524298 HHN524290:HHN524298 HRJ524290:HRJ524298 IBF524290:IBF524298 ILB524290:ILB524298 IUX524290:IUX524298 JET524290:JET524298 JOP524290:JOP524298 JYL524290:JYL524298 KIH524290:KIH524298 KSD524290:KSD524298 LBZ524290:LBZ524298 LLV524290:LLV524298 LVR524290:LVR524298 MFN524290:MFN524298 MPJ524290:MPJ524298 MZF524290:MZF524298 NJB524290:NJB524298 NSX524290:NSX524298 OCT524290:OCT524298 OMP524290:OMP524298 OWL524290:OWL524298 PGH524290:PGH524298 PQD524290:PQD524298 PZZ524290:PZZ524298 QJV524290:QJV524298 QTR524290:QTR524298 RDN524290:RDN524298 RNJ524290:RNJ524298 RXF524290:RXF524298 SHB524290:SHB524298 SQX524290:SQX524298 TAT524290:TAT524298 TKP524290:TKP524298 TUL524290:TUL524298 UEH524290:UEH524298 UOD524290:UOD524298 UXZ524290:UXZ524298 VHV524290:VHV524298 VRR524290:VRR524298 WBN524290:WBN524298 WLJ524290:WLJ524298 WVF524290:WVF524298 A589826:A589834 IT589826:IT589834 SP589826:SP589834 ACL589826:ACL589834 AMH589826:AMH589834 AWD589826:AWD589834 BFZ589826:BFZ589834 BPV589826:BPV589834 BZR589826:BZR589834 CJN589826:CJN589834 CTJ589826:CTJ589834 DDF589826:DDF589834 DNB589826:DNB589834 DWX589826:DWX589834 EGT589826:EGT589834 EQP589826:EQP589834 FAL589826:FAL589834 FKH589826:FKH589834 FUD589826:FUD589834 GDZ589826:GDZ589834 GNV589826:GNV589834 GXR589826:GXR589834 HHN589826:HHN589834 HRJ589826:HRJ589834 IBF589826:IBF589834 ILB589826:ILB589834 IUX589826:IUX589834 JET589826:JET589834 JOP589826:JOP589834 JYL589826:JYL589834 KIH589826:KIH589834 KSD589826:KSD589834 LBZ589826:LBZ589834 LLV589826:LLV589834 LVR589826:LVR589834 MFN589826:MFN589834 MPJ589826:MPJ589834 MZF589826:MZF589834 NJB589826:NJB589834 NSX589826:NSX589834 OCT589826:OCT589834 OMP589826:OMP589834 OWL589826:OWL589834 PGH589826:PGH589834 PQD589826:PQD589834 PZZ589826:PZZ589834 QJV589826:QJV589834 QTR589826:QTR589834 RDN589826:RDN589834 RNJ589826:RNJ589834 RXF589826:RXF589834 SHB589826:SHB589834 SQX589826:SQX589834 TAT589826:TAT589834 TKP589826:TKP589834 TUL589826:TUL589834 UEH589826:UEH589834 UOD589826:UOD589834 UXZ589826:UXZ589834 VHV589826:VHV589834 VRR589826:VRR589834 WBN589826:WBN589834 WLJ589826:WLJ589834 WVF589826:WVF589834 A655362:A655370 IT655362:IT655370 SP655362:SP655370 ACL655362:ACL655370 AMH655362:AMH655370 AWD655362:AWD655370 BFZ655362:BFZ655370 BPV655362:BPV655370 BZR655362:BZR655370 CJN655362:CJN655370 CTJ655362:CTJ655370 DDF655362:DDF655370 DNB655362:DNB655370 DWX655362:DWX655370 EGT655362:EGT655370 EQP655362:EQP655370 FAL655362:FAL655370 FKH655362:FKH655370 FUD655362:FUD655370 GDZ655362:GDZ655370 GNV655362:GNV655370 GXR655362:GXR655370 HHN655362:HHN655370 HRJ655362:HRJ655370 IBF655362:IBF655370 ILB655362:ILB655370 IUX655362:IUX655370 JET655362:JET655370 JOP655362:JOP655370 JYL655362:JYL655370 KIH655362:KIH655370 KSD655362:KSD655370 LBZ655362:LBZ655370 LLV655362:LLV655370 LVR655362:LVR655370 MFN655362:MFN655370 MPJ655362:MPJ655370 MZF655362:MZF655370 NJB655362:NJB655370 NSX655362:NSX655370 OCT655362:OCT655370 OMP655362:OMP655370 OWL655362:OWL655370 PGH655362:PGH655370 PQD655362:PQD655370 PZZ655362:PZZ655370 QJV655362:QJV655370 QTR655362:QTR655370 RDN655362:RDN655370 RNJ655362:RNJ655370 RXF655362:RXF655370 SHB655362:SHB655370 SQX655362:SQX655370 TAT655362:TAT655370 TKP655362:TKP655370 TUL655362:TUL655370 UEH655362:UEH655370 UOD655362:UOD655370 UXZ655362:UXZ655370 VHV655362:VHV655370 VRR655362:VRR655370 WBN655362:WBN655370 WLJ655362:WLJ655370 WVF655362:WVF655370 A720898:A720906 IT720898:IT720906 SP720898:SP720906 ACL720898:ACL720906 AMH720898:AMH720906 AWD720898:AWD720906 BFZ720898:BFZ720906 BPV720898:BPV720906 BZR720898:BZR720906 CJN720898:CJN720906 CTJ720898:CTJ720906 DDF720898:DDF720906 DNB720898:DNB720906 DWX720898:DWX720906 EGT720898:EGT720906 EQP720898:EQP720906 FAL720898:FAL720906 FKH720898:FKH720906 FUD720898:FUD720906 GDZ720898:GDZ720906 GNV720898:GNV720906 GXR720898:GXR720906 HHN720898:HHN720906 HRJ720898:HRJ720906 IBF720898:IBF720906 ILB720898:ILB720906 IUX720898:IUX720906 JET720898:JET720906 JOP720898:JOP720906 JYL720898:JYL720906 KIH720898:KIH720906 KSD720898:KSD720906 LBZ720898:LBZ720906 LLV720898:LLV720906 LVR720898:LVR720906 MFN720898:MFN720906 MPJ720898:MPJ720906 MZF720898:MZF720906 NJB720898:NJB720906 NSX720898:NSX720906 OCT720898:OCT720906 OMP720898:OMP720906 OWL720898:OWL720906 PGH720898:PGH720906 PQD720898:PQD720906 PZZ720898:PZZ720906 QJV720898:QJV720906 QTR720898:QTR720906 RDN720898:RDN720906 RNJ720898:RNJ720906 RXF720898:RXF720906 SHB720898:SHB720906 SQX720898:SQX720906 TAT720898:TAT720906 TKP720898:TKP720906 TUL720898:TUL720906 UEH720898:UEH720906 UOD720898:UOD720906 UXZ720898:UXZ720906 VHV720898:VHV720906 VRR720898:VRR720906 WBN720898:WBN720906 WLJ720898:WLJ720906 WVF720898:WVF720906 A786434:A786442 IT786434:IT786442 SP786434:SP786442 ACL786434:ACL786442 AMH786434:AMH786442 AWD786434:AWD786442 BFZ786434:BFZ786442 BPV786434:BPV786442 BZR786434:BZR786442 CJN786434:CJN786442 CTJ786434:CTJ786442 DDF786434:DDF786442 DNB786434:DNB786442 DWX786434:DWX786442 EGT786434:EGT786442 EQP786434:EQP786442 FAL786434:FAL786442 FKH786434:FKH786442 FUD786434:FUD786442 GDZ786434:GDZ786442 GNV786434:GNV786442 GXR786434:GXR786442 HHN786434:HHN786442 HRJ786434:HRJ786442 IBF786434:IBF786442 ILB786434:ILB786442 IUX786434:IUX786442 JET786434:JET786442 JOP786434:JOP786442 JYL786434:JYL786442 KIH786434:KIH786442 KSD786434:KSD786442 LBZ786434:LBZ786442 LLV786434:LLV786442 LVR786434:LVR786442 MFN786434:MFN786442 MPJ786434:MPJ786442 MZF786434:MZF786442 NJB786434:NJB786442 NSX786434:NSX786442 OCT786434:OCT786442 OMP786434:OMP786442 OWL786434:OWL786442 PGH786434:PGH786442 PQD786434:PQD786442 PZZ786434:PZZ786442 QJV786434:QJV786442 QTR786434:QTR786442 RDN786434:RDN786442 RNJ786434:RNJ786442 RXF786434:RXF786442 SHB786434:SHB786442 SQX786434:SQX786442 TAT786434:TAT786442 TKP786434:TKP786442 TUL786434:TUL786442 UEH786434:UEH786442 UOD786434:UOD786442 UXZ786434:UXZ786442 VHV786434:VHV786442 VRR786434:VRR786442 WBN786434:WBN786442 WLJ786434:WLJ786442 WVF786434:WVF786442 A851970:A851978 IT851970:IT851978 SP851970:SP851978 ACL851970:ACL851978 AMH851970:AMH851978 AWD851970:AWD851978 BFZ851970:BFZ851978 BPV851970:BPV851978 BZR851970:BZR851978 CJN851970:CJN851978 CTJ851970:CTJ851978 DDF851970:DDF851978 DNB851970:DNB851978 DWX851970:DWX851978 EGT851970:EGT851978 EQP851970:EQP851978 FAL851970:FAL851978 FKH851970:FKH851978 FUD851970:FUD851978 GDZ851970:GDZ851978 GNV851970:GNV851978 GXR851970:GXR851978 HHN851970:HHN851978 HRJ851970:HRJ851978 IBF851970:IBF851978 ILB851970:ILB851978 IUX851970:IUX851978 JET851970:JET851978 JOP851970:JOP851978 JYL851970:JYL851978 KIH851970:KIH851978 KSD851970:KSD851978 LBZ851970:LBZ851978 LLV851970:LLV851978 LVR851970:LVR851978 MFN851970:MFN851978 MPJ851970:MPJ851978 MZF851970:MZF851978 NJB851970:NJB851978 NSX851970:NSX851978 OCT851970:OCT851978 OMP851970:OMP851978 OWL851970:OWL851978 PGH851970:PGH851978 PQD851970:PQD851978 PZZ851970:PZZ851978 QJV851970:QJV851978 QTR851970:QTR851978 RDN851970:RDN851978 RNJ851970:RNJ851978 RXF851970:RXF851978 SHB851970:SHB851978 SQX851970:SQX851978 TAT851970:TAT851978 TKP851970:TKP851978 TUL851970:TUL851978 UEH851970:UEH851978 UOD851970:UOD851978 UXZ851970:UXZ851978 VHV851970:VHV851978 VRR851970:VRR851978 WBN851970:WBN851978 WLJ851970:WLJ851978 WVF851970:WVF851978 A917506:A917514 IT917506:IT917514 SP917506:SP917514 ACL917506:ACL917514 AMH917506:AMH917514 AWD917506:AWD917514 BFZ917506:BFZ917514 BPV917506:BPV917514 BZR917506:BZR917514 CJN917506:CJN917514 CTJ917506:CTJ917514 DDF917506:DDF917514 DNB917506:DNB917514 DWX917506:DWX917514 EGT917506:EGT917514 EQP917506:EQP917514 FAL917506:FAL917514 FKH917506:FKH917514 FUD917506:FUD917514 GDZ917506:GDZ917514 GNV917506:GNV917514 GXR917506:GXR917514 HHN917506:HHN917514 HRJ917506:HRJ917514 IBF917506:IBF917514 ILB917506:ILB917514 IUX917506:IUX917514 JET917506:JET917514 JOP917506:JOP917514 JYL917506:JYL917514 KIH917506:KIH917514 KSD917506:KSD917514 LBZ917506:LBZ917514 LLV917506:LLV917514 LVR917506:LVR917514 MFN917506:MFN917514 MPJ917506:MPJ917514 MZF917506:MZF917514 NJB917506:NJB917514 NSX917506:NSX917514 OCT917506:OCT917514 OMP917506:OMP917514 OWL917506:OWL917514 PGH917506:PGH917514 PQD917506:PQD917514 PZZ917506:PZZ917514 QJV917506:QJV917514 QTR917506:QTR917514 RDN917506:RDN917514 RNJ917506:RNJ917514 RXF917506:RXF917514 SHB917506:SHB917514 SQX917506:SQX917514 TAT917506:TAT917514 TKP917506:TKP917514 TUL917506:TUL917514 UEH917506:UEH917514 UOD917506:UOD917514 UXZ917506:UXZ917514 VHV917506:VHV917514 VRR917506:VRR917514 WBN917506:WBN917514 WLJ917506:WLJ917514 WVF917506:WVF917514 A983042:A983050 IT983042:IT983050 SP983042:SP983050 ACL983042:ACL983050 AMH983042:AMH983050 AWD983042:AWD983050 BFZ983042:BFZ983050 BPV983042:BPV983050 BZR983042:BZR983050 CJN983042:CJN983050 CTJ983042:CTJ983050 DDF983042:DDF983050 DNB983042:DNB983050 DWX983042:DWX983050 EGT983042:EGT983050 EQP983042:EQP983050 FAL983042:FAL983050 FKH983042:FKH983050 FUD983042:FUD983050 GDZ983042:GDZ983050 GNV983042:GNV983050 GXR983042:GXR983050 HHN983042:HHN983050 HRJ983042:HRJ983050 IBF983042:IBF983050 ILB983042:ILB983050 IUX983042:IUX983050 JET983042:JET983050 JOP983042:JOP983050 JYL983042:JYL983050 KIH983042:KIH983050 KSD983042:KSD983050 LBZ983042:LBZ983050 LLV983042:LLV983050 LVR983042:LVR983050 MFN983042:MFN983050 MPJ983042:MPJ983050 MZF983042:MZF983050 NJB983042:NJB983050 NSX983042:NSX983050 OCT983042:OCT983050 OMP983042:OMP983050 OWL983042:OWL983050 PGH983042:PGH983050 PQD983042:PQD983050 PZZ983042:PZZ983050 QJV983042:QJV983050 QTR983042:QTR983050 RDN983042:RDN983050 RNJ983042:RNJ983050 RXF983042:RXF983050 SHB983042:SHB983050 SQX983042:SQX983050 TAT983042:TAT983050 TKP983042:TKP983050 TUL983042:TUL983050 UEH983042:UEH983050 UOD983042:UOD983050 UXZ983042:UXZ983050 VHV983042:VHV983050 VRR983042:VRR983050 WBN983042:WBN983050 WLJ983042:WLJ983050 WVF983042:WVF983050" xr:uid="{00000000-0002-0000-0800-000000000000}">
      <formula1>TIPOS</formula1>
    </dataValidation>
  </dataValidations>
  <pageMargins left="0.511811024" right="0.511811024" top="0.78740157499999996" bottom="0.78740157499999996" header="0.31496062000000002" footer="0.31496062000000002"/>
  <pageSetup paperSize="9" scale="83" fitToHeight="0" orientation="portrait" r:id="rId1"/>
  <ignoredErrors>
    <ignoredError sqref="O8 O14 O15 O16:O19"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dimension ref="A1:O18"/>
  <sheetViews>
    <sheetView zoomScaleNormal="100" zoomScaleSheetLayoutView="100" workbookViewId="0">
      <selection activeCell="C10" sqref="C10"/>
    </sheetView>
  </sheetViews>
  <sheetFormatPr defaultRowHeight="12.75" x14ac:dyDescent="0.2"/>
  <cols>
    <col min="1" max="1" width="9.140625" style="14"/>
    <col min="2" max="2" width="2.7109375" style="14" customWidth="1"/>
    <col min="3" max="3" width="14.140625" style="14" customWidth="1"/>
    <col min="4" max="8" width="9.140625" style="14"/>
    <col min="9" max="9" width="32.7109375" style="14" customWidth="1"/>
    <col min="10" max="249" width="9.140625" style="14"/>
    <col min="250" max="250" width="2.7109375" style="14" customWidth="1"/>
    <col min="251" max="256" width="9.140625" style="14"/>
    <col min="257" max="257" width="9.7109375" style="14" bestFit="1" customWidth="1"/>
    <col min="258" max="505" width="9.140625" style="14"/>
    <col min="506" max="506" width="2.7109375" style="14" customWidth="1"/>
    <col min="507" max="512" width="9.140625" style="14"/>
    <col min="513" max="513" width="9.7109375" style="14" bestFit="1" customWidth="1"/>
    <col min="514" max="761" width="9.140625" style="14"/>
    <col min="762" max="762" width="2.7109375" style="14" customWidth="1"/>
    <col min="763" max="768" width="9.140625" style="14"/>
    <col min="769" max="769" width="9.7109375" style="14" bestFit="1" customWidth="1"/>
    <col min="770" max="1017" width="9.140625" style="14"/>
    <col min="1018" max="1018" width="2.7109375" style="14" customWidth="1"/>
    <col min="1019" max="1024" width="9.140625" style="14"/>
    <col min="1025" max="1025" width="9.7109375" style="14" bestFit="1" customWidth="1"/>
    <col min="1026" max="1273" width="9.140625" style="14"/>
    <col min="1274" max="1274" width="2.7109375" style="14" customWidth="1"/>
    <col min="1275" max="1280" width="9.140625" style="14"/>
    <col min="1281" max="1281" width="9.7109375" style="14" bestFit="1" customWidth="1"/>
    <col min="1282" max="1529" width="9.140625" style="14"/>
    <col min="1530" max="1530" width="2.7109375" style="14" customWidth="1"/>
    <col min="1531" max="1536" width="9.140625" style="14"/>
    <col min="1537" max="1537" width="9.7109375" style="14" bestFit="1" customWidth="1"/>
    <col min="1538" max="1785" width="9.140625" style="14"/>
    <col min="1786" max="1786" width="2.7109375" style="14" customWidth="1"/>
    <col min="1787" max="1792" width="9.140625" style="14"/>
    <col min="1793" max="1793" width="9.7109375" style="14" bestFit="1" customWidth="1"/>
    <col min="1794" max="2041" width="9.140625" style="14"/>
    <col min="2042" max="2042" width="2.7109375" style="14" customWidth="1"/>
    <col min="2043" max="2048" width="9.140625" style="14"/>
    <col min="2049" max="2049" width="9.7109375" style="14" bestFit="1" customWidth="1"/>
    <col min="2050" max="2297" width="9.140625" style="14"/>
    <col min="2298" max="2298" width="2.7109375" style="14" customWidth="1"/>
    <col min="2299" max="2304" width="9.140625" style="14"/>
    <col min="2305" max="2305" width="9.7109375" style="14" bestFit="1" customWidth="1"/>
    <col min="2306" max="2553" width="9.140625" style="14"/>
    <col min="2554" max="2554" width="2.7109375" style="14" customWidth="1"/>
    <col min="2555" max="2560" width="9.140625" style="14"/>
    <col min="2561" max="2561" width="9.7109375" style="14" bestFit="1" customWidth="1"/>
    <col min="2562" max="2809" width="9.140625" style="14"/>
    <col min="2810" max="2810" width="2.7109375" style="14" customWidth="1"/>
    <col min="2811" max="2816" width="9.140625" style="14"/>
    <col min="2817" max="2817" width="9.7109375" style="14" bestFit="1" customWidth="1"/>
    <col min="2818" max="3065" width="9.140625" style="14"/>
    <col min="3066" max="3066" width="2.7109375" style="14" customWidth="1"/>
    <col min="3067" max="3072" width="9.140625" style="14"/>
    <col min="3073" max="3073" width="9.7109375" style="14" bestFit="1" customWidth="1"/>
    <col min="3074" max="3321" width="9.140625" style="14"/>
    <col min="3322" max="3322" width="2.7109375" style="14" customWidth="1"/>
    <col min="3323" max="3328" width="9.140625" style="14"/>
    <col min="3329" max="3329" width="9.7109375" style="14" bestFit="1" customWidth="1"/>
    <col min="3330" max="3577" width="9.140625" style="14"/>
    <col min="3578" max="3578" width="2.7109375" style="14" customWidth="1"/>
    <col min="3579" max="3584" width="9.140625" style="14"/>
    <col min="3585" max="3585" width="9.7109375" style="14" bestFit="1" customWidth="1"/>
    <col min="3586" max="3833" width="9.140625" style="14"/>
    <col min="3834" max="3834" width="2.7109375" style="14" customWidth="1"/>
    <col min="3835" max="3840" width="9.140625" style="14"/>
    <col min="3841" max="3841" width="9.7109375" style="14" bestFit="1" customWidth="1"/>
    <col min="3842" max="4089" width="9.140625" style="14"/>
    <col min="4090" max="4090" width="2.7109375" style="14" customWidth="1"/>
    <col min="4091" max="4096" width="9.140625" style="14"/>
    <col min="4097" max="4097" width="9.7109375" style="14" bestFit="1" customWidth="1"/>
    <col min="4098" max="4345" width="9.140625" style="14"/>
    <col min="4346" max="4346" width="2.7109375" style="14" customWidth="1"/>
    <col min="4347" max="4352" width="9.140625" style="14"/>
    <col min="4353" max="4353" width="9.7109375" style="14" bestFit="1" customWidth="1"/>
    <col min="4354" max="4601" width="9.140625" style="14"/>
    <col min="4602" max="4602" width="2.7109375" style="14" customWidth="1"/>
    <col min="4603" max="4608" width="9.140625" style="14"/>
    <col min="4609" max="4609" width="9.7109375" style="14" bestFit="1" customWidth="1"/>
    <col min="4610" max="4857" width="9.140625" style="14"/>
    <col min="4858" max="4858" width="2.7109375" style="14" customWidth="1"/>
    <col min="4859" max="4864" width="9.140625" style="14"/>
    <col min="4865" max="4865" width="9.7109375" style="14" bestFit="1" customWidth="1"/>
    <col min="4866" max="5113" width="9.140625" style="14"/>
    <col min="5114" max="5114" width="2.7109375" style="14" customWidth="1"/>
    <col min="5115" max="5120" width="9.140625" style="14"/>
    <col min="5121" max="5121" width="9.7109375" style="14" bestFit="1" customWidth="1"/>
    <col min="5122" max="5369" width="9.140625" style="14"/>
    <col min="5370" max="5370" width="2.7109375" style="14" customWidth="1"/>
    <col min="5371" max="5376" width="9.140625" style="14"/>
    <col min="5377" max="5377" width="9.7109375" style="14" bestFit="1" customWidth="1"/>
    <col min="5378" max="5625" width="9.140625" style="14"/>
    <col min="5626" max="5626" width="2.7109375" style="14" customWidth="1"/>
    <col min="5627" max="5632" width="9.140625" style="14"/>
    <col min="5633" max="5633" width="9.7109375" style="14" bestFit="1" customWidth="1"/>
    <col min="5634" max="5881" width="9.140625" style="14"/>
    <col min="5882" max="5882" width="2.7109375" style="14" customWidth="1"/>
    <col min="5883" max="5888" width="9.140625" style="14"/>
    <col min="5889" max="5889" width="9.7109375" style="14" bestFit="1" customWidth="1"/>
    <col min="5890" max="6137" width="9.140625" style="14"/>
    <col min="6138" max="6138" width="2.7109375" style="14" customWidth="1"/>
    <col min="6139" max="6144" width="9.140625" style="14"/>
    <col min="6145" max="6145" width="9.7109375" style="14" bestFit="1" customWidth="1"/>
    <col min="6146" max="6393" width="9.140625" style="14"/>
    <col min="6394" max="6394" width="2.7109375" style="14" customWidth="1"/>
    <col min="6395" max="6400" width="9.140625" style="14"/>
    <col min="6401" max="6401" width="9.7109375" style="14" bestFit="1" customWidth="1"/>
    <col min="6402" max="6649" width="9.140625" style="14"/>
    <col min="6650" max="6650" width="2.7109375" style="14" customWidth="1"/>
    <col min="6651" max="6656" width="9.140625" style="14"/>
    <col min="6657" max="6657" width="9.7109375" style="14" bestFit="1" customWidth="1"/>
    <col min="6658" max="6905" width="9.140625" style="14"/>
    <col min="6906" max="6906" width="2.7109375" style="14" customWidth="1"/>
    <col min="6907" max="6912" width="9.140625" style="14"/>
    <col min="6913" max="6913" width="9.7109375" style="14" bestFit="1" customWidth="1"/>
    <col min="6914" max="7161" width="9.140625" style="14"/>
    <col min="7162" max="7162" width="2.7109375" style="14" customWidth="1"/>
    <col min="7163" max="7168" width="9.140625" style="14"/>
    <col min="7169" max="7169" width="9.7109375" style="14" bestFit="1" customWidth="1"/>
    <col min="7170" max="7417" width="9.140625" style="14"/>
    <col min="7418" max="7418" width="2.7109375" style="14" customWidth="1"/>
    <col min="7419" max="7424" width="9.140625" style="14"/>
    <col min="7425" max="7425" width="9.7109375" style="14" bestFit="1" customWidth="1"/>
    <col min="7426" max="7673" width="9.140625" style="14"/>
    <col min="7674" max="7674" width="2.7109375" style="14" customWidth="1"/>
    <col min="7675" max="7680" width="9.140625" style="14"/>
    <col min="7681" max="7681" width="9.7109375" style="14" bestFit="1" customWidth="1"/>
    <col min="7682" max="7929" width="9.140625" style="14"/>
    <col min="7930" max="7930" width="2.7109375" style="14" customWidth="1"/>
    <col min="7931" max="7936" width="9.140625" style="14"/>
    <col min="7937" max="7937" width="9.7109375" style="14" bestFit="1" customWidth="1"/>
    <col min="7938" max="8185" width="9.140625" style="14"/>
    <col min="8186" max="8186" width="2.7109375" style="14" customWidth="1"/>
    <col min="8187" max="8192" width="9.140625" style="14"/>
    <col min="8193" max="8193" width="9.7109375" style="14" bestFit="1" customWidth="1"/>
    <col min="8194" max="8441" width="9.140625" style="14"/>
    <col min="8442" max="8442" width="2.7109375" style="14" customWidth="1"/>
    <col min="8443" max="8448" width="9.140625" style="14"/>
    <col min="8449" max="8449" width="9.7109375" style="14" bestFit="1" customWidth="1"/>
    <col min="8450" max="8697" width="9.140625" style="14"/>
    <col min="8698" max="8698" width="2.7109375" style="14" customWidth="1"/>
    <col min="8699" max="8704" width="9.140625" style="14"/>
    <col min="8705" max="8705" width="9.7109375" style="14" bestFit="1" customWidth="1"/>
    <col min="8706" max="8953" width="9.140625" style="14"/>
    <col min="8954" max="8954" width="2.7109375" style="14" customWidth="1"/>
    <col min="8955" max="8960" width="9.140625" style="14"/>
    <col min="8961" max="8961" width="9.7109375" style="14" bestFit="1" customWidth="1"/>
    <col min="8962" max="9209" width="9.140625" style="14"/>
    <col min="9210" max="9210" width="2.7109375" style="14" customWidth="1"/>
    <col min="9211" max="9216" width="9.140625" style="14"/>
    <col min="9217" max="9217" width="9.7109375" style="14" bestFit="1" customWidth="1"/>
    <col min="9218" max="9465" width="9.140625" style="14"/>
    <col min="9466" max="9466" width="2.7109375" style="14" customWidth="1"/>
    <col min="9467" max="9472" width="9.140625" style="14"/>
    <col min="9473" max="9473" width="9.7109375" style="14" bestFit="1" customWidth="1"/>
    <col min="9474" max="9721" width="9.140625" style="14"/>
    <col min="9722" max="9722" width="2.7109375" style="14" customWidth="1"/>
    <col min="9723" max="9728" width="9.140625" style="14"/>
    <col min="9729" max="9729" width="9.7109375" style="14" bestFit="1" customWidth="1"/>
    <col min="9730" max="9977" width="9.140625" style="14"/>
    <col min="9978" max="9978" width="2.7109375" style="14" customWidth="1"/>
    <col min="9979" max="9984" width="9.140625" style="14"/>
    <col min="9985" max="9985" width="9.7109375" style="14" bestFit="1" customWidth="1"/>
    <col min="9986" max="10233" width="9.140625" style="14"/>
    <col min="10234" max="10234" width="2.7109375" style="14" customWidth="1"/>
    <col min="10235" max="10240" width="9.140625" style="14"/>
    <col min="10241" max="10241" width="9.7109375" style="14" bestFit="1" customWidth="1"/>
    <col min="10242" max="10489" width="9.140625" style="14"/>
    <col min="10490" max="10490" width="2.7109375" style="14" customWidth="1"/>
    <col min="10491" max="10496" width="9.140625" style="14"/>
    <col min="10497" max="10497" width="9.7109375" style="14" bestFit="1" customWidth="1"/>
    <col min="10498" max="10745" width="9.140625" style="14"/>
    <col min="10746" max="10746" width="2.7109375" style="14" customWidth="1"/>
    <col min="10747" max="10752" width="9.140625" style="14"/>
    <col min="10753" max="10753" width="9.7109375" style="14" bestFit="1" customWidth="1"/>
    <col min="10754" max="11001" width="9.140625" style="14"/>
    <col min="11002" max="11002" width="2.7109375" style="14" customWidth="1"/>
    <col min="11003" max="11008" width="9.140625" style="14"/>
    <col min="11009" max="11009" width="9.7109375" style="14" bestFit="1" customWidth="1"/>
    <col min="11010" max="11257" width="9.140625" style="14"/>
    <col min="11258" max="11258" width="2.7109375" style="14" customWidth="1"/>
    <col min="11259" max="11264" width="9.140625" style="14"/>
    <col min="11265" max="11265" width="9.7109375" style="14" bestFit="1" customWidth="1"/>
    <col min="11266" max="11513" width="9.140625" style="14"/>
    <col min="11514" max="11514" width="2.7109375" style="14" customWidth="1"/>
    <col min="11515" max="11520" width="9.140625" style="14"/>
    <col min="11521" max="11521" width="9.7109375" style="14" bestFit="1" customWidth="1"/>
    <col min="11522" max="11769" width="9.140625" style="14"/>
    <col min="11770" max="11770" width="2.7109375" style="14" customWidth="1"/>
    <col min="11771" max="11776" width="9.140625" style="14"/>
    <col min="11777" max="11777" width="9.7109375" style="14" bestFit="1" customWidth="1"/>
    <col min="11778" max="12025" width="9.140625" style="14"/>
    <col min="12026" max="12026" width="2.7109375" style="14" customWidth="1"/>
    <col min="12027" max="12032" width="9.140625" style="14"/>
    <col min="12033" max="12033" width="9.7109375" style="14" bestFit="1" customWidth="1"/>
    <col min="12034" max="12281" width="9.140625" style="14"/>
    <col min="12282" max="12282" width="2.7109375" style="14" customWidth="1"/>
    <col min="12283" max="12288" width="9.140625" style="14"/>
    <col min="12289" max="12289" width="9.7109375" style="14" bestFit="1" customWidth="1"/>
    <col min="12290" max="12537" width="9.140625" style="14"/>
    <col min="12538" max="12538" width="2.7109375" style="14" customWidth="1"/>
    <col min="12539" max="12544" width="9.140625" style="14"/>
    <col min="12545" max="12545" width="9.7109375" style="14" bestFit="1" customWidth="1"/>
    <col min="12546" max="12793" width="9.140625" style="14"/>
    <col min="12794" max="12794" width="2.7109375" style="14" customWidth="1"/>
    <col min="12795" max="12800" width="9.140625" style="14"/>
    <col min="12801" max="12801" width="9.7109375" style="14" bestFit="1" customWidth="1"/>
    <col min="12802" max="13049" width="9.140625" style="14"/>
    <col min="13050" max="13050" width="2.7109375" style="14" customWidth="1"/>
    <col min="13051" max="13056" width="9.140625" style="14"/>
    <col min="13057" max="13057" width="9.7109375" style="14" bestFit="1" customWidth="1"/>
    <col min="13058" max="13305" width="9.140625" style="14"/>
    <col min="13306" max="13306" width="2.7109375" style="14" customWidth="1"/>
    <col min="13307" max="13312" width="9.140625" style="14"/>
    <col min="13313" max="13313" width="9.7109375" style="14" bestFit="1" customWidth="1"/>
    <col min="13314" max="13561" width="9.140625" style="14"/>
    <col min="13562" max="13562" width="2.7109375" style="14" customWidth="1"/>
    <col min="13563" max="13568" width="9.140625" style="14"/>
    <col min="13569" max="13569" width="9.7109375" style="14" bestFit="1" customWidth="1"/>
    <col min="13570" max="13817" width="9.140625" style="14"/>
    <col min="13818" max="13818" width="2.7109375" style="14" customWidth="1"/>
    <col min="13819" max="13824" width="9.140625" style="14"/>
    <col min="13825" max="13825" width="9.7109375" style="14" bestFit="1" customWidth="1"/>
    <col min="13826" max="14073" width="9.140625" style="14"/>
    <col min="14074" max="14074" width="2.7109375" style="14" customWidth="1"/>
    <col min="14075" max="14080" width="9.140625" style="14"/>
    <col min="14081" max="14081" width="9.7109375" style="14" bestFit="1" customWidth="1"/>
    <col min="14082" max="14329" width="9.140625" style="14"/>
    <col min="14330" max="14330" width="2.7109375" style="14" customWidth="1"/>
    <col min="14331" max="14336" width="9.140625" style="14"/>
    <col min="14337" max="14337" width="9.7109375" style="14" bestFit="1" customWidth="1"/>
    <col min="14338" max="14585" width="9.140625" style="14"/>
    <col min="14586" max="14586" width="2.7109375" style="14" customWidth="1"/>
    <col min="14587" max="14592" width="9.140625" style="14"/>
    <col min="14593" max="14593" width="9.7109375" style="14" bestFit="1" customWidth="1"/>
    <col min="14594" max="14841" width="9.140625" style="14"/>
    <col min="14842" max="14842" width="2.7109375" style="14" customWidth="1"/>
    <col min="14843" max="14848" width="9.140625" style="14"/>
    <col min="14849" max="14849" width="9.7109375" style="14" bestFit="1" customWidth="1"/>
    <col min="14850" max="15097" width="9.140625" style="14"/>
    <col min="15098" max="15098" width="2.7109375" style="14" customWidth="1"/>
    <col min="15099" max="15104" width="9.140625" style="14"/>
    <col min="15105" max="15105" width="9.7109375" style="14" bestFit="1" customWidth="1"/>
    <col min="15106" max="15353" width="9.140625" style="14"/>
    <col min="15354" max="15354" width="2.7109375" style="14" customWidth="1"/>
    <col min="15355" max="15360" width="9.140625" style="14"/>
    <col min="15361" max="15361" width="9.7109375" style="14" bestFit="1" customWidth="1"/>
    <col min="15362" max="15609" width="9.140625" style="14"/>
    <col min="15610" max="15610" width="2.7109375" style="14" customWidth="1"/>
    <col min="15611" max="15616" width="9.140625" style="14"/>
    <col min="15617" max="15617" width="9.7109375" style="14" bestFit="1" customWidth="1"/>
    <col min="15618" max="15865" width="9.140625" style="14"/>
    <col min="15866" max="15866" width="2.7109375" style="14" customWidth="1"/>
    <col min="15867" max="15872" width="9.140625" style="14"/>
    <col min="15873" max="15873" width="9.7109375" style="14" bestFit="1" customWidth="1"/>
    <col min="15874" max="16121" width="9.140625" style="14"/>
    <col min="16122" max="16122" width="2.7109375" style="14" customWidth="1"/>
    <col min="16123" max="16128" width="9.140625" style="14"/>
    <col min="16129" max="16129" width="9.7109375" style="14" bestFit="1" customWidth="1"/>
    <col min="16130" max="16384" width="9.140625" style="14"/>
  </cols>
  <sheetData>
    <row r="1" spans="1:15" s="141" customFormat="1" ht="15" customHeight="1" x14ac:dyDescent="0.25">
      <c r="A1" s="136"/>
      <c r="B1" s="137"/>
      <c r="C1" s="138"/>
      <c r="D1" s="139"/>
      <c r="E1" s="70"/>
      <c r="F1" s="70"/>
      <c r="G1" s="70"/>
      <c r="H1" s="70"/>
      <c r="I1" s="70"/>
      <c r="J1" s="70"/>
      <c r="K1" s="70"/>
      <c r="L1" s="70"/>
      <c r="M1" s="70"/>
      <c r="N1" s="140"/>
      <c r="O1" s="140"/>
    </row>
    <row r="2" spans="1:15" s="141" customFormat="1" ht="15.95" customHeight="1" x14ac:dyDescent="0.25">
      <c r="A2" s="136"/>
      <c r="B2" s="142" t="s">
        <v>161</v>
      </c>
      <c r="C2" s="143"/>
      <c r="D2" s="143" t="s">
        <v>168</v>
      </c>
      <c r="E2" s="143"/>
      <c r="F2" s="143"/>
      <c r="G2" s="143"/>
      <c r="H2" s="143"/>
      <c r="I2" s="143"/>
      <c r="J2" s="143"/>
      <c r="K2" s="144"/>
      <c r="L2" s="143"/>
      <c r="M2" s="143"/>
      <c r="N2" s="143"/>
      <c r="O2" s="143"/>
    </row>
    <row r="3" spans="1:15" ht="13.5" thickBot="1" x14ac:dyDescent="0.25">
      <c r="B3" s="145"/>
      <c r="C3" s="146"/>
      <c r="D3" s="146"/>
      <c r="E3" s="146"/>
      <c r="F3" s="146"/>
      <c r="G3" s="146"/>
      <c r="H3" s="146"/>
      <c r="I3" s="146"/>
      <c r="J3" s="146"/>
      <c r="K3" s="146"/>
      <c r="L3" s="146"/>
      <c r="M3" s="146"/>
      <c r="N3" s="146"/>
      <c r="O3" s="146"/>
    </row>
    <row r="4" spans="1:15" s="141" customFormat="1" ht="15" customHeight="1" thickBot="1" x14ac:dyDescent="0.3">
      <c r="A4" s="136"/>
      <c r="B4" s="147"/>
      <c r="C4" s="148" t="s">
        <v>162</v>
      </c>
      <c r="D4" s="149"/>
      <c r="E4" s="150"/>
      <c r="F4" s="150"/>
      <c r="G4" s="151"/>
      <c r="H4" s="152" t="s">
        <v>163</v>
      </c>
      <c r="I4" s="153">
        <v>6224.9269999999997</v>
      </c>
      <c r="J4" s="154" t="s">
        <v>164</v>
      </c>
      <c r="K4" s="155"/>
      <c r="L4" s="149"/>
      <c r="M4" s="152"/>
      <c r="N4" s="152"/>
      <c r="O4" s="156"/>
    </row>
    <row r="5" spans="1:15" s="141" customFormat="1" ht="15" customHeight="1" thickBot="1" x14ac:dyDescent="0.3">
      <c r="A5" s="136"/>
      <c r="B5" s="147"/>
      <c r="C5" s="148" t="s">
        <v>165</v>
      </c>
      <c r="D5" s="149"/>
      <c r="E5" s="150"/>
      <c r="F5" s="150"/>
      <c r="G5" s="151"/>
      <c r="H5" s="152" t="s">
        <v>163</v>
      </c>
      <c r="I5" s="153"/>
      <c r="J5" s="154" t="s">
        <v>164</v>
      </c>
      <c r="K5" s="155"/>
      <c r="L5" s="149"/>
      <c r="M5" s="152"/>
      <c r="N5" s="152"/>
      <c r="O5" s="156"/>
    </row>
    <row r="6" spans="1:15" s="141" customFormat="1" ht="15" customHeight="1" thickBot="1" x14ac:dyDescent="0.25">
      <c r="A6" s="136"/>
      <c r="B6" s="157"/>
      <c r="C6" s="148" t="s">
        <v>166</v>
      </c>
      <c r="D6" s="158"/>
      <c r="E6" s="150"/>
      <c r="F6" s="150"/>
      <c r="G6" s="151"/>
      <c r="H6" s="159" t="s">
        <v>163</v>
      </c>
      <c r="I6" s="153"/>
      <c r="J6" s="154" t="s">
        <v>164</v>
      </c>
      <c r="K6" s="160"/>
      <c r="L6" s="158"/>
      <c r="M6" s="159"/>
      <c r="N6" s="159"/>
      <c r="O6" s="161"/>
    </row>
    <row r="7" spans="1:15" ht="15" customHeight="1" thickBot="1" x14ac:dyDescent="0.25">
      <c r="B7" s="162"/>
      <c r="C7" s="169"/>
      <c r="D7" s="169"/>
      <c r="E7" s="169"/>
      <c r="F7" s="169"/>
      <c r="G7" s="169"/>
      <c r="H7" s="169"/>
      <c r="I7" s="169"/>
      <c r="J7" s="169"/>
      <c r="K7" s="169"/>
      <c r="L7" s="94"/>
      <c r="M7" s="94"/>
      <c r="N7" s="94"/>
      <c r="O7" s="94"/>
    </row>
    <row r="8" spans="1:15" ht="15" customHeight="1" thickBot="1" x14ac:dyDescent="0.25">
      <c r="B8" s="170"/>
      <c r="C8" s="1371" t="s">
        <v>167</v>
      </c>
      <c r="D8" s="1372"/>
      <c r="E8" s="1372"/>
      <c r="F8" s="1372"/>
      <c r="G8" s="1372"/>
      <c r="H8" s="1372"/>
      <c r="I8" s="1372"/>
      <c r="J8" s="1372"/>
      <c r="K8" s="1373"/>
      <c r="L8" s="308" t="s">
        <v>170</v>
      </c>
      <c r="M8" s="94"/>
      <c r="N8" s="94"/>
      <c r="O8" s="94"/>
    </row>
    <row r="9" spans="1:15" ht="13.5" thickBot="1" x14ac:dyDescent="0.25">
      <c r="B9" s="162"/>
      <c r="C9" s="183" t="s">
        <v>9</v>
      </c>
      <c r="D9" s="434" t="s">
        <v>29</v>
      </c>
      <c r="E9" s="435"/>
      <c r="F9" s="435"/>
      <c r="G9" s="435"/>
      <c r="H9" s="435"/>
      <c r="I9" s="436"/>
      <c r="J9" s="433" t="s">
        <v>37</v>
      </c>
      <c r="K9" s="186" t="s">
        <v>212</v>
      </c>
      <c r="L9" s="309"/>
      <c r="M9" s="94"/>
      <c r="N9" s="94"/>
      <c r="O9" s="94"/>
    </row>
    <row r="10" spans="1:15" s="163" customFormat="1" ht="15" customHeight="1" thickBot="1" x14ac:dyDescent="0.25">
      <c r="B10" s="164"/>
      <c r="C10" s="1114" t="s">
        <v>35103</v>
      </c>
      <c r="D10" s="165" t="s">
        <v>2507</v>
      </c>
      <c r="E10" s="166"/>
      <c r="F10" s="166"/>
      <c r="G10" s="166"/>
      <c r="H10" s="166"/>
      <c r="I10" s="167"/>
      <c r="J10" s="154" t="s">
        <v>164</v>
      </c>
      <c r="K10" s="566">
        <f>I4</f>
        <v>6224.9269999999997</v>
      </c>
      <c r="L10" s="449">
        <f>SUMIF(Orçamento!$B$1:$B$1049,C10,Orçamento!$F$1:$F$1049)-K10</f>
        <v>0</v>
      </c>
      <c r="M10" s="166"/>
      <c r="N10" s="166"/>
      <c r="O10" s="166"/>
    </row>
    <row r="11" spans="1:15" x14ac:dyDescent="0.2">
      <c r="B11" s="168"/>
      <c r="C11" s="169"/>
      <c r="D11" s="169"/>
      <c r="E11" s="169"/>
      <c r="F11" s="169"/>
      <c r="G11" s="169"/>
      <c r="H11" s="169"/>
      <c r="I11" s="169"/>
      <c r="J11" s="169"/>
      <c r="K11" s="169"/>
      <c r="L11" s="450"/>
      <c r="M11" s="169"/>
      <c r="N11" s="169"/>
      <c r="O11" s="169"/>
    </row>
    <row r="12" spans="1:15" x14ac:dyDescent="0.2">
      <c r="B12" s="170"/>
      <c r="C12" s="73"/>
      <c r="D12" s="73"/>
      <c r="E12" s="73"/>
      <c r="F12" s="73"/>
      <c r="G12" s="73"/>
      <c r="H12" s="73"/>
      <c r="I12" s="73"/>
      <c r="J12" s="73"/>
      <c r="K12" s="73"/>
      <c r="L12" s="451"/>
      <c r="M12" s="73"/>
      <c r="N12" s="73"/>
      <c r="O12" s="73"/>
    </row>
    <row r="13" spans="1:15" x14ac:dyDescent="0.2">
      <c r="B13" s="170"/>
      <c r="C13" s="73"/>
      <c r="D13" s="73"/>
      <c r="E13" s="73"/>
      <c r="F13" s="73"/>
      <c r="G13" s="73"/>
      <c r="H13" s="73"/>
      <c r="I13" s="73"/>
      <c r="J13" s="73"/>
      <c r="K13" s="73"/>
      <c r="L13" s="451"/>
      <c r="M13" s="73"/>
      <c r="N13" s="73"/>
      <c r="O13" s="73"/>
    </row>
    <row r="14" spans="1:15" x14ac:dyDescent="0.2">
      <c r="B14" s="170"/>
      <c r="C14" s="73"/>
      <c r="D14" s="73"/>
      <c r="E14" s="73"/>
      <c r="F14" s="73"/>
      <c r="G14" s="73"/>
      <c r="H14" s="73"/>
      <c r="I14" s="73"/>
      <c r="J14" s="73"/>
      <c r="K14" s="73"/>
      <c r="L14" s="451"/>
      <c r="M14" s="73"/>
      <c r="N14" s="73"/>
      <c r="O14" s="73"/>
    </row>
    <row r="15" spans="1:15" x14ac:dyDescent="0.2">
      <c r="B15" s="170"/>
      <c r="C15" s="73"/>
      <c r="D15" s="73"/>
      <c r="E15" s="73"/>
      <c r="F15" s="73"/>
      <c r="G15" s="73"/>
      <c r="H15" s="73"/>
      <c r="I15" s="73"/>
      <c r="J15" s="73"/>
      <c r="K15" s="73"/>
      <c r="L15" s="451"/>
      <c r="M15" s="73"/>
      <c r="N15" s="73"/>
      <c r="O15" s="73"/>
    </row>
    <row r="16" spans="1:15" x14ac:dyDescent="0.2">
      <c r="B16" s="170"/>
      <c r="C16" s="73"/>
      <c r="D16" s="73"/>
      <c r="E16" s="73"/>
      <c r="F16" s="73"/>
      <c r="G16" s="73"/>
      <c r="H16" s="73"/>
      <c r="I16" s="73"/>
      <c r="J16" s="73"/>
      <c r="K16" s="73"/>
      <c r="L16" s="73"/>
      <c r="M16" s="73"/>
      <c r="N16" s="73"/>
      <c r="O16" s="73"/>
    </row>
    <row r="17" spans="2:15" x14ac:dyDescent="0.2">
      <c r="B17" s="170"/>
      <c r="C17" s="73"/>
      <c r="D17" s="73"/>
      <c r="E17" s="73"/>
      <c r="F17" s="73"/>
      <c r="G17" s="73"/>
      <c r="H17" s="73"/>
      <c r="I17" s="171"/>
      <c r="J17" s="73"/>
      <c r="K17" s="73"/>
      <c r="L17" s="73"/>
      <c r="M17" s="73"/>
      <c r="N17" s="73"/>
      <c r="O17" s="73"/>
    </row>
    <row r="18" spans="2:15" ht="13.5" thickBot="1" x14ac:dyDescent="0.25">
      <c r="B18" s="172"/>
      <c r="C18" s="77"/>
      <c r="D18" s="77"/>
      <c r="E18" s="77"/>
      <c r="F18" s="77"/>
      <c r="G18" s="77"/>
      <c r="H18" s="77"/>
      <c r="I18" s="77"/>
      <c r="J18" s="77"/>
      <c r="K18" s="77"/>
      <c r="L18" s="77"/>
      <c r="M18" s="77"/>
      <c r="N18" s="77"/>
      <c r="O18" s="77"/>
    </row>
  </sheetData>
  <mergeCells count="1">
    <mergeCell ref="C8:K8"/>
  </mergeCells>
  <pageMargins left="0.511811024" right="0.511811024" top="0.78740157499999996" bottom="0.78740157499999996" header="0.31496062000000002" footer="0.31496062000000002"/>
  <pageSetup paperSize="9" scale="61"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35493-BA11-4DC6-9F92-2A8D1E3409F2}">
  <dimension ref="A1:S41"/>
  <sheetViews>
    <sheetView showGridLines="0" topLeftCell="A19" zoomScaleNormal="100" workbookViewId="0">
      <selection activeCell="F36" sqref="F36"/>
    </sheetView>
  </sheetViews>
  <sheetFormatPr defaultRowHeight="12.75" x14ac:dyDescent="0.2"/>
  <cols>
    <col min="1" max="5" width="9.140625" style="14"/>
    <col min="6" max="6" width="80.7109375" style="14" customWidth="1"/>
    <col min="7" max="8" width="9.140625" style="14"/>
    <col min="9" max="9" width="3.7109375" style="14" customWidth="1"/>
    <col min="10" max="10" width="9.140625" style="14"/>
    <col min="11" max="11" width="3.7109375" style="14" customWidth="1"/>
    <col min="12" max="16384" width="9.140625" style="14"/>
  </cols>
  <sheetData>
    <row r="1" spans="1:15" ht="13.5" thickBot="1" x14ac:dyDescent="0.25"/>
    <row r="2" spans="1:15" ht="15" customHeight="1" thickBot="1" x14ac:dyDescent="0.25">
      <c r="D2" s="996" t="s">
        <v>21629</v>
      </c>
      <c r="E2" s="997"/>
      <c r="F2" s="130"/>
      <c r="G2" s="130"/>
      <c r="H2" s="130"/>
      <c r="I2" s="130"/>
      <c r="J2" s="130"/>
      <c r="K2" s="130"/>
      <c r="L2" s="130"/>
      <c r="M2" s="131"/>
    </row>
    <row r="3" spans="1:15" ht="20.100000000000001" customHeight="1" x14ac:dyDescent="0.2">
      <c r="F3" s="994" t="s">
        <v>2886</v>
      </c>
      <c r="G3" s="995">
        <v>3</v>
      </c>
    </row>
    <row r="4" spans="1:15" s="36" customFormat="1" ht="35.1" customHeight="1" x14ac:dyDescent="0.2">
      <c r="A4" s="14"/>
      <c r="B4" s="14"/>
      <c r="C4" s="14"/>
      <c r="D4" s="851" t="s">
        <v>2874</v>
      </c>
      <c r="E4" s="851" t="s">
        <v>2887</v>
      </c>
      <c r="F4" s="852" t="s">
        <v>2888</v>
      </c>
      <c r="G4" s="853" t="s">
        <v>2889</v>
      </c>
      <c r="H4" s="853" t="s">
        <v>157</v>
      </c>
      <c r="I4" s="854"/>
      <c r="J4" s="854"/>
      <c r="K4" s="854"/>
      <c r="L4" s="855" t="s">
        <v>2890</v>
      </c>
      <c r="M4" s="854" t="s">
        <v>37</v>
      </c>
      <c r="N4" s="14"/>
    </row>
    <row r="5" spans="1:15" s="36" customFormat="1" ht="20.100000000000001" customHeight="1" x14ac:dyDescent="0.2">
      <c r="D5" s="856"/>
      <c r="E5" s="856"/>
      <c r="F5" s="857" t="s">
        <v>2891</v>
      </c>
      <c r="G5" s="858"/>
      <c r="H5" s="859"/>
      <c r="I5" s="860"/>
      <c r="J5" s="860"/>
      <c r="K5" s="860"/>
      <c r="L5" s="860"/>
      <c r="M5" s="861"/>
      <c r="N5" s="308"/>
    </row>
    <row r="6" spans="1:15" ht="30" customHeight="1" x14ac:dyDescent="0.2">
      <c r="D6" s="262" t="s">
        <v>2893</v>
      </c>
      <c r="E6" s="262" t="s">
        <v>31546</v>
      </c>
      <c r="F6" s="871" t="str">
        <f ca="1">UPPER(INDEX(INDIRECT(D6&amp;"!"&amp;"A:D"),MATCH(E6,INDIRECT(D6&amp;"!"&amp;"A:A"),0),2))</f>
        <v>POSTE CONICO CONTINUO EM ACO GALVANIZADO, CURVO, BRACO SIMPLES, FLANGEADO,  H = 9 M, DIAMETRO INFERIOR = *135* MM</v>
      </c>
      <c r="G6" s="835"/>
      <c r="H6" s="863"/>
      <c r="I6" s="863"/>
      <c r="J6" s="863"/>
      <c r="K6" s="863"/>
      <c r="L6" s="863">
        <v>14</v>
      </c>
      <c r="M6" s="864" t="s">
        <v>226</v>
      </c>
      <c r="N6" s="449">
        <f>SUMIF(Orçamento!$B$1:$B$1049,E6,Orçamento!$F$1:$F$1049)-L6</f>
        <v>0</v>
      </c>
      <c r="O6" s="865"/>
    </row>
    <row r="7" spans="1:15" ht="20.100000000000001" customHeight="1" x14ac:dyDescent="0.2">
      <c r="D7" s="262" t="s">
        <v>2893</v>
      </c>
      <c r="E7" s="262" t="s">
        <v>2894</v>
      </c>
      <c r="F7" s="862" t="s">
        <v>2895</v>
      </c>
      <c r="G7" s="835">
        <f>(10+2)*G3</f>
        <v>36</v>
      </c>
      <c r="H7" s="863" t="s">
        <v>2</v>
      </c>
      <c r="I7" s="863" t="s">
        <v>2776</v>
      </c>
      <c r="J7" s="863">
        <f>SUM($L$6:$L$6)</f>
        <v>14</v>
      </c>
      <c r="K7" s="863" t="s">
        <v>163</v>
      </c>
      <c r="L7" s="863">
        <f t="shared" ref="L7:L14" si="0">J7*G7</f>
        <v>504</v>
      </c>
      <c r="M7" s="864" t="s">
        <v>2</v>
      </c>
      <c r="N7" s="449">
        <f>SUMIF(Orçamento!$B$1:$B$1049,E7,Orçamento!$F$1:$F$1049)-L7</f>
        <v>30</v>
      </c>
      <c r="O7" s="865"/>
    </row>
    <row r="8" spans="1:15" ht="20.100000000000001" customHeight="1" x14ac:dyDescent="0.2">
      <c r="D8" s="262" t="s">
        <v>2893</v>
      </c>
      <c r="E8" s="262" t="s">
        <v>43948</v>
      </c>
      <c r="F8" s="862" t="s">
        <v>2897</v>
      </c>
      <c r="G8" s="835">
        <f>6</f>
        <v>6</v>
      </c>
      <c r="H8" s="863" t="s">
        <v>2444</v>
      </c>
      <c r="I8" s="863" t="s">
        <v>2776</v>
      </c>
      <c r="J8" s="863">
        <f>SUM($L$6:$L$6)</f>
        <v>14</v>
      </c>
      <c r="K8" s="863" t="s">
        <v>163</v>
      </c>
      <c r="L8" s="863">
        <f t="shared" si="0"/>
        <v>84</v>
      </c>
      <c r="M8" s="864" t="s">
        <v>2444</v>
      </c>
      <c r="N8" s="449">
        <f>SUMIF(Orçamento!$B$1:$B$1049,E8,Orçamento!$F$1:$F$1049)-L8</f>
        <v>2</v>
      </c>
    </row>
    <row r="9" spans="1:15" s="36" customFormat="1" ht="20.100000000000001" customHeight="1" x14ac:dyDescent="0.2">
      <c r="D9" s="856"/>
      <c r="E9" s="856"/>
      <c r="F9" s="857" t="s">
        <v>2898</v>
      </c>
      <c r="G9" s="858"/>
      <c r="H9" s="859"/>
      <c r="I9" s="860"/>
      <c r="J9" s="860"/>
      <c r="K9" s="860"/>
      <c r="L9" s="860"/>
      <c r="M9" s="859"/>
      <c r="N9" s="308"/>
    </row>
    <row r="10" spans="1:15" ht="20.100000000000001" customHeight="1" x14ac:dyDescent="0.2">
      <c r="C10" s="866" t="s">
        <v>2899</v>
      </c>
      <c r="D10" s="262" t="s">
        <v>2893</v>
      </c>
      <c r="E10" s="262">
        <v>2690</v>
      </c>
      <c r="F10" s="862" t="s">
        <v>2900</v>
      </c>
      <c r="G10" s="835">
        <v>1</v>
      </c>
      <c r="H10" s="863" t="s">
        <v>158</v>
      </c>
      <c r="I10" s="863" t="s">
        <v>2776</v>
      </c>
      <c r="J10" s="863">
        <f>SUM($L$6:$L$6)</f>
        <v>14</v>
      </c>
      <c r="K10" s="863" t="s">
        <v>163</v>
      </c>
      <c r="L10" s="863">
        <f t="shared" si="0"/>
        <v>14</v>
      </c>
      <c r="M10" s="864" t="s">
        <v>158</v>
      </c>
      <c r="N10" s="449">
        <f>SUMIF(Orçamento!$B$1:$B$1049,E10,Orçamento!$F$1:$F$1049)-L10</f>
        <v>0</v>
      </c>
    </row>
    <row r="11" spans="1:15" ht="20.100000000000001" customHeight="1" x14ac:dyDescent="0.2">
      <c r="D11" s="262" t="s">
        <v>2893</v>
      </c>
      <c r="E11" s="262" t="s">
        <v>2901</v>
      </c>
      <c r="F11" s="862" t="s">
        <v>2902</v>
      </c>
      <c r="G11" s="835">
        <v>1</v>
      </c>
      <c r="H11" s="863" t="s">
        <v>158</v>
      </c>
      <c r="I11" s="863" t="s">
        <v>2776</v>
      </c>
      <c r="J11" s="863">
        <f>SUM($L$6:$L$6)</f>
        <v>14</v>
      </c>
      <c r="K11" s="863" t="s">
        <v>163</v>
      </c>
      <c r="L11" s="863">
        <f t="shared" si="0"/>
        <v>14</v>
      </c>
      <c r="M11" s="864" t="s">
        <v>158</v>
      </c>
      <c r="N11" s="449">
        <f>SUMIF(Orçamento!$B$1:$B$1049,E11,Orçamento!$F$1:$F$1049)-L11</f>
        <v>570</v>
      </c>
    </row>
    <row r="12" spans="1:15" ht="20.100000000000001" customHeight="1" x14ac:dyDescent="0.2">
      <c r="D12" s="857"/>
      <c r="E12" s="857"/>
      <c r="F12" s="857" t="s">
        <v>2903</v>
      </c>
      <c r="G12" s="867"/>
      <c r="H12" s="860"/>
      <c r="I12" s="860"/>
      <c r="J12" s="860"/>
      <c r="K12" s="860"/>
      <c r="L12" s="860"/>
      <c r="M12" s="860"/>
      <c r="N12" s="308"/>
    </row>
    <row r="13" spans="1:15" ht="20.100000000000001" customHeight="1" x14ac:dyDescent="0.2">
      <c r="D13" s="262" t="s">
        <v>304</v>
      </c>
      <c r="E13" s="868" t="s">
        <v>37064</v>
      </c>
      <c r="F13" s="869" t="s">
        <v>43953</v>
      </c>
      <c r="G13" s="863">
        <v>1</v>
      </c>
      <c r="H13" s="863" t="s">
        <v>320</v>
      </c>
      <c r="I13" s="863" t="s">
        <v>2776</v>
      </c>
      <c r="J13" s="863">
        <f>SUM($L$6:$L$6)</f>
        <v>14</v>
      </c>
      <c r="K13" s="863" t="s">
        <v>163</v>
      </c>
      <c r="L13" s="863">
        <f t="shared" si="0"/>
        <v>14</v>
      </c>
      <c r="M13" s="864"/>
      <c r="N13" s="449">
        <f>SUMIF(Orçamento!$B$1:$B$1049,E13,Orçamento!$F$1:$F$1049)-L13</f>
        <v>0</v>
      </c>
    </row>
    <row r="14" spans="1:15" ht="20.100000000000001" customHeight="1" x14ac:dyDescent="0.2">
      <c r="D14" s="262" t="s">
        <v>304</v>
      </c>
      <c r="E14" s="868" t="s">
        <v>37098</v>
      </c>
      <c r="F14" s="862" t="s">
        <v>43950</v>
      </c>
      <c r="G14" s="863">
        <v>1</v>
      </c>
      <c r="H14" s="863" t="s">
        <v>320</v>
      </c>
      <c r="I14" s="863" t="s">
        <v>2776</v>
      </c>
      <c r="J14" s="863">
        <f>SUM($L$6:$L$6)</f>
        <v>14</v>
      </c>
      <c r="K14" s="863" t="s">
        <v>163</v>
      </c>
      <c r="L14" s="863">
        <f t="shared" si="0"/>
        <v>14</v>
      </c>
      <c r="M14" s="864"/>
      <c r="N14" s="449">
        <f>SUMIF(Orçamento!$B$1:$B$1049,E14,Orçamento!$F$1:$F$1049)-L14</f>
        <v>1</v>
      </c>
    </row>
    <row r="15" spans="1:15" ht="30" customHeight="1" x14ac:dyDescent="0.2">
      <c r="D15" s="870" t="s">
        <v>2893</v>
      </c>
      <c r="E15" s="870" t="s">
        <v>2906</v>
      </c>
      <c r="F15" s="871" t="str">
        <f ca="1">INDEX(INDIRECT(D15&amp;"!"&amp;"A:D"),MATCH(E15,INDIRECT(D15&amp;"!"&amp;"A:A"),0),2)&amp;" LUMINÁRIA 117W - PLANTA (SIMPLES)"</f>
        <v>LUMINÁRIA DE LED PARA ILUMINAÇÃO PÚBLICA, DE 33 W ATÉ 50 W - FORNECIMENTO E INSTALAÇÃO. AF_08/2020 LUMINÁRIA 117W - PLANTA (SIMPLES)</v>
      </c>
      <c r="G15" s="863"/>
      <c r="H15" s="863"/>
      <c r="I15" s="863"/>
      <c r="J15" s="863"/>
      <c r="K15" s="863"/>
      <c r="L15" s="863">
        <v>9</v>
      </c>
      <c r="M15" s="864" t="str">
        <f ca="1">INDEX(INDIRECT(D15&amp;"!"&amp;"A:D"),MATCH(E15,INDIRECT(D15&amp;"!"&amp;"A:A"),0),3)</f>
        <v>UN</v>
      </c>
      <c r="N15" s="449">
        <f>SUMIF(Orçamento!$B$1:$B$1049,E15,Orçamento!$F$1:$F$1049)-L15</f>
        <v>0</v>
      </c>
    </row>
    <row r="16" spans="1:15" ht="30" customHeight="1" x14ac:dyDescent="0.2">
      <c r="D16" s="870" t="s">
        <v>2893</v>
      </c>
      <c r="E16" s="870" t="s">
        <v>2907</v>
      </c>
      <c r="F16" s="871" t="str">
        <f t="shared" ref="F16" ca="1" si="1">INDEX(INDIRECT(D16&amp;"!"&amp;"A:D"),MATCH(E16,INDIRECT(D16&amp;"!"&amp;"A:A"),0),2)&amp;" LUMINÁRIA 150W - PLANTA (DUPLA)"</f>
        <v>LUMINÁRIA DE LED PARA ILUMINAÇÃO PÚBLICA, DE 138 W ATÉ 180 W - FORNECIMENTO E INSTALAÇÃO. AF_08/2020 LUMINÁRIA 150W - PLANTA (DUPLA)</v>
      </c>
      <c r="G16" s="863"/>
      <c r="H16" s="863"/>
      <c r="I16" s="863"/>
      <c r="J16" s="863"/>
      <c r="K16" s="863"/>
      <c r="L16" s="863">
        <f>5*2</f>
        <v>10</v>
      </c>
      <c r="M16" s="864" t="str">
        <f ca="1">INDEX(INDIRECT(D16&amp;"!"&amp;"A:D"),MATCH(E16,INDIRECT(D16&amp;"!"&amp;"A:A"),0),3)</f>
        <v>UN</v>
      </c>
      <c r="N16" s="449">
        <f>SUMIF(Orçamento!$B$1:$B$1049,E16,Orçamento!$F$1:$F$1049)-L16</f>
        <v>0</v>
      </c>
    </row>
    <row r="17" spans="4:19" ht="15" customHeight="1" x14ac:dyDescent="0.2"/>
    <row r="18" spans="4:19" ht="35.1" customHeight="1" x14ac:dyDescent="0.2">
      <c r="F18" s="872" t="s">
        <v>2908</v>
      </c>
    </row>
    <row r="19" spans="4:19" ht="20.100000000000001" customHeight="1" x14ac:dyDescent="0.2">
      <c r="D19" s="262" t="s">
        <v>2893</v>
      </c>
      <c r="E19" s="868" t="s">
        <v>2901</v>
      </c>
      <c r="F19" s="862" t="s">
        <v>2909</v>
      </c>
      <c r="G19" s="835"/>
      <c r="H19" s="863"/>
      <c r="I19" s="863"/>
      <c r="J19" s="863"/>
      <c r="K19" s="863" t="s">
        <v>163</v>
      </c>
      <c r="L19" s="863">
        <v>548</v>
      </c>
      <c r="M19" s="864" t="s">
        <v>2</v>
      </c>
      <c r="N19" s="449">
        <f>SUMIF(Orçamento!$B$1:$B$1049,E19,Orçamento!$F$1:$F$1049)-L19</f>
        <v>36</v>
      </c>
      <c r="O19" s="873" t="s">
        <v>2910</v>
      </c>
    </row>
    <row r="20" spans="4:19" ht="20.100000000000001" customHeight="1" x14ac:dyDescent="0.2">
      <c r="D20" s="262" t="s">
        <v>43955</v>
      </c>
      <c r="E20" s="262" t="s">
        <v>28325</v>
      </c>
      <c r="F20" s="862" t="s">
        <v>2911</v>
      </c>
      <c r="G20" s="835">
        <f>0.4*0.05</f>
        <v>2.0000000000000004E-2</v>
      </c>
      <c r="H20" s="863" t="s">
        <v>2912</v>
      </c>
      <c r="I20" s="863" t="s">
        <v>2776</v>
      </c>
      <c r="J20" s="863">
        <f>$L$19</f>
        <v>548</v>
      </c>
      <c r="K20" s="863" t="s">
        <v>163</v>
      </c>
      <c r="L20" s="863">
        <f t="shared" ref="L20:L23" si="2">J20*G20</f>
        <v>10.960000000000003</v>
      </c>
      <c r="M20" s="864" t="str">
        <f t="shared" ref="M20:M23" si="3">MID(H20,1,SEARCH("/",H20,1)-1)</f>
        <v>m³</v>
      </c>
      <c r="N20" s="449">
        <f>SUMIF(Orçamento!$B$1:$B$1049,E20,Orçamento!$F$1:$F$1049)-L20</f>
        <v>0</v>
      </c>
    </row>
    <row r="21" spans="4:19" ht="20.100000000000001" customHeight="1" x14ac:dyDescent="0.2">
      <c r="D21" s="262" t="s">
        <v>2893</v>
      </c>
      <c r="E21" s="262" t="s">
        <v>43951</v>
      </c>
      <c r="F21" s="862" t="s">
        <v>2913</v>
      </c>
      <c r="G21" s="835">
        <f>R21</f>
        <v>0.4</v>
      </c>
      <c r="H21" s="863" t="s">
        <v>2914</v>
      </c>
      <c r="I21" s="863" t="s">
        <v>2776</v>
      </c>
      <c r="J21" s="863">
        <f t="shared" ref="J21:J23" si="4">$L$19</f>
        <v>548</v>
      </c>
      <c r="K21" s="863" t="s">
        <v>163</v>
      </c>
      <c r="L21" s="863">
        <f t="shared" si="2"/>
        <v>219.20000000000002</v>
      </c>
      <c r="M21" s="864" t="str">
        <f t="shared" si="3"/>
        <v>kg</v>
      </c>
      <c r="N21" s="449">
        <f>SUMIF(Orçamento!$B$1:$B$1049,E21,Orçamento!$F$1:$F$1049)-L21</f>
        <v>0</v>
      </c>
      <c r="O21" s="14">
        <f>1/0.4</f>
        <v>2.5</v>
      </c>
      <c r="Q21" s="14">
        <f>2.5*0.4</f>
        <v>1</v>
      </c>
      <c r="R21" s="14">
        <f>1/2.5</f>
        <v>0.4</v>
      </c>
      <c r="S21" s="14" t="s">
        <v>2915</v>
      </c>
    </row>
    <row r="22" spans="4:19" ht="20.100000000000001" customHeight="1" x14ac:dyDescent="0.2">
      <c r="D22" s="262" t="s">
        <v>2893</v>
      </c>
      <c r="E22" s="262">
        <v>367</v>
      </c>
      <c r="F22" s="862" t="s">
        <v>2916</v>
      </c>
      <c r="G22" s="835">
        <f>0.05*0.4</f>
        <v>2.0000000000000004E-2</v>
      </c>
      <c r="H22" s="863" t="s">
        <v>2912</v>
      </c>
      <c r="I22" s="863" t="s">
        <v>2776</v>
      </c>
      <c r="J22" s="863">
        <f t="shared" si="4"/>
        <v>548</v>
      </c>
      <c r="K22" s="863" t="s">
        <v>163</v>
      </c>
      <c r="L22" s="863">
        <f t="shared" si="2"/>
        <v>10.960000000000003</v>
      </c>
      <c r="M22" s="864" t="str">
        <f t="shared" si="3"/>
        <v>m³</v>
      </c>
      <c r="N22" s="449">
        <f>SUMIF(Orçamento!$B$1:$B$1049,E22,Orçamento!$F$1:$F$1049)-L22</f>
        <v>0</v>
      </c>
    </row>
    <row r="23" spans="4:19" ht="20.100000000000001" customHeight="1" x14ac:dyDescent="0.2">
      <c r="D23" s="262"/>
      <c r="E23" s="262" t="s">
        <v>2917</v>
      </c>
      <c r="F23" s="862" t="s">
        <v>2918</v>
      </c>
      <c r="G23" s="835">
        <f>G3*1</f>
        <v>3</v>
      </c>
      <c r="H23" s="863" t="s">
        <v>2919</v>
      </c>
      <c r="I23" s="863" t="s">
        <v>2776</v>
      </c>
      <c r="J23" s="863">
        <f t="shared" si="4"/>
        <v>548</v>
      </c>
      <c r="K23" s="863" t="s">
        <v>163</v>
      </c>
      <c r="L23" s="863">
        <f t="shared" si="2"/>
        <v>1644</v>
      </c>
      <c r="M23" s="864" t="str">
        <f t="shared" si="3"/>
        <v>m</v>
      </c>
      <c r="N23" s="449">
        <f>SUMIF(Orçamento!$B$1:$B$1049,E23,Orçamento!$F$1:$F$1049)-L23</f>
        <v>0</v>
      </c>
    </row>
    <row r="24" spans="4:19" ht="35.1" customHeight="1" x14ac:dyDescent="0.2">
      <c r="F24" s="872" t="s">
        <v>2920</v>
      </c>
    </row>
    <row r="25" spans="4:19" ht="20.100000000000001" customHeight="1" x14ac:dyDescent="0.2">
      <c r="D25" s="262" t="s">
        <v>2893</v>
      </c>
      <c r="E25" s="868" t="s">
        <v>8983</v>
      </c>
      <c r="F25" s="862" t="s">
        <v>2921</v>
      </c>
      <c r="G25" s="835"/>
      <c r="H25" s="863"/>
      <c r="I25" s="863"/>
      <c r="J25" s="863"/>
      <c r="K25" s="863"/>
      <c r="L25" s="863">
        <v>10</v>
      </c>
      <c r="M25" s="864" t="s">
        <v>226</v>
      </c>
      <c r="N25" s="449">
        <f>SUMIF(Orçamento!$B$1:$B$1049,E25,Orçamento!$F$1:$F$1049)-L25</f>
        <v>0</v>
      </c>
      <c r="O25" s="873" t="s">
        <v>2922</v>
      </c>
    </row>
    <row r="26" spans="4:19" ht="20.100000000000001" customHeight="1" x14ac:dyDescent="0.2">
      <c r="D26" s="262" t="s">
        <v>2896</v>
      </c>
      <c r="E26" s="868">
        <v>90555</v>
      </c>
      <c r="F26" s="862" t="s">
        <v>2923</v>
      </c>
      <c r="G26" s="835">
        <f>0.5*0.5*0.5</f>
        <v>0.125</v>
      </c>
      <c r="H26" s="863" t="s">
        <v>2924</v>
      </c>
      <c r="I26" s="863" t="s">
        <v>2776</v>
      </c>
      <c r="J26" s="863">
        <v>0</v>
      </c>
      <c r="K26" s="863" t="s">
        <v>163</v>
      </c>
      <c r="L26" s="863">
        <f>G26*J26</f>
        <v>0</v>
      </c>
      <c r="M26" s="864" t="s">
        <v>40</v>
      </c>
      <c r="N26" s="449">
        <f>SUMIF(Orçamento!$B$1:$B$1049,E26,Orçamento!$F$1:$F$1049)-L26</f>
        <v>0</v>
      </c>
      <c r="O26" s="14" t="s">
        <v>43956</v>
      </c>
    </row>
    <row r="27" spans="4:19" ht="20.100000000000001" customHeight="1" x14ac:dyDescent="0.2">
      <c r="D27" s="262" t="s">
        <v>43955</v>
      </c>
      <c r="E27" s="868" t="s">
        <v>18</v>
      </c>
      <c r="F27" s="862" t="s">
        <v>2925</v>
      </c>
      <c r="G27" s="835">
        <f>0.5*0.5*0.1</f>
        <v>2.5000000000000001E-2</v>
      </c>
      <c r="H27" s="863" t="s">
        <v>2924</v>
      </c>
      <c r="I27" s="863" t="s">
        <v>2776</v>
      </c>
      <c r="J27" s="863">
        <f>$L$25</f>
        <v>10</v>
      </c>
      <c r="K27" s="863" t="s">
        <v>163</v>
      </c>
      <c r="L27" s="863">
        <f>G27*J27</f>
        <v>0.25</v>
      </c>
      <c r="M27" s="864" t="s">
        <v>40</v>
      </c>
      <c r="N27" s="449">
        <f>SUMIF(Orçamento!$B$1:$B$1049,E27,Orçamento!$F$1:$F$1049)-L27</f>
        <v>19.47</v>
      </c>
    </row>
    <row r="28" spans="4:19" ht="35.1" customHeight="1" x14ac:dyDescent="0.2">
      <c r="F28" s="872" t="s">
        <v>2926</v>
      </c>
    </row>
    <row r="29" spans="4:19" ht="30" customHeight="1" x14ac:dyDescent="0.2">
      <c r="D29" s="262" t="s">
        <v>2893</v>
      </c>
      <c r="E29" s="262" t="s">
        <v>2927</v>
      </c>
      <c r="F29" s="874" t="str">
        <f ca="1">INDEX(INDIRECT(D29&amp;"!"&amp;"A:D"),MATCH(E29,INDIRECT(D29&amp;"!"&amp;"A:A"),0),2)</f>
        <v>ENTRADA DE ENERGIA ELÉTRICA, AÉREA, BIFÁSICA, COM CAIXA DE SOBREPOR, CABO DE 16 MM2 E DISJUNTOR DIN 50A (NÃO INCLUSO O POSTE DE CONCRETO). AF_07/2020_PS</v>
      </c>
      <c r="G29" s="835"/>
      <c r="H29" s="863"/>
      <c r="I29" s="863"/>
      <c r="J29" s="863"/>
      <c r="K29" s="863"/>
      <c r="L29" s="875">
        <v>1</v>
      </c>
      <c r="M29" s="876" t="s">
        <v>226</v>
      </c>
      <c r="N29" s="449">
        <f>SUMIF(Orçamento!$B$1:$B$1049,E29,Orçamento!$F$1:$F$1049)-L29</f>
        <v>0</v>
      </c>
    </row>
    <row r="30" spans="4:19" ht="20.100000000000001" customHeight="1" x14ac:dyDescent="0.2">
      <c r="D30" s="262"/>
      <c r="E30" s="262" t="s">
        <v>2928</v>
      </c>
      <c r="F30" s="862" t="s">
        <v>2929</v>
      </c>
      <c r="G30" s="835">
        <v>2</v>
      </c>
      <c r="H30" s="863" t="s">
        <v>2930</v>
      </c>
      <c r="I30" s="863" t="s">
        <v>2776</v>
      </c>
      <c r="J30" s="863">
        <f>$L$29</f>
        <v>1</v>
      </c>
      <c r="K30" s="863" t="s">
        <v>163</v>
      </c>
      <c r="L30" s="863">
        <f>G30*J30</f>
        <v>2</v>
      </c>
      <c r="M30" s="864" t="str">
        <f>MID(H30,1,SEARCH("/",H30,1)-1)</f>
        <v>un</v>
      </c>
      <c r="N30" s="449">
        <f>SUMIF(Orçamento!$B$1:$B$1049,E30,Orçamento!$F$1:$F$1049)-L30</f>
        <v>0</v>
      </c>
    </row>
    <row r="31" spans="4:19" ht="20.100000000000001" customHeight="1" x14ac:dyDescent="0.2">
      <c r="D31" s="262"/>
      <c r="E31" s="262" t="s">
        <v>2931</v>
      </c>
      <c r="F31" s="862" t="s">
        <v>2932</v>
      </c>
      <c r="G31" s="835">
        <v>1</v>
      </c>
      <c r="H31" s="863" t="s">
        <v>2930</v>
      </c>
      <c r="I31" s="863" t="s">
        <v>2776</v>
      </c>
      <c r="J31" s="863">
        <f t="shared" ref="J31:J37" si="5">$L$29</f>
        <v>1</v>
      </c>
      <c r="K31" s="863" t="s">
        <v>163</v>
      </c>
      <c r="L31" s="863">
        <f t="shared" ref="L31:L37" si="6">G31*J31</f>
        <v>1</v>
      </c>
      <c r="M31" s="864" t="str">
        <f t="shared" ref="M31:M37" si="7">MID(H31,1,SEARCH("/",H31,1)-1)</f>
        <v>un</v>
      </c>
      <c r="N31" s="449">
        <f>SUMIF(Orçamento!$B$1:$B$1049,E31,Orçamento!$F$1:$F$1049)-L31</f>
        <v>0</v>
      </c>
    </row>
    <row r="32" spans="4:19" ht="20.100000000000001" customHeight="1" x14ac:dyDescent="0.2">
      <c r="D32" s="262" t="s">
        <v>2893</v>
      </c>
      <c r="E32" s="262" t="s">
        <v>8740</v>
      </c>
      <c r="F32" s="862" t="s">
        <v>2933</v>
      </c>
      <c r="G32" s="835">
        <v>10</v>
      </c>
      <c r="H32" s="863" t="s">
        <v>2934</v>
      </c>
      <c r="I32" s="863" t="s">
        <v>2776</v>
      </c>
      <c r="J32" s="863">
        <f t="shared" si="5"/>
        <v>1</v>
      </c>
      <c r="K32" s="863" t="s">
        <v>163</v>
      </c>
      <c r="L32" s="863">
        <f t="shared" si="6"/>
        <v>10</v>
      </c>
      <c r="M32" s="864" t="str">
        <f t="shared" si="7"/>
        <v>m</v>
      </c>
      <c r="N32" s="449">
        <f>SUMIF(Orçamento!$B$1:$B$1049,E32,Orçamento!$F$1:$F$1049)-L32</f>
        <v>0</v>
      </c>
    </row>
    <row r="33" spans="4:14" ht="20.100000000000001" customHeight="1" x14ac:dyDescent="0.2">
      <c r="D33" s="262" t="s">
        <v>304</v>
      </c>
      <c r="E33" s="262" t="s">
        <v>37098</v>
      </c>
      <c r="F33" s="862" t="s">
        <v>2905</v>
      </c>
      <c r="G33" s="835">
        <v>1</v>
      </c>
      <c r="H33" s="863" t="s">
        <v>2930</v>
      </c>
      <c r="I33" s="863" t="s">
        <v>2776</v>
      </c>
      <c r="J33" s="863">
        <f t="shared" si="5"/>
        <v>1</v>
      </c>
      <c r="K33" s="863" t="s">
        <v>163</v>
      </c>
      <c r="L33" s="863">
        <f t="shared" si="6"/>
        <v>1</v>
      </c>
      <c r="M33" s="864" t="str">
        <f t="shared" si="7"/>
        <v>un</v>
      </c>
      <c r="N33" s="449">
        <f>SUMIF(Orçamento!$B$1:$B$1049,E33,Orçamento!$F$1:$F$1049)-L33</f>
        <v>14</v>
      </c>
    </row>
    <row r="34" spans="4:14" ht="20.100000000000001" customHeight="1" x14ac:dyDescent="0.2">
      <c r="D34" s="262" t="s">
        <v>2893</v>
      </c>
      <c r="E34" s="262" t="s">
        <v>43948</v>
      </c>
      <c r="F34" s="862" t="str">
        <f ca="1">INDEX(INDIRECT(D34&amp;"!"&amp;"A:D"),MATCH(E34,INDIRECT(D34&amp;"!"&amp;"A:A"),0),2)&amp;" LUMINÁRIA 150W - PLANTA (DUPLA)"</f>
        <v>CONECTOR METALICO TIPO PARAFUSO FENDIDO (SPLIT BOLT), PARA CABOS ATE 95 MM2 LUMINÁRIA 150W - PLANTA (DUPLA)</v>
      </c>
      <c r="G34" s="835">
        <v>1</v>
      </c>
      <c r="H34" s="863" t="s">
        <v>2930</v>
      </c>
      <c r="I34" s="863" t="s">
        <v>2776</v>
      </c>
      <c r="J34" s="863">
        <f t="shared" si="5"/>
        <v>1</v>
      </c>
      <c r="K34" s="863" t="s">
        <v>163</v>
      </c>
      <c r="L34" s="863">
        <f t="shared" si="6"/>
        <v>1</v>
      </c>
      <c r="M34" s="864" t="str">
        <f t="shared" si="7"/>
        <v>un</v>
      </c>
      <c r="N34" s="449">
        <f>SUMIF(Orçamento!$B$1:$B$1049,E34,Orçamento!$F$1:$F$1049)-L34</f>
        <v>85</v>
      </c>
    </row>
    <row r="35" spans="4:14" ht="20.100000000000001" customHeight="1" x14ac:dyDescent="0.2">
      <c r="D35" s="262" t="s">
        <v>2893</v>
      </c>
      <c r="E35" s="262" t="s">
        <v>2894</v>
      </c>
      <c r="F35" s="862" t="s">
        <v>2935</v>
      </c>
      <c r="G35" s="835">
        <f>G32*G3</f>
        <v>30</v>
      </c>
      <c r="H35" s="863" t="s">
        <v>2934</v>
      </c>
      <c r="I35" s="863" t="s">
        <v>2776</v>
      </c>
      <c r="J35" s="863">
        <f t="shared" si="5"/>
        <v>1</v>
      </c>
      <c r="K35" s="863" t="s">
        <v>163</v>
      </c>
      <c r="L35" s="863">
        <f t="shared" si="6"/>
        <v>30</v>
      </c>
      <c r="M35" s="864" t="str">
        <f t="shared" si="7"/>
        <v>m</v>
      </c>
      <c r="N35" s="449">
        <f>SUMIF(Orçamento!$B$1:$B$1049,E35,Orçamento!$F$1:$F$1049)-L35</f>
        <v>504</v>
      </c>
    </row>
    <row r="36" spans="4:14" ht="20.100000000000001" customHeight="1" x14ac:dyDescent="0.2">
      <c r="D36" s="262" t="s">
        <v>304</v>
      </c>
      <c r="E36" s="262" t="s">
        <v>36196</v>
      </c>
      <c r="F36" s="862" t="s">
        <v>2897</v>
      </c>
      <c r="G36" s="835">
        <f>6</f>
        <v>6</v>
      </c>
      <c r="H36" s="863" t="s">
        <v>2930</v>
      </c>
      <c r="I36" s="863" t="s">
        <v>2776</v>
      </c>
      <c r="J36" s="863">
        <f t="shared" si="5"/>
        <v>1</v>
      </c>
      <c r="K36" s="863" t="s">
        <v>163</v>
      </c>
      <c r="L36" s="863">
        <f t="shared" si="6"/>
        <v>6</v>
      </c>
      <c r="M36" s="864" t="str">
        <f t="shared" si="7"/>
        <v>un</v>
      </c>
      <c r="N36" s="449">
        <f>SUMIF(Orçamento!$B$1:$B$1049,E36,Orçamento!$F$1:$F$1049)-L36</f>
        <v>0</v>
      </c>
    </row>
    <row r="37" spans="4:14" ht="20.100000000000001" customHeight="1" x14ac:dyDescent="0.2">
      <c r="D37" s="262" t="s">
        <v>2893</v>
      </c>
      <c r="E37" s="262" t="s">
        <v>2901</v>
      </c>
      <c r="F37" s="862" t="s">
        <v>2902</v>
      </c>
      <c r="G37" s="835">
        <f>G32</f>
        <v>10</v>
      </c>
      <c r="H37" s="863" t="s">
        <v>2934</v>
      </c>
      <c r="I37" s="863" t="s">
        <v>2776</v>
      </c>
      <c r="J37" s="863">
        <f t="shared" si="5"/>
        <v>1</v>
      </c>
      <c r="K37" s="863" t="s">
        <v>163</v>
      </c>
      <c r="L37" s="863">
        <f t="shared" si="6"/>
        <v>10</v>
      </c>
      <c r="M37" s="864" t="str">
        <f t="shared" si="7"/>
        <v>m</v>
      </c>
      <c r="N37" s="449">
        <f>SUMIF(Orçamento!$B$1:$B$1049,E37,Orçamento!$F$1:$F$1049)-L37</f>
        <v>574</v>
      </c>
    </row>
    <row r="38" spans="4:14" ht="35.1" customHeight="1" x14ac:dyDescent="0.2">
      <c r="F38" s="872" t="s">
        <v>2936</v>
      </c>
    </row>
    <row r="39" spans="4:14" ht="30" customHeight="1" x14ac:dyDescent="0.2">
      <c r="D39" s="346" t="s">
        <v>2893</v>
      </c>
      <c r="E39" s="262" t="s">
        <v>2901</v>
      </c>
      <c r="F39" s="874" t="str">
        <f ca="1">INDEX(INDIRECT(D39&amp;"!"&amp;"A:D"),MATCH(E39,INDIRECT(D39&amp;"!"&amp;"A:A"),0),2)&amp;" LUMINÁRIA 150W - PLANTA (DUPLA)"</f>
        <v>CABO DE COBRE FLEXÍVEL ISOLADO, 35 MM², ANTI-CHAMA 0,6/1,0 KV, PARA REDE ENTERRADA DE DISTRIBUIÇÃO DE ENERGIA ELÉTRICA - FORNECIMENTO E INSTALAÇÃO. AF_12/2021 LUMINÁRIA 150W - PLANTA (DUPLA)</v>
      </c>
      <c r="G39" s="835">
        <v>12</v>
      </c>
      <c r="H39" s="863" t="str">
        <f ca="1">INDEX(INDIRECT(D39&amp;"!"&amp;"A:D"),MATCH(E39,INDIRECT(D39&amp;"!"&amp;"A:A"),0),3)</f>
        <v>M</v>
      </c>
      <c r="I39" s="863" t="s">
        <v>2776</v>
      </c>
      <c r="J39" s="863">
        <f>$L$29</f>
        <v>1</v>
      </c>
      <c r="K39" s="863" t="s">
        <v>163</v>
      </c>
      <c r="L39" s="863">
        <f>G39*J39</f>
        <v>12</v>
      </c>
      <c r="M39" s="864" t="s">
        <v>158</v>
      </c>
      <c r="N39" s="449">
        <f>SUMIF(Orçamento!$B$1:$B$1049,E39,Orçamento!$F$1:$F$1049)-L39</f>
        <v>572</v>
      </c>
    </row>
    <row r="40" spans="4:14" ht="30" customHeight="1" x14ac:dyDescent="0.2">
      <c r="D40" s="346" t="s">
        <v>2893</v>
      </c>
      <c r="E40" s="262" t="s">
        <v>43948</v>
      </c>
      <c r="F40" s="874" t="str">
        <f ca="1">INDEX(INDIRECT(D40&amp;"!"&amp;"A:D"),MATCH(E40,INDIRECT(D40&amp;"!"&amp;"A:A"),0),2)&amp;" LUMINÁRIA 150W - PLANTA (DUPLA)"</f>
        <v>CONECTOR METALICO TIPO PARAFUSO FENDIDO (SPLIT BOLT), PARA CABOS ATE 95 MM2 LUMINÁRIA 150W - PLANTA (DUPLA)</v>
      </c>
      <c r="G40" s="835">
        <f>L29</f>
        <v>1</v>
      </c>
      <c r="H40" s="863" t="str">
        <f ca="1">INDEX(INDIRECT(D40&amp;"!"&amp;"A:D"),MATCH(E40,INDIRECT(D40&amp;"!"&amp;"A:A"),0),3)</f>
        <v>UN</v>
      </c>
      <c r="I40" s="863" t="s">
        <v>2776</v>
      </c>
      <c r="J40" s="863">
        <f t="shared" ref="J40:J41" si="8">$L$29</f>
        <v>1</v>
      </c>
      <c r="K40" s="863" t="s">
        <v>163</v>
      </c>
      <c r="L40" s="863">
        <f t="shared" ref="L40:L41" si="9">G40*J40</f>
        <v>1</v>
      </c>
      <c r="M40" s="864" t="s">
        <v>226</v>
      </c>
      <c r="N40" s="449">
        <f>SUMIF(Orçamento!$B$1:$B$1049,E40,Orçamento!$F$1:$F$1049)-L40</f>
        <v>85</v>
      </c>
    </row>
    <row r="41" spans="4:14" ht="30" customHeight="1" x14ac:dyDescent="0.2">
      <c r="D41" s="262" t="s">
        <v>304</v>
      </c>
      <c r="E41" s="460" t="s">
        <v>37078</v>
      </c>
      <c r="F41" s="874" t="str">
        <f ca="1">INDEX(INDIRECT(D41&amp;"!"&amp;"A:D"),MATCH(E41,INDIRECT(D41&amp;"!"&amp;"A:A"),0),2)&amp;" LUMINÁRIA 150W - PLANTA (DUPLA)"</f>
        <v>Solda exotérmica conexão cabo-haste em X sobreposto, bitola do cabo de 35mm² a 50mm² para haste de 5/8" e 3/4" LUMINÁRIA 150W - PLANTA (DUPLA)</v>
      </c>
      <c r="G41" s="835">
        <v>1</v>
      </c>
      <c r="H41" s="863" t="str">
        <f ca="1">INDEX(INDIRECT(D41&amp;"!"&amp;"A:D"),MATCH(E41,INDIRECT(D41&amp;"!"&amp;"A:A"),0),3)</f>
        <v>UN</v>
      </c>
      <c r="I41" s="863" t="s">
        <v>2776</v>
      </c>
      <c r="J41" s="863">
        <f t="shared" si="8"/>
        <v>1</v>
      </c>
      <c r="K41" s="863" t="s">
        <v>163</v>
      </c>
      <c r="L41" s="863">
        <f t="shared" si="9"/>
        <v>1</v>
      </c>
      <c r="M41" s="864" t="s">
        <v>226</v>
      </c>
      <c r="N41" s="449">
        <f>SUMIF(Orçamento!$B$1:$B$1049,E41,Orçamento!$F$1:$F$1049)-L41</f>
        <v>0</v>
      </c>
    </row>
  </sheetData>
  <autoFilter ref="D3:M41" xr:uid="{65135493-BA11-4DC6-9F92-2A8D1E3409F2}"/>
  <conditionalFormatting sqref="A1:XFD1 A2:C4 A3:XFD1048576">
    <cfRule type="containsErrors" dxfId="25" priority="9">
      <formula>ISERROR(A1)</formula>
    </cfRule>
  </conditionalFormatting>
  <conditionalFormatting sqref="D39:D41">
    <cfRule type="containsBlanks" dxfId="24" priority="8">
      <formula>LEN(TRIM(D39))=0</formula>
    </cfRule>
  </conditionalFormatting>
  <conditionalFormatting sqref="F29">
    <cfRule type="containsErrors" dxfId="23" priority="7">
      <formula>ISERROR(F29)</formula>
    </cfRule>
  </conditionalFormatting>
  <conditionalFormatting sqref="D15:D16">
    <cfRule type="containsErrors" dxfId="22" priority="6">
      <formula>ISERROR(D15)</formula>
    </cfRule>
  </conditionalFormatting>
  <conditionalFormatting sqref="D15:D16">
    <cfRule type="containsBlanks" dxfId="21" priority="5">
      <formula>LEN(TRIM(D15))=0</formula>
    </cfRule>
  </conditionalFormatting>
  <conditionalFormatting sqref="L15:L16 L6">
    <cfRule type="containsBlanks" dxfId="20" priority="4">
      <formula>LEN(TRIM(L6))=0</formula>
    </cfRule>
  </conditionalFormatting>
  <conditionalFormatting sqref="E1:E1048576">
    <cfRule type="duplicateValues" dxfId="19" priority="1"/>
  </conditionalFormatting>
  <pageMargins left="0.511811024" right="0.511811024" top="0.78740157499999996" bottom="0.78740157499999996" header="0.31496062000000002" footer="0.31496062000000002"/>
  <pageSetup paperSize="9" orientation="portrait" horizontalDpi="4294967294" verticalDpi="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1CC1B-6794-4F79-827B-1F0A76131EA3}">
  <dimension ref="A1:F16"/>
  <sheetViews>
    <sheetView workbookViewId="0">
      <selection activeCell="O22" sqref="O22"/>
    </sheetView>
  </sheetViews>
  <sheetFormatPr defaultRowHeight="12.75" x14ac:dyDescent="0.2"/>
  <cols>
    <col min="1" max="1" width="9.140625" style="933"/>
    <col min="2" max="2" width="10.7109375" style="933" customWidth="1"/>
    <col min="3" max="3" width="50.7109375" style="933" customWidth="1"/>
    <col min="4" max="5" width="10.7109375" style="933" customWidth="1"/>
    <col min="6" max="6" width="9.7109375" style="933" bestFit="1" customWidth="1"/>
    <col min="7" max="16384" width="9.140625" style="933"/>
  </cols>
  <sheetData>
    <row r="1" spans="1:6" x14ac:dyDescent="0.2">
      <c r="A1" s="944" t="s">
        <v>21617</v>
      </c>
      <c r="B1" s="944"/>
      <c r="C1" s="944"/>
      <c r="D1" s="944"/>
      <c r="E1" s="944"/>
    </row>
    <row r="2" spans="1:6" x14ac:dyDescent="0.2">
      <c r="A2" s="934" t="s">
        <v>2874</v>
      </c>
      <c r="B2" s="934" t="s">
        <v>2875</v>
      </c>
      <c r="C2" s="935" t="s">
        <v>2876</v>
      </c>
      <c r="D2" s="935" t="s">
        <v>2798</v>
      </c>
      <c r="E2" s="935" t="s">
        <v>21615</v>
      </c>
    </row>
    <row r="3" spans="1:6" ht="15" customHeight="1" x14ac:dyDescent="0.2">
      <c r="A3" s="952"/>
      <c r="B3" s="952"/>
      <c r="C3" s="947" t="s">
        <v>21602</v>
      </c>
      <c r="D3" s="948"/>
      <c r="E3" s="948"/>
    </row>
    <row r="4" spans="1:6" ht="15" customHeight="1" x14ac:dyDescent="0.2">
      <c r="A4" s="945"/>
      <c r="B4" s="949"/>
      <c r="C4" s="951" t="s">
        <v>21603</v>
      </c>
      <c r="D4" s="948"/>
      <c r="E4" s="948"/>
    </row>
    <row r="5" spans="1:6" ht="15" customHeight="1" x14ac:dyDescent="0.2">
      <c r="A5" s="940" t="s">
        <v>2893</v>
      </c>
      <c r="B5" s="835" t="s">
        <v>8117</v>
      </c>
      <c r="C5" s="942" t="s">
        <v>21604</v>
      </c>
      <c r="D5" s="940" t="s">
        <v>6</v>
      </c>
      <c r="E5" s="943">
        <v>4520</v>
      </c>
      <c r="F5" s="449">
        <f>SUMIF(Orçamento!$B$144:$B$152,MC_CONT!B5,Orçamento!$F$144:$F$152)-E5</f>
        <v>-4520</v>
      </c>
    </row>
    <row r="6" spans="1:6" ht="15" customHeight="1" x14ac:dyDescent="0.2">
      <c r="A6" s="940" t="s">
        <v>2893</v>
      </c>
      <c r="B6" s="835" t="s">
        <v>8119</v>
      </c>
      <c r="C6" s="942" t="s">
        <v>21605</v>
      </c>
      <c r="D6" s="940" t="s">
        <v>6</v>
      </c>
      <c r="E6" s="943">
        <v>15941</v>
      </c>
      <c r="F6" s="449">
        <f>SUMIF(Orçamento!$B$144:$B$152,MC_CONT!B6,Orçamento!$F$144:$F$152)-E6</f>
        <v>-15941</v>
      </c>
    </row>
    <row r="7" spans="1:6" ht="15" customHeight="1" x14ac:dyDescent="0.2">
      <c r="A7" s="937"/>
      <c r="B7" s="938"/>
      <c r="C7" s="939" t="s">
        <v>21606</v>
      </c>
      <c r="D7" s="936"/>
      <c r="E7" s="936"/>
      <c r="F7" s="449">
        <f>SUMIF(Orçamento!$B$144:$B$152,MC_CONT!B7,Orçamento!$F$144:$F$152)-E7</f>
        <v>0</v>
      </c>
    </row>
    <row r="8" spans="1:6" ht="15" customHeight="1" x14ac:dyDescent="0.2">
      <c r="A8" s="940"/>
      <c r="B8" s="460" t="s">
        <v>32775</v>
      </c>
      <c r="C8" s="942" t="s">
        <v>21607</v>
      </c>
      <c r="D8" s="940" t="s">
        <v>38</v>
      </c>
      <c r="E8" s="940">
        <v>7</v>
      </c>
      <c r="F8" s="449">
        <f>SUMIF(Orçamento!$B$144:$B$152,MC_CONT!B8,Orçamento!$F$144:$F$152)-E8</f>
        <v>0</v>
      </c>
    </row>
    <row r="9" spans="1:6" ht="15" customHeight="1" x14ac:dyDescent="0.2">
      <c r="A9" s="940"/>
      <c r="B9" s="941" t="s">
        <v>32778</v>
      </c>
      <c r="C9" s="942" t="s">
        <v>21608</v>
      </c>
      <c r="D9" s="940" t="s">
        <v>38</v>
      </c>
      <c r="E9" s="940">
        <v>63</v>
      </c>
      <c r="F9" s="449">
        <f>SUMIF(Orçamento!$B$144:$B$152,MC_CONT!B9,Orçamento!$F$144:$F$152)-E9</f>
        <v>0</v>
      </c>
    </row>
    <row r="10" spans="1:6" ht="15" customHeight="1" x14ac:dyDescent="0.2">
      <c r="A10" s="945"/>
      <c r="B10" s="949"/>
      <c r="C10" s="950" t="s">
        <v>21609</v>
      </c>
      <c r="D10" s="948"/>
      <c r="E10" s="948"/>
      <c r="F10" s="449">
        <f>SUMIF(Orçamento!$B$144:$B$152,MC_CONT!B10,Orçamento!$F$144:$F$152)-E10</f>
        <v>0</v>
      </c>
    </row>
    <row r="11" spans="1:6" ht="15" customHeight="1" x14ac:dyDescent="0.2">
      <c r="A11" s="940" t="s">
        <v>2881</v>
      </c>
      <c r="B11" s="933" t="s">
        <v>35035</v>
      </c>
      <c r="C11" s="942" t="s">
        <v>21609</v>
      </c>
      <c r="D11" s="940" t="s">
        <v>39</v>
      </c>
      <c r="E11" s="940">
        <v>352</v>
      </c>
      <c r="F11" s="449">
        <f>SUMIF(Orçamento!$B$144:$B$152,MC_CONT!B11,Orçamento!$F$144:$F$152)-E11</f>
        <v>0</v>
      </c>
    </row>
    <row r="12" spans="1:6" ht="15" customHeight="1" x14ac:dyDescent="0.2">
      <c r="A12" s="940"/>
      <c r="B12" s="957" t="s">
        <v>32673</v>
      </c>
      <c r="C12" s="942" t="s">
        <v>21610</v>
      </c>
      <c r="D12" s="940" t="s">
        <v>39</v>
      </c>
      <c r="E12" s="940">
        <v>441.1</v>
      </c>
      <c r="F12" s="449">
        <f>SUMIF(Orçamento!$B$144:$B$152,MC_CONT!B12,Orçamento!$F$144:$F$152)-E12</f>
        <v>0</v>
      </c>
    </row>
    <row r="13" spans="1:6" ht="15" customHeight="1" x14ac:dyDescent="0.2">
      <c r="A13" s="945"/>
      <c r="B13" s="946"/>
      <c r="C13" s="947" t="s">
        <v>21611</v>
      </c>
      <c r="D13" s="948"/>
      <c r="E13" s="948"/>
      <c r="F13" s="449">
        <f>SUMIF(Orçamento!$B$144:$B$152,MC_CONT!B13,Orçamento!$F$144:$F$152)-E13</f>
        <v>0</v>
      </c>
    </row>
    <row r="14" spans="1:6" ht="15" customHeight="1" x14ac:dyDescent="0.2">
      <c r="A14" s="940" t="s">
        <v>2893</v>
      </c>
      <c r="B14" s="937">
        <v>39212</v>
      </c>
      <c r="C14" s="936" t="s">
        <v>21612</v>
      </c>
      <c r="D14" s="940" t="s">
        <v>3</v>
      </c>
      <c r="E14" s="943">
        <v>2759</v>
      </c>
      <c r="F14" s="449">
        <f>SUMIF(Orçamento!$B$144:$B$152,MC_CONT!B14,Orçamento!$F$144:$F$152)-E14</f>
        <v>0</v>
      </c>
    </row>
    <row r="15" spans="1:6" ht="15" customHeight="1" x14ac:dyDescent="0.2">
      <c r="A15" s="940" t="s">
        <v>2881</v>
      </c>
      <c r="B15" s="1059" t="s">
        <v>43946</v>
      </c>
      <c r="C15" s="936" t="s">
        <v>21613</v>
      </c>
      <c r="D15" s="940" t="s">
        <v>3</v>
      </c>
      <c r="E15" s="940">
        <v>690</v>
      </c>
      <c r="F15" s="449">
        <f>SUMIF(Orçamento!$B$144:$B$152,MC_CONT!B15,Orçamento!$F$144:$F$152)-E15</f>
        <v>0</v>
      </c>
    </row>
    <row r="16" spans="1:6" ht="15" customHeight="1" x14ac:dyDescent="0.2">
      <c r="A16" s="940" t="s">
        <v>2881</v>
      </c>
      <c r="B16" s="937" t="s">
        <v>28336</v>
      </c>
      <c r="C16" s="936" t="s">
        <v>21614</v>
      </c>
      <c r="D16" s="940" t="s">
        <v>3</v>
      </c>
      <c r="E16" s="943">
        <f>1380*ROUND(AVERAGE(12,14,18)/100,2)</f>
        <v>207</v>
      </c>
      <c r="F16" s="449">
        <f>SUMIF(Orçamento!$B$144:$B$152,MC_CONT!B16,Orçamento!$F$144:$F$152)-E16</f>
        <v>0</v>
      </c>
    </row>
  </sheetData>
  <conditionalFormatting sqref="A3:B3">
    <cfRule type="containsErrors" dxfId="18" priority="30">
      <formula>ISERROR(A3)</formula>
    </cfRule>
  </conditionalFormatting>
  <conditionalFormatting sqref="A3:B3">
    <cfRule type="containsErrors" dxfId="17" priority="29">
      <formula>ISERROR(A3)</formula>
    </cfRule>
  </conditionalFormatting>
  <conditionalFormatting sqref="B2:B3">
    <cfRule type="duplicateValues" dxfId="16" priority="28"/>
  </conditionalFormatting>
  <conditionalFormatting sqref="A2:A3">
    <cfRule type="duplicateValues" dxfId="15" priority="31"/>
  </conditionalFormatting>
  <conditionalFormatting sqref="A2:B2">
    <cfRule type="containsErrors" dxfId="14" priority="27">
      <formula>ISERROR(A2)</formula>
    </cfRule>
  </conditionalFormatting>
  <conditionalFormatting sqref="A2:B2">
    <cfRule type="containsErrors" dxfId="13" priority="26">
      <formula>ISERROR(A2)</formula>
    </cfRule>
  </conditionalFormatting>
  <conditionalFormatting sqref="C2:E2">
    <cfRule type="containsErrors" dxfId="12" priority="25">
      <formula>ISERROR(C2)</formula>
    </cfRule>
  </conditionalFormatting>
  <conditionalFormatting sqref="C2:E2">
    <cfRule type="containsErrors" dxfId="11" priority="24">
      <formula>ISERROR(C2)</formula>
    </cfRule>
  </conditionalFormatting>
  <conditionalFormatting sqref="B9">
    <cfRule type="containsErrors" dxfId="10" priority="21">
      <formula>ISERROR(B9)</formula>
    </cfRule>
  </conditionalFormatting>
  <conditionalFormatting sqref="B16:B1048576 B1:B4 B13 B9:B10 B7">
    <cfRule type="duplicateValues" dxfId="9" priority="19"/>
  </conditionalFormatting>
  <conditionalFormatting sqref="F5:F16">
    <cfRule type="containsErrors" dxfId="8" priority="18">
      <formula>ISERROR(F5)</formula>
    </cfRule>
  </conditionalFormatting>
  <conditionalFormatting sqref="B5:B6">
    <cfRule type="containsErrors" dxfId="7" priority="8">
      <formula>ISERROR(B5)</formula>
    </cfRule>
  </conditionalFormatting>
  <conditionalFormatting sqref="B5:B6">
    <cfRule type="duplicateValues" dxfId="6" priority="7"/>
  </conditionalFormatting>
  <conditionalFormatting sqref="B5:B6">
    <cfRule type="containsErrors" dxfId="5" priority="6">
      <formula>ISERROR(B5)</formula>
    </cfRule>
  </conditionalFormatting>
  <conditionalFormatting sqref="B5:B6">
    <cfRule type="containsErrors" dxfId="4" priority="5">
      <formula>ISERROR(B5)</formula>
    </cfRule>
  </conditionalFormatting>
  <conditionalFormatting sqref="B5:B6">
    <cfRule type="duplicateValues" dxfId="3" priority="4"/>
  </conditionalFormatting>
  <conditionalFormatting sqref="B5:B6">
    <cfRule type="duplicateValues" dxfId="2" priority="3"/>
  </conditionalFormatting>
  <conditionalFormatting sqref="B8">
    <cfRule type="containsErrors" dxfId="1" priority="2">
      <formula>ISERROR(B8)</formula>
    </cfRule>
  </conditionalFormatting>
  <conditionalFormatting sqref="B8">
    <cfRule type="duplicateValues" dxfId="0" priority="1"/>
  </conditionalFormatting>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3CDE-3A61-437F-9400-726489FE8EF4}">
  <sheetPr codeName="Planilha10"/>
  <dimension ref="A2:J41"/>
  <sheetViews>
    <sheetView showGridLines="0" tabSelected="1" zoomScaleNormal="100" zoomScaleSheetLayoutView="100" workbookViewId="0">
      <selection activeCell="N35" sqref="N35"/>
    </sheetView>
  </sheetViews>
  <sheetFormatPr defaultRowHeight="12.75" x14ac:dyDescent="0.25"/>
  <cols>
    <col min="1" max="1" width="3.5703125" style="475" customWidth="1"/>
    <col min="2" max="2" width="6.7109375" style="475" customWidth="1"/>
    <col min="3" max="3" width="16.28515625" style="475" customWidth="1"/>
    <col min="4" max="4" width="8.7109375" style="475" customWidth="1"/>
    <col min="5" max="5" width="8.85546875" style="475" customWidth="1"/>
    <col min="6" max="6" width="12" style="475" customWidth="1"/>
    <col min="7" max="7" width="7.5703125" style="475" customWidth="1"/>
    <col min="8" max="8" width="18.28515625" style="475" customWidth="1"/>
    <col min="9" max="9" width="3" style="475" customWidth="1"/>
    <col min="10" max="10" width="12.85546875" style="475" bestFit="1" customWidth="1"/>
    <col min="11" max="253" width="9.140625" style="475"/>
    <col min="254" max="254" width="3.5703125" style="475" customWidth="1"/>
    <col min="255" max="255" width="8.42578125" style="475" customWidth="1"/>
    <col min="256" max="256" width="6.7109375" style="475" customWidth="1"/>
    <col min="257" max="257" width="16.28515625" style="475" customWidth="1"/>
    <col min="258" max="258" width="8.7109375" style="475" customWidth="1"/>
    <col min="259" max="259" width="8.85546875" style="475" customWidth="1"/>
    <col min="260" max="260" width="12" style="475" customWidth="1"/>
    <col min="261" max="261" width="7.5703125" style="475" customWidth="1"/>
    <col min="262" max="262" width="18.28515625" style="475" customWidth="1"/>
    <col min="263" max="263" width="7.28515625" style="475" customWidth="1"/>
    <col min="264" max="264" width="10.28515625" style="475" customWidth="1"/>
    <col min="265" max="265" width="3" style="475" customWidth="1"/>
    <col min="266" max="509" width="9.140625" style="475"/>
    <col min="510" max="510" width="3.5703125" style="475" customWidth="1"/>
    <col min="511" max="511" width="8.42578125" style="475" customWidth="1"/>
    <col min="512" max="512" width="6.7109375" style="475" customWidth="1"/>
    <col min="513" max="513" width="16.28515625" style="475" customWidth="1"/>
    <col min="514" max="514" width="8.7109375" style="475" customWidth="1"/>
    <col min="515" max="515" width="8.85546875" style="475" customWidth="1"/>
    <col min="516" max="516" width="12" style="475" customWidth="1"/>
    <col min="517" max="517" width="7.5703125" style="475" customWidth="1"/>
    <col min="518" max="518" width="18.28515625" style="475" customWidth="1"/>
    <col min="519" max="519" width="7.28515625" style="475" customWidth="1"/>
    <col min="520" max="520" width="10.28515625" style="475" customWidth="1"/>
    <col min="521" max="521" width="3" style="475" customWidth="1"/>
    <col min="522" max="765" width="9.140625" style="475"/>
    <col min="766" max="766" width="3.5703125" style="475" customWidth="1"/>
    <col min="767" max="767" width="8.42578125" style="475" customWidth="1"/>
    <col min="768" max="768" width="6.7109375" style="475" customWidth="1"/>
    <col min="769" max="769" width="16.28515625" style="475" customWidth="1"/>
    <col min="770" max="770" width="8.7109375" style="475" customWidth="1"/>
    <col min="771" max="771" width="8.85546875" style="475" customWidth="1"/>
    <col min="772" max="772" width="12" style="475" customWidth="1"/>
    <col min="773" max="773" width="7.5703125" style="475" customWidth="1"/>
    <col min="774" max="774" width="18.28515625" style="475" customWidth="1"/>
    <col min="775" max="775" width="7.28515625" style="475" customWidth="1"/>
    <col min="776" max="776" width="10.28515625" style="475" customWidth="1"/>
    <col min="777" max="777" width="3" style="475" customWidth="1"/>
    <col min="778" max="1021" width="9.140625" style="475"/>
    <col min="1022" max="1022" width="3.5703125" style="475" customWidth="1"/>
    <col min="1023" max="1023" width="8.42578125" style="475" customWidth="1"/>
    <col min="1024" max="1024" width="6.7109375" style="475" customWidth="1"/>
    <col min="1025" max="1025" width="16.28515625" style="475" customWidth="1"/>
    <col min="1026" max="1026" width="8.7109375" style="475" customWidth="1"/>
    <col min="1027" max="1027" width="8.85546875" style="475" customWidth="1"/>
    <col min="1028" max="1028" width="12" style="475" customWidth="1"/>
    <col min="1029" max="1029" width="7.5703125" style="475" customWidth="1"/>
    <col min="1030" max="1030" width="18.28515625" style="475" customWidth="1"/>
    <col min="1031" max="1031" width="7.28515625" style="475" customWidth="1"/>
    <col min="1032" max="1032" width="10.28515625" style="475" customWidth="1"/>
    <col min="1033" max="1033" width="3" style="475" customWidth="1"/>
    <col min="1034" max="1277" width="9.140625" style="475"/>
    <col min="1278" max="1278" width="3.5703125" style="475" customWidth="1"/>
    <col min="1279" max="1279" width="8.42578125" style="475" customWidth="1"/>
    <col min="1280" max="1280" width="6.7109375" style="475" customWidth="1"/>
    <col min="1281" max="1281" width="16.28515625" style="475" customWidth="1"/>
    <col min="1282" max="1282" width="8.7109375" style="475" customWidth="1"/>
    <col min="1283" max="1283" width="8.85546875" style="475" customWidth="1"/>
    <col min="1284" max="1284" width="12" style="475" customWidth="1"/>
    <col min="1285" max="1285" width="7.5703125" style="475" customWidth="1"/>
    <col min="1286" max="1286" width="18.28515625" style="475" customWidth="1"/>
    <col min="1287" max="1287" width="7.28515625" style="475" customWidth="1"/>
    <col min="1288" max="1288" width="10.28515625" style="475" customWidth="1"/>
    <col min="1289" max="1289" width="3" style="475" customWidth="1"/>
    <col min="1290" max="1533" width="9.140625" style="475"/>
    <col min="1534" max="1534" width="3.5703125" style="475" customWidth="1"/>
    <col min="1535" max="1535" width="8.42578125" style="475" customWidth="1"/>
    <col min="1536" max="1536" width="6.7109375" style="475" customWidth="1"/>
    <col min="1537" max="1537" width="16.28515625" style="475" customWidth="1"/>
    <col min="1538" max="1538" width="8.7109375" style="475" customWidth="1"/>
    <col min="1539" max="1539" width="8.85546875" style="475" customWidth="1"/>
    <col min="1540" max="1540" width="12" style="475" customWidth="1"/>
    <col min="1541" max="1541" width="7.5703125" style="475" customWidth="1"/>
    <col min="1542" max="1542" width="18.28515625" style="475" customWidth="1"/>
    <col min="1543" max="1543" width="7.28515625" style="475" customWidth="1"/>
    <col min="1544" max="1544" width="10.28515625" style="475" customWidth="1"/>
    <col min="1545" max="1545" width="3" style="475" customWidth="1"/>
    <col min="1546" max="1789" width="9.140625" style="475"/>
    <col min="1790" max="1790" width="3.5703125" style="475" customWidth="1"/>
    <col min="1791" max="1791" width="8.42578125" style="475" customWidth="1"/>
    <col min="1792" max="1792" width="6.7109375" style="475" customWidth="1"/>
    <col min="1793" max="1793" width="16.28515625" style="475" customWidth="1"/>
    <col min="1794" max="1794" width="8.7109375" style="475" customWidth="1"/>
    <col min="1795" max="1795" width="8.85546875" style="475" customWidth="1"/>
    <col min="1796" max="1796" width="12" style="475" customWidth="1"/>
    <col min="1797" max="1797" width="7.5703125" style="475" customWidth="1"/>
    <col min="1798" max="1798" width="18.28515625" style="475" customWidth="1"/>
    <col min="1799" max="1799" width="7.28515625" style="475" customWidth="1"/>
    <col min="1800" max="1800" width="10.28515625" style="475" customWidth="1"/>
    <col min="1801" max="1801" width="3" style="475" customWidth="1"/>
    <col min="1802" max="2045" width="9.140625" style="475"/>
    <col min="2046" max="2046" width="3.5703125" style="475" customWidth="1"/>
    <col min="2047" max="2047" width="8.42578125" style="475" customWidth="1"/>
    <col min="2048" max="2048" width="6.7109375" style="475" customWidth="1"/>
    <col min="2049" max="2049" width="16.28515625" style="475" customWidth="1"/>
    <col min="2050" max="2050" width="8.7109375" style="475" customWidth="1"/>
    <col min="2051" max="2051" width="8.85546875" style="475" customWidth="1"/>
    <col min="2052" max="2052" width="12" style="475" customWidth="1"/>
    <col min="2053" max="2053" width="7.5703125" style="475" customWidth="1"/>
    <col min="2054" max="2054" width="18.28515625" style="475" customWidth="1"/>
    <col min="2055" max="2055" width="7.28515625" style="475" customWidth="1"/>
    <col min="2056" max="2056" width="10.28515625" style="475" customWidth="1"/>
    <col min="2057" max="2057" width="3" style="475" customWidth="1"/>
    <col min="2058" max="2301" width="9.140625" style="475"/>
    <col min="2302" max="2302" width="3.5703125" style="475" customWidth="1"/>
    <col min="2303" max="2303" width="8.42578125" style="475" customWidth="1"/>
    <col min="2304" max="2304" width="6.7109375" style="475" customWidth="1"/>
    <col min="2305" max="2305" width="16.28515625" style="475" customWidth="1"/>
    <col min="2306" max="2306" width="8.7109375" style="475" customWidth="1"/>
    <col min="2307" max="2307" width="8.85546875" style="475" customWidth="1"/>
    <col min="2308" max="2308" width="12" style="475" customWidth="1"/>
    <col min="2309" max="2309" width="7.5703125" style="475" customWidth="1"/>
    <col min="2310" max="2310" width="18.28515625" style="475" customWidth="1"/>
    <col min="2311" max="2311" width="7.28515625" style="475" customWidth="1"/>
    <col min="2312" max="2312" width="10.28515625" style="475" customWidth="1"/>
    <col min="2313" max="2313" width="3" style="475" customWidth="1"/>
    <col min="2314" max="2557" width="9.140625" style="475"/>
    <col min="2558" max="2558" width="3.5703125" style="475" customWidth="1"/>
    <col min="2559" max="2559" width="8.42578125" style="475" customWidth="1"/>
    <col min="2560" max="2560" width="6.7109375" style="475" customWidth="1"/>
    <col min="2561" max="2561" width="16.28515625" style="475" customWidth="1"/>
    <col min="2562" max="2562" width="8.7109375" style="475" customWidth="1"/>
    <col min="2563" max="2563" width="8.85546875" style="475" customWidth="1"/>
    <col min="2564" max="2564" width="12" style="475" customWidth="1"/>
    <col min="2565" max="2565" width="7.5703125" style="475" customWidth="1"/>
    <col min="2566" max="2566" width="18.28515625" style="475" customWidth="1"/>
    <col min="2567" max="2567" width="7.28515625" style="475" customWidth="1"/>
    <col min="2568" max="2568" width="10.28515625" style="475" customWidth="1"/>
    <col min="2569" max="2569" width="3" style="475" customWidth="1"/>
    <col min="2570" max="2813" width="9.140625" style="475"/>
    <col min="2814" max="2814" width="3.5703125" style="475" customWidth="1"/>
    <col min="2815" max="2815" width="8.42578125" style="475" customWidth="1"/>
    <col min="2816" max="2816" width="6.7109375" style="475" customWidth="1"/>
    <col min="2817" max="2817" width="16.28515625" style="475" customWidth="1"/>
    <col min="2818" max="2818" width="8.7109375" style="475" customWidth="1"/>
    <col min="2819" max="2819" width="8.85546875" style="475" customWidth="1"/>
    <col min="2820" max="2820" width="12" style="475" customWidth="1"/>
    <col min="2821" max="2821" width="7.5703125" style="475" customWidth="1"/>
    <col min="2822" max="2822" width="18.28515625" style="475" customWidth="1"/>
    <col min="2823" max="2823" width="7.28515625" style="475" customWidth="1"/>
    <col min="2824" max="2824" width="10.28515625" style="475" customWidth="1"/>
    <col min="2825" max="2825" width="3" style="475" customWidth="1"/>
    <col min="2826" max="3069" width="9.140625" style="475"/>
    <col min="3070" max="3070" width="3.5703125" style="475" customWidth="1"/>
    <col min="3071" max="3071" width="8.42578125" style="475" customWidth="1"/>
    <col min="3072" max="3072" width="6.7109375" style="475" customWidth="1"/>
    <col min="3073" max="3073" width="16.28515625" style="475" customWidth="1"/>
    <col min="3074" max="3074" width="8.7109375" style="475" customWidth="1"/>
    <col min="3075" max="3075" width="8.85546875" style="475" customWidth="1"/>
    <col min="3076" max="3076" width="12" style="475" customWidth="1"/>
    <col min="3077" max="3077" width="7.5703125" style="475" customWidth="1"/>
    <col min="3078" max="3078" width="18.28515625" style="475" customWidth="1"/>
    <col min="3079" max="3079" width="7.28515625" style="475" customWidth="1"/>
    <col min="3080" max="3080" width="10.28515625" style="475" customWidth="1"/>
    <col min="3081" max="3081" width="3" style="475" customWidth="1"/>
    <col min="3082" max="3325" width="9.140625" style="475"/>
    <col min="3326" max="3326" width="3.5703125" style="475" customWidth="1"/>
    <col min="3327" max="3327" width="8.42578125" style="475" customWidth="1"/>
    <col min="3328" max="3328" width="6.7109375" style="475" customWidth="1"/>
    <col min="3329" max="3329" width="16.28515625" style="475" customWidth="1"/>
    <col min="3330" max="3330" width="8.7109375" style="475" customWidth="1"/>
    <col min="3331" max="3331" width="8.85546875" style="475" customWidth="1"/>
    <col min="3332" max="3332" width="12" style="475" customWidth="1"/>
    <col min="3333" max="3333" width="7.5703125" style="475" customWidth="1"/>
    <col min="3334" max="3334" width="18.28515625" style="475" customWidth="1"/>
    <col min="3335" max="3335" width="7.28515625" style="475" customWidth="1"/>
    <col min="3336" max="3336" width="10.28515625" style="475" customWidth="1"/>
    <col min="3337" max="3337" width="3" style="475" customWidth="1"/>
    <col min="3338" max="3581" width="9.140625" style="475"/>
    <col min="3582" max="3582" width="3.5703125" style="475" customWidth="1"/>
    <col min="3583" max="3583" width="8.42578125" style="475" customWidth="1"/>
    <col min="3584" max="3584" width="6.7109375" style="475" customWidth="1"/>
    <col min="3585" max="3585" width="16.28515625" style="475" customWidth="1"/>
    <col min="3586" max="3586" width="8.7109375" style="475" customWidth="1"/>
    <col min="3587" max="3587" width="8.85546875" style="475" customWidth="1"/>
    <col min="3588" max="3588" width="12" style="475" customWidth="1"/>
    <col min="3589" max="3589" width="7.5703125" style="475" customWidth="1"/>
    <col min="3590" max="3590" width="18.28515625" style="475" customWidth="1"/>
    <col min="3591" max="3591" width="7.28515625" style="475" customWidth="1"/>
    <col min="3592" max="3592" width="10.28515625" style="475" customWidth="1"/>
    <col min="3593" max="3593" width="3" style="475" customWidth="1"/>
    <col min="3594" max="3837" width="9.140625" style="475"/>
    <col min="3838" max="3838" width="3.5703125" style="475" customWidth="1"/>
    <col min="3839" max="3839" width="8.42578125" style="475" customWidth="1"/>
    <col min="3840" max="3840" width="6.7109375" style="475" customWidth="1"/>
    <col min="3841" max="3841" width="16.28515625" style="475" customWidth="1"/>
    <col min="3842" max="3842" width="8.7109375" style="475" customWidth="1"/>
    <col min="3843" max="3843" width="8.85546875" style="475" customWidth="1"/>
    <col min="3844" max="3844" width="12" style="475" customWidth="1"/>
    <col min="3845" max="3845" width="7.5703125" style="475" customWidth="1"/>
    <col min="3846" max="3846" width="18.28515625" style="475" customWidth="1"/>
    <col min="3847" max="3847" width="7.28515625" style="475" customWidth="1"/>
    <col min="3848" max="3848" width="10.28515625" style="475" customWidth="1"/>
    <col min="3849" max="3849" width="3" style="475" customWidth="1"/>
    <col min="3850" max="4093" width="9.140625" style="475"/>
    <col min="4094" max="4094" width="3.5703125" style="475" customWidth="1"/>
    <col min="4095" max="4095" width="8.42578125" style="475" customWidth="1"/>
    <col min="4096" max="4096" width="6.7109375" style="475" customWidth="1"/>
    <col min="4097" max="4097" width="16.28515625" style="475" customWidth="1"/>
    <col min="4098" max="4098" width="8.7109375" style="475" customWidth="1"/>
    <col min="4099" max="4099" width="8.85546875" style="475" customWidth="1"/>
    <col min="4100" max="4100" width="12" style="475" customWidth="1"/>
    <col min="4101" max="4101" width="7.5703125" style="475" customWidth="1"/>
    <col min="4102" max="4102" width="18.28515625" style="475" customWidth="1"/>
    <col min="4103" max="4103" width="7.28515625" style="475" customWidth="1"/>
    <col min="4104" max="4104" width="10.28515625" style="475" customWidth="1"/>
    <col min="4105" max="4105" width="3" style="475" customWidth="1"/>
    <col min="4106" max="4349" width="9.140625" style="475"/>
    <col min="4350" max="4350" width="3.5703125" style="475" customWidth="1"/>
    <col min="4351" max="4351" width="8.42578125" style="475" customWidth="1"/>
    <col min="4352" max="4352" width="6.7109375" style="475" customWidth="1"/>
    <col min="4353" max="4353" width="16.28515625" style="475" customWidth="1"/>
    <col min="4354" max="4354" width="8.7109375" style="475" customWidth="1"/>
    <col min="4355" max="4355" width="8.85546875" style="475" customWidth="1"/>
    <col min="4356" max="4356" width="12" style="475" customWidth="1"/>
    <col min="4357" max="4357" width="7.5703125" style="475" customWidth="1"/>
    <col min="4358" max="4358" width="18.28515625" style="475" customWidth="1"/>
    <col min="4359" max="4359" width="7.28515625" style="475" customWidth="1"/>
    <col min="4360" max="4360" width="10.28515625" style="475" customWidth="1"/>
    <col min="4361" max="4361" width="3" style="475" customWidth="1"/>
    <col min="4362" max="4605" width="9.140625" style="475"/>
    <col min="4606" max="4606" width="3.5703125" style="475" customWidth="1"/>
    <col min="4607" max="4607" width="8.42578125" style="475" customWidth="1"/>
    <col min="4608" max="4608" width="6.7109375" style="475" customWidth="1"/>
    <col min="4609" max="4609" width="16.28515625" style="475" customWidth="1"/>
    <col min="4610" max="4610" width="8.7109375" style="475" customWidth="1"/>
    <col min="4611" max="4611" width="8.85546875" style="475" customWidth="1"/>
    <col min="4612" max="4612" width="12" style="475" customWidth="1"/>
    <col min="4613" max="4613" width="7.5703125" style="475" customWidth="1"/>
    <col min="4614" max="4614" width="18.28515625" style="475" customWidth="1"/>
    <col min="4615" max="4615" width="7.28515625" style="475" customWidth="1"/>
    <col min="4616" max="4616" width="10.28515625" style="475" customWidth="1"/>
    <col min="4617" max="4617" width="3" style="475" customWidth="1"/>
    <col min="4618" max="4861" width="9.140625" style="475"/>
    <col min="4862" max="4862" width="3.5703125" style="475" customWidth="1"/>
    <col min="4863" max="4863" width="8.42578125" style="475" customWidth="1"/>
    <col min="4864" max="4864" width="6.7109375" style="475" customWidth="1"/>
    <col min="4865" max="4865" width="16.28515625" style="475" customWidth="1"/>
    <col min="4866" max="4866" width="8.7109375" style="475" customWidth="1"/>
    <col min="4867" max="4867" width="8.85546875" style="475" customWidth="1"/>
    <col min="4868" max="4868" width="12" style="475" customWidth="1"/>
    <col min="4869" max="4869" width="7.5703125" style="475" customWidth="1"/>
    <col min="4870" max="4870" width="18.28515625" style="475" customWidth="1"/>
    <col min="4871" max="4871" width="7.28515625" style="475" customWidth="1"/>
    <col min="4872" max="4872" width="10.28515625" style="475" customWidth="1"/>
    <col min="4873" max="4873" width="3" style="475" customWidth="1"/>
    <col min="4874" max="5117" width="9.140625" style="475"/>
    <col min="5118" max="5118" width="3.5703125" style="475" customWidth="1"/>
    <col min="5119" max="5119" width="8.42578125" style="475" customWidth="1"/>
    <col min="5120" max="5120" width="6.7109375" style="475" customWidth="1"/>
    <col min="5121" max="5121" width="16.28515625" style="475" customWidth="1"/>
    <col min="5122" max="5122" width="8.7109375" style="475" customWidth="1"/>
    <col min="5123" max="5123" width="8.85546875" style="475" customWidth="1"/>
    <col min="5124" max="5124" width="12" style="475" customWidth="1"/>
    <col min="5125" max="5125" width="7.5703125" style="475" customWidth="1"/>
    <col min="5126" max="5126" width="18.28515625" style="475" customWidth="1"/>
    <col min="5127" max="5127" width="7.28515625" style="475" customWidth="1"/>
    <col min="5128" max="5128" width="10.28515625" style="475" customWidth="1"/>
    <col min="5129" max="5129" width="3" style="475" customWidth="1"/>
    <col min="5130" max="5373" width="9.140625" style="475"/>
    <col min="5374" max="5374" width="3.5703125" style="475" customWidth="1"/>
    <col min="5375" max="5375" width="8.42578125" style="475" customWidth="1"/>
    <col min="5376" max="5376" width="6.7109375" style="475" customWidth="1"/>
    <col min="5377" max="5377" width="16.28515625" style="475" customWidth="1"/>
    <col min="5378" max="5378" width="8.7109375" style="475" customWidth="1"/>
    <col min="5379" max="5379" width="8.85546875" style="475" customWidth="1"/>
    <col min="5380" max="5380" width="12" style="475" customWidth="1"/>
    <col min="5381" max="5381" width="7.5703125" style="475" customWidth="1"/>
    <col min="5382" max="5382" width="18.28515625" style="475" customWidth="1"/>
    <col min="5383" max="5383" width="7.28515625" style="475" customWidth="1"/>
    <col min="5384" max="5384" width="10.28515625" style="475" customWidth="1"/>
    <col min="5385" max="5385" width="3" style="475" customWidth="1"/>
    <col min="5386" max="5629" width="9.140625" style="475"/>
    <col min="5630" max="5630" width="3.5703125" style="475" customWidth="1"/>
    <col min="5631" max="5631" width="8.42578125" style="475" customWidth="1"/>
    <col min="5632" max="5632" width="6.7109375" style="475" customWidth="1"/>
    <col min="5633" max="5633" width="16.28515625" style="475" customWidth="1"/>
    <col min="5634" max="5634" width="8.7109375" style="475" customWidth="1"/>
    <col min="5635" max="5635" width="8.85546875" style="475" customWidth="1"/>
    <col min="5636" max="5636" width="12" style="475" customWidth="1"/>
    <col min="5637" max="5637" width="7.5703125" style="475" customWidth="1"/>
    <col min="5638" max="5638" width="18.28515625" style="475" customWidth="1"/>
    <col min="5639" max="5639" width="7.28515625" style="475" customWidth="1"/>
    <col min="5640" max="5640" width="10.28515625" style="475" customWidth="1"/>
    <col min="5641" max="5641" width="3" style="475" customWidth="1"/>
    <col min="5642" max="5885" width="9.140625" style="475"/>
    <col min="5886" max="5886" width="3.5703125" style="475" customWidth="1"/>
    <col min="5887" max="5887" width="8.42578125" style="475" customWidth="1"/>
    <col min="5888" max="5888" width="6.7109375" style="475" customWidth="1"/>
    <col min="5889" max="5889" width="16.28515625" style="475" customWidth="1"/>
    <col min="5890" max="5890" width="8.7109375" style="475" customWidth="1"/>
    <col min="5891" max="5891" width="8.85546875" style="475" customWidth="1"/>
    <col min="5892" max="5892" width="12" style="475" customWidth="1"/>
    <col min="5893" max="5893" width="7.5703125" style="475" customWidth="1"/>
    <col min="5894" max="5894" width="18.28515625" style="475" customWidth="1"/>
    <col min="5895" max="5895" width="7.28515625" style="475" customWidth="1"/>
    <col min="5896" max="5896" width="10.28515625" style="475" customWidth="1"/>
    <col min="5897" max="5897" width="3" style="475" customWidth="1"/>
    <col min="5898" max="6141" width="9.140625" style="475"/>
    <col min="6142" max="6142" width="3.5703125" style="475" customWidth="1"/>
    <col min="6143" max="6143" width="8.42578125" style="475" customWidth="1"/>
    <col min="6144" max="6144" width="6.7109375" style="475" customWidth="1"/>
    <col min="6145" max="6145" width="16.28515625" style="475" customWidth="1"/>
    <col min="6146" max="6146" width="8.7109375" style="475" customWidth="1"/>
    <col min="6147" max="6147" width="8.85546875" style="475" customWidth="1"/>
    <col min="6148" max="6148" width="12" style="475" customWidth="1"/>
    <col min="6149" max="6149" width="7.5703125" style="475" customWidth="1"/>
    <col min="6150" max="6150" width="18.28515625" style="475" customWidth="1"/>
    <col min="6151" max="6151" width="7.28515625" style="475" customWidth="1"/>
    <col min="6152" max="6152" width="10.28515625" style="475" customWidth="1"/>
    <col min="6153" max="6153" width="3" style="475" customWidth="1"/>
    <col min="6154" max="6397" width="9.140625" style="475"/>
    <col min="6398" max="6398" width="3.5703125" style="475" customWidth="1"/>
    <col min="6399" max="6399" width="8.42578125" style="475" customWidth="1"/>
    <col min="6400" max="6400" width="6.7109375" style="475" customWidth="1"/>
    <col min="6401" max="6401" width="16.28515625" style="475" customWidth="1"/>
    <col min="6402" max="6402" width="8.7109375" style="475" customWidth="1"/>
    <col min="6403" max="6403" width="8.85546875" style="475" customWidth="1"/>
    <col min="6404" max="6404" width="12" style="475" customWidth="1"/>
    <col min="6405" max="6405" width="7.5703125" style="475" customWidth="1"/>
    <col min="6406" max="6406" width="18.28515625" style="475" customWidth="1"/>
    <col min="6407" max="6407" width="7.28515625" style="475" customWidth="1"/>
    <col min="6408" max="6408" width="10.28515625" style="475" customWidth="1"/>
    <col min="6409" max="6409" width="3" style="475" customWidth="1"/>
    <col min="6410" max="6653" width="9.140625" style="475"/>
    <col min="6654" max="6654" width="3.5703125" style="475" customWidth="1"/>
    <col min="6655" max="6655" width="8.42578125" style="475" customWidth="1"/>
    <col min="6656" max="6656" width="6.7109375" style="475" customWidth="1"/>
    <col min="6657" max="6657" width="16.28515625" style="475" customWidth="1"/>
    <col min="6658" max="6658" width="8.7109375" style="475" customWidth="1"/>
    <col min="6659" max="6659" width="8.85546875" style="475" customWidth="1"/>
    <col min="6660" max="6660" width="12" style="475" customWidth="1"/>
    <col min="6661" max="6661" width="7.5703125" style="475" customWidth="1"/>
    <col min="6662" max="6662" width="18.28515625" style="475" customWidth="1"/>
    <col min="6663" max="6663" width="7.28515625" style="475" customWidth="1"/>
    <col min="6664" max="6664" width="10.28515625" style="475" customWidth="1"/>
    <col min="6665" max="6665" width="3" style="475" customWidth="1"/>
    <col min="6666" max="6909" width="9.140625" style="475"/>
    <col min="6910" max="6910" width="3.5703125" style="475" customWidth="1"/>
    <col min="6911" max="6911" width="8.42578125" style="475" customWidth="1"/>
    <col min="6912" max="6912" width="6.7109375" style="475" customWidth="1"/>
    <col min="6913" max="6913" width="16.28515625" style="475" customWidth="1"/>
    <col min="6914" max="6914" width="8.7109375" style="475" customWidth="1"/>
    <col min="6915" max="6915" width="8.85546875" style="475" customWidth="1"/>
    <col min="6916" max="6916" width="12" style="475" customWidth="1"/>
    <col min="6917" max="6917" width="7.5703125" style="475" customWidth="1"/>
    <col min="6918" max="6918" width="18.28515625" style="475" customWidth="1"/>
    <col min="6919" max="6919" width="7.28515625" style="475" customWidth="1"/>
    <col min="6920" max="6920" width="10.28515625" style="475" customWidth="1"/>
    <col min="6921" max="6921" width="3" style="475" customWidth="1"/>
    <col min="6922" max="7165" width="9.140625" style="475"/>
    <col min="7166" max="7166" width="3.5703125" style="475" customWidth="1"/>
    <col min="7167" max="7167" width="8.42578125" style="475" customWidth="1"/>
    <col min="7168" max="7168" width="6.7109375" style="475" customWidth="1"/>
    <col min="7169" max="7169" width="16.28515625" style="475" customWidth="1"/>
    <col min="7170" max="7170" width="8.7109375" style="475" customWidth="1"/>
    <col min="7171" max="7171" width="8.85546875" style="475" customWidth="1"/>
    <col min="7172" max="7172" width="12" style="475" customWidth="1"/>
    <col min="7173" max="7173" width="7.5703125" style="475" customWidth="1"/>
    <col min="7174" max="7174" width="18.28515625" style="475" customWidth="1"/>
    <col min="7175" max="7175" width="7.28515625" style="475" customWidth="1"/>
    <col min="7176" max="7176" width="10.28515625" style="475" customWidth="1"/>
    <col min="7177" max="7177" width="3" style="475" customWidth="1"/>
    <col min="7178" max="7421" width="9.140625" style="475"/>
    <col min="7422" max="7422" width="3.5703125" style="475" customWidth="1"/>
    <col min="7423" max="7423" width="8.42578125" style="475" customWidth="1"/>
    <col min="7424" max="7424" width="6.7109375" style="475" customWidth="1"/>
    <col min="7425" max="7425" width="16.28515625" style="475" customWidth="1"/>
    <col min="7426" max="7426" width="8.7109375" style="475" customWidth="1"/>
    <col min="7427" max="7427" width="8.85546875" style="475" customWidth="1"/>
    <col min="7428" max="7428" width="12" style="475" customWidth="1"/>
    <col min="7429" max="7429" width="7.5703125" style="475" customWidth="1"/>
    <col min="7430" max="7430" width="18.28515625" style="475" customWidth="1"/>
    <col min="7431" max="7431" width="7.28515625" style="475" customWidth="1"/>
    <col min="7432" max="7432" width="10.28515625" style="475" customWidth="1"/>
    <col min="7433" max="7433" width="3" style="475" customWidth="1"/>
    <col min="7434" max="7677" width="9.140625" style="475"/>
    <col min="7678" max="7678" width="3.5703125" style="475" customWidth="1"/>
    <col min="7679" max="7679" width="8.42578125" style="475" customWidth="1"/>
    <col min="7680" max="7680" width="6.7109375" style="475" customWidth="1"/>
    <col min="7681" max="7681" width="16.28515625" style="475" customWidth="1"/>
    <col min="7682" max="7682" width="8.7109375" style="475" customWidth="1"/>
    <col min="7683" max="7683" width="8.85546875" style="475" customWidth="1"/>
    <col min="7684" max="7684" width="12" style="475" customWidth="1"/>
    <col min="7685" max="7685" width="7.5703125" style="475" customWidth="1"/>
    <col min="7686" max="7686" width="18.28515625" style="475" customWidth="1"/>
    <col min="7687" max="7687" width="7.28515625" style="475" customWidth="1"/>
    <col min="7688" max="7688" width="10.28515625" style="475" customWidth="1"/>
    <col min="7689" max="7689" width="3" style="475" customWidth="1"/>
    <col min="7690" max="7933" width="9.140625" style="475"/>
    <col min="7934" max="7934" width="3.5703125" style="475" customWidth="1"/>
    <col min="7935" max="7935" width="8.42578125" style="475" customWidth="1"/>
    <col min="7936" max="7936" width="6.7109375" style="475" customWidth="1"/>
    <col min="7937" max="7937" width="16.28515625" style="475" customWidth="1"/>
    <col min="7938" max="7938" width="8.7109375" style="475" customWidth="1"/>
    <col min="7939" max="7939" width="8.85546875" style="475" customWidth="1"/>
    <col min="7940" max="7940" width="12" style="475" customWidth="1"/>
    <col min="7941" max="7941" width="7.5703125" style="475" customWidth="1"/>
    <col min="7942" max="7942" width="18.28515625" style="475" customWidth="1"/>
    <col min="7943" max="7943" width="7.28515625" style="475" customWidth="1"/>
    <col min="7944" max="7944" width="10.28515625" style="475" customWidth="1"/>
    <col min="7945" max="7945" width="3" style="475" customWidth="1"/>
    <col min="7946" max="8189" width="9.140625" style="475"/>
    <col min="8190" max="8190" width="3.5703125" style="475" customWidth="1"/>
    <col min="8191" max="8191" width="8.42578125" style="475" customWidth="1"/>
    <col min="8192" max="8192" width="6.7109375" style="475" customWidth="1"/>
    <col min="8193" max="8193" width="16.28515625" style="475" customWidth="1"/>
    <col min="8194" max="8194" width="8.7109375" style="475" customWidth="1"/>
    <col min="8195" max="8195" width="8.85546875" style="475" customWidth="1"/>
    <col min="8196" max="8196" width="12" style="475" customWidth="1"/>
    <col min="8197" max="8197" width="7.5703125" style="475" customWidth="1"/>
    <col min="8198" max="8198" width="18.28515625" style="475" customWidth="1"/>
    <col min="8199" max="8199" width="7.28515625" style="475" customWidth="1"/>
    <col min="8200" max="8200" width="10.28515625" style="475" customWidth="1"/>
    <col min="8201" max="8201" width="3" style="475" customWidth="1"/>
    <col min="8202" max="8445" width="9.140625" style="475"/>
    <col min="8446" max="8446" width="3.5703125" style="475" customWidth="1"/>
    <col min="8447" max="8447" width="8.42578125" style="475" customWidth="1"/>
    <col min="8448" max="8448" width="6.7109375" style="475" customWidth="1"/>
    <col min="8449" max="8449" width="16.28515625" style="475" customWidth="1"/>
    <col min="8450" max="8450" width="8.7109375" style="475" customWidth="1"/>
    <col min="8451" max="8451" width="8.85546875" style="475" customWidth="1"/>
    <col min="8452" max="8452" width="12" style="475" customWidth="1"/>
    <col min="8453" max="8453" width="7.5703125" style="475" customWidth="1"/>
    <col min="8454" max="8454" width="18.28515625" style="475" customWidth="1"/>
    <col min="8455" max="8455" width="7.28515625" style="475" customWidth="1"/>
    <col min="8456" max="8456" width="10.28515625" style="475" customWidth="1"/>
    <col min="8457" max="8457" width="3" style="475" customWidth="1"/>
    <col min="8458" max="8701" width="9.140625" style="475"/>
    <col min="8702" max="8702" width="3.5703125" style="475" customWidth="1"/>
    <col min="8703" max="8703" width="8.42578125" style="475" customWidth="1"/>
    <col min="8704" max="8704" width="6.7109375" style="475" customWidth="1"/>
    <col min="8705" max="8705" width="16.28515625" style="475" customWidth="1"/>
    <col min="8706" max="8706" width="8.7109375" style="475" customWidth="1"/>
    <col min="8707" max="8707" width="8.85546875" style="475" customWidth="1"/>
    <col min="8708" max="8708" width="12" style="475" customWidth="1"/>
    <col min="8709" max="8709" width="7.5703125" style="475" customWidth="1"/>
    <col min="8710" max="8710" width="18.28515625" style="475" customWidth="1"/>
    <col min="8711" max="8711" width="7.28515625" style="475" customWidth="1"/>
    <col min="8712" max="8712" width="10.28515625" style="475" customWidth="1"/>
    <col min="8713" max="8713" width="3" style="475" customWidth="1"/>
    <col min="8714" max="8957" width="9.140625" style="475"/>
    <col min="8958" max="8958" width="3.5703125" style="475" customWidth="1"/>
    <col min="8959" max="8959" width="8.42578125" style="475" customWidth="1"/>
    <col min="8960" max="8960" width="6.7109375" style="475" customWidth="1"/>
    <col min="8961" max="8961" width="16.28515625" style="475" customWidth="1"/>
    <col min="8962" max="8962" width="8.7109375" style="475" customWidth="1"/>
    <col min="8963" max="8963" width="8.85546875" style="475" customWidth="1"/>
    <col min="8964" max="8964" width="12" style="475" customWidth="1"/>
    <col min="8965" max="8965" width="7.5703125" style="475" customWidth="1"/>
    <col min="8966" max="8966" width="18.28515625" style="475" customWidth="1"/>
    <col min="8967" max="8967" width="7.28515625" style="475" customWidth="1"/>
    <col min="8968" max="8968" width="10.28515625" style="475" customWidth="1"/>
    <col min="8969" max="8969" width="3" style="475" customWidth="1"/>
    <col min="8970" max="9213" width="9.140625" style="475"/>
    <col min="9214" max="9214" width="3.5703125" style="475" customWidth="1"/>
    <col min="9215" max="9215" width="8.42578125" style="475" customWidth="1"/>
    <col min="9216" max="9216" width="6.7109375" style="475" customWidth="1"/>
    <col min="9217" max="9217" width="16.28515625" style="475" customWidth="1"/>
    <col min="9218" max="9218" width="8.7109375" style="475" customWidth="1"/>
    <col min="9219" max="9219" width="8.85546875" style="475" customWidth="1"/>
    <col min="9220" max="9220" width="12" style="475" customWidth="1"/>
    <col min="9221" max="9221" width="7.5703125" style="475" customWidth="1"/>
    <col min="9222" max="9222" width="18.28515625" style="475" customWidth="1"/>
    <col min="9223" max="9223" width="7.28515625" style="475" customWidth="1"/>
    <col min="9224" max="9224" width="10.28515625" style="475" customWidth="1"/>
    <col min="9225" max="9225" width="3" style="475" customWidth="1"/>
    <col min="9226" max="9469" width="9.140625" style="475"/>
    <col min="9470" max="9470" width="3.5703125" style="475" customWidth="1"/>
    <col min="9471" max="9471" width="8.42578125" style="475" customWidth="1"/>
    <col min="9472" max="9472" width="6.7109375" style="475" customWidth="1"/>
    <col min="9473" max="9473" width="16.28515625" style="475" customWidth="1"/>
    <col min="9474" max="9474" width="8.7109375" style="475" customWidth="1"/>
    <col min="9475" max="9475" width="8.85546875" style="475" customWidth="1"/>
    <col min="9476" max="9476" width="12" style="475" customWidth="1"/>
    <col min="9477" max="9477" width="7.5703125" style="475" customWidth="1"/>
    <col min="9478" max="9478" width="18.28515625" style="475" customWidth="1"/>
    <col min="9479" max="9479" width="7.28515625" style="475" customWidth="1"/>
    <col min="9480" max="9480" width="10.28515625" style="475" customWidth="1"/>
    <col min="9481" max="9481" width="3" style="475" customWidth="1"/>
    <col min="9482" max="9725" width="9.140625" style="475"/>
    <col min="9726" max="9726" width="3.5703125" style="475" customWidth="1"/>
    <col min="9727" max="9727" width="8.42578125" style="475" customWidth="1"/>
    <col min="9728" max="9728" width="6.7109375" style="475" customWidth="1"/>
    <col min="9729" max="9729" width="16.28515625" style="475" customWidth="1"/>
    <col min="9730" max="9730" width="8.7109375" style="475" customWidth="1"/>
    <col min="9731" max="9731" width="8.85546875" style="475" customWidth="1"/>
    <col min="9732" max="9732" width="12" style="475" customWidth="1"/>
    <col min="9733" max="9733" width="7.5703125" style="475" customWidth="1"/>
    <col min="9734" max="9734" width="18.28515625" style="475" customWidth="1"/>
    <col min="9735" max="9735" width="7.28515625" style="475" customWidth="1"/>
    <col min="9736" max="9736" width="10.28515625" style="475" customWidth="1"/>
    <col min="9737" max="9737" width="3" style="475" customWidth="1"/>
    <col min="9738" max="9981" width="9.140625" style="475"/>
    <col min="9982" max="9982" width="3.5703125" style="475" customWidth="1"/>
    <col min="9983" max="9983" width="8.42578125" style="475" customWidth="1"/>
    <col min="9984" max="9984" width="6.7109375" style="475" customWidth="1"/>
    <col min="9985" max="9985" width="16.28515625" style="475" customWidth="1"/>
    <col min="9986" max="9986" width="8.7109375" style="475" customWidth="1"/>
    <col min="9987" max="9987" width="8.85546875" style="475" customWidth="1"/>
    <col min="9988" max="9988" width="12" style="475" customWidth="1"/>
    <col min="9989" max="9989" width="7.5703125" style="475" customWidth="1"/>
    <col min="9990" max="9990" width="18.28515625" style="475" customWidth="1"/>
    <col min="9991" max="9991" width="7.28515625" style="475" customWidth="1"/>
    <col min="9992" max="9992" width="10.28515625" style="475" customWidth="1"/>
    <col min="9993" max="9993" width="3" style="475" customWidth="1"/>
    <col min="9994" max="10237" width="9.140625" style="475"/>
    <col min="10238" max="10238" width="3.5703125" style="475" customWidth="1"/>
    <col min="10239" max="10239" width="8.42578125" style="475" customWidth="1"/>
    <col min="10240" max="10240" width="6.7109375" style="475" customWidth="1"/>
    <col min="10241" max="10241" width="16.28515625" style="475" customWidth="1"/>
    <col min="10242" max="10242" width="8.7109375" style="475" customWidth="1"/>
    <col min="10243" max="10243" width="8.85546875" style="475" customWidth="1"/>
    <col min="10244" max="10244" width="12" style="475" customWidth="1"/>
    <col min="10245" max="10245" width="7.5703125" style="475" customWidth="1"/>
    <col min="10246" max="10246" width="18.28515625" style="475" customWidth="1"/>
    <col min="10247" max="10247" width="7.28515625" style="475" customWidth="1"/>
    <col min="10248" max="10248" width="10.28515625" style="475" customWidth="1"/>
    <col min="10249" max="10249" width="3" style="475" customWidth="1"/>
    <col min="10250" max="10493" width="9.140625" style="475"/>
    <col min="10494" max="10494" width="3.5703125" style="475" customWidth="1"/>
    <col min="10495" max="10495" width="8.42578125" style="475" customWidth="1"/>
    <col min="10496" max="10496" width="6.7109375" style="475" customWidth="1"/>
    <col min="10497" max="10497" width="16.28515625" style="475" customWidth="1"/>
    <col min="10498" max="10498" width="8.7109375" style="475" customWidth="1"/>
    <col min="10499" max="10499" width="8.85546875" style="475" customWidth="1"/>
    <col min="10500" max="10500" width="12" style="475" customWidth="1"/>
    <col min="10501" max="10501" width="7.5703125" style="475" customWidth="1"/>
    <col min="10502" max="10502" width="18.28515625" style="475" customWidth="1"/>
    <col min="10503" max="10503" width="7.28515625" style="475" customWidth="1"/>
    <col min="10504" max="10504" width="10.28515625" style="475" customWidth="1"/>
    <col min="10505" max="10505" width="3" style="475" customWidth="1"/>
    <col min="10506" max="10749" width="9.140625" style="475"/>
    <col min="10750" max="10750" width="3.5703125" style="475" customWidth="1"/>
    <col min="10751" max="10751" width="8.42578125" style="475" customWidth="1"/>
    <col min="10752" max="10752" width="6.7109375" style="475" customWidth="1"/>
    <col min="10753" max="10753" width="16.28515625" style="475" customWidth="1"/>
    <col min="10754" max="10754" width="8.7109375" style="475" customWidth="1"/>
    <col min="10755" max="10755" width="8.85546875" style="475" customWidth="1"/>
    <col min="10756" max="10756" width="12" style="475" customWidth="1"/>
    <col min="10757" max="10757" width="7.5703125" style="475" customWidth="1"/>
    <col min="10758" max="10758" width="18.28515625" style="475" customWidth="1"/>
    <col min="10759" max="10759" width="7.28515625" style="475" customWidth="1"/>
    <col min="10760" max="10760" width="10.28515625" style="475" customWidth="1"/>
    <col min="10761" max="10761" width="3" style="475" customWidth="1"/>
    <col min="10762" max="11005" width="9.140625" style="475"/>
    <col min="11006" max="11006" width="3.5703125" style="475" customWidth="1"/>
    <col min="11007" max="11007" width="8.42578125" style="475" customWidth="1"/>
    <col min="11008" max="11008" width="6.7109375" style="475" customWidth="1"/>
    <col min="11009" max="11009" width="16.28515625" style="475" customWidth="1"/>
    <col min="11010" max="11010" width="8.7109375" style="475" customWidth="1"/>
    <col min="11011" max="11011" width="8.85546875" style="475" customWidth="1"/>
    <col min="11012" max="11012" width="12" style="475" customWidth="1"/>
    <col min="11013" max="11013" width="7.5703125" style="475" customWidth="1"/>
    <col min="11014" max="11014" width="18.28515625" style="475" customWidth="1"/>
    <col min="11015" max="11015" width="7.28515625" style="475" customWidth="1"/>
    <col min="11016" max="11016" width="10.28515625" style="475" customWidth="1"/>
    <col min="11017" max="11017" width="3" style="475" customWidth="1"/>
    <col min="11018" max="11261" width="9.140625" style="475"/>
    <col min="11262" max="11262" width="3.5703125" style="475" customWidth="1"/>
    <col min="11263" max="11263" width="8.42578125" style="475" customWidth="1"/>
    <col min="11264" max="11264" width="6.7109375" style="475" customWidth="1"/>
    <col min="11265" max="11265" width="16.28515625" style="475" customWidth="1"/>
    <col min="11266" max="11266" width="8.7109375" style="475" customWidth="1"/>
    <col min="11267" max="11267" width="8.85546875" style="475" customWidth="1"/>
    <col min="11268" max="11268" width="12" style="475" customWidth="1"/>
    <col min="11269" max="11269" width="7.5703125" style="475" customWidth="1"/>
    <col min="11270" max="11270" width="18.28515625" style="475" customWidth="1"/>
    <col min="11271" max="11271" width="7.28515625" style="475" customWidth="1"/>
    <col min="11272" max="11272" width="10.28515625" style="475" customWidth="1"/>
    <col min="11273" max="11273" width="3" style="475" customWidth="1"/>
    <col min="11274" max="11517" width="9.140625" style="475"/>
    <col min="11518" max="11518" width="3.5703125" style="475" customWidth="1"/>
    <col min="11519" max="11519" width="8.42578125" style="475" customWidth="1"/>
    <col min="11520" max="11520" width="6.7109375" style="475" customWidth="1"/>
    <col min="11521" max="11521" width="16.28515625" style="475" customWidth="1"/>
    <col min="11522" max="11522" width="8.7109375" style="475" customWidth="1"/>
    <col min="11523" max="11523" width="8.85546875" style="475" customWidth="1"/>
    <col min="11524" max="11524" width="12" style="475" customWidth="1"/>
    <col min="11525" max="11525" width="7.5703125" style="475" customWidth="1"/>
    <col min="11526" max="11526" width="18.28515625" style="475" customWidth="1"/>
    <col min="11527" max="11527" width="7.28515625" style="475" customWidth="1"/>
    <col min="11528" max="11528" width="10.28515625" style="475" customWidth="1"/>
    <col min="11529" max="11529" width="3" style="475" customWidth="1"/>
    <col min="11530" max="11773" width="9.140625" style="475"/>
    <col min="11774" max="11774" width="3.5703125" style="475" customWidth="1"/>
    <col min="11775" max="11775" width="8.42578125" style="475" customWidth="1"/>
    <col min="11776" max="11776" width="6.7109375" style="475" customWidth="1"/>
    <col min="11777" max="11777" width="16.28515625" style="475" customWidth="1"/>
    <col min="11778" max="11778" width="8.7109375" style="475" customWidth="1"/>
    <col min="11779" max="11779" width="8.85546875" style="475" customWidth="1"/>
    <col min="11780" max="11780" width="12" style="475" customWidth="1"/>
    <col min="11781" max="11781" width="7.5703125" style="475" customWidth="1"/>
    <col min="11782" max="11782" width="18.28515625" style="475" customWidth="1"/>
    <col min="11783" max="11783" width="7.28515625" style="475" customWidth="1"/>
    <col min="11784" max="11784" width="10.28515625" style="475" customWidth="1"/>
    <col min="11785" max="11785" width="3" style="475" customWidth="1"/>
    <col min="11786" max="12029" width="9.140625" style="475"/>
    <col min="12030" max="12030" width="3.5703125" style="475" customWidth="1"/>
    <col min="12031" max="12031" width="8.42578125" style="475" customWidth="1"/>
    <col min="12032" max="12032" width="6.7109375" style="475" customWidth="1"/>
    <col min="12033" max="12033" width="16.28515625" style="475" customWidth="1"/>
    <col min="12034" max="12034" width="8.7109375" style="475" customWidth="1"/>
    <col min="12035" max="12035" width="8.85546875" style="475" customWidth="1"/>
    <col min="12036" max="12036" width="12" style="475" customWidth="1"/>
    <col min="12037" max="12037" width="7.5703125" style="475" customWidth="1"/>
    <col min="12038" max="12038" width="18.28515625" style="475" customWidth="1"/>
    <col min="12039" max="12039" width="7.28515625" style="475" customWidth="1"/>
    <col min="12040" max="12040" width="10.28515625" style="475" customWidth="1"/>
    <col min="12041" max="12041" width="3" style="475" customWidth="1"/>
    <col min="12042" max="12285" width="9.140625" style="475"/>
    <col min="12286" max="12286" width="3.5703125" style="475" customWidth="1"/>
    <col min="12287" max="12287" width="8.42578125" style="475" customWidth="1"/>
    <col min="12288" max="12288" width="6.7109375" style="475" customWidth="1"/>
    <col min="12289" max="12289" width="16.28515625" style="475" customWidth="1"/>
    <col min="12290" max="12290" width="8.7109375" style="475" customWidth="1"/>
    <col min="12291" max="12291" width="8.85546875" style="475" customWidth="1"/>
    <col min="12292" max="12292" width="12" style="475" customWidth="1"/>
    <col min="12293" max="12293" width="7.5703125" style="475" customWidth="1"/>
    <col min="12294" max="12294" width="18.28515625" style="475" customWidth="1"/>
    <col min="12295" max="12295" width="7.28515625" style="475" customWidth="1"/>
    <col min="12296" max="12296" width="10.28515625" style="475" customWidth="1"/>
    <col min="12297" max="12297" width="3" style="475" customWidth="1"/>
    <col min="12298" max="12541" width="9.140625" style="475"/>
    <col min="12542" max="12542" width="3.5703125" style="475" customWidth="1"/>
    <col min="12543" max="12543" width="8.42578125" style="475" customWidth="1"/>
    <col min="12544" max="12544" width="6.7109375" style="475" customWidth="1"/>
    <col min="12545" max="12545" width="16.28515625" style="475" customWidth="1"/>
    <col min="12546" max="12546" width="8.7109375" style="475" customWidth="1"/>
    <col min="12547" max="12547" width="8.85546875" style="475" customWidth="1"/>
    <col min="12548" max="12548" width="12" style="475" customWidth="1"/>
    <col min="12549" max="12549" width="7.5703125" style="475" customWidth="1"/>
    <col min="12550" max="12550" width="18.28515625" style="475" customWidth="1"/>
    <col min="12551" max="12551" width="7.28515625" style="475" customWidth="1"/>
    <col min="12552" max="12552" width="10.28515625" style="475" customWidth="1"/>
    <col min="12553" max="12553" width="3" style="475" customWidth="1"/>
    <col min="12554" max="12797" width="9.140625" style="475"/>
    <col min="12798" max="12798" width="3.5703125" style="475" customWidth="1"/>
    <col min="12799" max="12799" width="8.42578125" style="475" customWidth="1"/>
    <col min="12800" max="12800" width="6.7109375" style="475" customWidth="1"/>
    <col min="12801" max="12801" width="16.28515625" style="475" customWidth="1"/>
    <col min="12802" max="12802" width="8.7109375" style="475" customWidth="1"/>
    <col min="12803" max="12803" width="8.85546875" style="475" customWidth="1"/>
    <col min="12804" max="12804" width="12" style="475" customWidth="1"/>
    <col min="12805" max="12805" width="7.5703125" style="475" customWidth="1"/>
    <col min="12806" max="12806" width="18.28515625" style="475" customWidth="1"/>
    <col min="12807" max="12807" width="7.28515625" style="475" customWidth="1"/>
    <col min="12808" max="12808" width="10.28515625" style="475" customWidth="1"/>
    <col min="12809" max="12809" width="3" style="475" customWidth="1"/>
    <col min="12810" max="13053" width="9.140625" style="475"/>
    <col min="13054" max="13054" width="3.5703125" style="475" customWidth="1"/>
    <col min="13055" max="13055" width="8.42578125" style="475" customWidth="1"/>
    <col min="13056" max="13056" width="6.7109375" style="475" customWidth="1"/>
    <col min="13057" max="13057" width="16.28515625" style="475" customWidth="1"/>
    <col min="13058" max="13058" width="8.7109375" style="475" customWidth="1"/>
    <col min="13059" max="13059" width="8.85546875" style="475" customWidth="1"/>
    <col min="13060" max="13060" width="12" style="475" customWidth="1"/>
    <col min="13061" max="13061" width="7.5703125" style="475" customWidth="1"/>
    <col min="13062" max="13062" width="18.28515625" style="475" customWidth="1"/>
    <col min="13063" max="13063" width="7.28515625" style="475" customWidth="1"/>
    <col min="13064" max="13064" width="10.28515625" style="475" customWidth="1"/>
    <col min="13065" max="13065" width="3" style="475" customWidth="1"/>
    <col min="13066" max="13309" width="9.140625" style="475"/>
    <col min="13310" max="13310" width="3.5703125" style="475" customWidth="1"/>
    <col min="13311" max="13311" width="8.42578125" style="475" customWidth="1"/>
    <col min="13312" max="13312" width="6.7109375" style="475" customWidth="1"/>
    <col min="13313" max="13313" width="16.28515625" style="475" customWidth="1"/>
    <col min="13314" max="13314" width="8.7109375" style="475" customWidth="1"/>
    <col min="13315" max="13315" width="8.85546875" style="475" customWidth="1"/>
    <col min="13316" max="13316" width="12" style="475" customWidth="1"/>
    <col min="13317" max="13317" width="7.5703125" style="475" customWidth="1"/>
    <col min="13318" max="13318" width="18.28515625" style="475" customWidth="1"/>
    <col min="13319" max="13319" width="7.28515625" style="475" customWidth="1"/>
    <col min="13320" max="13320" width="10.28515625" style="475" customWidth="1"/>
    <col min="13321" max="13321" width="3" style="475" customWidth="1"/>
    <col min="13322" max="13565" width="9.140625" style="475"/>
    <col min="13566" max="13566" width="3.5703125" style="475" customWidth="1"/>
    <col min="13567" max="13567" width="8.42578125" style="475" customWidth="1"/>
    <col min="13568" max="13568" width="6.7109375" style="475" customWidth="1"/>
    <col min="13569" max="13569" width="16.28515625" style="475" customWidth="1"/>
    <col min="13570" max="13570" width="8.7109375" style="475" customWidth="1"/>
    <col min="13571" max="13571" width="8.85546875" style="475" customWidth="1"/>
    <col min="13572" max="13572" width="12" style="475" customWidth="1"/>
    <col min="13573" max="13573" width="7.5703125" style="475" customWidth="1"/>
    <col min="13574" max="13574" width="18.28515625" style="475" customWidth="1"/>
    <col min="13575" max="13575" width="7.28515625" style="475" customWidth="1"/>
    <col min="13576" max="13576" width="10.28515625" style="475" customWidth="1"/>
    <col min="13577" max="13577" width="3" style="475" customWidth="1"/>
    <col min="13578" max="13821" width="9.140625" style="475"/>
    <col min="13822" max="13822" width="3.5703125" style="475" customWidth="1"/>
    <col min="13823" max="13823" width="8.42578125" style="475" customWidth="1"/>
    <col min="13824" max="13824" width="6.7109375" style="475" customWidth="1"/>
    <col min="13825" max="13825" width="16.28515625" style="475" customWidth="1"/>
    <col min="13826" max="13826" width="8.7109375" style="475" customWidth="1"/>
    <col min="13827" max="13827" width="8.85546875" style="475" customWidth="1"/>
    <col min="13828" max="13828" width="12" style="475" customWidth="1"/>
    <col min="13829" max="13829" width="7.5703125" style="475" customWidth="1"/>
    <col min="13830" max="13830" width="18.28515625" style="475" customWidth="1"/>
    <col min="13831" max="13831" width="7.28515625" style="475" customWidth="1"/>
    <col min="13832" max="13832" width="10.28515625" style="475" customWidth="1"/>
    <col min="13833" max="13833" width="3" style="475" customWidth="1"/>
    <col min="13834" max="14077" width="9.140625" style="475"/>
    <col min="14078" max="14078" width="3.5703125" style="475" customWidth="1"/>
    <col min="14079" max="14079" width="8.42578125" style="475" customWidth="1"/>
    <col min="14080" max="14080" width="6.7109375" style="475" customWidth="1"/>
    <col min="14081" max="14081" width="16.28515625" style="475" customWidth="1"/>
    <col min="14082" max="14082" width="8.7109375" style="475" customWidth="1"/>
    <col min="14083" max="14083" width="8.85546875" style="475" customWidth="1"/>
    <col min="14084" max="14084" width="12" style="475" customWidth="1"/>
    <col min="14085" max="14085" width="7.5703125" style="475" customWidth="1"/>
    <col min="14086" max="14086" width="18.28515625" style="475" customWidth="1"/>
    <col min="14087" max="14087" width="7.28515625" style="475" customWidth="1"/>
    <col min="14088" max="14088" width="10.28515625" style="475" customWidth="1"/>
    <col min="14089" max="14089" width="3" style="475" customWidth="1"/>
    <col min="14090" max="14333" width="9.140625" style="475"/>
    <col min="14334" max="14334" width="3.5703125" style="475" customWidth="1"/>
    <col min="14335" max="14335" width="8.42578125" style="475" customWidth="1"/>
    <col min="14336" max="14336" width="6.7109375" style="475" customWidth="1"/>
    <col min="14337" max="14337" width="16.28515625" style="475" customWidth="1"/>
    <col min="14338" max="14338" width="8.7109375" style="475" customWidth="1"/>
    <col min="14339" max="14339" width="8.85546875" style="475" customWidth="1"/>
    <col min="14340" max="14340" width="12" style="475" customWidth="1"/>
    <col min="14341" max="14341" width="7.5703125" style="475" customWidth="1"/>
    <col min="14342" max="14342" width="18.28515625" style="475" customWidth="1"/>
    <col min="14343" max="14343" width="7.28515625" style="475" customWidth="1"/>
    <col min="14344" max="14344" width="10.28515625" style="475" customWidth="1"/>
    <col min="14345" max="14345" width="3" style="475" customWidth="1"/>
    <col min="14346" max="14589" width="9.140625" style="475"/>
    <col min="14590" max="14590" width="3.5703125" style="475" customWidth="1"/>
    <col min="14591" max="14591" width="8.42578125" style="475" customWidth="1"/>
    <col min="14592" max="14592" width="6.7109375" style="475" customWidth="1"/>
    <col min="14593" max="14593" width="16.28515625" style="475" customWidth="1"/>
    <col min="14594" max="14594" width="8.7109375" style="475" customWidth="1"/>
    <col min="14595" max="14595" width="8.85546875" style="475" customWidth="1"/>
    <col min="14596" max="14596" width="12" style="475" customWidth="1"/>
    <col min="14597" max="14597" width="7.5703125" style="475" customWidth="1"/>
    <col min="14598" max="14598" width="18.28515625" style="475" customWidth="1"/>
    <col min="14599" max="14599" width="7.28515625" style="475" customWidth="1"/>
    <col min="14600" max="14600" width="10.28515625" style="475" customWidth="1"/>
    <col min="14601" max="14601" width="3" style="475" customWidth="1"/>
    <col min="14602" max="14845" width="9.140625" style="475"/>
    <col min="14846" max="14846" width="3.5703125" style="475" customWidth="1"/>
    <col min="14847" max="14847" width="8.42578125" style="475" customWidth="1"/>
    <col min="14848" max="14848" width="6.7109375" style="475" customWidth="1"/>
    <col min="14849" max="14849" width="16.28515625" style="475" customWidth="1"/>
    <col min="14850" max="14850" width="8.7109375" style="475" customWidth="1"/>
    <col min="14851" max="14851" width="8.85546875" style="475" customWidth="1"/>
    <col min="14852" max="14852" width="12" style="475" customWidth="1"/>
    <col min="14853" max="14853" width="7.5703125" style="475" customWidth="1"/>
    <col min="14854" max="14854" width="18.28515625" style="475" customWidth="1"/>
    <col min="14855" max="14855" width="7.28515625" style="475" customWidth="1"/>
    <col min="14856" max="14856" width="10.28515625" style="475" customWidth="1"/>
    <col min="14857" max="14857" width="3" style="475" customWidth="1"/>
    <col min="14858" max="15101" width="9.140625" style="475"/>
    <col min="15102" max="15102" width="3.5703125" style="475" customWidth="1"/>
    <col min="15103" max="15103" width="8.42578125" style="475" customWidth="1"/>
    <col min="15104" max="15104" width="6.7109375" style="475" customWidth="1"/>
    <col min="15105" max="15105" width="16.28515625" style="475" customWidth="1"/>
    <col min="15106" max="15106" width="8.7109375" style="475" customWidth="1"/>
    <col min="15107" max="15107" width="8.85546875" style="475" customWidth="1"/>
    <col min="15108" max="15108" width="12" style="475" customWidth="1"/>
    <col min="15109" max="15109" width="7.5703125" style="475" customWidth="1"/>
    <col min="15110" max="15110" width="18.28515625" style="475" customWidth="1"/>
    <col min="15111" max="15111" width="7.28515625" style="475" customWidth="1"/>
    <col min="15112" max="15112" width="10.28515625" style="475" customWidth="1"/>
    <col min="15113" max="15113" width="3" style="475" customWidth="1"/>
    <col min="15114" max="15357" width="9.140625" style="475"/>
    <col min="15358" max="15358" width="3.5703125" style="475" customWidth="1"/>
    <col min="15359" max="15359" width="8.42578125" style="475" customWidth="1"/>
    <col min="15360" max="15360" width="6.7109375" style="475" customWidth="1"/>
    <col min="15361" max="15361" width="16.28515625" style="475" customWidth="1"/>
    <col min="15362" max="15362" width="8.7109375" style="475" customWidth="1"/>
    <col min="15363" max="15363" width="8.85546875" style="475" customWidth="1"/>
    <col min="15364" max="15364" width="12" style="475" customWidth="1"/>
    <col min="15365" max="15365" width="7.5703125" style="475" customWidth="1"/>
    <col min="15366" max="15366" width="18.28515625" style="475" customWidth="1"/>
    <col min="15367" max="15367" width="7.28515625" style="475" customWidth="1"/>
    <col min="15368" max="15368" width="10.28515625" style="475" customWidth="1"/>
    <col min="15369" max="15369" width="3" style="475" customWidth="1"/>
    <col min="15370" max="15613" width="9.140625" style="475"/>
    <col min="15614" max="15614" width="3.5703125" style="475" customWidth="1"/>
    <col min="15615" max="15615" width="8.42578125" style="475" customWidth="1"/>
    <col min="15616" max="15616" width="6.7109375" style="475" customWidth="1"/>
    <col min="15617" max="15617" width="16.28515625" style="475" customWidth="1"/>
    <col min="15618" max="15618" width="8.7109375" style="475" customWidth="1"/>
    <col min="15619" max="15619" width="8.85546875" style="475" customWidth="1"/>
    <col min="15620" max="15620" width="12" style="475" customWidth="1"/>
    <col min="15621" max="15621" width="7.5703125" style="475" customWidth="1"/>
    <col min="15622" max="15622" width="18.28515625" style="475" customWidth="1"/>
    <col min="15623" max="15623" width="7.28515625" style="475" customWidth="1"/>
    <col min="15624" max="15624" width="10.28515625" style="475" customWidth="1"/>
    <col min="15625" max="15625" width="3" style="475" customWidth="1"/>
    <col min="15626" max="15869" width="9.140625" style="475"/>
    <col min="15870" max="15870" width="3.5703125" style="475" customWidth="1"/>
    <col min="15871" max="15871" width="8.42578125" style="475" customWidth="1"/>
    <col min="15872" max="15872" width="6.7109375" style="475" customWidth="1"/>
    <col min="15873" max="15873" width="16.28515625" style="475" customWidth="1"/>
    <col min="15874" max="15874" width="8.7109375" style="475" customWidth="1"/>
    <col min="15875" max="15875" width="8.85546875" style="475" customWidth="1"/>
    <col min="15876" max="15876" width="12" style="475" customWidth="1"/>
    <col min="15877" max="15877" width="7.5703125" style="475" customWidth="1"/>
    <col min="15878" max="15878" width="18.28515625" style="475" customWidth="1"/>
    <col min="15879" max="15879" width="7.28515625" style="475" customWidth="1"/>
    <col min="15880" max="15880" width="10.28515625" style="475" customWidth="1"/>
    <col min="15881" max="15881" width="3" style="475" customWidth="1"/>
    <col min="15882" max="16125" width="9.140625" style="475"/>
    <col min="16126" max="16126" width="3.5703125" style="475" customWidth="1"/>
    <col min="16127" max="16127" width="8.42578125" style="475" customWidth="1"/>
    <col min="16128" max="16128" width="6.7109375" style="475" customWidth="1"/>
    <col min="16129" max="16129" width="16.28515625" style="475" customWidth="1"/>
    <col min="16130" max="16130" width="8.7109375" style="475" customWidth="1"/>
    <col min="16131" max="16131" width="8.85546875" style="475" customWidth="1"/>
    <col min="16132" max="16132" width="12" style="475" customWidth="1"/>
    <col min="16133" max="16133" width="7.5703125" style="475" customWidth="1"/>
    <col min="16134" max="16134" width="18.28515625" style="475" customWidth="1"/>
    <col min="16135" max="16135" width="7.28515625" style="475" customWidth="1"/>
    <col min="16136" max="16136" width="10.28515625" style="475" customWidth="1"/>
    <col min="16137" max="16137" width="3" style="475" customWidth="1"/>
    <col min="16138" max="16384" width="9.140625" style="475"/>
  </cols>
  <sheetData>
    <row r="2" spans="1:9" x14ac:dyDescent="0.25">
      <c r="A2" s="474"/>
      <c r="B2" s="474"/>
      <c r="C2" s="474"/>
      <c r="D2" s="474"/>
      <c r="E2" s="474"/>
      <c r="F2" s="474"/>
      <c r="G2" s="474"/>
      <c r="H2" s="474"/>
      <c r="I2" s="474"/>
    </row>
    <row r="3" spans="1:9" ht="12.75" customHeight="1" x14ac:dyDescent="0.2">
      <c r="A3" s="474"/>
      <c r="B3" s="476"/>
      <c r="C3" s="477"/>
      <c r="D3" s="477"/>
      <c r="E3" s="477"/>
      <c r="F3" s="477"/>
      <c r="G3" s="477"/>
      <c r="H3" s="478"/>
      <c r="I3" s="474"/>
    </row>
    <row r="4" spans="1:9" ht="12.75" customHeight="1" x14ac:dyDescent="0.2">
      <c r="A4" s="474"/>
      <c r="B4" s="479"/>
      <c r="C4" s="1241" t="s">
        <v>2453</v>
      </c>
      <c r="D4" s="1242"/>
      <c r="E4" s="1242"/>
      <c r="F4" s="1243"/>
      <c r="G4" s="480"/>
      <c r="H4" s="481"/>
      <c r="I4" s="474"/>
    </row>
    <row r="5" spans="1:9" ht="12.75" customHeight="1" x14ac:dyDescent="0.2">
      <c r="A5" s="474"/>
      <c r="B5" s="482" t="s">
        <v>2449</v>
      </c>
      <c r="C5" s="1244"/>
      <c r="D5" s="1245"/>
      <c r="E5" s="1245"/>
      <c r="F5" s="1246"/>
      <c r="G5" s="483" t="s">
        <v>2451</v>
      </c>
      <c r="H5" s="484" t="s">
        <v>14</v>
      </c>
      <c r="I5" s="474"/>
    </row>
    <row r="6" spans="1:9" ht="12.75" customHeight="1" x14ac:dyDescent="0.2">
      <c r="A6" s="474"/>
      <c r="B6" s="485"/>
      <c r="C6" s="1247"/>
      <c r="D6" s="1248"/>
      <c r="E6" s="1248"/>
      <c r="F6" s="1249"/>
      <c r="G6" s="486"/>
      <c r="H6" s="487"/>
      <c r="I6" s="474"/>
    </row>
    <row r="7" spans="1:9" ht="12.75" customHeight="1" x14ac:dyDescent="0.25">
      <c r="A7" s="474"/>
      <c r="B7" s="488"/>
      <c r="C7" s="1250"/>
      <c r="D7" s="1251"/>
      <c r="E7" s="1251"/>
      <c r="F7" s="1252"/>
      <c r="G7" s="489"/>
      <c r="H7" s="490"/>
      <c r="I7" s="474"/>
    </row>
    <row r="8" spans="1:9" ht="12.75" customHeight="1" x14ac:dyDescent="0.25">
      <c r="A8" s="474"/>
      <c r="B8" s="491">
        <v>1</v>
      </c>
      <c r="C8" s="1253" t="s">
        <v>2436</v>
      </c>
      <c r="D8" s="1254"/>
      <c r="E8" s="1254"/>
      <c r="F8" s="1255"/>
      <c r="G8" s="489"/>
      <c r="H8" s="490"/>
      <c r="I8" s="474"/>
    </row>
    <row r="9" spans="1:9" ht="12.75" customHeight="1" x14ac:dyDescent="0.25">
      <c r="A9" s="474"/>
      <c r="B9" s="491"/>
      <c r="C9" s="1214"/>
      <c r="D9" s="1215"/>
      <c r="E9" s="1215"/>
      <c r="F9" s="1216"/>
      <c r="G9" s="489"/>
      <c r="H9" s="490"/>
      <c r="I9" s="474"/>
    </row>
    <row r="10" spans="1:9" ht="12.75" customHeight="1" x14ac:dyDescent="0.25">
      <c r="A10" s="474"/>
      <c r="B10" s="491" t="s">
        <v>43958</v>
      </c>
      <c r="C10" s="1253" t="s">
        <v>44086</v>
      </c>
      <c r="D10" s="1254"/>
      <c r="E10" s="1254"/>
      <c r="F10" s="1255"/>
      <c r="G10" s="489">
        <f>H10/$H$31</f>
        <v>1.1463355408036707E-2</v>
      </c>
      <c r="H10" s="490">
        <f>Orçamento!I8</f>
        <v>73726.94</v>
      </c>
      <c r="I10" s="474"/>
    </row>
    <row r="11" spans="1:9" ht="12.75" customHeight="1" x14ac:dyDescent="0.25">
      <c r="A11" s="474"/>
      <c r="B11" s="491"/>
      <c r="C11" s="1214"/>
      <c r="D11" s="1215"/>
      <c r="E11" s="1215"/>
      <c r="F11" s="1216"/>
      <c r="G11" s="489"/>
      <c r="H11" s="490"/>
      <c r="I11" s="474"/>
    </row>
    <row r="12" spans="1:9" ht="12.75" customHeight="1" x14ac:dyDescent="0.25">
      <c r="A12" s="474"/>
      <c r="B12" s="491" t="s">
        <v>44088</v>
      </c>
      <c r="C12" s="1253" t="s">
        <v>44089</v>
      </c>
      <c r="D12" s="1254"/>
      <c r="E12" s="1254"/>
      <c r="F12" s="1255"/>
      <c r="G12" s="489">
        <f>H12/$H$31</f>
        <v>6.5525816184782391E-3</v>
      </c>
      <c r="H12" s="490">
        <f>Orçamento!I12</f>
        <v>42143.14</v>
      </c>
      <c r="I12" s="474"/>
    </row>
    <row r="13" spans="1:9" ht="12.75" customHeight="1" x14ac:dyDescent="0.25">
      <c r="A13" s="474"/>
      <c r="B13" s="491"/>
      <c r="C13" s="1214"/>
      <c r="D13" s="1215"/>
      <c r="E13" s="1215"/>
      <c r="F13" s="1216"/>
      <c r="G13" s="489"/>
      <c r="H13" s="490"/>
      <c r="I13" s="474"/>
    </row>
    <row r="14" spans="1:9" ht="12.75" customHeight="1" x14ac:dyDescent="0.25">
      <c r="A14" s="474"/>
      <c r="B14" s="491">
        <v>2</v>
      </c>
      <c r="C14" s="1253" t="s">
        <v>2433</v>
      </c>
      <c r="D14" s="1254"/>
      <c r="E14" s="1254"/>
      <c r="F14" s="1255"/>
      <c r="G14" s="489">
        <f>H14/$H$31</f>
        <v>0.42046688951921207</v>
      </c>
      <c r="H14" s="490">
        <f>SUMIF(Orçamento!$D$6:$D$152,RESUMO!C14,Orçamento!$I$6:$I$152)</f>
        <v>2704246.36</v>
      </c>
      <c r="I14" s="474"/>
    </row>
    <row r="15" spans="1:9" ht="12.75" customHeight="1" x14ac:dyDescent="0.25">
      <c r="A15" s="474"/>
      <c r="B15" s="491"/>
      <c r="C15" s="1238"/>
      <c r="D15" s="1239"/>
      <c r="E15" s="1239"/>
      <c r="F15" s="1240"/>
      <c r="G15" s="489"/>
      <c r="H15" s="490"/>
      <c r="I15" s="474"/>
    </row>
    <row r="16" spans="1:9" ht="12.75" customHeight="1" x14ac:dyDescent="0.25">
      <c r="A16" s="474"/>
      <c r="B16" s="491">
        <v>3</v>
      </c>
      <c r="C16" s="1005" t="s">
        <v>21631</v>
      </c>
      <c r="D16" s="1006"/>
      <c r="E16" s="1006"/>
      <c r="F16" s="1007"/>
      <c r="G16" s="489">
        <f>H16/$H$31</f>
        <v>9.8580844401425477E-2</v>
      </c>
      <c r="H16" s="490">
        <f>SUMIF(Orçamento!$D$6:$D$152,RESUMO!C16,Orçamento!$I$6:$I$152)</f>
        <v>634025.88</v>
      </c>
      <c r="I16" s="474"/>
    </row>
    <row r="17" spans="1:9" ht="12.75" customHeight="1" x14ac:dyDescent="0.25">
      <c r="A17" s="474"/>
      <c r="B17" s="491"/>
      <c r="C17" s="1005"/>
      <c r="D17" s="1006"/>
      <c r="E17" s="1006"/>
      <c r="F17" s="1007"/>
      <c r="G17" s="489"/>
      <c r="H17" s="490"/>
      <c r="I17" s="474"/>
    </row>
    <row r="18" spans="1:9" ht="12.75" customHeight="1" x14ac:dyDescent="0.25">
      <c r="A18" s="474"/>
      <c r="B18" s="491">
        <v>4</v>
      </c>
      <c r="C18" s="1253" t="s">
        <v>2439</v>
      </c>
      <c r="D18" s="1254"/>
      <c r="E18" s="1254"/>
      <c r="F18" s="1255"/>
      <c r="G18" s="489">
        <f>H18/$H$31</f>
        <v>0.13401817894950302</v>
      </c>
      <c r="H18" s="490">
        <f>SUMIF(Orçamento!$D$6:$D$152,RESUMO!C18,Orçamento!$I$6:$I$152)</f>
        <v>861942.23999999987</v>
      </c>
      <c r="I18" s="474"/>
    </row>
    <row r="19" spans="1:9" ht="12.75" customHeight="1" x14ac:dyDescent="0.25">
      <c r="A19" s="474"/>
      <c r="B19" s="491"/>
      <c r="C19" s="1238"/>
      <c r="D19" s="1239"/>
      <c r="E19" s="1239"/>
      <c r="F19" s="1240"/>
      <c r="G19" s="489"/>
      <c r="H19" s="490"/>
      <c r="I19" s="474"/>
    </row>
    <row r="20" spans="1:9" ht="12.75" customHeight="1" x14ac:dyDescent="0.25">
      <c r="A20" s="474"/>
      <c r="B20" s="491">
        <v>5</v>
      </c>
      <c r="C20" s="1253" t="s">
        <v>2440</v>
      </c>
      <c r="D20" s="1254"/>
      <c r="E20" s="1254"/>
      <c r="F20" s="1255"/>
      <c r="G20" s="489">
        <f>H20/$H$31</f>
        <v>0.12205916094100279</v>
      </c>
      <c r="H20" s="490">
        <f>SUMIF(Orçamento!$D$6:$D$152,RESUMO!C20,Orçamento!$I$6:$I$152)</f>
        <v>785027.42999999993</v>
      </c>
      <c r="I20" s="474"/>
    </row>
    <row r="21" spans="1:9" ht="12.75" customHeight="1" x14ac:dyDescent="0.25">
      <c r="A21" s="474"/>
      <c r="B21" s="491"/>
      <c r="C21" s="1238"/>
      <c r="D21" s="1239"/>
      <c r="E21" s="1239"/>
      <c r="F21" s="1240"/>
      <c r="G21" s="489"/>
      <c r="H21" s="490"/>
      <c r="I21" s="474"/>
    </row>
    <row r="22" spans="1:9" ht="12.75" customHeight="1" x14ac:dyDescent="0.25">
      <c r="A22" s="474"/>
      <c r="B22" s="491">
        <v>6</v>
      </c>
      <c r="C22" s="1253" t="s">
        <v>31544</v>
      </c>
      <c r="D22" s="1254"/>
      <c r="E22" s="1254"/>
      <c r="F22" s="1255"/>
      <c r="G22" s="489">
        <f>H22/$H$31</f>
        <v>0.12166806440253795</v>
      </c>
      <c r="H22" s="490">
        <f>SUMIF(Orçamento!$D$6:$D$152,RESUMO!C22,Orçamento!$I$6:$I$152)</f>
        <v>782512.08</v>
      </c>
      <c r="I22" s="474"/>
    </row>
    <row r="23" spans="1:9" ht="12.75" customHeight="1" x14ac:dyDescent="0.25">
      <c r="A23" s="474"/>
      <c r="B23" s="491"/>
      <c r="C23" s="1238"/>
      <c r="D23" s="1239"/>
      <c r="E23" s="1239"/>
      <c r="F23" s="1240"/>
      <c r="G23" s="489"/>
      <c r="H23" s="490"/>
      <c r="I23" s="474"/>
    </row>
    <row r="24" spans="1:9" ht="12.75" customHeight="1" x14ac:dyDescent="0.25">
      <c r="A24" s="474"/>
      <c r="B24" s="491">
        <v>7</v>
      </c>
      <c r="C24" s="1253" t="s">
        <v>21344</v>
      </c>
      <c r="D24" s="1254"/>
      <c r="E24" s="1254"/>
      <c r="F24" s="1255"/>
      <c r="G24" s="489">
        <f>H24/$H$31</f>
        <v>1.053049217004237E-2</v>
      </c>
      <c r="H24" s="490">
        <f>SUMIF(Orçamento!$D$6:$D$152,RESUMO!C24,Orçamento!$I$6:$I$152)</f>
        <v>67727.199999999997</v>
      </c>
      <c r="I24" s="474"/>
    </row>
    <row r="25" spans="1:9" ht="12.75" customHeight="1" x14ac:dyDescent="0.25">
      <c r="A25" s="474"/>
      <c r="B25" s="491"/>
      <c r="C25" s="1238"/>
      <c r="D25" s="1239"/>
      <c r="E25" s="1239"/>
      <c r="F25" s="1240"/>
      <c r="G25" s="489"/>
      <c r="H25" s="490"/>
      <c r="I25" s="474"/>
    </row>
    <row r="26" spans="1:9" ht="12.75" customHeight="1" x14ac:dyDescent="0.25">
      <c r="A26" s="474"/>
      <c r="B26" s="491">
        <v>8</v>
      </c>
      <c r="C26" s="1253" t="s">
        <v>21601</v>
      </c>
      <c r="D26" s="1254"/>
      <c r="E26" s="1254"/>
      <c r="F26" s="1255"/>
      <c r="G26" s="489">
        <f>H26/$H$31</f>
        <v>1.9012674623531581E-2</v>
      </c>
      <c r="H26" s="490">
        <f>SUMIF(Orçamento!$D$6:$D$152,RESUMO!C26,Orçamento!$I$6:$I$152)</f>
        <v>122280.62999999999</v>
      </c>
      <c r="I26" s="474"/>
    </row>
    <row r="27" spans="1:9" ht="12.75" customHeight="1" x14ac:dyDescent="0.25">
      <c r="A27" s="474"/>
      <c r="B27" s="491"/>
      <c r="C27" s="1238"/>
      <c r="D27" s="1239"/>
      <c r="E27" s="1239"/>
      <c r="F27" s="1240"/>
      <c r="G27" s="489"/>
      <c r="H27" s="490"/>
      <c r="I27" s="474"/>
    </row>
    <row r="28" spans="1:9" ht="12.75" customHeight="1" x14ac:dyDescent="0.25">
      <c r="A28" s="474"/>
      <c r="B28" s="491">
        <v>9</v>
      </c>
      <c r="C28" s="1253" t="s">
        <v>21619</v>
      </c>
      <c r="D28" s="1254"/>
      <c r="E28" s="1254"/>
      <c r="F28" s="1255"/>
      <c r="G28" s="489">
        <f>H28/$H$31</f>
        <v>5.5647757966229575E-2</v>
      </c>
      <c r="H28" s="490">
        <f>SUMIF(Orçamento!$D$6:$D$152,RESUMO!C28,Orçamento!$I$6:$I$152)</f>
        <v>357900.35</v>
      </c>
      <c r="I28" s="474"/>
    </row>
    <row r="29" spans="1:9" ht="12.75" customHeight="1" x14ac:dyDescent="0.25">
      <c r="A29" s="474"/>
      <c r="B29" s="491"/>
      <c r="C29" s="1214"/>
      <c r="D29" s="1215"/>
      <c r="E29" s="1215"/>
      <c r="F29" s="1216"/>
      <c r="G29" s="489"/>
      <c r="H29" s="490"/>
      <c r="I29" s="474"/>
    </row>
    <row r="30" spans="1:9" ht="12.75" customHeight="1" x14ac:dyDescent="0.25">
      <c r="A30" s="474"/>
      <c r="B30" s="491"/>
      <c r="C30" s="1238"/>
      <c r="D30" s="1239"/>
      <c r="E30" s="1239"/>
      <c r="F30" s="1240"/>
      <c r="G30" s="489"/>
      <c r="H30" s="490"/>
      <c r="I30" s="474"/>
    </row>
    <row r="31" spans="1:9" ht="12.75" customHeight="1" x14ac:dyDescent="0.25">
      <c r="A31" s="474"/>
      <c r="B31" s="1256" t="s">
        <v>2454</v>
      </c>
      <c r="C31" s="1257"/>
      <c r="D31" s="1257"/>
      <c r="E31" s="1257"/>
      <c r="F31" s="1258"/>
      <c r="G31" s="1062">
        <f>SUM(G8:G30)</f>
        <v>0.99999999999999978</v>
      </c>
      <c r="H31" s="492">
        <f>Orçamento!I153</f>
        <v>6431532.2500000009</v>
      </c>
      <c r="I31" s="474"/>
    </row>
    <row r="32" spans="1:9" x14ac:dyDescent="0.25">
      <c r="A32" s="474"/>
      <c r="B32" s="474"/>
      <c r="C32" s="474"/>
      <c r="D32" s="474"/>
      <c r="E32" s="474"/>
      <c r="F32" s="474"/>
      <c r="G32" s="474"/>
      <c r="H32" s="474"/>
      <c r="I32" s="474"/>
    </row>
    <row r="33" spans="1:10" x14ac:dyDescent="0.25">
      <c r="A33" s="474"/>
      <c r="B33" s="474"/>
      <c r="C33" s="474"/>
      <c r="D33" s="474"/>
      <c r="E33" s="474"/>
      <c r="F33" s="474"/>
      <c r="G33" s="474"/>
      <c r="H33" s="474"/>
      <c r="I33" s="474"/>
    </row>
    <row r="34" spans="1:10" x14ac:dyDescent="0.25">
      <c r="A34" s="474"/>
      <c r="B34" s="474"/>
      <c r="C34" s="474"/>
      <c r="D34" s="474"/>
      <c r="E34" s="474"/>
      <c r="F34" s="474"/>
      <c r="G34" s="474"/>
      <c r="H34" s="1376"/>
      <c r="I34" s="474"/>
    </row>
    <row r="35" spans="1:10" x14ac:dyDescent="0.25">
      <c r="A35" s="474"/>
      <c r="B35" s="474"/>
      <c r="C35" s="474"/>
      <c r="D35" s="474"/>
      <c r="E35" s="474"/>
      <c r="F35" s="474"/>
      <c r="G35" s="474"/>
      <c r="H35" s="1377"/>
      <c r="I35" s="474"/>
    </row>
    <row r="36" spans="1:10" x14ac:dyDescent="0.25">
      <c r="A36" s="474"/>
      <c r="B36" s="474"/>
      <c r="C36" s="474"/>
      <c r="D36" s="474"/>
      <c r="E36" s="474"/>
      <c r="F36" s="474"/>
      <c r="G36" s="474"/>
      <c r="H36" s="474"/>
      <c r="I36" s="474"/>
      <c r="J36" s="542"/>
    </row>
    <row r="37" spans="1:10" x14ac:dyDescent="0.25">
      <c r="A37" s="474"/>
      <c r="B37" s="474"/>
      <c r="C37" s="474"/>
      <c r="D37" s="474"/>
      <c r="E37" s="474"/>
      <c r="F37" s="474"/>
      <c r="G37" s="474"/>
      <c r="H37" s="474"/>
      <c r="I37" s="474"/>
    </row>
    <row r="38" spans="1:10" x14ac:dyDescent="0.25">
      <c r="A38" s="474"/>
      <c r="B38" s="474"/>
      <c r="C38" s="474"/>
      <c r="D38" s="474"/>
      <c r="E38" s="474"/>
      <c r="F38" s="474"/>
      <c r="G38" s="474"/>
      <c r="H38" s="474"/>
      <c r="I38" s="474"/>
    </row>
    <row r="39" spans="1:10" x14ac:dyDescent="0.25">
      <c r="A39" s="474"/>
      <c r="B39" s="474"/>
      <c r="C39" s="474"/>
      <c r="D39" s="474"/>
      <c r="E39" s="474"/>
      <c r="F39" s="474"/>
      <c r="G39" s="474"/>
      <c r="H39" s="474"/>
      <c r="I39" s="474"/>
    </row>
    <row r="40" spans="1:10" x14ac:dyDescent="0.25">
      <c r="A40" s="474"/>
      <c r="B40" s="474"/>
      <c r="C40" s="474"/>
      <c r="D40" s="474"/>
      <c r="E40" s="474"/>
      <c r="F40" s="474"/>
      <c r="G40" s="474"/>
      <c r="H40" s="474"/>
      <c r="I40" s="474"/>
    </row>
    <row r="41" spans="1:10" x14ac:dyDescent="0.25">
      <c r="A41" s="474"/>
      <c r="B41" s="474"/>
      <c r="C41" s="474"/>
      <c r="D41" s="474"/>
      <c r="E41" s="474"/>
      <c r="F41" s="474"/>
      <c r="G41" s="474"/>
      <c r="H41" s="474"/>
      <c r="I41" s="474"/>
    </row>
  </sheetData>
  <mergeCells count="20">
    <mergeCell ref="C24:F24"/>
    <mergeCell ref="C25:F25"/>
    <mergeCell ref="B31:F31"/>
    <mergeCell ref="C18:F18"/>
    <mergeCell ref="C19:F19"/>
    <mergeCell ref="C20:F20"/>
    <mergeCell ref="C21:F21"/>
    <mergeCell ref="C22:F22"/>
    <mergeCell ref="C23:F23"/>
    <mergeCell ref="C28:F28"/>
    <mergeCell ref="C30:F30"/>
    <mergeCell ref="C26:F26"/>
    <mergeCell ref="C27:F27"/>
    <mergeCell ref="C15:F15"/>
    <mergeCell ref="C4:F6"/>
    <mergeCell ref="C7:F7"/>
    <mergeCell ref="C8:F8"/>
    <mergeCell ref="C14:F14"/>
    <mergeCell ref="C10:F10"/>
    <mergeCell ref="C12:F12"/>
  </mergeCells>
  <conditionalFormatting sqref="G31">
    <cfRule type="cellIs" dxfId="388" priority="1" operator="notEqual">
      <formula>1</formula>
    </cfRule>
  </conditionalFormatting>
  <printOptions horizontalCentered="1"/>
  <pageMargins left="0.31496062992125984" right="0.31496062992125984" top="0.39370078740157483" bottom="0.19685039370078741" header="0" footer="0"/>
  <pageSetup paperSize="9" scale="90" orientation="portrait" r:id="rId1"/>
  <rowBreaks count="1" manualBreakCount="1">
    <brk id="32"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V264"/>
  <sheetViews>
    <sheetView showGridLines="0" zoomScale="85" zoomScaleNormal="85" workbookViewId="0">
      <pane ySplit="7" topLeftCell="A8" activePane="bottomLeft" state="frozen"/>
      <selection activeCell="F35" sqref="F35"/>
      <selection pane="bottomLeft" activeCell="I9" sqref="I9"/>
    </sheetView>
  </sheetViews>
  <sheetFormatPr defaultColWidth="0" defaultRowHeight="11.25" x14ac:dyDescent="0.25"/>
  <cols>
    <col min="1" max="1" width="8.85546875" style="441" customWidth="1"/>
    <col min="2" max="2" width="13.42578125" style="442" customWidth="1"/>
    <col min="3" max="3" width="15.7109375" style="442" customWidth="1"/>
    <col min="4" max="4" width="79.5703125" style="442" customWidth="1"/>
    <col min="5" max="5" width="8.7109375" style="442" customWidth="1"/>
    <col min="6" max="6" width="11.7109375" style="993" customWidth="1"/>
    <col min="7" max="7" width="11.7109375" style="971" customWidth="1"/>
    <col min="8" max="8" width="13.85546875" style="971" bestFit="1" customWidth="1"/>
    <col min="9" max="9" width="22.5703125" style="971" customWidth="1"/>
    <col min="10" max="10" width="31.28515625" style="971" bestFit="1" customWidth="1"/>
    <col min="11" max="11" width="14.140625" style="526" hidden="1" customWidth="1"/>
    <col min="12" max="12" width="11.7109375" style="442" hidden="1" customWidth="1"/>
    <col min="13" max="14" width="9.140625" style="442" hidden="1" customWidth="1"/>
    <col min="15" max="15" width="11.7109375" style="442" hidden="1" customWidth="1"/>
    <col min="16" max="16" width="10" style="442" hidden="1" customWidth="1"/>
    <col min="17" max="17" width="9.140625" style="442" hidden="1" customWidth="1"/>
    <col min="18" max="18" width="11.7109375" style="442" hidden="1" customWidth="1"/>
    <col min="19" max="19" width="9.140625" style="442" hidden="1" customWidth="1"/>
    <col min="20" max="20" width="10" style="442" hidden="1" customWidth="1"/>
    <col min="21" max="21" width="11.7109375" style="442" hidden="1" customWidth="1"/>
    <col min="22" max="22" width="9.7109375" style="442" hidden="1" customWidth="1"/>
    <col min="23" max="16384" width="9.140625" style="442" hidden="1"/>
  </cols>
  <sheetData>
    <row r="1" spans="1:21" ht="15.95" customHeight="1" x14ac:dyDescent="0.25">
      <c r="B1" s="3" t="s">
        <v>2434</v>
      </c>
      <c r="C1" s="3"/>
      <c r="D1" s="4"/>
      <c r="E1" s="5"/>
      <c r="F1" s="2"/>
      <c r="G1" s="2"/>
      <c r="I1" s="503"/>
      <c r="J1" s="503"/>
    </row>
    <row r="2" spans="1:21" ht="24.95" customHeight="1" x14ac:dyDescent="0.25">
      <c r="B2" s="1262" t="s">
        <v>2435</v>
      </c>
      <c r="C2" s="1262"/>
      <c r="D2" s="1262"/>
      <c r="E2" s="6"/>
      <c r="F2" s="1260" t="s">
        <v>31542</v>
      </c>
      <c r="G2" s="1261"/>
      <c r="H2" s="1261"/>
      <c r="I2" s="1267" t="s">
        <v>43954</v>
      </c>
      <c r="J2" s="1228"/>
      <c r="L2" s="971">
        <f>I153</f>
        <v>6431532.2500000009</v>
      </c>
    </row>
    <row r="3" spans="1:21" ht="24.95" customHeight="1" x14ac:dyDescent="0.25">
      <c r="B3" s="470" t="s">
        <v>2707</v>
      </c>
      <c r="C3" s="467"/>
      <c r="D3" s="467"/>
      <c r="E3" s="6"/>
      <c r="F3" s="1261"/>
      <c r="G3" s="1261"/>
      <c r="H3" s="1261"/>
      <c r="I3" s="1268"/>
      <c r="J3" s="1228"/>
    </row>
    <row r="4" spans="1:21" ht="15.95" customHeight="1" x14ac:dyDescent="0.25">
      <c r="B4" s="364" t="s">
        <v>44100</v>
      </c>
      <c r="C4" s="362"/>
      <c r="D4" s="363"/>
      <c r="E4" s="6"/>
      <c r="F4" s="972"/>
      <c r="G4" s="2"/>
      <c r="H4" s="2"/>
      <c r="I4" s="973"/>
      <c r="J4" s="973"/>
    </row>
    <row r="5" spans="1:21" ht="15.95" customHeight="1" x14ac:dyDescent="0.25">
      <c r="A5" s="1265" t="s">
        <v>2431</v>
      </c>
      <c r="B5" s="1263" t="s">
        <v>188</v>
      </c>
      <c r="C5" s="1264"/>
      <c r="D5" s="455" t="s">
        <v>10</v>
      </c>
      <c r="E5" s="456" t="s">
        <v>3</v>
      </c>
      <c r="F5" s="974" t="s">
        <v>11</v>
      </c>
      <c r="G5" s="457" t="s">
        <v>1</v>
      </c>
      <c r="H5" s="975" t="s">
        <v>1</v>
      </c>
      <c r="I5" s="976" t="s">
        <v>12</v>
      </c>
      <c r="J5" s="1229" t="s">
        <v>44096</v>
      </c>
      <c r="K5" s="528" t="s">
        <v>2487</v>
      </c>
      <c r="M5" s="442" t="s">
        <v>29977</v>
      </c>
    </row>
    <row r="6" spans="1:21" ht="15.95" customHeight="1" x14ac:dyDescent="0.25">
      <c r="A6" s="1266"/>
      <c r="B6" s="453" t="s">
        <v>9</v>
      </c>
      <c r="C6" s="454" t="s">
        <v>2432</v>
      </c>
      <c r="D6" s="345"/>
      <c r="E6" s="458"/>
      <c r="F6" s="977"/>
      <c r="G6" s="459" t="s">
        <v>2448</v>
      </c>
      <c r="H6" s="1065">
        <v>0.19620000000000001</v>
      </c>
      <c r="I6" s="1065">
        <f>H6</f>
        <v>0.19620000000000001</v>
      </c>
      <c r="J6" s="1259" t="s">
        <v>44097</v>
      </c>
      <c r="M6" s="442" t="s">
        <v>39762</v>
      </c>
      <c r="O6" s="442" t="s">
        <v>39760</v>
      </c>
      <c r="Q6" s="442" t="s">
        <v>2430</v>
      </c>
      <c r="S6" s="442" t="s">
        <v>2881</v>
      </c>
    </row>
    <row r="7" spans="1:21" s="443" customFormat="1" ht="15" customHeight="1" x14ac:dyDescent="0.25">
      <c r="A7" s="444">
        <v>1</v>
      </c>
      <c r="B7" s="445"/>
      <c r="C7" s="446"/>
      <c r="D7" s="447" t="s">
        <v>2436</v>
      </c>
      <c r="E7" s="448"/>
      <c r="F7" s="978"/>
      <c r="G7" s="978"/>
      <c r="H7" s="978"/>
      <c r="I7" s="471"/>
      <c r="J7" s="1259"/>
      <c r="K7" s="525"/>
      <c r="L7" s="535"/>
      <c r="M7" s="1083" t="s">
        <v>9</v>
      </c>
      <c r="N7" s="1083" t="s">
        <v>29978</v>
      </c>
      <c r="O7" s="1083" t="s">
        <v>9</v>
      </c>
      <c r="P7" s="1083" t="s">
        <v>29978</v>
      </c>
      <c r="Q7" s="1083" t="s">
        <v>9</v>
      </c>
      <c r="R7" s="1083" t="s">
        <v>29978</v>
      </c>
      <c r="S7" s="1083" t="s">
        <v>9</v>
      </c>
      <c r="T7" s="1083" t="s">
        <v>29978</v>
      </c>
      <c r="U7" s="1076"/>
    </row>
    <row r="8" spans="1:21" s="452" customFormat="1" ht="15" customHeight="1" x14ac:dyDescent="0.25">
      <c r="A8" s="998" t="s">
        <v>44087</v>
      </c>
      <c r="B8" s="999"/>
      <c r="C8" s="969"/>
      <c r="D8" s="969" t="s">
        <v>44085</v>
      </c>
      <c r="E8" s="1000"/>
      <c r="F8" s="1001"/>
      <c r="G8" s="1002"/>
      <c r="H8" s="1003"/>
      <c r="I8" s="970">
        <f>SUM(I9:I11)</f>
        <v>73726.94</v>
      </c>
      <c r="J8" s="1227"/>
      <c r="K8" s="525" t="str">
        <f>IF(G8="","",I8/$I$153)</f>
        <v/>
      </c>
      <c r="L8" s="535"/>
      <c r="M8" s="535"/>
      <c r="N8" s="535"/>
      <c r="O8" s="535"/>
      <c r="P8" s="535"/>
      <c r="Q8" s="1115"/>
      <c r="R8" s="1115"/>
      <c r="S8" s="1088"/>
      <c r="T8" s="1116"/>
    </row>
    <row r="9" spans="1:21" s="443" customFormat="1" ht="24.95" customHeight="1" x14ac:dyDescent="0.25">
      <c r="A9" s="462" t="str">
        <f t="shared" ref="A9:A18" si="0">IFERROR(MID(A8,1,IFERROR(SEARCH(".",A8,2+1),SEARCH(".",A8,1))),A8&amp;".")&amp;IFERROR(MID(A8,IFERROR(SEARCH(".",A8,2+1),SEARCH(".",A8,1))+1,2)+1,1)</f>
        <v>1.1.1</v>
      </c>
      <c r="B9" s="460" t="s">
        <v>31776</v>
      </c>
      <c r="C9" s="346" t="s">
        <v>39761</v>
      </c>
      <c r="D9" s="874" t="s">
        <v>31777</v>
      </c>
      <c r="E9" s="1066" t="s">
        <v>226</v>
      </c>
      <c r="F9" s="348">
        <v>1</v>
      </c>
      <c r="G9" s="348">
        <f>SUM(CDHU!G107)</f>
        <v>24999.94</v>
      </c>
      <c r="H9" s="968">
        <f>TRUNC(G9*(1+$H$6),2)</f>
        <v>29904.92</v>
      </c>
      <c r="I9" s="348">
        <f>G9*F9</f>
        <v>24999.94</v>
      </c>
      <c r="J9" s="1217"/>
      <c r="K9" s="525">
        <f>IF(G9="","",I9/$I$153)</f>
        <v>3.887089270212397E-3</v>
      </c>
      <c r="L9" s="535"/>
      <c r="M9" s="535"/>
      <c r="N9" s="535"/>
      <c r="O9" s="535"/>
      <c r="P9" s="535"/>
      <c r="Q9" s="1087"/>
      <c r="R9" s="1087"/>
      <c r="S9" s="1116"/>
      <c r="T9" s="1088"/>
    </row>
    <row r="10" spans="1:21" s="443" customFormat="1" ht="24.95" customHeight="1" x14ac:dyDescent="0.25">
      <c r="A10" s="462" t="str">
        <f t="shared" si="0"/>
        <v>1.1.2</v>
      </c>
      <c r="B10" s="460" t="s">
        <v>31778</v>
      </c>
      <c r="C10" s="346" t="s">
        <v>39761</v>
      </c>
      <c r="D10" s="874" t="s">
        <v>31779</v>
      </c>
      <c r="E10" s="1066" t="s">
        <v>226</v>
      </c>
      <c r="F10" s="348">
        <v>1</v>
      </c>
      <c r="G10" s="348">
        <f>SUM(CDHU!G108)</f>
        <v>38004.28</v>
      </c>
      <c r="H10" s="968">
        <f>TRUNC(G10*(1+$H$6),2)</f>
        <v>45460.71</v>
      </c>
      <c r="I10" s="348">
        <f>G10*F10</f>
        <v>38004.28</v>
      </c>
      <c r="J10" s="1217"/>
      <c r="K10" s="525">
        <f>IF(G10="","",I10/$I$153)</f>
        <v>5.9090553421387252E-3</v>
      </c>
      <c r="L10" s="535"/>
      <c r="M10" s="535"/>
      <c r="N10" s="535"/>
      <c r="O10" s="535"/>
      <c r="P10" s="535"/>
      <c r="Q10" s="1087"/>
      <c r="R10" s="1087"/>
      <c r="S10" s="1116"/>
      <c r="T10" s="1088"/>
    </row>
    <row r="11" spans="1:21" s="443" customFormat="1" ht="24.95" customHeight="1" x14ac:dyDescent="0.25">
      <c r="A11" s="462" t="str">
        <f t="shared" si="0"/>
        <v>1.1.3</v>
      </c>
      <c r="B11" s="460" t="s">
        <v>31979</v>
      </c>
      <c r="C11" s="346" t="s">
        <v>39761</v>
      </c>
      <c r="D11" s="874" t="s">
        <v>31980</v>
      </c>
      <c r="E11" s="1152" t="s">
        <v>227</v>
      </c>
      <c r="F11" s="348">
        <v>12</v>
      </c>
      <c r="G11" s="348">
        <f>SUM(CDHU!G207)</f>
        <v>893.56</v>
      </c>
      <c r="H11" s="968">
        <f>TRUNC(G11*(1+$H$6),2)</f>
        <v>1068.8699999999999</v>
      </c>
      <c r="I11" s="348">
        <f>G11*F11</f>
        <v>10722.72</v>
      </c>
      <c r="J11" s="1217"/>
      <c r="K11" s="525">
        <f>IF(G11="","",I11/$I$153)</f>
        <v>1.6672107956855846E-3</v>
      </c>
      <c r="L11" s="535"/>
      <c r="M11" s="535"/>
      <c r="N11" s="535"/>
      <c r="O11" s="535"/>
      <c r="P11" s="535"/>
      <c r="Q11" s="1087"/>
      <c r="R11" s="1087"/>
      <c r="S11" s="1116"/>
      <c r="T11" s="1088"/>
    </row>
    <row r="12" spans="1:21" s="452" customFormat="1" ht="15" customHeight="1" x14ac:dyDescent="0.25">
      <c r="A12" s="998" t="s">
        <v>44088</v>
      </c>
      <c r="B12" s="999"/>
      <c r="C12" s="969"/>
      <c r="D12" s="969" t="s">
        <v>44089</v>
      </c>
      <c r="E12" s="1000"/>
      <c r="F12" s="1001"/>
      <c r="G12" s="1002"/>
      <c r="H12" s="1003"/>
      <c r="I12" s="970">
        <f>SUM(I13:I18)</f>
        <v>42143.14</v>
      </c>
      <c r="J12" s="1227"/>
      <c r="K12" s="525"/>
      <c r="L12" s="535"/>
      <c r="M12" s="535"/>
      <c r="N12" s="535"/>
      <c r="O12" s="535"/>
      <c r="P12" s="535"/>
      <c r="Q12" s="1115"/>
      <c r="R12" s="1115"/>
      <c r="S12" s="1088"/>
      <c r="T12" s="1116"/>
    </row>
    <row r="13" spans="1:21" s="443" customFormat="1" ht="35.1" customHeight="1" x14ac:dyDescent="0.25">
      <c r="A13" s="462" t="str">
        <f t="shared" si="0"/>
        <v>1.2.1</v>
      </c>
      <c r="B13" s="346" t="s">
        <v>17365</v>
      </c>
      <c r="C13" s="346" t="s">
        <v>43940</v>
      </c>
      <c r="D13" s="874" t="s">
        <v>17366</v>
      </c>
      <c r="E13" s="1066" t="s">
        <v>226</v>
      </c>
      <c r="F13" s="348">
        <v>7052.43</v>
      </c>
      <c r="G13" s="348">
        <v>0.41</v>
      </c>
      <c r="H13" s="348">
        <f>TRUNC(G13*(1+$H$6),2)</f>
        <v>0.49</v>
      </c>
      <c r="I13" s="348">
        <f t="shared" ref="I13:I17" si="1">TRUNC(F13*H13,2)</f>
        <v>3455.69</v>
      </c>
      <c r="J13" s="1217"/>
      <c r="K13" s="525">
        <f t="shared" ref="K13:K51" si="2">IF(G13="","",I13/$I$153)</f>
        <v>5.3730431033755595E-4</v>
      </c>
      <c r="L13" s="535"/>
      <c r="M13" s="535"/>
      <c r="N13" s="535"/>
      <c r="O13" s="1085" t="s">
        <v>31988</v>
      </c>
      <c r="P13" s="1086">
        <f ca="1">TRUNC(INDEX(INDIRECT(TRIM(MID(O$6,1,SEARCH(" ",O$6,1)))&amp;"!"&amp;"A:F"),MATCH(O13,INDIRECT(TRIM(MID(O$6,1,SEARCH(" ",O$6,1)))&amp;"!"&amp;"A:A"),0),4)/IFERROR(IF(SEARCH("DERSP",O$6,1),(1+DERSP!$G$4),1),1)*(1+$H$6),2)*F13</f>
        <v>36249.4902</v>
      </c>
      <c r="Q13" s="346" t="s">
        <v>28102</v>
      </c>
      <c r="R13" s="1086">
        <f>F13*TRUNC(INDEX(DERSP!$A$1:$E$2000,MATCH(Orçamento!Q13,DERSP!$A$1:$A$2000,0),5)*(1+$H$6),2)</f>
        <v>4090.4094</v>
      </c>
      <c r="S13" s="1085">
        <v>5501700</v>
      </c>
      <c r="T13" s="1086">
        <f>F13*TRUNC(INDEX(SICRO!$A$1:$E$10000,MATCH(Orçamento!S13,SICRO!$A$1:$A$10000,0),4),2)*(1+$H$6)</f>
        <v>4555.50305364</v>
      </c>
      <c r="U13" s="1076"/>
    </row>
    <row r="14" spans="1:21" s="443" customFormat="1" ht="15" customHeight="1" x14ac:dyDescent="0.25">
      <c r="A14" s="462" t="str">
        <f t="shared" si="0"/>
        <v>1.2.2</v>
      </c>
      <c r="B14" s="346" t="s">
        <v>28103</v>
      </c>
      <c r="C14" s="346" t="s">
        <v>2744</v>
      </c>
      <c r="D14" s="874" t="s">
        <v>477</v>
      </c>
      <c r="E14" s="1066" t="s">
        <v>41</v>
      </c>
      <c r="F14" s="348">
        <v>2212</v>
      </c>
      <c r="G14" s="348">
        <v>0.91</v>
      </c>
      <c r="H14" s="348">
        <f>TRUNC(G14*(1+$H$6),2)</f>
        <v>1.08</v>
      </c>
      <c r="I14" s="348">
        <f t="shared" ref="I14" si="3">TRUNC(F14*H14,2)</f>
        <v>2388.96</v>
      </c>
      <c r="J14" s="1217"/>
      <c r="K14" s="525">
        <f t="shared" si="2"/>
        <v>3.7144492278647903E-4</v>
      </c>
      <c r="L14" s="535"/>
      <c r="M14" s="535"/>
      <c r="N14" s="535"/>
      <c r="O14" s="535"/>
      <c r="P14" s="535"/>
      <c r="Q14" s="346" t="s">
        <v>28103</v>
      </c>
      <c r="R14" s="1086">
        <f>F14*TRUNC(INDEX(DERSP!$A$1:$E$2000,MATCH(Orçamento!Q14,DERSP!$A$1:$A$2000,0),5)*(1+$H$6),2)</f>
        <v>2411.0800000000004</v>
      </c>
      <c r="S14" s="1117"/>
      <c r="T14" s="1120"/>
      <c r="U14" s="1076"/>
    </row>
    <row r="15" spans="1:21" s="443" customFormat="1" ht="15" customHeight="1" x14ac:dyDescent="0.25">
      <c r="A15" s="462" t="str">
        <f t="shared" si="0"/>
        <v>1.2.3</v>
      </c>
      <c r="B15" s="376" t="s">
        <v>28106</v>
      </c>
      <c r="C15" s="346" t="s">
        <v>2744</v>
      </c>
      <c r="D15" s="874" t="s">
        <v>480</v>
      </c>
      <c r="E15" s="1066" t="s">
        <v>3</v>
      </c>
      <c r="F15" s="348">
        <v>88</v>
      </c>
      <c r="G15" s="348">
        <v>28.02</v>
      </c>
      <c r="H15" s="348">
        <f>TRUNC(G15*(1+$H$6),2)</f>
        <v>33.51</v>
      </c>
      <c r="I15" s="348">
        <f t="shared" ref="I15" si="4">TRUNC(F15*H15,2)</f>
        <v>2948.88</v>
      </c>
      <c r="J15" s="1217"/>
      <c r="K15" s="525">
        <f t="shared" si="2"/>
        <v>4.5850349269413985E-4</v>
      </c>
      <c r="L15" s="535"/>
      <c r="M15" s="535"/>
      <c r="N15" s="535"/>
      <c r="O15" s="535"/>
      <c r="P15" s="535"/>
      <c r="Q15" s="376" t="s">
        <v>28106</v>
      </c>
      <c r="R15" s="1086">
        <f>F15*TRUNC(INDEX(DERSP!$A$1:$E$2000,MATCH(Orçamento!Q15,DERSP!$A$1:$A$2000,0),5)*(1+$H$6),2)</f>
        <v>2949.76</v>
      </c>
      <c r="S15" s="1117"/>
      <c r="T15" s="1120"/>
      <c r="U15" s="1076"/>
    </row>
    <row r="16" spans="1:21" s="443" customFormat="1" ht="15" customHeight="1" x14ac:dyDescent="0.25">
      <c r="A16" s="462" t="str">
        <f t="shared" si="0"/>
        <v>1.2.4</v>
      </c>
      <c r="B16" s="346" t="s">
        <v>28113</v>
      </c>
      <c r="C16" s="346" t="s">
        <v>2744</v>
      </c>
      <c r="D16" s="874" t="s">
        <v>486</v>
      </c>
      <c r="E16" s="346" t="s">
        <v>40</v>
      </c>
      <c r="F16" s="348">
        <v>1429.78</v>
      </c>
      <c r="G16" s="348">
        <v>3.71</v>
      </c>
      <c r="H16" s="348">
        <f t="shared" ref="H16:H17" si="5">TRUNC(G16*(1+$H$6),2)</f>
        <v>4.43</v>
      </c>
      <c r="I16" s="348">
        <f t="shared" si="1"/>
        <v>6333.92</v>
      </c>
      <c r="J16" s="1217"/>
      <c r="K16" s="525">
        <f t="shared" si="2"/>
        <v>9.8482286239021805E-4</v>
      </c>
      <c r="L16" s="535"/>
      <c r="M16" s="535"/>
      <c r="N16" s="535"/>
      <c r="O16" s="535"/>
      <c r="P16" s="535"/>
      <c r="Q16" s="346" t="s">
        <v>28113</v>
      </c>
      <c r="R16" s="1086">
        <f>F16*TRUNC(INDEX(DERSP!$A$1:$E$2000,MATCH(Orçamento!Q16,DERSP!$A$1:$A$2000,0),5)*(1+$H$6),2)</f>
        <v>6348.2232000000004</v>
      </c>
      <c r="S16" s="1084"/>
      <c r="T16" s="1084"/>
      <c r="U16" s="1076"/>
    </row>
    <row r="17" spans="1:21" s="443" customFormat="1" ht="30" customHeight="1" x14ac:dyDescent="0.25">
      <c r="A17" s="462" t="str">
        <f t="shared" si="0"/>
        <v>1.2.5</v>
      </c>
      <c r="B17" s="1080" t="s">
        <v>17009</v>
      </c>
      <c r="C17" s="437" t="s">
        <v>43940</v>
      </c>
      <c r="D17" s="874" t="s">
        <v>17010</v>
      </c>
      <c r="E17" s="1066" t="s">
        <v>16557</v>
      </c>
      <c r="F17" s="348">
        <v>10723.36</v>
      </c>
      <c r="G17" s="348">
        <v>1.18</v>
      </c>
      <c r="H17" s="348">
        <f t="shared" si="5"/>
        <v>1.41</v>
      </c>
      <c r="I17" s="348">
        <f t="shared" si="1"/>
        <v>15119.93</v>
      </c>
      <c r="J17" s="1217"/>
      <c r="K17" s="525">
        <f t="shared" si="2"/>
        <v>2.3509063489497387E-3</v>
      </c>
      <c r="L17" s="535"/>
      <c r="M17" s="535"/>
      <c r="N17" s="535"/>
      <c r="O17" s="535"/>
      <c r="P17" s="535"/>
      <c r="Q17" s="1083"/>
      <c r="R17" s="1083"/>
      <c r="S17" s="957">
        <v>5915321</v>
      </c>
      <c r="T17" s="1086">
        <f>F17*TRUNC(INDEX(SICRO!$A$1:$E$10000,MATCH(Orçamento!S17,SICRO!$A$1:$A$10000,0),4),2)*(1+$H$6)</f>
        <v>7183.2786099200011</v>
      </c>
      <c r="U17" s="1076"/>
    </row>
    <row r="18" spans="1:21" s="443" customFormat="1" ht="15" customHeight="1" x14ac:dyDescent="0.25">
      <c r="A18" s="462" t="str">
        <f t="shared" si="0"/>
        <v>1.2.6</v>
      </c>
      <c r="B18" s="1208" t="s">
        <v>32618</v>
      </c>
      <c r="C18" s="1187" t="s">
        <v>39761</v>
      </c>
      <c r="D18" s="1209" t="s">
        <v>239</v>
      </c>
      <c r="E18" s="1210" t="s">
        <v>159</v>
      </c>
      <c r="F18" s="1188">
        <v>1429.78</v>
      </c>
      <c r="G18" s="1188">
        <v>6.96</v>
      </c>
      <c r="H18" s="1188">
        <f>TRUNC(G18*(1+$H$6),2)</f>
        <v>8.32</v>
      </c>
      <c r="I18" s="1188">
        <f>TRUNC(F18*H18,2)</f>
        <v>11895.76</v>
      </c>
      <c r="J18" s="1217"/>
      <c r="K18" s="525">
        <f t="shared" si="2"/>
        <v>1.8495996813201081E-3</v>
      </c>
      <c r="L18" s="535"/>
      <c r="M18" s="535"/>
      <c r="N18" s="535"/>
      <c r="O18" s="535"/>
      <c r="P18" s="535"/>
      <c r="Q18" s="460" t="s">
        <v>28116</v>
      </c>
      <c r="R18" s="1086">
        <f>F18*TRUNC(INDEX(DERSP!$A$1:$E$2000,MATCH(Orçamento!Q18,DERSP!$A$1:$A$2000,0),5)*(1+$H$6),2)</f>
        <v>6119.4584000000004</v>
      </c>
      <c r="S18" s="1084"/>
      <c r="T18" s="1084"/>
      <c r="U18" s="1076"/>
    </row>
    <row r="19" spans="1:21" s="443" customFormat="1" ht="15" customHeight="1" x14ac:dyDescent="0.25">
      <c r="A19" s="1079">
        <v>2</v>
      </c>
      <c r="B19" s="1183"/>
      <c r="C19" s="1184"/>
      <c r="D19" s="1211" t="s">
        <v>2433</v>
      </c>
      <c r="E19" s="1212"/>
      <c r="F19" s="1213"/>
      <c r="G19" s="1213"/>
      <c r="H19" s="1213"/>
      <c r="I19" s="1149">
        <f>SUM(I20:I23)</f>
        <v>2704246.36</v>
      </c>
      <c r="J19" s="1227"/>
      <c r="K19" s="525" t="str">
        <f t="shared" si="2"/>
        <v/>
      </c>
      <c r="L19" s="535"/>
      <c r="M19" s="535"/>
      <c r="N19" s="535"/>
      <c r="O19" s="535"/>
      <c r="P19" s="535"/>
      <c r="Q19" s="1083"/>
      <c r="R19" s="1083"/>
      <c r="S19" s="1084"/>
      <c r="T19" s="1084"/>
      <c r="U19" s="1076"/>
    </row>
    <row r="20" spans="1:21" s="443" customFormat="1" ht="39.950000000000003" customHeight="1" x14ac:dyDescent="0.25">
      <c r="A20" s="462" t="s">
        <v>43960</v>
      </c>
      <c r="B20" s="437" t="s">
        <v>14262</v>
      </c>
      <c r="C20" s="437" t="s">
        <v>43940</v>
      </c>
      <c r="D20" s="1078" t="s">
        <v>14263</v>
      </c>
      <c r="E20" s="1066" t="s">
        <v>159</v>
      </c>
      <c r="F20" s="348">
        <v>303.60000000000002</v>
      </c>
      <c r="G20" s="348" t="s">
        <v>31183</v>
      </c>
      <c r="H20" s="348">
        <f>TRUNC(G20*(1+$H$6),2)</f>
        <v>15.73</v>
      </c>
      <c r="I20" s="348">
        <f>TRUNC(F20*H20,2)</f>
        <v>4775.62</v>
      </c>
      <c r="J20" s="1217"/>
      <c r="K20" s="525">
        <f t="shared" si="2"/>
        <v>7.425322325018271E-4</v>
      </c>
      <c r="L20" s="535"/>
      <c r="M20" s="535"/>
      <c r="N20" s="535"/>
      <c r="O20" s="535"/>
      <c r="P20" s="535"/>
      <c r="Q20" s="1083"/>
      <c r="R20" s="1083"/>
      <c r="S20" s="1085">
        <v>5502110</v>
      </c>
      <c r="T20" s="1086">
        <f>F20*TRUNC(INDEX(SICRO!$A$1:$E$10000,MATCH(Orçamento!S20,SICRO!$A$1:$A$10000,0),4)*(1+H$6),2)</f>
        <v>2310.3960000000002</v>
      </c>
      <c r="U20" s="1076"/>
    </row>
    <row r="21" spans="1:21" s="443" customFormat="1" ht="24.95" customHeight="1" x14ac:dyDescent="0.25">
      <c r="A21" s="966" t="s">
        <v>43961</v>
      </c>
      <c r="B21" s="437" t="s">
        <v>32592</v>
      </c>
      <c r="C21" s="1201" t="s">
        <v>39761</v>
      </c>
      <c r="D21" s="874" t="s">
        <v>235</v>
      </c>
      <c r="E21" s="1191" t="s">
        <v>159</v>
      </c>
      <c r="F21" s="968">
        <v>60120.34</v>
      </c>
      <c r="G21" s="968">
        <v>16.77</v>
      </c>
      <c r="H21" s="968">
        <f>TRUNC(G21*(1+$H$6),2)</f>
        <v>20.059999999999999</v>
      </c>
      <c r="I21" s="348">
        <f>TRUNC(F21*H21,2)</f>
        <v>1206014.02</v>
      </c>
      <c r="J21" s="1226" t="s">
        <v>13</v>
      </c>
      <c r="K21" s="525">
        <f t="shared" si="2"/>
        <v>0.18751581631266792</v>
      </c>
      <c r="L21" s="535"/>
      <c r="M21" s="535"/>
      <c r="N21" s="535"/>
      <c r="O21" s="535"/>
      <c r="P21" s="535"/>
      <c r="Q21" s="1085" t="s">
        <v>28109</v>
      </c>
      <c r="R21" s="1086">
        <f>F21*TRUNC(INDEX(DERSP!$A$1:$E$2000,MATCH(Orçamento!Q21,DERSP!$A$1:$A$2000,0),5)*(1+$H$6),2)</f>
        <v>654109.29920000001</v>
      </c>
      <c r="S21" s="1085">
        <v>4016096</v>
      </c>
      <c r="T21" s="1086">
        <f>F21*TRUNC(INDEX(SICRO!$A$1:$E$10000,MATCH(Orçamento!S21,SICRO!$A$1:$A$10000,0),4)*(1+H$6),2)</f>
        <v>114228.64599999999</v>
      </c>
      <c r="U21" s="1076"/>
    </row>
    <row r="22" spans="1:21" s="443" customFormat="1" ht="30" customHeight="1" x14ac:dyDescent="0.25">
      <c r="A22" s="462" t="s">
        <v>43962</v>
      </c>
      <c r="B22" s="1080" t="s">
        <v>234</v>
      </c>
      <c r="C22" s="1201" t="s">
        <v>39761</v>
      </c>
      <c r="D22" s="874" t="s">
        <v>32543</v>
      </c>
      <c r="E22" s="1066" t="s">
        <v>16557</v>
      </c>
      <c r="F22" s="348">
        <v>330661.87</v>
      </c>
      <c r="G22" s="348">
        <v>1.81</v>
      </c>
      <c r="H22" s="348">
        <f>TRUNC(G22*(1+$H$6),2)</f>
        <v>2.16</v>
      </c>
      <c r="I22" s="348">
        <f>TRUNC(F22*H22,2)</f>
        <v>714229.63</v>
      </c>
      <c r="J22" s="1226" t="s">
        <v>13</v>
      </c>
      <c r="K22" s="525">
        <f t="shared" si="2"/>
        <v>0.11105123977260627</v>
      </c>
      <c r="L22" s="535"/>
      <c r="M22" s="535"/>
      <c r="N22" s="535"/>
      <c r="O22" s="1080" t="s">
        <v>31566</v>
      </c>
      <c r="P22" s="1086">
        <f ca="1">TRUNC(INDEX(INDIRECT(TRIM(MID(O$6,1,SEARCH(" ",O$6,1)))&amp;"!"&amp;"A:F"),MATCH(O22,INDIRECT(TRIM(MID(O$6,1,SEARCH(" ",O$6,1)))&amp;"!"&amp;"A:A"),0),4)/IFERROR(IF(SEARCH("DERSP",O$6,1),(1+DERSP!$G$4),1),1)*(1+$H$6),2)*F21</f>
        <v>1352707.65</v>
      </c>
      <c r="Q22" s="1085" t="s">
        <v>16</v>
      </c>
      <c r="R22" s="1086">
        <f>F21*TRUNC(INDEX(DERSP!A8:E1377,MATCH(Orçamento!Q22,DERSP!A8:A1377,0),5),2)*MC_TERR!E38</f>
        <v>1090282.3658999999</v>
      </c>
      <c r="S22" s="1085">
        <v>5915321</v>
      </c>
      <c r="T22" s="1086">
        <f>F22*1.5*MC_TERR!E38*TRUNC(INDEX(SICRO!$A$1:$E$10000,MATCH(Orçamento!S22,SICRO!$A$1:$A$10000,0),4)*(1+H$6),2)</f>
        <v>2127809.1334500001</v>
      </c>
      <c r="U22" s="1077"/>
    </row>
    <row r="23" spans="1:21" s="443" customFormat="1" ht="33.75" customHeight="1" x14ac:dyDescent="0.25">
      <c r="A23" s="462" t="s">
        <v>43963</v>
      </c>
      <c r="B23" s="1080" t="s">
        <v>32628</v>
      </c>
      <c r="C23" s="1224" t="s">
        <v>39761</v>
      </c>
      <c r="D23" s="874" t="s">
        <v>32629</v>
      </c>
      <c r="E23" s="1066" t="s">
        <v>40</v>
      </c>
      <c r="F23" s="348">
        <v>48339.15</v>
      </c>
      <c r="G23" s="348">
        <v>13.48</v>
      </c>
      <c r="H23" s="348">
        <f t="shared" ref="H23" si="6">TRUNC(G23*(1+$H$6),2)</f>
        <v>16.12</v>
      </c>
      <c r="I23" s="348">
        <f t="shared" ref="I23" si="7">TRUNC(F23*H23,2)</f>
        <v>779227.09</v>
      </c>
      <c r="J23" s="1226" t="s">
        <v>13</v>
      </c>
      <c r="K23" s="525">
        <f t="shared" si="2"/>
        <v>0.12115730120143607</v>
      </c>
      <c r="L23" s="535"/>
      <c r="M23" s="535"/>
      <c r="N23" s="535"/>
      <c r="O23" s="460" t="s">
        <v>32628</v>
      </c>
      <c r="P23" s="1086">
        <f ca="1">TRUNC(INDEX(INDIRECT(TRIM(MID(O$6,1,SEARCH(" ",O$6,1)))&amp;"!"&amp;"A:F"),MATCH(O23,INDIRECT(TRIM(MID(O$6,1,SEARCH(" ",O$6,1)))&amp;"!"&amp;"A:A"),0),4)/IFERROR(IF(SEARCH("DERSP",O$6,1),(1+DERSP!$G$4),1),1)*(1+$H$6),2)*F23</f>
        <v>779227.09800000011</v>
      </c>
      <c r="Q23" s="1085" t="s">
        <v>28129</v>
      </c>
      <c r="R23" s="1086">
        <f>F23*TRUNC(INDEX(DERSP!$A$1:$E$2000,MATCH(Orçamento!Q23,DERSP!$A$1:$A$2000,0),5)*(1+$H$6),2)</f>
        <v>299702.73000000004</v>
      </c>
      <c r="S23" s="1085">
        <v>5502978</v>
      </c>
      <c r="T23" s="1086">
        <f>F23*TRUNC(INDEX(SICRO!$A$1:$E$10000,MATCH(Orçamento!S23,SICRO!$A$1:$A$10000,0),4)*(1+H$6),2)</f>
        <v>268282.28249999997</v>
      </c>
      <c r="U23" s="535"/>
    </row>
    <row r="24" spans="1:21" s="443" customFormat="1" ht="15" customHeight="1" x14ac:dyDescent="0.25">
      <c r="A24" s="1079">
        <v>3</v>
      </c>
      <c r="B24" s="1183"/>
      <c r="C24" s="1184"/>
      <c r="D24" s="465" t="s">
        <v>21631</v>
      </c>
      <c r="E24" s="466"/>
      <c r="F24" s="979"/>
      <c r="G24" s="979"/>
      <c r="H24" s="979"/>
      <c r="I24" s="1185">
        <f>SUM(I25:I28)</f>
        <v>634025.88</v>
      </c>
      <c r="J24" s="1227"/>
      <c r="K24" s="525" t="str">
        <f t="shared" si="2"/>
        <v/>
      </c>
      <c r="L24" s="535"/>
      <c r="M24" s="535"/>
      <c r="N24" s="535"/>
      <c r="O24" s="535"/>
      <c r="P24" s="535"/>
      <c r="Q24" s="1087"/>
      <c r="R24" s="1087"/>
      <c r="S24" s="1088"/>
      <c r="T24" s="1088"/>
    </row>
    <row r="25" spans="1:21" s="443" customFormat="1" ht="30" customHeight="1" x14ac:dyDescent="0.25">
      <c r="A25" s="462" t="s">
        <v>43964</v>
      </c>
      <c r="B25" s="1080" t="s">
        <v>32673</v>
      </c>
      <c r="C25" s="437" t="s">
        <v>39761</v>
      </c>
      <c r="D25" s="1151" t="s">
        <v>32674</v>
      </c>
      <c r="E25" s="1152" t="s">
        <v>227</v>
      </c>
      <c r="F25" s="1153">
        <v>3060</v>
      </c>
      <c r="G25" s="1153">
        <v>21.31</v>
      </c>
      <c r="H25" s="1153">
        <f t="shared" ref="H25" si="8">TRUNC(G25*(1+$H$6),2)</f>
        <v>25.49</v>
      </c>
      <c r="I25" s="1153">
        <f t="shared" ref="I25:I28" si="9">TRUNC(F25*H25,2)</f>
        <v>77999.399999999994</v>
      </c>
      <c r="J25" s="1217"/>
      <c r="K25" s="525">
        <f t="shared" si="2"/>
        <v>1.2127654339290608E-2</v>
      </c>
      <c r="L25" s="535"/>
      <c r="M25" s="535"/>
      <c r="N25" s="535"/>
      <c r="O25" s="535"/>
      <c r="P25" s="535"/>
      <c r="Q25" s="1085" t="s">
        <v>28463</v>
      </c>
      <c r="R25" s="1086">
        <f>F25*TRUNC(INDEX(DERSP!$A$1:$E$2000,MATCH(Orçamento!Q25,DERSP!$A$1:$A$2000,0),5)*(1+$H$6),2)</f>
        <v>184242.6</v>
      </c>
      <c r="S25" s="1085">
        <v>2003867</v>
      </c>
      <c r="T25" s="1086">
        <f>F25*TRUNC(INDEX(SICRO!A3:E10002,MATCH(Orçamento!S25,SICRO!A3:A10002,0),4)*(1+H$6),2)</f>
        <v>65055.600000000006</v>
      </c>
    </row>
    <row r="26" spans="1:21" s="443" customFormat="1" ht="35.1" customHeight="1" x14ac:dyDescent="0.25">
      <c r="A26" s="462" t="s">
        <v>43965</v>
      </c>
      <c r="B26" s="1080" t="s">
        <v>32850</v>
      </c>
      <c r="C26" s="346" t="s">
        <v>39761</v>
      </c>
      <c r="D26" s="874" t="s">
        <v>245</v>
      </c>
      <c r="E26" s="1066" t="s">
        <v>159</v>
      </c>
      <c r="F26" s="348">
        <v>612</v>
      </c>
      <c r="G26" s="348">
        <v>173.29</v>
      </c>
      <c r="H26" s="348">
        <f>TRUNC(G26*(1+$H$6),2)</f>
        <v>207.28</v>
      </c>
      <c r="I26" s="968">
        <f t="shared" si="9"/>
        <v>126855.36</v>
      </c>
      <c r="J26" s="1230" t="s">
        <v>44092</v>
      </c>
      <c r="K26" s="525">
        <f t="shared" si="2"/>
        <v>1.9723971686529285E-2</v>
      </c>
      <c r="L26" s="535"/>
      <c r="M26" s="535"/>
      <c r="N26" s="535"/>
      <c r="O26" s="535"/>
      <c r="P26" s="535"/>
      <c r="Q26" s="1087" t="s">
        <v>28365</v>
      </c>
      <c r="R26" s="1087"/>
      <c r="S26" s="1088"/>
      <c r="T26" s="1088"/>
    </row>
    <row r="27" spans="1:21" s="443" customFormat="1" ht="15" customHeight="1" x14ac:dyDescent="0.25">
      <c r="A27" s="462" t="s">
        <v>43966</v>
      </c>
      <c r="B27" s="1080" t="s">
        <v>28135</v>
      </c>
      <c r="C27" s="346" t="s">
        <v>2744</v>
      </c>
      <c r="D27" s="874" t="s">
        <v>509</v>
      </c>
      <c r="E27" s="1066" t="s">
        <v>41</v>
      </c>
      <c r="F27" s="348">
        <v>3060</v>
      </c>
      <c r="G27" s="348">
        <v>35.200000000000003</v>
      </c>
      <c r="H27" s="348">
        <f t="shared" ref="H27" si="10">TRUNC(G27*(1+$H$6),2)</f>
        <v>42.1</v>
      </c>
      <c r="I27" s="348">
        <f t="shared" si="9"/>
        <v>128826</v>
      </c>
      <c r="J27" s="1217"/>
      <c r="K27" s="525">
        <f t="shared" si="2"/>
        <v>2.003037456587425E-2</v>
      </c>
      <c r="L27" s="535"/>
      <c r="M27" s="535"/>
      <c r="N27" s="535"/>
      <c r="O27" s="535"/>
      <c r="P27" s="535"/>
      <c r="Q27" s="1087"/>
      <c r="R27" s="1087"/>
      <c r="S27" s="1085">
        <v>1516298</v>
      </c>
      <c r="T27" s="1086">
        <f>F27*TRUNC(INDEX(SICRO!A5:E10004,MATCH(Orçamento!S27,SICRO!A5:A10004,0),4)*(1+H$6),2)</f>
        <v>102999.59999999999</v>
      </c>
    </row>
    <row r="28" spans="1:21" s="443" customFormat="1" ht="30" customHeight="1" x14ac:dyDescent="0.25">
      <c r="A28" s="462" t="s">
        <v>43967</v>
      </c>
      <c r="B28" s="1080" t="s">
        <v>32861</v>
      </c>
      <c r="C28" s="346" t="s">
        <v>39761</v>
      </c>
      <c r="D28" s="874" t="s">
        <v>32862</v>
      </c>
      <c r="E28" s="1066" t="s">
        <v>31540</v>
      </c>
      <c r="F28" s="348">
        <v>1224</v>
      </c>
      <c r="G28" s="348">
        <v>205.14</v>
      </c>
      <c r="H28" s="348">
        <f>TRUNC(G28*(1+$H$6),2)</f>
        <v>245.38</v>
      </c>
      <c r="I28" s="348">
        <f t="shared" si="9"/>
        <v>300345.12</v>
      </c>
      <c r="J28" s="1230" t="s">
        <v>44092</v>
      </c>
      <c r="K28" s="525">
        <f t="shared" si="2"/>
        <v>4.6698843809731334E-2</v>
      </c>
      <c r="L28" s="535"/>
      <c r="M28" s="535"/>
      <c r="N28" s="535"/>
      <c r="O28" s="551" t="s">
        <v>32859</v>
      </c>
      <c r="P28" s="1086">
        <f ca="1">TRUNC(INDEX(INDIRECT(TRIM(MID(O$6,1,SEARCH(" ",O$6,1)))&amp;"!"&amp;"A:F"),MATCH(O28,INDIRECT(TRIM(MID(O$6,1,SEARCH(" ",O$6,1)))&amp;"!"&amp;"A:A"),0),4)/IFERROR(IF(SEARCH("DERSP",O$6,1),(1+DERSP!$G$4),1),1)*(1+$H$6),2)*F28</f>
        <v>286942.32</v>
      </c>
      <c r="Q28" s="1087"/>
      <c r="R28" s="1087"/>
      <c r="S28" s="1085">
        <v>4816016</v>
      </c>
      <c r="T28" s="1086">
        <f>F28*TRUNC(INDEX(SICRO!A6:E10005,MATCH(Orçamento!S28,SICRO!A6:A10005,0),4)*(1+H$6),2)</f>
        <v>55826.64</v>
      </c>
    </row>
    <row r="29" spans="1:21" s="443" customFormat="1" ht="15" customHeight="1" x14ac:dyDescent="0.25">
      <c r="A29" s="461">
        <v>4</v>
      </c>
      <c r="B29" s="445"/>
      <c r="C29" s="446"/>
      <c r="D29" s="447" t="s">
        <v>2439</v>
      </c>
      <c r="E29" s="448"/>
      <c r="F29" s="978"/>
      <c r="G29" s="978"/>
      <c r="H29" s="978"/>
      <c r="I29" s="471">
        <f>SUMIFS(I30:$I$522,A30:$A$522,A29&amp;"*",G30:$G$522,"&lt;&gt;"&amp;"")</f>
        <v>861942.23999999987</v>
      </c>
      <c r="J29" s="1227"/>
      <c r="K29" s="525" t="str">
        <f t="shared" si="2"/>
        <v/>
      </c>
      <c r="L29" s="535"/>
      <c r="M29" s="535"/>
      <c r="N29" s="535"/>
      <c r="O29" s="535"/>
      <c r="P29" s="535"/>
      <c r="Q29" s="1087"/>
      <c r="R29" s="1087"/>
      <c r="S29" s="1088"/>
      <c r="T29" s="1088"/>
    </row>
    <row r="30" spans="1:21" s="452" customFormat="1" ht="15" customHeight="1" x14ac:dyDescent="0.25">
      <c r="A30" s="998" t="s">
        <v>43968</v>
      </c>
      <c r="B30" s="999"/>
      <c r="C30" s="969"/>
      <c r="D30" s="969" t="s">
        <v>2438</v>
      </c>
      <c r="E30" s="1000"/>
      <c r="F30" s="1001"/>
      <c r="G30" s="1002"/>
      <c r="H30" s="1003"/>
      <c r="I30" s="970">
        <f>SUMIFS(I31:I1023,A31:A1023,A30&amp;"*")</f>
        <v>78961.450000000012</v>
      </c>
      <c r="J30" s="1227"/>
      <c r="K30" s="525" t="str">
        <f t="shared" si="2"/>
        <v/>
      </c>
      <c r="L30" s="535"/>
      <c r="M30" s="535"/>
      <c r="N30" s="535"/>
      <c r="O30" s="535"/>
      <c r="P30" s="535"/>
      <c r="Q30" s="1115"/>
      <c r="R30" s="1115"/>
      <c r="S30" s="1088"/>
      <c r="T30" s="1116"/>
    </row>
    <row r="31" spans="1:21" s="443" customFormat="1" ht="30" customHeight="1" x14ac:dyDescent="0.25">
      <c r="A31" s="462" t="s">
        <v>43969</v>
      </c>
      <c r="B31" s="460" t="s">
        <v>6759</v>
      </c>
      <c r="C31" s="346" t="s">
        <v>43940</v>
      </c>
      <c r="D31" s="874" t="s">
        <v>6760</v>
      </c>
      <c r="E31" s="346" t="s">
        <v>158</v>
      </c>
      <c r="F31" s="348">
        <v>12</v>
      </c>
      <c r="G31" s="348" t="s">
        <v>40944</v>
      </c>
      <c r="H31" s="348">
        <f t="shared" ref="H31" si="11">TRUNC(G31*(1+$H$6),2)</f>
        <v>54.85</v>
      </c>
      <c r="I31" s="348">
        <f t="shared" ref="I31:I47" si="12">TRUNC(F31*H31,2)</f>
        <v>658.2</v>
      </c>
      <c r="J31" s="1217"/>
      <c r="K31" s="525">
        <f t="shared" si="2"/>
        <v>1.0233953192102861E-4</v>
      </c>
      <c r="L31" s="535"/>
      <c r="M31" s="535"/>
      <c r="N31" s="535"/>
      <c r="O31" s="535"/>
      <c r="P31" s="535"/>
      <c r="Q31" s="1087"/>
      <c r="R31" s="1087"/>
      <c r="S31" s="1088"/>
      <c r="T31" s="1088"/>
    </row>
    <row r="32" spans="1:21" s="443" customFormat="1" ht="45" customHeight="1" x14ac:dyDescent="0.25">
      <c r="A32" s="462" t="s">
        <v>43970</v>
      </c>
      <c r="B32" s="460" t="s">
        <v>6763</v>
      </c>
      <c r="C32" s="346" t="s">
        <v>43940</v>
      </c>
      <c r="D32" s="874" t="s">
        <v>6764</v>
      </c>
      <c r="E32" s="346" t="s">
        <v>158</v>
      </c>
      <c r="F32" s="348">
        <v>536.5</v>
      </c>
      <c r="G32" s="348" t="s">
        <v>40946</v>
      </c>
      <c r="H32" s="348">
        <f t="shared" ref="H32" si="13">TRUNC(G32*(1+$H$6),2)</f>
        <v>64.150000000000006</v>
      </c>
      <c r="I32" s="348">
        <f t="shared" si="12"/>
        <v>34416.47</v>
      </c>
      <c r="J32" s="1217"/>
      <c r="K32" s="525">
        <f t="shared" si="2"/>
        <v>5.3512084931238582E-3</v>
      </c>
      <c r="L32" s="535"/>
      <c r="M32" s="535"/>
      <c r="N32" s="535"/>
      <c r="O32" s="535"/>
      <c r="P32" s="535"/>
      <c r="Q32" s="1087"/>
      <c r="R32" s="1087"/>
      <c r="S32" s="1088"/>
      <c r="T32" s="1088"/>
    </row>
    <row r="33" spans="1:20" s="443" customFormat="1" ht="15" customHeight="1" x14ac:dyDescent="0.25">
      <c r="A33" s="462" t="s">
        <v>43971</v>
      </c>
      <c r="B33" s="460" t="s">
        <v>28364</v>
      </c>
      <c r="C33" s="346" t="s">
        <v>2744</v>
      </c>
      <c r="D33" s="874" t="s">
        <v>736</v>
      </c>
      <c r="E33" s="346" t="s">
        <v>41</v>
      </c>
      <c r="F33" s="348">
        <v>2.67</v>
      </c>
      <c r="G33" s="348">
        <v>43.88</v>
      </c>
      <c r="H33" s="348">
        <f t="shared" ref="H33" si="14">TRUNC(G33*(1+$H$6),2)</f>
        <v>52.48</v>
      </c>
      <c r="I33" s="348">
        <f t="shared" si="12"/>
        <v>140.12</v>
      </c>
      <c r="J33" s="1217"/>
      <c r="K33" s="525">
        <f t="shared" si="2"/>
        <v>2.1786410229070993E-5</v>
      </c>
      <c r="L33" s="535"/>
      <c r="M33" s="535"/>
      <c r="N33" s="535"/>
      <c r="O33" s="535"/>
      <c r="P33" s="535"/>
      <c r="Q33" s="1087"/>
      <c r="R33" s="1087"/>
      <c r="S33" s="1088"/>
      <c r="T33" s="1088"/>
    </row>
    <row r="34" spans="1:20" s="443" customFormat="1" ht="15" customHeight="1" x14ac:dyDescent="0.25">
      <c r="A34" s="462" t="s">
        <v>43972</v>
      </c>
      <c r="B34" s="460" t="s">
        <v>18</v>
      </c>
      <c r="C34" s="346" t="s">
        <v>2744</v>
      </c>
      <c r="D34" s="874" t="s">
        <v>698</v>
      </c>
      <c r="E34" s="346" t="s">
        <v>40</v>
      </c>
      <c r="F34" s="348">
        <v>2.97</v>
      </c>
      <c r="G34" s="348">
        <v>529.62</v>
      </c>
      <c r="H34" s="348">
        <f t="shared" ref="H34:H39" si="15">TRUNC(G34*(1+$H$6),2)</f>
        <v>633.53</v>
      </c>
      <c r="I34" s="348">
        <f t="shared" si="12"/>
        <v>1881.58</v>
      </c>
      <c r="J34" s="1217"/>
      <c r="K34" s="525">
        <f t="shared" si="2"/>
        <v>2.9255547929499996E-4</v>
      </c>
      <c r="L34" s="535"/>
      <c r="M34" s="535"/>
      <c r="N34" s="535"/>
      <c r="O34" s="535"/>
      <c r="P34" s="535"/>
      <c r="Q34" s="1087"/>
      <c r="R34" s="1087"/>
      <c r="S34" s="1088"/>
      <c r="T34" s="1088"/>
    </row>
    <row r="35" spans="1:20" s="443" customFormat="1" ht="15" customHeight="1" x14ac:dyDescent="0.25">
      <c r="A35" s="462" t="s">
        <v>43973</v>
      </c>
      <c r="B35" s="460" t="s">
        <v>32775</v>
      </c>
      <c r="C35" s="346" t="s">
        <v>39761</v>
      </c>
      <c r="D35" s="874" t="s">
        <v>244</v>
      </c>
      <c r="E35" s="346" t="s">
        <v>159</v>
      </c>
      <c r="F35" s="348">
        <v>48.24</v>
      </c>
      <c r="G35" s="348">
        <v>437.97</v>
      </c>
      <c r="H35" s="348">
        <f t="shared" si="15"/>
        <v>523.89</v>
      </c>
      <c r="I35" s="348">
        <f t="shared" si="12"/>
        <v>25272.45</v>
      </c>
      <c r="J35" s="1217"/>
      <c r="K35" s="525">
        <f t="shared" si="2"/>
        <v>3.9294601997836515E-3</v>
      </c>
      <c r="L35" s="535"/>
      <c r="M35" s="535"/>
      <c r="N35" s="535"/>
      <c r="O35" s="551" t="s">
        <v>32775</v>
      </c>
      <c r="P35" s="535"/>
      <c r="Q35" s="1087"/>
      <c r="R35" s="1087"/>
      <c r="S35" s="460">
        <v>1107928</v>
      </c>
      <c r="T35" s="1088"/>
    </row>
    <row r="36" spans="1:20" s="443" customFormat="1" ht="15" customHeight="1" x14ac:dyDescent="0.25">
      <c r="A36" s="462" t="s">
        <v>43974</v>
      </c>
      <c r="B36" s="460" t="s">
        <v>32776</v>
      </c>
      <c r="C36" s="346" t="s">
        <v>39761</v>
      </c>
      <c r="D36" s="874" t="s">
        <v>32777</v>
      </c>
      <c r="E36" s="346" t="s">
        <v>159</v>
      </c>
      <c r="F36" s="348">
        <v>5.16</v>
      </c>
      <c r="G36" s="348">
        <v>458.31</v>
      </c>
      <c r="H36" s="348">
        <f t="shared" si="15"/>
        <v>548.23</v>
      </c>
      <c r="I36" s="348">
        <f t="shared" si="12"/>
        <v>2828.86</v>
      </c>
      <c r="J36" s="1217"/>
      <c r="K36" s="525">
        <f t="shared" si="2"/>
        <v>4.3984230973886506E-4</v>
      </c>
      <c r="L36" s="535"/>
      <c r="M36" s="535"/>
      <c r="N36" s="535"/>
      <c r="O36" s="535"/>
      <c r="P36" s="535"/>
      <c r="Q36" s="1087"/>
      <c r="R36" s="1087"/>
      <c r="S36" s="1088"/>
      <c r="T36" s="1088"/>
    </row>
    <row r="37" spans="1:20" s="443" customFormat="1" ht="15" customHeight="1" x14ac:dyDescent="0.25">
      <c r="A37" s="462" t="s">
        <v>43975</v>
      </c>
      <c r="B37" s="460" t="s">
        <v>17</v>
      </c>
      <c r="C37" s="346" t="s">
        <v>2744</v>
      </c>
      <c r="D37" s="874" t="s">
        <v>692</v>
      </c>
      <c r="E37" s="346" t="s">
        <v>41</v>
      </c>
      <c r="F37" s="348">
        <v>30.35</v>
      </c>
      <c r="G37" s="348">
        <v>119.4</v>
      </c>
      <c r="H37" s="348">
        <f t="shared" si="15"/>
        <v>142.82</v>
      </c>
      <c r="I37" s="348">
        <f t="shared" si="12"/>
        <v>4334.58</v>
      </c>
      <c r="J37" s="1217"/>
      <c r="K37" s="525">
        <f t="shared" si="2"/>
        <v>6.7395759385331536E-4</v>
      </c>
      <c r="L37" s="535"/>
      <c r="M37" s="535"/>
      <c r="N37" s="535"/>
      <c r="O37" s="535"/>
      <c r="P37" s="535"/>
      <c r="Q37" s="1087"/>
      <c r="R37" s="1087"/>
      <c r="S37" s="1088"/>
      <c r="T37" s="1088"/>
    </row>
    <row r="38" spans="1:20" s="443" customFormat="1" ht="15" customHeight="1" x14ac:dyDescent="0.25">
      <c r="A38" s="462" t="s">
        <v>43976</v>
      </c>
      <c r="B38" s="460" t="s">
        <v>28339</v>
      </c>
      <c r="C38" s="346" t="s">
        <v>2744</v>
      </c>
      <c r="D38" s="874" t="s">
        <v>713</v>
      </c>
      <c r="E38" s="346" t="s">
        <v>40</v>
      </c>
      <c r="F38" s="348">
        <v>1</v>
      </c>
      <c r="G38" s="348">
        <v>411.08</v>
      </c>
      <c r="H38" s="348">
        <f t="shared" si="15"/>
        <v>491.73</v>
      </c>
      <c r="I38" s="348">
        <f t="shared" si="12"/>
        <v>491.73</v>
      </c>
      <c r="J38" s="1217"/>
      <c r="K38" s="525">
        <f t="shared" si="2"/>
        <v>7.6456119768349129E-5</v>
      </c>
      <c r="L38" s="535"/>
      <c r="M38" s="535"/>
      <c r="N38" s="535"/>
      <c r="O38" s="535"/>
      <c r="P38" s="535"/>
      <c r="Q38" s="1087"/>
      <c r="R38" s="1087"/>
      <c r="S38" s="1088"/>
      <c r="T38" s="1088"/>
    </row>
    <row r="39" spans="1:20" s="443" customFormat="1" ht="24.95" customHeight="1" x14ac:dyDescent="0.25">
      <c r="A39" s="462" t="s">
        <v>43977</v>
      </c>
      <c r="B39" s="460" t="s">
        <v>32699</v>
      </c>
      <c r="C39" s="346" t="s">
        <v>39761</v>
      </c>
      <c r="D39" s="874" t="s">
        <v>32700</v>
      </c>
      <c r="E39" s="346" t="s">
        <v>159</v>
      </c>
      <c r="F39" s="348">
        <v>1.63</v>
      </c>
      <c r="G39" s="348">
        <v>265.29000000000002</v>
      </c>
      <c r="H39" s="348">
        <f t="shared" si="15"/>
        <v>317.33</v>
      </c>
      <c r="I39" s="348">
        <f t="shared" si="12"/>
        <v>517.24</v>
      </c>
      <c r="J39" s="1217"/>
      <c r="K39" s="525">
        <f t="shared" si="2"/>
        <v>8.0422515179022838E-5</v>
      </c>
      <c r="L39" s="535"/>
      <c r="M39" s="535"/>
      <c r="N39" s="535"/>
      <c r="O39" s="535"/>
      <c r="P39" s="535"/>
      <c r="Q39" s="1087"/>
      <c r="R39" s="1087"/>
      <c r="S39" s="1088"/>
      <c r="T39" s="1088"/>
    </row>
    <row r="40" spans="1:20" s="443" customFormat="1" ht="15" customHeight="1" x14ac:dyDescent="0.25">
      <c r="A40" s="462" t="s">
        <v>43978</v>
      </c>
      <c r="B40" s="460" t="s">
        <v>28753</v>
      </c>
      <c r="C40" s="346" t="s">
        <v>2744</v>
      </c>
      <c r="D40" s="874" t="s">
        <v>697</v>
      </c>
      <c r="E40" s="346" t="s">
        <v>6</v>
      </c>
      <c r="F40" s="348">
        <v>502.7</v>
      </c>
      <c r="G40" s="348">
        <v>14.01</v>
      </c>
      <c r="H40" s="348">
        <f t="shared" ref="H40" si="16">TRUNC(G40*(1+$H$6),2)</f>
        <v>16.75</v>
      </c>
      <c r="I40" s="348">
        <f t="shared" ref="I40" si="17">TRUNC(F40*H40,2)</f>
        <v>8420.2199999999993</v>
      </c>
      <c r="J40" s="1217"/>
      <c r="K40" s="525">
        <f t="shared" si="2"/>
        <v>1.3092090146947484E-3</v>
      </c>
      <c r="L40" s="535"/>
      <c r="M40" s="535"/>
      <c r="N40" s="535"/>
      <c r="O40" s="535"/>
      <c r="P40" s="535"/>
      <c r="Q40" s="1087"/>
      <c r="R40" s="1087"/>
      <c r="S40" s="1088"/>
      <c r="T40" s="1088"/>
    </row>
    <row r="41" spans="1:20" s="452" customFormat="1" ht="15" customHeight="1" x14ac:dyDescent="0.25">
      <c r="A41" s="998" t="s">
        <v>43979</v>
      </c>
      <c r="B41" s="999"/>
      <c r="C41" s="969"/>
      <c r="D41" s="969" t="s">
        <v>2443</v>
      </c>
      <c r="E41" s="1000"/>
      <c r="F41" s="1001"/>
      <c r="G41" s="1002"/>
      <c r="H41" s="1003"/>
      <c r="I41" s="970">
        <f>SUMIFS(I42:I1035,A42:A1035,A41&amp;"*")</f>
        <v>59563.360000000001</v>
      </c>
      <c r="J41" s="1227"/>
      <c r="K41" s="525" t="str">
        <f t="shared" si="2"/>
        <v/>
      </c>
      <c r="L41" s="535"/>
      <c r="M41" s="535"/>
      <c r="N41" s="535"/>
      <c r="O41" s="535"/>
      <c r="P41" s="535"/>
      <c r="Q41" s="1115"/>
      <c r="R41" s="1115"/>
      <c r="S41" s="1088"/>
      <c r="T41" s="1116"/>
    </row>
    <row r="42" spans="1:20" s="443" customFormat="1" ht="15" customHeight="1" x14ac:dyDescent="0.25">
      <c r="A42" s="462" t="s">
        <v>43980</v>
      </c>
      <c r="B42" s="460" t="s">
        <v>37836</v>
      </c>
      <c r="C42" s="437" t="s">
        <v>39761</v>
      </c>
      <c r="D42" s="874" t="s">
        <v>37837</v>
      </c>
      <c r="E42" s="346" t="s">
        <v>158</v>
      </c>
      <c r="F42" s="348">
        <v>11.2</v>
      </c>
      <c r="G42" s="348">
        <v>237.57</v>
      </c>
      <c r="H42" s="348">
        <f t="shared" ref="H42:H43" si="18">TRUNC(G42*(1+$H$6),2)</f>
        <v>284.18</v>
      </c>
      <c r="I42" s="348">
        <f t="shared" ref="I42:I43" si="19">TRUNC(F42*H42,2)</f>
        <v>3182.81</v>
      </c>
      <c r="J42" s="1217"/>
      <c r="K42" s="525">
        <f t="shared" si="2"/>
        <v>4.948758517070329E-4</v>
      </c>
      <c r="L42" s="535"/>
      <c r="M42" s="535"/>
      <c r="N42" s="535"/>
      <c r="O42" s="535"/>
      <c r="P42" s="535"/>
      <c r="Q42" s="1087"/>
      <c r="R42" s="1087"/>
      <c r="S42" s="1088"/>
      <c r="T42" s="1088"/>
    </row>
    <row r="43" spans="1:20" s="443" customFormat="1" ht="15" customHeight="1" x14ac:dyDescent="0.25">
      <c r="A43" s="462" t="s">
        <v>43981</v>
      </c>
      <c r="B43" s="460" t="s">
        <v>37858</v>
      </c>
      <c r="C43" s="437" t="s">
        <v>39761</v>
      </c>
      <c r="D43" s="874" t="s">
        <v>37859</v>
      </c>
      <c r="E43" s="346" t="s">
        <v>158</v>
      </c>
      <c r="F43" s="348">
        <v>55.3</v>
      </c>
      <c r="G43" s="348">
        <v>142.93</v>
      </c>
      <c r="H43" s="348">
        <f t="shared" si="18"/>
        <v>170.97</v>
      </c>
      <c r="I43" s="348">
        <f t="shared" si="19"/>
        <v>9454.64</v>
      </c>
      <c r="J43" s="1217"/>
      <c r="K43" s="525">
        <f t="shared" si="2"/>
        <v>1.4700447160161559E-3</v>
      </c>
      <c r="L43" s="535"/>
      <c r="M43" s="535"/>
      <c r="N43" s="535"/>
      <c r="O43" s="535"/>
      <c r="P43" s="535"/>
      <c r="Q43" s="1087"/>
      <c r="R43" s="1087"/>
      <c r="S43" s="1088"/>
      <c r="T43" s="1088"/>
    </row>
    <row r="44" spans="1:20" s="443" customFormat="1" ht="15" customHeight="1" x14ac:dyDescent="0.25">
      <c r="A44" s="462" t="s">
        <v>43982</v>
      </c>
      <c r="B44" s="460" t="s">
        <v>32763</v>
      </c>
      <c r="C44" s="437" t="s">
        <v>39761</v>
      </c>
      <c r="D44" s="874" t="s">
        <v>32764</v>
      </c>
      <c r="E44" s="346" t="s">
        <v>6008</v>
      </c>
      <c r="F44" s="348">
        <v>1095.22</v>
      </c>
      <c r="G44" s="348">
        <v>11.28</v>
      </c>
      <c r="H44" s="348">
        <f t="shared" ref="H44:H47" si="20">TRUNC(G44*(1+$H$6),2)</f>
        <v>13.49</v>
      </c>
      <c r="I44" s="348">
        <f t="shared" si="12"/>
        <v>14774.51</v>
      </c>
      <c r="J44" s="1217"/>
      <c r="K44" s="525">
        <f t="shared" si="2"/>
        <v>2.2971990850236346E-3</v>
      </c>
      <c r="L44" s="535"/>
      <c r="M44" s="535"/>
      <c r="N44" s="535"/>
      <c r="O44" s="535"/>
      <c r="P44" s="535"/>
      <c r="Q44" s="1087"/>
      <c r="R44" s="1087"/>
      <c r="S44" s="1085">
        <v>407819</v>
      </c>
      <c r="T44" s="1086">
        <f>F44*TRUNC(INDEX(SICRO!$A$1:$E$10000,MATCH(Orçamento!S44,SICRO!$A$1:$A$10000,0),4),2)*(1+$H$6)</f>
        <v>15446.10451356</v>
      </c>
    </row>
    <row r="45" spans="1:20" s="443" customFormat="1" ht="15" customHeight="1" x14ac:dyDescent="0.25">
      <c r="A45" s="462" t="s">
        <v>43983</v>
      </c>
      <c r="B45" s="460" t="s">
        <v>32765</v>
      </c>
      <c r="C45" s="1054" t="s">
        <v>39761</v>
      </c>
      <c r="D45" s="874" t="s">
        <v>32766</v>
      </c>
      <c r="E45" s="346" t="s">
        <v>6008</v>
      </c>
      <c r="F45" s="348">
        <v>1101.3699999999999</v>
      </c>
      <c r="G45" s="348">
        <v>12.51</v>
      </c>
      <c r="H45" s="348">
        <f t="shared" ref="H45" si="21">TRUNC(G45*(1+$H$6),2)</f>
        <v>14.96</v>
      </c>
      <c r="I45" s="348">
        <f t="shared" ref="I45" si="22">TRUNC(F45*H45,2)</f>
        <v>16476.490000000002</v>
      </c>
      <c r="J45" s="1217"/>
      <c r="K45" s="525">
        <f t="shared" si="2"/>
        <v>2.5618296479816296E-3</v>
      </c>
      <c r="L45" s="535"/>
      <c r="M45" s="535"/>
      <c r="N45" s="535"/>
      <c r="O45" s="535"/>
      <c r="P45" s="535"/>
      <c r="Q45" s="1087"/>
      <c r="R45" s="1087"/>
      <c r="S45" s="1088"/>
      <c r="T45" s="1088"/>
    </row>
    <row r="46" spans="1:20" s="443" customFormat="1" ht="15" customHeight="1" x14ac:dyDescent="0.25">
      <c r="A46" s="462" t="s">
        <v>43984</v>
      </c>
      <c r="B46" s="437" t="s">
        <v>28363</v>
      </c>
      <c r="C46" s="346" t="s">
        <v>2744</v>
      </c>
      <c r="D46" s="874" t="s">
        <v>735</v>
      </c>
      <c r="E46" s="346" t="s">
        <v>40</v>
      </c>
      <c r="F46" s="348">
        <v>11.1</v>
      </c>
      <c r="G46" s="348">
        <v>604.03</v>
      </c>
      <c r="H46" s="348">
        <f t="shared" ref="H46" si="23">TRUNC(G46*(1+$H$6),2)</f>
        <v>722.54</v>
      </c>
      <c r="I46" s="348">
        <f t="shared" ref="I46" si="24">TRUNC(F46*H46,2)</f>
        <v>8020.19</v>
      </c>
      <c r="J46" s="1217"/>
      <c r="K46" s="525">
        <f t="shared" si="2"/>
        <v>1.2470107725884448E-3</v>
      </c>
      <c r="L46" s="535"/>
      <c r="M46" s="535"/>
      <c r="N46" s="535"/>
      <c r="O46" s="535"/>
      <c r="P46" s="535"/>
      <c r="Q46" s="1087"/>
      <c r="R46" s="1087"/>
      <c r="S46" s="1088"/>
      <c r="T46" s="1088"/>
    </row>
    <row r="47" spans="1:20" s="443" customFormat="1" ht="15" customHeight="1" x14ac:dyDescent="0.25">
      <c r="A47" s="462" t="s">
        <v>43985</v>
      </c>
      <c r="B47" s="460" t="s">
        <v>28370</v>
      </c>
      <c r="C47" s="1054" t="s">
        <v>2744</v>
      </c>
      <c r="D47" s="874" t="s">
        <v>742</v>
      </c>
      <c r="E47" s="346" t="s">
        <v>40</v>
      </c>
      <c r="F47" s="348">
        <v>12.96</v>
      </c>
      <c r="G47" s="348">
        <v>161.13999999999999</v>
      </c>
      <c r="H47" s="348">
        <f t="shared" si="20"/>
        <v>192.75</v>
      </c>
      <c r="I47" s="348">
        <f t="shared" si="12"/>
        <v>2498.04</v>
      </c>
      <c r="J47" s="1217"/>
      <c r="K47" s="525">
        <f t="shared" si="2"/>
        <v>3.8840511139472242E-4</v>
      </c>
      <c r="L47" s="535"/>
      <c r="M47" s="535"/>
      <c r="N47" s="535"/>
      <c r="O47" s="535"/>
      <c r="P47" s="535"/>
      <c r="Q47" s="1087"/>
      <c r="R47" s="1087"/>
      <c r="S47" s="1088"/>
      <c r="T47" s="1088"/>
    </row>
    <row r="48" spans="1:20" s="443" customFormat="1" ht="15" customHeight="1" x14ac:dyDescent="0.25">
      <c r="A48" s="462" t="s">
        <v>43986</v>
      </c>
      <c r="B48" s="437" t="s">
        <v>28904</v>
      </c>
      <c r="C48" s="1054" t="s">
        <v>2744</v>
      </c>
      <c r="D48" s="874" t="s">
        <v>2712</v>
      </c>
      <c r="E48" s="346" t="s">
        <v>41</v>
      </c>
      <c r="F48" s="348">
        <v>98.26</v>
      </c>
      <c r="G48" s="348">
        <v>43.88</v>
      </c>
      <c r="H48" s="348">
        <f t="shared" ref="H48" si="25">TRUNC(G48*(1+$H$6),2)</f>
        <v>52.48</v>
      </c>
      <c r="I48" s="348">
        <f t="shared" ref="I48" si="26">TRUNC(F48*H48,2)</f>
        <v>5156.68</v>
      </c>
      <c r="J48" s="1217"/>
      <c r="K48" s="525">
        <f t="shared" si="2"/>
        <v>8.0178094419102071E-4</v>
      </c>
      <c r="L48" s="535"/>
      <c r="M48" s="535"/>
      <c r="N48" s="535"/>
      <c r="O48" s="535"/>
      <c r="P48" s="535"/>
      <c r="Q48" s="1087"/>
      <c r="R48" s="1087"/>
      <c r="S48" s="1088"/>
      <c r="T48" s="1088"/>
    </row>
    <row r="49" spans="1:20" s="452" customFormat="1" ht="15" customHeight="1" x14ac:dyDescent="0.25">
      <c r="A49" s="998" t="s">
        <v>43987</v>
      </c>
      <c r="B49" s="999"/>
      <c r="C49" s="969"/>
      <c r="D49" s="969" t="s">
        <v>2489</v>
      </c>
      <c r="E49" s="1000"/>
      <c r="F49" s="1001"/>
      <c r="G49" s="1002"/>
      <c r="H49" s="1003"/>
      <c r="I49" s="970">
        <f>SUMIFS(I50:I1046,A50:A1046,A49&amp;"*")</f>
        <v>93819.23000000001</v>
      </c>
      <c r="J49" s="1227"/>
      <c r="K49" s="525" t="str">
        <f t="shared" si="2"/>
        <v/>
      </c>
      <c r="L49" s="535"/>
      <c r="M49" s="535"/>
      <c r="N49" s="535"/>
      <c r="O49" s="535"/>
      <c r="P49" s="535"/>
      <c r="Q49" s="1115"/>
      <c r="R49" s="1115"/>
      <c r="S49" s="1088"/>
      <c r="T49" s="1116"/>
    </row>
    <row r="50" spans="1:20" s="452" customFormat="1" ht="30" customHeight="1" x14ac:dyDescent="0.25">
      <c r="A50" s="462" t="s">
        <v>43988</v>
      </c>
      <c r="B50" s="835" t="s">
        <v>14480</v>
      </c>
      <c r="C50" s="346" t="s">
        <v>43940</v>
      </c>
      <c r="D50" s="874" t="s">
        <v>14481</v>
      </c>
      <c r="E50" s="346" t="s">
        <v>159</v>
      </c>
      <c r="F50" s="348">
        <v>125.86</v>
      </c>
      <c r="G50" s="348" t="s">
        <v>31119</v>
      </c>
      <c r="H50" s="348">
        <f t="shared" ref="H50" si="27">TRUNC(G50*(1+$H$6),2)</f>
        <v>124.45</v>
      </c>
      <c r="I50" s="348">
        <f t="shared" ref="I50" si="28">TRUNC(F50*H50,2)</f>
        <v>15663.27</v>
      </c>
      <c r="J50" s="1217"/>
      <c r="K50" s="525">
        <f t="shared" si="2"/>
        <v>2.4353869950663777E-3</v>
      </c>
      <c r="L50" s="535"/>
      <c r="M50" s="535"/>
      <c r="N50" s="535"/>
      <c r="O50" s="535"/>
      <c r="P50" s="535"/>
      <c r="Q50" s="1115"/>
      <c r="R50" s="1115"/>
      <c r="S50" s="1116"/>
      <c r="T50" s="1116"/>
    </row>
    <row r="51" spans="1:20" s="443" customFormat="1" ht="20.100000000000001" customHeight="1" x14ac:dyDescent="0.25">
      <c r="A51" s="462" t="s">
        <v>43989</v>
      </c>
      <c r="B51" s="437" t="s">
        <v>28296</v>
      </c>
      <c r="C51" s="346" t="s">
        <v>2744</v>
      </c>
      <c r="D51" s="874" t="s">
        <v>668</v>
      </c>
      <c r="E51" s="346" t="s">
        <v>40</v>
      </c>
      <c r="F51" s="348">
        <v>329.52</v>
      </c>
      <c r="G51" s="348">
        <v>15.67</v>
      </c>
      <c r="H51" s="348">
        <f t="shared" ref="H51" si="29">TRUNC(G51*(1+$H$6),2)</f>
        <v>18.739999999999998</v>
      </c>
      <c r="I51" s="348">
        <f t="shared" ref="I51" si="30">TRUNC(F51*H51,2)</f>
        <v>6175.2</v>
      </c>
      <c r="J51" s="1217"/>
      <c r="K51" s="525">
        <f t="shared" si="2"/>
        <v>9.6014445080330572E-4</v>
      </c>
      <c r="L51" s="535"/>
      <c r="M51" s="535"/>
      <c r="N51" s="535"/>
      <c r="O51" s="535"/>
      <c r="P51" s="535"/>
      <c r="Q51" s="1087"/>
      <c r="R51" s="1087"/>
      <c r="S51" s="1088"/>
      <c r="T51" s="1088"/>
    </row>
    <row r="52" spans="1:20" s="443" customFormat="1" ht="15" customHeight="1" x14ac:dyDescent="0.25">
      <c r="A52" s="462" t="s">
        <v>43990</v>
      </c>
      <c r="B52" s="835" t="s">
        <v>28300</v>
      </c>
      <c r="C52" s="346" t="s">
        <v>2744</v>
      </c>
      <c r="D52" s="874" t="s">
        <v>672</v>
      </c>
      <c r="E52" s="346" t="s">
        <v>40</v>
      </c>
      <c r="F52" s="348">
        <v>56.3</v>
      </c>
      <c r="G52" s="348">
        <v>80.58</v>
      </c>
      <c r="H52" s="348">
        <f t="shared" ref="H52" si="31">TRUNC(G52*(1+$H$6),2)</f>
        <v>96.38</v>
      </c>
      <c r="I52" s="348">
        <f>TRUNC(F52*H52,2)</f>
        <v>5426.19</v>
      </c>
      <c r="J52" s="1217"/>
      <c r="K52" s="525"/>
      <c r="L52" s="535"/>
      <c r="M52" s="535"/>
      <c r="N52" s="535"/>
      <c r="O52" s="535"/>
      <c r="P52" s="535"/>
      <c r="Q52" s="1087"/>
      <c r="R52" s="1087"/>
      <c r="S52" s="1088"/>
      <c r="T52" s="1088"/>
    </row>
    <row r="53" spans="1:20" s="443" customFormat="1" ht="12.75" x14ac:dyDescent="0.25">
      <c r="A53" s="462" t="s">
        <v>43991</v>
      </c>
      <c r="B53" s="460" t="s">
        <v>28301</v>
      </c>
      <c r="C53" s="346" t="s">
        <v>2744</v>
      </c>
      <c r="D53" s="874" t="s">
        <v>673</v>
      </c>
      <c r="E53" s="346" t="s">
        <v>40</v>
      </c>
      <c r="F53" s="348">
        <v>31.82</v>
      </c>
      <c r="G53" s="348">
        <v>16.399999999999999</v>
      </c>
      <c r="H53" s="348">
        <f t="shared" ref="H53" si="32">TRUNC(G53*(1+$H$6),2)</f>
        <v>19.61</v>
      </c>
      <c r="I53" s="348">
        <f>TRUNC(F53*H53,2)</f>
        <v>623.99</v>
      </c>
      <c r="J53" s="1217"/>
      <c r="K53" s="525">
        <f t="shared" ref="K53:K62" si="33">IF(G53="","",I53/$I$153)</f>
        <v>9.7020426197816218E-5</v>
      </c>
      <c r="L53" s="535"/>
      <c r="M53" s="535"/>
      <c r="N53" s="535"/>
      <c r="O53" s="535"/>
      <c r="P53" s="535"/>
      <c r="Q53" s="1087"/>
      <c r="R53" s="1087"/>
      <c r="S53" s="1088"/>
      <c r="T53" s="1088"/>
    </row>
    <row r="54" spans="1:20" s="443" customFormat="1" ht="24.95" customHeight="1" x14ac:dyDescent="0.25">
      <c r="A54" s="462" t="s">
        <v>43992</v>
      </c>
      <c r="B54" s="460" t="s">
        <v>14707</v>
      </c>
      <c r="C54" s="346" t="s">
        <v>43940</v>
      </c>
      <c r="D54" s="874" t="s">
        <v>14708</v>
      </c>
      <c r="E54" s="346" t="s">
        <v>227</v>
      </c>
      <c r="F54" s="348">
        <v>228.47</v>
      </c>
      <c r="G54" s="348" t="s">
        <v>31131</v>
      </c>
      <c r="H54" s="348">
        <f t="shared" ref="H54:H55" si="34">TRUNC(G54*(1+$H$6),2)</f>
        <v>75.45</v>
      </c>
      <c r="I54" s="348">
        <f>TRUNC(F54*H54,2)</f>
        <v>17238.060000000001</v>
      </c>
      <c r="J54" s="1217"/>
      <c r="K54" s="525">
        <f t="shared" si="33"/>
        <v>2.6802415551908333E-3</v>
      </c>
      <c r="L54" s="535"/>
      <c r="M54" s="535"/>
      <c r="N54" s="535"/>
      <c r="O54" s="535"/>
      <c r="P54" s="535"/>
      <c r="Q54" s="1087"/>
      <c r="R54" s="1087"/>
      <c r="S54" s="1088"/>
      <c r="T54" s="1088"/>
    </row>
    <row r="55" spans="1:20" s="443" customFormat="1" ht="15" customHeight="1" x14ac:dyDescent="0.25">
      <c r="A55" s="462" t="s">
        <v>43993</v>
      </c>
      <c r="B55" s="460" t="s">
        <v>28372</v>
      </c>
      <c r="C55" s="346" t="s">
        <v>2744</v>
      </c>
      <c r="D55" s="874" t="s">
        <v>744</v>
      </c>
      <c r="E55" s="346" t="s">
        <v>41</v>
      </c>
      <c r="F55" s="348">
        <v>32.450000000000003</v>
      </c>
      <c r="G55" s="348">
        <v>16.32</v>
      </c>
      <c r="H55" s="348">
        <f t="shared" si="34"/>
        <v>19.52</v>
      </c>
      <c r="I55" s="348">
        <f>TRUNC(F55*H55,2)</f>
        <v>633.41999999999996</v>
      </c>
      <c r="J55" s="1217"/>
      <c r="K55" s="525">
        <f t="shared" si="33"/>
        <v>9.8486639789452948E-5</v>
      </c>
      <c r="L55" s="535"/>
      <c r="M55" s="535"/>
      <c r="N55" s="535"/>
      <c r="O55" s="535"/>
      <c r="P55" s="535"/>
      <c r="Q55" s="1087"/>
      <c r="R55" s="1087"/>
      <c r="S55" s="1088"/>
      <c r="T55" s="1088"/>
    </row>
    <row r="56" spans="1:20" s="443" customFormat="1" ht="15" customHeight="1" x14ac:dyDescent="0.25">
      <c r="A56" s="462" t="s">
        <v>43994</v>
      </c>
      <c r="B56" s="460" t="s">
        <v>28113</v>
      </c>
      <c r="C56" s="346" t="s">
        <v>2744</v>
      </c>
      <c r="D56" s="874" t="s">
        <v>486</v>
      </c>
      <c r="E56" s="346" t="s">
        <v>40</v>
      </c>
      <c r="F56" s="348">
        <v>315.02999999999997</v>
      </c>
      <c r="G56" s="348">
        <v>3.71</v>
      </c>
      <c r="H56" s="348">
        <f t="shared" ref="H56" si="35">TRUNC(G56*(1+$H$6),2)</f>
        <v>4.43</v>
      </c>
      <c r="I56" s="348">
        <f t="shared" ref="I56" si="36">TRUNC(F56*H56,2)</f>
        <v>1395.58</v>
      </c>
      <c r="J56" s="1217"/>
      <c r="K56" s="525">
        <f t="shared" si="33"/>
        <v>2.1699028252559875E-4</v>
      </c>
      <c r="L56" s="535"/>
      <c r="M56" s="535"/>
      <c r="N56" s="535"/>
      <c r="O56" s="535"/>
      <c r="P56" s="535"/>
      <c r="Q56" s="1087"/>
      <c r="R56" s="1087"/>
      <c r="S56" s="1088"/>
      <c r="T56" s="1088"/>
    </row>
    <row r="57" spans="1:20" s="443" customFormat="1" ht="35.1" customHeight="1" x14ac:dyDescent="0.25">
      <c r="A57" s="462" t="s">
        <v>43995</v>
      </c>
      <c r="B57" s="1080" t="s">
        <v>17009</v>
      </c>
      <c r="C57" s="437" t="s">
        <v>43940</v>
      </c>
      <c r="D57" s="874" t="s">
        <v>17010</v>
      </c>
      <c r="E57" s="1066" t="s">
        <v>16557</v>
      </c>
      <c r="F57" s="348">
        <v>2362.73</v>
      </c>
      <c r="G57" s="348" t="s">
        <v>5444</v>
      </c>
      <c r="H57" s="348">
        <f>TRUNC(G57*(1+$H$6),2)</f>
        <v>1.41</v>
      </c>
      <c r="I57" s="348">
        <f>TRUNC(F57*H57,2)</f>
        <v>3331.44</v>
      </c>
      <c r="J57" s="1217"/>
      <c r="K57" s="525">
        <f t="shared" si="33"/>
        <v>5.1798543029928827E-4</v>
      </c>
      <c r="L57" s="535"/>
      <c r="M57" s="535"/>
      <c r="N57" s="535"/>
      <c r="O57" s="535"/>
      <c r="P57" s="535"/>
      <c r="Q57" s="1087"/>
      <c r="R57" s="1087"/>
      <c r="S57" s="1088"/>
      <c r="T57" s="1088"/>
    </row>
    <row r="58" spans="1:20" s="443" customFormat="1" ht="15" customHeight="1" x14ac:dyDescent="0.25">
      <c r="A58" s="462" t="s">
        <v>43996</v>
      </c>
      <c r="B58" s="835" t="s">
        <v>32618</v>
      </c>
      <c r="C58" s="346" t="s">
        <v>39761</v>
      </c>
      <c r="D58" s="874" t="s">
        <v>239</v>
      </c>
      <c r="E58" s="1066" t="s">
        <v>159</v>
      </c>
      <c r="F58" s="348">
        <v>315.02999999999997</v>
      </c>
      <c r="G58" s="348">
        <v>6.96</v>
      </c>
      <c r="H58" s="348">
        <f>TRUNC(G58*(1+$H$6),2)</f>
        <v>8.32</v>
      </c>
      <c r="I58" s="348">
        <f>TRUNC(F58*H58,2)</f>
        <v>2621.04</v>
      </c>
      <c r="J58" s="1217"/>
      <c r="K58" s="525">
        <f t="shared" si="33"/>
        <v>4.0752963650302765E-4</v>
      </c>
      <c r="L58" s="535"/>
      <c r="M58" s="535"/>
      <c r="N58" s="535"/>
      <c r="O58" s="535"/>
      <c r="P58" s="535"/>
      <c r="Q58" s="1087"/>
      <c r="R58" s="1087"/>
      <c r="S58" s="1088"/>
      <c r="T58" s="1088"/>
    </row>
    <row r="59" spans="1:20" s="443" customFormat="1" ht="30" customHeight="1" x14ac:dyDescent="0.25">
      <c r="A59" s="462" t="s">
        <v>43997</v>
      </c>
      <c r="B59" s="460" t="s">
        <v>7011</v>
      </c>
      <c r="C59" s="346" t="s">
        <v>43940</v>
      </c>
      <c r="D59" s="874" t="s">
        <v>7012</v>
      </c>
      <c r="E59" s="1066" t="s">
        <v>227</v>
      </c>
      <c r="F59" s="348">
        <v>155.41999999999999</v>
      </c>
      <c r="G59" s="348" t="s">
        <v>11527</v>
      </c>
      <c r="H59" s="348">
        <f>TRUNC(G59*(1+$H$6),2)</f>
        <v>99.78</v>
      </c>
      <c r="I59" s="348">
        <f>TRUNC(F59*H59,2)</f>
        <v>15507.8</v>
      </c>
      <c r="J59" s="1217"/>
      <c r="K59" s="525">
        <f t="shared" si="33"/>
        <v>2.4112139062973676E-3</v>
      </c>
      <c r="L59" s="535"/>
      <c r="M59" s="535"/>
      <c r="N59" s="535"/>
      <c r="O59" s="535"/>
      <c r="P59" s="535"/>
      <c r="Q59" s="1087"/>
      <c r="R59" s="1087"/>
      <c r="S59" s="1088"/>
      <c r="T59" s="1088"/>
    </row>
    <row r="60" spans="1:20" s="443" customFormat="1" ht="30" customHeight="1" x14ac:dyDescent="0.25">
      <c r="A60" s="462" t="s">
        <v>43998</v>
      </c>
      <c r="B60" s="460" t="s">
        <v>6999</v>
      </c>
      <c r="C60" s="346" t="s">
        <v>43940</v>
      </c>
      <c r="D60" s="874" t="s">
        <v>7000</v>
      </c>
      <c r="E60" s="1066" t="s">
        <v>227</v>
      </c>
      <c r="F60" s="348">
        <v>297.75</v>
      </c>
      <c r="G60" s="348" t="s">
        <v>18011</v>
      </c>
      <c r="H60" s="348">
        <f>TRUNC(G60*(1+$H$6),2)</f>
        <v>61.71</v>
      </c>
      <c r="I60" s="348">
        <f>TRUNC(F60*H60,2)</f>
        <v>18374.150000000001</v>
      </c>
      <c r="J60" s="1217"/>
      <c r="K60" s="525">
        <f t="shared" si="33"/>
        <v>2.8568853090956666E-3</v>
      </c>
      <c r="L60" s="535"/>
      <c r="M60" s="535"/>
      <c r="N60" s="535"/>
      <c r="O60" s="535"/>
      <c r="P60" s="535"/>
      <c r="Q60" s="1087"/>
      <c r="R60" s="1087"/>
      <c r="S60" s="1088"/>
      <c r="T60" s="1088"/>
    </row>
    <row r="61" spans="1:20" s="443" customFormat="1" ht="30" customHeight="1" x14ac:dyDescent="0.25">
      <c r="A61" s="462" t="s">
        <v>43999</v>
      </c>
      <c r="B61" s="493" t="s">
        <v>17317</v>
      </c>
      <c r="C61" s="346" t="s">
        <v>43940</v>
      </c>
      <c r="D61" s="874" t="s">
        <v>17318</v>
      </c>
      <c r="E61" s="1066" t="s">
        <v>227</v>
      </c>
      <c r="F61" s="348">
        <v>276.37</v>
      </c>
      <c r="G61" s="348" t="s">
        <v>31335</v>
      </c>
      <c r="H61" s="348">
        <f>TRUNC(G61*(1+$H$6),2)</f>
        <v>24.31</v>
      </c>
      <c r="I61" s="348">
        <f>TRUNC(F61*H61,2)</f>
        <v>6718.55</v>
      </c>
      <c r="J61" s="1217"/>
      <c r="K61" s="525">
        <f t="shared" si="33"/>
        <v>1.0446266517593842E-3</v>
      </c>
      <c r="L61" s="535"/>
      <c r="M61" s="535"/>
      <c r="N61" s="535"/>
      <c r="O61" s="535"/>
      <c r="P61" s="535"/>
      <c r="Q61" s="1087"/>
      <c r="R61" s="1087"/>
      <c r="S61" s="1088"/>
      <c r="T61" s="1088"/>
    </row>
    <row r="62" spans="1:20" s="443" customFormat="1" ht="15" customHeight="1" x14ac:dyDescent="0.25">
      <c r="A62" s="462" t="s">
        <v>44000</v>
      </c>
      <c r="B62" s="493" t="s">
        <v>1249</v>
      </c>
      <c r="C62" s="346" t="s">
        <v>2744</v>
      </c>
      <c r="D62" s="874" t="s">
        <v>1250</v>
      </c>
      <c r="E62" s="346" t="s">
        <v>41</v>
      </c>
      <c r="F62" s="348">
        <v>276.37</v>
      </c>
      <c r="G62" s="348">
        <v>0.34</v>
      </c>
      <c r="H62" s="348">
        <f t="shared" ref="H62" si="37">TRUNC(G62*(1+$H$6),2)</f>
        <v>0.4</v>
      </c>
      <c r="I62" s="348">
        <f t="shared" ref="I62" si="38">TRUNC(F62*H62,2)</f>
        <v>110.54</v>
      </c>
      <c r="J62" s="1217"/>
      <c r="K62" s="525">
        <f t="shared" si="33"/>
        <v>1.7187195166439535E-5</v>
      </c>
      <c r="L62" s="535"/>
      <c r="M62" s="535"/>
      <c r="N62" s="535"/>
      <c r="O62" s="535"/>
      <c r="P62" s="535"/>
      <c r="Q62" s="1087"/>
      <c r="R62" s="1087"/>
      <c r="S62" s="1088"/>
      <c r="T62" s="1088"/>
    </row>
    <row r="63" spans="1:20" s="452" customFormat="1" ht="15" customHeight="1" x14ac:dyDescent="0.25">
      <c r="A63" s="998" t="s">
        <v>44001</v>
      </c>
      <c r="B63" s="999"/>
      <c r="C63" s="969"/>
      <c r="D63" s="969" t="s">
        <v>21653</v>
      </c>
      <c r="E63" s="1000"/>
      <c r="F63" s="1001"/>
      <c r="G63" s="1002"/>
      <c r="H63" s="1003"/>
      <c r="I63" s="970">
        <f>SUMIFS(I64:I1059,A64:A1059,A63&amp;"*")</f>
        <v>560583.1</v>
      </c>
      <c r="J63" s="1227"/>
      <c r="K63" s="525"/>
      <c r="L63" s="535"/>
      <c r="M63" s="535"/>
      <c r="N63" s="535"/>
      <c r="O63" s="535"/>
      <c r="P63" s="535"/>
      <c r="Q63" s="1115"/>
      <c r="R63" s="1115"/>
      <c r="S63" s="1088"/>
      <c r="T63" s="1116"/>
    </row>
    <row r="64" spans="1:20" s="443" customFormat="1" ht="18" customHeight="1" x14ac:dyDescent="0.25">
      <c r="A64" s="462" t="s">
        <v>44002</v>
      </c>
      <c r="B64" s="437" t="s">
        <v>28296</v>
      </c>
      <c r="C64" s="346" t="s">
        <v>2744</v>
      </c>
      <c r="D64" s="874" t="s">
        <v>668</v>
      </c>
      <c r="E64" s="346" t="s">
        <v>40</v>
      </c>
      <c r="F64" s="348">
        <v>396.55000000000007</v>
      </c>
      <c r="G64" s="348">
        <v>15.67</v>
      </c>
      <c r="H64" s="348">
        <f>TRUNC(G64*(1+$H$6),2)</f>
        <v>18.739999999999998</v>
      </c>
      <c r="I64" s="348">
        <f>TRUNC(F64*H64,2)</f>
        <v>7431.34</v>
      </c>
      <c r="J64" s="1217"/>
      <c r="K64" s="525">
        <f t="shared" ref="K64:K74" si="39">IF(G64="","",I64/$I$153)</f>
        <v>1.1554540521817331E-3</v>
      </c>
      <c r="L64" s="535"/>
      <c r="M64" s="535"/>
      <c r="N64" s="535"/>
      <c r="O64" s="535"/>
      <c r="P64" s="535"/>
      <c r="Q64" s="1087"/>
      <c r="R64" s="1087"/>
      <c r="S64" s="1088"/>
      <c r="T64" s="1088"/>
    </row>
    <row r="65" spans="1:21" s="443" customFormat="1" ht="24.95" customHeight="1" x14ac:dyDescent="0.25">
      <c r="A65" s="462" t="s">
        <v>44003</v>
      </c>
      <c r="B65" s="460" t="s">
        <v>14707</v>
      </c>
      <c r="C65" s="346" t="s">
        <v>43940</v>
      </c>
      <c r="D65" s="874" t="s">
        <v>14708</v>
      </c>
      <c r="E65" s="346" t="s">
        <v>227</v>
      </c>
      <c r="F65" s="348">
        <v>99.55</v>
      </c>
      <c r="G65" s="348" t="s">
        <v>31131</v>
      </c>
      <c r="H65" s="348">
        <f t="shared" ref="H65" si="40">TRUNC(G65*(1+$H$6),2)</f>
        <v>75.45</v>
      </c>
      <c r="I65" s="348">
        <f t="shared" ref="I65" si="41">TRUNC(F65*H65,2)</f>
        <v>7511.04</v>
      </c>
      <c r="J65" s="1217"/>
      <c r="K65" s="525">
        <f t="shared" si="39"/>
        <v>1.1678461225161389E-3</v>
      </c>
      <c r="L65" s="535"/>
      <c r="M65" s="535"/>
      <c r="N65" s="535"/>
      <c r="O65" s="535"/>
      <c r="P65" s="535"/>
      <c r="Q65" s="1087"/>
      <c r="R65" s="1087"/>
      <c r="S65" s="1088"/>
      <c r="T65" s="1088"/>
    </row>
    <row r="66" spans="1:21" s="443" customFormat="1" ht="18" customHeight="1" x14ac:dyDescent="0.25">
      <c r="A66" s="462" t="s">
        <v>44004</v>
      </c>
      <c r="B66" s="437" t="s">
        <v>18</v>
      </c>
      <c r="C66" s="346" t="s">
        <v>2744</v>
      </c>
      <c r="D66" s="874" t="s">
        <v>698</v>
      </c>
      <c r="E66" s="346" t="s">
        <v>40</v>
      </c>
      <c r="F66" s="348">
        <v>16.5</v>
      </c>
      <c r="G66" s="348">
        <v>529.62</v>
      </c>
      <c r="H66" s="348">
        <f t="shared" ref="H66:H68" si="42">TRUNC(G66*(1+$H$6),2)</f>
        <v>633.53</v>
      </c>
      <c r="I66" s="348">
        <f t="shared" ref="I66:I68" si="43">TRUNC(F66*H66,2)</f>
        <v>10453.24</v>
      </c>
      <c r="J66" s="1217"/>
      <c r="K66" s="525">
        <f t="shared" si="39"/>
        <v>1.6253109824645594E-3</v>
      </c>
      <c r="L66" s="535"/>
      <c r="M66" s="535"/>
      <c r="N66" s="535"/>
      <c r="O66" s="535"/>
      <c r="P66" s="535"/>
      <c r="Q66" s="1087"/>
      <c r="R66" s="1087"/>
      <c r="S66" s="1088"/>
      <c r="T66" s="1088"/>
    </row>
    <row r="67" spans="1:21" s="443" customFormat="1" ht="18" customHeight="1" x14ac:dyDescent="0.25">
      <c r="A67" s="462" t="s">
        <v>44005</v>
      </c>
      <c r="B67" s="460" t="s">
        <v>32775</v>
      </c>
      <c r="C67" s="346" t="s">
        <v>39761</v>
      </c>
      <c r="D67" s="874" t="s">
        <v>244</v>
      </c>
      <c r="E67" s="346" t="s">
        <v>159</v>
      </c>
      <c r="F67" s="348">
        <v>215.6</v>
      </c>
      <c r="G67" s="348">
        <v>437.97</v>
      </c>
      <c r="H67" s="348">
        <f t="shared" si="42"/>
        <v>523.89</v>
      </c>
      <c r="I67" s="348">
        <f t="shared" si="43"/>
        <v>112950.68</v>
      </c>
      <c r="J67" s="1217"/>
      <c r="K67" s="525">
        <f t="shared" si="39"/>
        <v>1.7562017200489041E-2</v>
      </c>
      <c r="L67" s="535"/>
      <c r="M67" s="535"/>
      <c r="N67" s="535"/>
      <c r="O67" s="551" t="s">
        <v>32775</v>
      </c>
      <c r="P67" s="535"/>
      <c r="Q67" s="1087"/>
      <c r="R67" s="1087"/>
      <c r="S67" s="460">
        <v>1107928</v>
      </c>
      <c r="T67" s="1088"/>
    </row>
    <row r="68" spans="1:21" s="443" customFormat="1" ht="18" customHeight="1" x14ac:dyDescent="0.25">
      <c r="A68" s="462" t="s">
        <v>44006</v>
      </c>
      <c r="B68" s="460" t="s">
        <v>32763</v>
      </c>
      <c r="C68" s="437" t="s">
        <v>39761</v>
      </c>
      <c r="D68" s="874" t="s">
        <v>32764</v>
      </c>
      <c r="E68" s="346" t="s">
        <v>6008</v>
      </c>
      <c r="F68" s="348">
        <v>18128.830000000002</v>
      </c>
      <c r="G68" s="348">
        <v>11.28</v>
      </c>
      <c r="H68" s="348">
        <f t="shared" si="42"/>
        <v>13.49</v>
      </c>
      <c r="I68" s="348">
        <f t="shared" si="43"/>
        <v>244557.91</v>
      </c>
      <c r="J68" s="1217"/>
      <c r="K68" s="525">
        <f t="shared" si="39"/>
        <v>3.8024828375850868E-2</v>
      </c>
      <c r="L68" s="535"/>
      <c r="M68" s="535"/>
      <c r="N68" s="535"/>
      <c r="O68" s="535"/>
      <c r="P68" s="535"/>
      <c r="Q68" s="1085" t="s">
        <v>28322</v>
      </c>
      <c r="R68" s="1086">
        <f>F68*TRUNC(INDEX(DERSP!$A$1:$E$2000,MATCH(Orçamento!Q68,DERSP!$A$1:$A$2000,0),5)*(1+$H$6),2)</f>
        <v>282991.03630000004</v>
      </c>
      <c r="S68" s="1085">
        <v>407819</v>
      </c>
      <c r="T68" s="1086">
        <f>F68*TRUNC(INDEX(SICRO!$A$1:$E$10000,MATCH(Orçamento!S68,SICRO!$A$1:$A$10000,0),4),2)*(1+$H$6)</f>
        <v>255674.47899834</v>
      </c>
      <c r="U68" s="1082"/>
    </row>
    <row r="69" spans="1:21" s="443" customFormat="1" ht="35.1" customHeight="1" x14ac:dyDescent="0.25">
      <c r="A69" s="462" t="s">
        <v>44007</v>
      </c>
      <c r="B69" s="460" t="s">
        <v>7585</v>
      </c>
      <c r="C69" s="346" t="s">
        <v>43940</v>
      </c>
      <c r="D69" s="874" t="s">
        <v>7586</v>
      </c>
      <c r="E69" s="346" t="s">
        <v>159</v>
      </c>
      <c r="F69" s="348">
        <v>33</v>
      </c>
      <c r="G69" s="348" t="s">
        <v>41263</v>
      </c>
      <c r="H69" s="348">
        <f>TRUNC(G69*(1+$H$6),2)</f>
        <v>143.12</v>
      </c>
      <c r="I69" s="348">
        <f>TRUNC(F69*H69,2)</f>
        <v>4722.96</v>
      </c>
      <c r="J69" s="1217"/>
      <c r="K69" s="525">
        <f t="shared" si="39"/>
        <v>7.343444480123689E-4</v>
      </c>
      <c r="L69" s="535"/>
      <c r="M69" s="535"/>
      <c r="N69" s="535"/>
      <c r="O69" s="535"/>
      <c r="P69" s="535"/>
      <c r="Q69" s="1087" t="s">
        <v>28365</v>
      </c>
      <c r="R69" s="1087"/>
      <c r="S69" s="1088"/>
      <c r="T69" s="1088"/>
    </row>
    <row r="70" spans="1:21" s="443" customFormat="1" ht="18" customHeight="1" x14ac:dyDescent="0.25">
      <c r="A70" s="462" t="s">
        <v>44008</v>
      </c>
      <c r="B70" s="460" t="s">
        <v>28367</v>
      </c>
      <c r="C70" s="346" t="s">
        <v>2744</v>
      </c>
      <c r="D70" s="874" t="s">
        <v>739</v>
      </c>
      <c r="E70" s="346" t="s">
        <v>40</v>
      </c>
      <c r="F70" s="348">
        <v>33</v>
      </c>
      <c r="G70" s="348">
        <v>135.25</v>
      </c>
      <c r="H70" s="348">
        <f>TRUNC(G70*(1+$H$6),2)</f>
        <v>161.78</v>
      </c>
      <c r="I70" s="348">
        <f>TRUNC(F70*H70,2)</f>
        <v>5338.74</v>
      </c>
      <c r="J70" s="1217"/>
      <c r="K70" s="525">
        <f t="shared" si="39"/>
        <v>8.3008835103019177E-4</v>
      </c>
      <c r="L70" s="535"/>
      <c r="M70" s="535"/>
      <c r="N70" s="535"/>
      <c r="O70" s="535"/>
      <c r="P70" s="535"/>
      <c r="Q70" s="1087"/>
      <c r="R70" s="1087"/>
      <c r="S70" s="1088"/>
      <c r="T70" s="1088"/>
    </row>
    <row r="71" spans="1:21" s="443" customFormat="1" ht="39.950000000000003" customHeight="1" x14ac:dyDescent="0.25">
      <c r="A71" s="462" t="s">
        <v>44009</v>
      </c>
      <c r="B71" s="460" t="s">
        <v>8026</v>
      </c>
      <c r="C71" s="346" t="s">
        <v>43940</v>
      </c>
      <c r="D71" s="874" t="s">
        <v>8027</v>
      </c>
      <c r="E71" s="346" t="s">
        <v>227</v>
      </c>
      <c r="F71" s="348">
        <v>171.88</v>
      </c>
      <c r="G71" s="348" t="s">
        <v>41450</v>
      </c>
      <c r="H71" s="348">
        <f t="shared" ref="H71:H74" si="44">TRUNC(G71*(1+$H$6),2)</f>
        <v>99.41</v>
      </c>
      <c r="I71" s="348">
        <f t="shared" ref="I71:I74" si="45">TRUNC(F71*H71,2)</f>
        <v>17086.59</v>
      </c>
      <c r="J71" s="1217"/>
      <c r="K71" s="525">
        <f t="shared" si="39"/>
        <v>2.6566904021977028E-3</v>
      </c>
      <c r="L71" s="535"/>
      <c r="M71" s="535"/>
      <c r="N71" s="535"/>
      <c r="O71" s="535"/>
      <c r="P71" s="535"/>
      <c r="Q71" s="1087"/>
      <c r="R71" s="1087"/>
      <c r="S71" s="1088"/>
      <c r="T71" s="1088"/>
    </row>
    <row r="72" spans="1:21" s="443" customFormat="1" ht="18" customHeight="1" x14ac:dyDescent="0.25">
      <c r="A72" s="462" t="s">
        <v>44010</v>
      </c>
      <c r="B72" s="460" t="s">
        <v>28320</v>
      </c>
      <c r="C72" s="346" t="s">
        <v>2744</v>
      </c>
      <c r="D72" s="874" t="s">
        <v>693</v>
      </c>
      <c r="E72" s="346" t="s">
        <v>41</v>
      </c>
      <c r="F72" s="348">
        <v>370.33</v>
      </c>
      <c r="G72" s="348">
        <v>140.66999999999999</v>
      </c>
      <c r="H72" s="348">
        <f t="shared" si="44"/>
        <v>168.26</v>
      </c>
      <c r="I72" s="348">
        <f t="shared" si="45"/>
        <v>62311.72</v>
      </c>
      <c r="J72" s="1217"/>
      <c r="K72" s="525">
        <f t="shared" si="39"/>
        <v>9.6884719811519242E-3</v>
      </c>
      <c r="L72" s="535"/>
      <c r="M72" s="535"/>
      <c r="N72" s="535"/>
      <c r="O72" s="535"/>
      <c r="P72" s="535"/>
      <c r="Q72" s="1087"/>
      <c r="R72" s="1087"/>
      <c r="S72" s="1088"/>
      <c r="T72" s="1088"/>
    </row>
    <row r="73" spans="1:21" s="443" customFormat="1" ht="30" customHeight="1" x14ac:dyDescent="0.25">
      <c r="A73" s="462" t="s">
        <v>44011</v>
      </c>
      <c r="B73" s="460">
        <v>4730</v>
      </c>
      <c r="C73" s="346" t="s">
        <v>43940</v>
      </c>
      <c r="D73" s="874" t="s">
        <v>43944</v>
      </c>
      <c r="E73" s="346" t="s">
        <v>31540</v>
      </c>
      <c r="F73" s="348">
        <v>132</v>
      </c>
      <c r="G73" s="348" t="s">
        <v>43945</v>
      </c>
      <c r="H73" s="348">
        <f>TRUNC(G73*(1+$H$6),2)</f>
        <v>78.290000000000006</v>
      </c>
      <c r="I73" s="348">
        <f>TRUNC(F73*H73,2)</f>
        <v>10334.280000000001</v>
      </c>
      <c r="J73" s="1217"/>
      <c r="K73" s="525">
        <f t="shared" si="39"/>
        <v>1.606814612489893E-3</v>
      </c>
      <c r="L73" s="535"/>
      <c r="M73" s="535"/>
      <c r="N73" s="535"/>
      <c r="O73" s="535"/>
      <c r="P73" s="535"/>
      <c r="Q73" s="1087"/>
      <c r="R73" s="1087"/>
      <c r="S73" s="1088"/>
      <c r="T73" s="1088"/>
    </row>
    <row r="74" spans="1:21" s="443" customFormat="1" ht="30" customHeight="1" x14ac:dyDescent="0.25">
      <c r="A74" s="462" t="s">
        <v>44012</v>
      </c>
      <c r="B74" s="460" t="s">
        <v>6906</v>
      </c>
      <c r="C74" s="346" t="s">
        <v>43940</v>
      </c>
      <c r="D74" s="874" t="s">
        <v>6907</v>
      </c>
      <c r="E74" s="346" t="s">
        <v>226</v>
      </c>
      <c r="F74" s="348">
        <v>2</v>
      </c>
      <c r="G74" s="348" t="s">
        <v>40999</v>
      </c>
      <c r="H74" s="348">
        <f t="shared" si="44"/>
        <v>38942.300000000003</v>
      </c>
      <c r="I74" s="348">
        <f t="shared" si="45"/>
        <v>77884.600000000006</v>
      </c>
      <c r="J74" s="1217"/>
      <c r="K74" s="525">
        <f t="shared" si="39"/>
        <v>1.2109804782522857E-2</v>
      </c>
      <c r="L74" s="535"/>
      <c r="M74" s="535"/>
      <c r="N74" s="535"/>
      <c r="O74" s="535"/>
      <c r="P74" s="535"/>
      <c r="Q74" s="1087"/>
      <c r="R74" s="1087"/>
      <c r="S74" s="1088"/>
      <c r="T74" s="1088"/>
    </row>
    <row r="75" spans="1:21" s="452" customFormat="1" ht="15" customHeight="1" x14ac:dyDescent="0.25">
      <c r="A75" s="998" t="s">
        <v>44013</v>
      </c>
      <c r="B75" s="999"/>
      <c r="C75" s="969"/>
      <c r="D75" s="969" t="s">
        <v>21647</v>
      </c>
      <c r="E75" s="1000"/>
      <c r="F75" s="1001"/>
      <c r="G75" s="1002"/>
      <c r="H75" s="1003"/>
      <c r="I75" s="970">
        <f>SUMIFS(I76:I1069,A76:A1069,A75&amp;"*")</f>
        <v>69015.100000000006</v>
      </c>
      <c r="J75" s="1227"/>
      <c r="K75" s="525"/>
      <c r="L75" s="535"/>
      <c r="M75" s="535"/>
      <c r="N75" s="535"/>
      <c r="O75" s="535"/>
      <c r="P75" s="535"/>
      <c r="Q75" s="1115"/>
      <c r="R75" s="1115"/>
      <c r="S75" s="1088"/>
      <c r="T75" s="1116"/>
    </row>
    <row r="76" spans="1:21" s="443" customFormat="1" ht="15" customHeight="1" x14ac:dyDescent="0.25">
      <c r="A76" s="462" t="s">
        <v>44014</v>
      </c>
      <c r="B76" s="437" t="s">
        <v>28296</v>
      </c>
      <c r="C76" s="346" t="s">
        <v>2744</v>
      </c>
      <c r="D76" s="874" t="s">
        <v>668</v>
      </c>
      <c r="E76" s="346" t="s">
        <v>40</v>
      </c>
      <c r="F76" s="348">
        <v>1540</v>
      </c>
      <c r="G76" s="348">
        <v>15.67</v>
      </c>
      <c r="H76" s="348">
        <f>TRUNC(G76*(1+$H$6),2)</f>
        <v>18.739999999999998</v>
      </c>
      <c r="I76" s="348">
        <f>TRUNC(F76*H76,2)</f>
        <v>28859.599999999999</v>
      </c>
      <c r="J76" s="1217"/>
      <c r="K76" s="525">
        <f t="shared" ref="K76:K107" si="46">IF(G76="","",I76/$I$153)</f>
        <v>4.4872044293954982E-3</v>
      </c>
      <c r="L76" s="535"/>
      <c r="M76" s="535"/>
      <c r="N76" s="535"/>
      <c r="O76" s="535"/>
      <c r="P76" s="535"/>
      <c r="Q76" s="1087"/>
      <c r="R76" s="1087"/>
      <c r="S76" s="1088"/>
      <c r="T76" s="1088"/>
    </row>
    <row r="77" spans="1:21" s="443" customFormat="1" ht="24.95" customHeight="1" x14ac:dyDescent="0.25">
      <c r="A77" s="462" t="s">
        <v>44015</v>
      </c>
      <c r="B77" s="460">
        <v>370</v>
      </c>
      <c r="C77" s="346" t="s">
        <v>43940</v>
      </c>
      <c r="D77" s="874" t="s">
        <v>43957</v>
      </c>
      <c r="E77" s="346" t="s">
        <v>159</v>
      </c>
      <c r="F77" s="348">
        <v>88</v>
      </c>
      <c r="G77" s="348" t="s">
        <v>31083</v>
      </c>
      <c r="H77" s="348">
        <f t="shared" ref="H77" si="47">TRUNC(G77*(1+$H$6),2)</f>
        <v>76.400000000000006</v>
      </c>
      <c r="I77" s="348">
        <f t="shared" ref="I77" si="48">TRUNC(F77*H77,2)</f>
        <v>6723.2</v>
      </c>
      <c r="J77" s="1217"/>
      <c r="K77" s="525">
        <f t="shared" si="46"/>
        <v>1.0453496520988446E-3</v>
      </c>
      <c r="L77" s="535"/>
      <c r="M77" s="535"/>
      <c r="N77" s="535"/>
      <c r="O77" s="535"/>
      <c r="P77" s="535"/>
      <c r="Q77" s="1087"/>
      <c r="R77" s="1087"/>
      <c r="S77" s="1088"/>
      <c r="T77" s="1088"/>
    </row>
    <row r="78" spans="1:21" s="443" customFormat="1" ht="30" customHeight="1" x14ac:dyDescent="0.25">
      <c r="A78" s="462" t="s">
        <v>44016</v>
      </c>
      <c r="B78" s="460" t="s">
        <v>14196</v>
      </c>
      <c r="C78" s="346" t="s">
        <v>43940</v>
      </c>
      <c r="D78" s="874" t="s">
        <v>14197</v>
      </c>
      <c r="E78" s="1066" t="s">
        <v>159</v>
      </c>
      <c r="F78" s="348">
        <v>1452</v>
      </c>
      <c r="G78" s="348" t="s">
        <v>17302</v>
      </c>
      <c r="H78" s="348">
        <f t="shared" ref="H78:H81" si="49">TRUNC(G78*(1+$H$6),2)</f>
        <v>2.65</v>
      </c>
      <c r="I78" s="348">
        <f t="shared" ref="I78:I81" si="50">TRUNC(F78*H78,2)</f>
        <v>3847.8</v>
      </c>
      <c r="J78" s="1217"/>
      <c r="K78" s="525">
        <f t="shared" si="46"/>
        <v>5.9827111960761758E-4</v>
      </c>
      <c r="L78" s="535"/>
      <c r="M78" s="535"/>
      <c r="N78" s="535"/>
      <c r="O78" s="535"/>
      <c r="P78" s="535"/>
      <c r="Q78" s="1087"/>
      <c r="R78" s="1087"/>
      <c r="S78" s="1088"/>
      <c r="T78" s="1088"/>
    </row>
    <row r="79" spans="1:21" s="443" customFormat="1" ht="15" customHeight="1" x14ac:dyDescent="0.25">
      <c r="A79" s="462" t="s">
        <v>44017</v>
      </c>
      <c r="B79" s="460" t="s">
        <v>31565</v>
      </c>
      <c r="C79" s="346" t="s">
        <v>39761</v>
      </c>
      <c r="D79" s="874" t="s">
        <v>32535</v>
      </c>
      <c r="E79" s="1066" t="s">
        <v>159</v>
      </c>
      <c r="F79" s="348">
        <v>1452</v>
      </c>
      <c r="G79" s="348">
        <v>5.38</v>
      </c>
      <c r="H79" s="348">
        <f t="shared" si="49"/>
        <v>6.43</v>
      </c>
      <c r="I79" s="348">
        <f t="shared" si="50"/>
        <v>9336.36</v>
      </c>
      <c r="J79" s="1217"/>
      <c r="K79" s="525">
        <f t="shared" si="46"/>
        <v>1.451654075123389E-3</v>
      </c>
      <c r="L79" s="535"/>
      <c r="M79" s="535"/>
      <c r="N79" s="535"/>
      <c r="O79" s="535"/>
      <c r="P79" s="535"/>
      <c r="Q79" s="1087"/>
      <c r="R79" s="1087"/>
      <c r="S79" s="1088"/>
      <c r="T79" s="1088"/>
    </row>
    <row r="80" spans="1:21" s="443" customFormat="1" ht="35.1" customHeight="1" x14ac:dyDescent="0.25">
      <c r="A80" s="462" t="s">
        <v>44018</v>
      </c>
      <c r="B80" s="842" t="s">
        <v>17009</v>
      </c>
      <c r="C80" s="346" t="s">
        <v>43940</v>
      </c>
      <c r="D80" s="874" t="s">
        <v>17010</v>
      </c>
      <c r="E80" s="1066" t="s">
        <v>16557</v>
      </c>
      <c r="F80" s="348">
        <v>7986</v>
      </c>
      <c r="G80" s="348" t="s">
        <v>5444</v>
      </c>
      <c r="H80" s="348">
        <f>TRUNC(G80*(1+$H$6),2)</f>
        <v>1.41</v>
      </c>
      <c r="I80" s="348">
        <f>TRUNC(F80*H80,2)</f>
        <v>11260.26</v>
      </c>
      <c r="J80" s="1217"/>
      <c r="K80" s="525">
        <f t="shared" si="46"/>
        <v>1.7507896349271978E-3</v>
      </c>
      <c r="L80" s="535"/>
      <c r="M80" s="535"/>
      <c r="N80" s="535"/>
      <c r="O80" s="535"/>
      <c r="P80" s="535"/>
      <c r="Q80" s="1087"/>
      <c r="R80" s="1087"/>
      <c r="S80" s="1088"/>
      <c r="T80" s="1088"/>
    </row>
    <row r="81" spans="1:22" s="443" customFormat="1" ht="15" customHeight="1" x14ac:dyDescent="0.25">
      <c r="A81" s="462" t="s">
        <v>44019</v>
      </c>
      <c r="B81" s="460" t="s">
        <v>28129</v>
      </c>
      <c r="C81" s="346" t="s">
        <v>2744</v>
      </c>
      <c r="D81" s="874" t="s">
        <v>503</v>
      </c>
      <c r="E81" s="346" t="s">
        <v>40</v>
      </c>
      <c r="F81" s="348">
        <v>1452</v>
      </c>
      <c r="G81" s="348">
        <v>5.18</v>
      </c>
      <c r="H81" s="348">
        <f t="shared" si="49"/>
        <v>6.19</v>
      </c>
      <c r="I81" s="348">
        <f t="shared" si="50"/>
        <v>8987.8799999999992</v>
      </c>
      <c r="J81" s="1217"/>
      <c r="K81" s="525">
        <f t="shared" si="46"/>
        <v>1.3974710303287367E-3</v>
      </c>
      <c r="L81" s="535"/>
      <c r="M81" s="535"/>
      <c r="N81" s="535"/>
      <c r="O81" s="535"/>
      <c r="P81" s="535"/>
      <c r="Q81" s="1087"/>
      <c r="R81" s="1087"/>
      <c r="S81" s="1088"/>
      <c r="T81" s="1088"/>
    </row>
    <row r="82" spans="1:22" s="443" customFormat="1" ht="15" customHeight="1" x14ac:dyDescent="0.25">
      <c r="A82" s="461">
        <v>5</v>
      </c>
      <c r="B82" s="445"/>
      <c r="C82" s="446"/>
      <c r="D82" s="447" t="s">
        <v>2440</v>
      </c>
      <c r="E82" s="448"/>
      <c r="F82" s="978"/>
      <c r="G82" s="978"/>
      <c r="H82" s="978"/>
      <c r="I82" s="471">
        <f>SUMIFS(I83:$I$522,A83:$A$522,A82&amp;"*",G83:$G$522,"&lt;&gt;"&amp;"")</f>
        <v>785027.42999999993</v>
      </c>
      <c r="J82" s="1227"/>
      <c r="K82" s="525" t="str">
        <f t="shared" si="46"/>
        <v/>
      </c>
      <c r="L82" s="535"/>
      <c r="M82" s="535"/>
      <c r="N82" s="535"/>
      <c r="O82" s="535"/>
      <c r="P82" s="535"/>
      <c r="Q82" s="1087"/>
      <c r="R82" s="1087"/>
      <c r="S82" s="1088"/>
      <c r="T82" s="1088"/>
    </row>
    <row r="83" spans="1:22" s="452" customFormat="1" ht="15" customHeight="1" x14ac:dyDescent="0.25">
      <c r="A83" s="998" t="s">
        <v>44020</v>
      </c>
      <c r="B83" s="999"/>
      <c r="C83" s="969"/>
      <c r="D83" s="969" t="s">
        <v>2442</v>
      </c>
      <c r="E83" s="1000"/>
      <c r="F83" s="1001"/>
      <c r="G83" s="1002"/>
      <c r="H83" s="1003"/>
      <c r="I83" s="970">
        <f>SUMIFS(I84:I1060,A84:A1060,A83&amp;"*")</f>
        <v>747384.03</v>
      </c>
      <c r="J83" s="1227"/>
      <c r="K83" s="525" t="str">
        <f t="shared" si="46"/>
        <v/>
      </c>
      <c r="L83" s="535"/>
      <c r="M83" s="535"/>
      <c r="N83" s="535"/>
      <c r="O83" s="535"/>
      <c r="P83" s="535"/>
      <c r="Q83" s="1115"/>
      <c r="R83" s="1115"/>
      <c r="S83" s="1088"/>
      <c r="T83" s="1088"/>
    </row>
    <row r="84" spans="1:22" s="443" customFormat="1" ht="24.95" customHeight="1" x14ac:dyDescent="0.25">
      <c r="A84" s="462" t="s">
        <v>44021</v>
      </c>
      <c r="B84" s="460" t="s">
        <v>15019</v>
      </c>
      <c r="C84" s="346" t="s">
        <v>43940</v>
      </c>
      <c r="D84" s="874" t="s">
        <v>15020</v>
      </c>
      <c r="E84" s="1066" t="s">
        <v>227</v>
      </c>
      <c r="F84" s="348">
        <v>2502.8999999999996</v>
      </c>
      <c r="G84" s="348" t="s">
        <v>31161</v>
      </c>
      <c r="H84" s="348">
        <f t="shared" ref="H84" si="51">TRUNC(G84*(1+$H$6),2)</f>
        <v>1.43</v>
      </c>
      <c r="I84" s="348">
        <f t="shared" ref="I84" si="52">TRUNC(F84*H84,2)</f>
        <v>3579.14</v>
      </c>
      <c r="J84" s="1217"/>
      <c r="K84" s="525">
        <f t="shared" si="46"/>
        <v>5.5649880322064765E-4</v>
      </c>
      <c r="L84" s="535"/>
      <c r="M84" s="878" t="s">
        <v>15019</v>
      </c>
      <c r="N84" s="1086">
        <f ca="1">TRUNC(INDEX(INDIRECT(TRIM(MID(M$6,1,SEARCH(" ",M$6,1)))&amp;"!"&amp;"A:F"),MATCH(M84,INDIRECT(TRIM(MID(M$6,1,SEARCH(" ",M$6,1)))&amp;"!"&amp;"A:A"),0),4)/IFERROR(IF(SEARCH("DERSP",M$6,1),(1+DERSP!$G$4),1),1)*(1+$H$6),2)*F84</f>
        <v>3579.1469999999995</v>
      </c>
      <c r="O84" s="551" t="s">
        <v>38952</v>
      </c>
      <c r="P84" s="1086">
        <f ca="1">TRUNC(INDEX(INDIRECT(TRIM(MID(O$6,1,SEARCH(" ",O$6,1)))&amp;"!"&amp;"A:F"),MATCH(O84,INDIRECT(TRIM(MID(O$6,1,SEARCH(" ",O$6,1)))&amp;"!"&amp;"A:A"),0),4)/IFERROR(IF(SEARCH("DERSP",O$6,1),(1+DERSP!$G$4),1),1)*(1+$H$6),2)*F84</f>
        <v>11338.136999999999</v>
      </c>
      <c r="Q84" s="1087"/>
      <c r="R84" s="1087"/>
      <c r="S84" s="1088"/>
      <c r="T84" s="1088"/>
    </row>
    <row r="85" spans="1:22" s="443" customFormat="1" ht="18" customHeight="1" x14ac:dyDescent="0.25">
      <c r="A85" s="462" t="s">
        <v>44022</v>
      </c>
      <c r="B85" s="460" t="s">
        <v>28268</v>
      </c>
      <c r="C85" s="346" t="s">
        <v>2744</v>
      </c>
      <c r="D85" s="874" t="s">
        <v>640</v>
      </c>
      <c r="E85" s="346" t="s">
        <v>40</v>
      </c>
      <c r="F85" s="348">
        <v>109.73</v>
      </c>
      <c r="G85" s="348">
        <v>1238.55</v>
      </c>
      <c r="H85" s="348">
        <f>TRUNC(G85*(1+$H$6),2)</f>
        <v>1481.55</v>
      </c>
      <c r="I85" s="348">
        <f>TRUNC(F85*H85,2)</f>
        <v>162570.48000000001</v>
      </c>
      <c r="J85" s="1217"/>
      <c r="K85" s="525">
        <f t="shared" si="46"/>
        <v>2.5277099403489735E-2</v>
      </c>
      <c r="L85" s="535"/>
      <c r="M85" s="535"/>
      <c r="N85" s="535"/>
      <c r="O85" s="535"/>
      <c r="P85" s="535"/>
      <c r="Q85" s="1087"/>
      <c r="R85" s="1087"/>
      <c r="S85" s="1088"/>
      <c r="T85" s="1088"/>
      <c r="U85" s="535"/>
      <c r="V85" s="535"/>
    </row>
    <row r="86" spans="1:22" s="443" customFormat="1" ht="18" customHeight="1" x14ac:dyDescent="0.25">
      <c r="A86" s="462" t="s">
        <v>44023</v>
      </c>
      <c r="B86" s="460" t="s">
        <v>28264</v>
      </c>
      <c r="C86" s="346" t="s">
        <v>2744</v>
      </c>
      <c r="D86" s="874" t="s">
        <v>636</v>
      </c>
      <c r="E86" s="346" t="s">
        <v>40</v>
      </c>
      <c r="F86" s="348">
        <v>94.75</v>
      </c>
      <c r="G86" s="348">
        <v>1345.77</v>
      </c>
      <c r="H86" s="348">
        <f t="shared" ref="H86:H88" si="53">TRUNC(G86*(1+$H$6),2)</f>
        <v>1609.81</v>
      </c>
      <c r="I86" s="348">
        <f t="shared" ref="I86:I88" si="54">TRUNC(F86*H86,2)</f>
        <v>152529.49</v>
      </c>
      <c r="J86" s="1217"/>
      <c r="K86" s="525">
        <f t="shared" si="46"/>
        <v>2.3715886676926787E-2</v>
      </c>
      <c r="L86" s="535"/>
      <c r="M86" s="535"/>
      <c r="N86" s="535"/>
      <c r="O86" s="535"/>
      <c r="P86" s="535"/>
      <c r="Q86" s="1087"/>
      <c r="R86" s="1087"/>
      <c r="S86" s="1088"/>
      <c r="T86" s="1088"/>
    </row>
    <row r="87" spans="1:22" s="443" customFormat="1" ht="18" customHeight="1" x14ac:dyDescent="0.25">
      <c r="A87" s="462" t="s">
        <v>44024</v>
      </c>
      <c r="B87" s="460" t="s">
        <v>38971</v>
      </c>
      <c r="C87" s="346" t="s">
        <v>39761</v>
      </c>
      <c r="D87" s="874" t="s">
        <v>260</v>
      </c>
      <c r="E87" s="1066" t="s">
        <v>227</v>
      </c>
      <c r="F87" s="348">
        <v>4089.4999999999995</v>
      </c>
      <c r="G87" s="348">
        <v>7.22</v>
      </c>
      <c r="H87" s="348">
        <f t="shared" si="53"/>
        <v>8.6300000000000008</v>
      </c>
      <c r="I87" s="348">
        <f t="shared" si="54"/>
        <v>35292.379999999997</v>
      </c>
      <c r="J87" s="1217"/>
      <c r="K87" s="525">
        <f t="shared" si="46"/>
        <v>5.4873984344865866E-3</v>
      </c>
      <c r="L87" s="535"/>
      <c r="M87" s="535"/>
      <c r="N87" s="535"/>
      <c r="O87" s="535"/>
      <c r="P87" s="535"/>
      <c r="Q87" s="1087"/>
      <c r="R87" s="1087"/>
      <c r="S87" s="1088"/>
      <c r="T87" s="1088"/>
    </row>
    <row r="88" spans="1:22" s="443" customFormat="1" ht="18" customHeight="1" x14ac:dyDescent="0.25">
      <c r="A88" s="462" t="s">
        <v>44025</v>
      </c>
      <c r="B88" s="460" t="s">
        <v>38972</v>
      </c>
      <c r="C88" s="346" t="s">
        <v>39761</v>
      </c>
      <c r="D88" s="874" t="s">
        <v>261</v>
      </c>
      <c r="E88" s="1066" t="s">
        <v>227</v>
      </c>
      <c r="F88" s="348">
        <v>1894.8999999999999</v>
      </c>
      <c r="G88" s="348">
        <v>14.4</v>
      </c>
      <c r="H88" s="348">
        <f t="shared" si="53"/>
        <v>17.22</v>
      </c>
      <c r="I88" s="348">
        <f t="shared" si="54"/>
        <v>32630.17</v>
      </c>
      <c r="J88" s="1217"/>
      <c r="K88" s="525">
        <f t="shared" si="46"/>
        <v>5.0734675240103151E-3</v>
      </c>
      <c r="L88" s="535"/>
      <c r="M88" s="535"/>
      <c r="N88" s="535"/>
      <c r="O88" s="535"/>
      <c r="P88" s="535"/>
      <c r="Q88" s="1087"/>
      <c r="R88" s="1087"/>
      <c r="S88" s="1088"/>
      <c r="T88" s="1088"/>
    </row>
    <row r="89" spans="1:22" s="443" customFormat="1" ht="30" customHeight="1" x14ac:dyDescent="0.25">
      <c r="A89" s="462" t="s">
        <v>44026</v>
      </c>
      <c r="B89" s="460" t="s">
        <v>15031</v>
      </c>
      <c r="C89" s="346" t="s">
        <v>43940</v>
      </c>
      <c r="D89" s="874" t="s">
        <v>15032</v>
      </c>
      <c r="E89" s="1066" t="s">
        <v>227</v>
      </c>
      <c r="F89" s="348">
        <v>303.18</v>
      </c>
      <c r="G89" s="348" t="s">
        <v>43380</v>
      </c>
      <c r="H89" s="348">
        <f t="shared" ref="H89" si="55">TRUNC(G89*(1+$H$6),2)</f>
        <v>150.44</v>
      </c>
      <c r="I89" s="348">
        <f t="shared" ref="I89:I91" si="56">TRUNC(F89*H89,2)</f>
        <v>45610.39</v>
      </c>
      <c r="J89" s="1217"/>
      <c r="K89" s="525">
        <f t="shared" si="46"/>
        <v>7.0916833232080884E-3</v>
      </c>
      <c r="L89" s="535"/>
      <c r="M89" s="535"/>
      <c r="N89" s="535"/>
      <c r="O89" s="535"/>
      <c r="P89" s="535"/>
      <c r="Q89" s="1087"/>
      <c r="R89" s="1087"/>
      <c r="S89" s="1088"/>
      <c r="T89" s="1088"/>
    </row>
    <row r="90" spans="1:22" s="443" customFormat="1" ht="35.1" customHeight="1" x14ac:dyDescent="0.25">
      <c r="A90" s="462" t="s">
        <v>44027</v>
      </c>
      <c r="B90" s="460" t="s">
        <v>38955</v>
      </c>
      <c r="C90" s="346" t="s">
        <v>39761</v>
      </c>
      <c r="D90" s="874" t="s">
        <v>38956</v>
      </c>
      <c r="E90" s="1066" t="s">
        <v>227</v>
      </c>
      <c r="F90" s="348">
        <v>568.47</v>
      </c>
      <c r="G90" s="348">
        <v>311.60000000000002</v>
      </c>
      <c r="H90" s="348">
        <f>TRUNC(G90*(1+$H$6),2)</f>
        <v>372.73</v>
      </c>
      <c r="I90" s="348">
        <f t="shared" si="56"/>
        <v>211885.82</v>
      </c>
      <c r="J90" s="1230" t="s">
        <v>44095</v>
      </c>
      <c r="K90" s="525">
        <f t="shared" si="46"/>
        <v>3.2944842964909328E-2</v>
      </c>
      <c r="L90" s="535"/>
      <c r="M90" s="535"/>
      <c r="N90" s="535"/>
      <c r="O90" s="535"/>
      <c r="P90" s="535"/>
      <c r="Q90" s="1087"/>
      <c r="R90" s="1087"/>
      <c r="S90" s="1088"/>
      <c r="T90" s="1088"/>
    </row>
    <row r="91" spans="1:22" s="443" customFormat="1" ht="39.950000000000003" customHeight="1" x14ac:dyDescent="0.25">
      <c r="A91" s="462" t="s">
        <v>44028</v>
      </c>
      <c r="B91" s="460" t="s">
        <v>237</v>
      </c>
      <c r="C91" s="1117" t="s">
        <v>39761</v>
      </c>
      <c r="D91" s="874" t="s">
        <v>238</v>
      </c>
      <c r="E91" s="1066" t="s">
        <v>16557</v>
      </c>
      <c r="F91" s="348">
        <v>5665.7250000000004</v>
      </c>
      <c r="G91" s="348">
        <v>15.24</v>
      </c>
      <c r="H91" s="348">
        <f>TRUNC(G91*(1+$H$6),2)</f>
        <v>18.23</v>
      </c>
      <c r="I91" s="348">
        <f t="shared" si="56"/>
        <v>103286.16</v>
      </c>
      <c r="J91" s="1217"/>
      <c r="K91" s="525">
        <f t="shared" si="46"/>
        <v>1.605933951431247E-2</v>
      </c>
      <c r="L91" s="535"/>
      <c r="M91" s="535"/>
      <c r="N91" s="535"/>
      <c r="O91" s="535"/>
      <c r="P91" s="535"/>
      <c r="Q91" s="1087"/>
      <c r="R91" s="1087"/>
      <c r="S91" s="1088"/>
      <c r="T91" s="1088"/>
    </row>
    <row r="92" spans="1:22" s="452" customFormat="1" ht="15" customHeight="1" x14ac:dyDescent="0.25">
      <c r="A92" s="998" t="s">
        <v>44029</v>
      </c>
      <c r="B92" s="999"/>
      <c r="C92" s="969"/>
      <c r="D92" s="969" t="s">
        <v>2437</v>
      </c>
      <c r="E92" s="1000"/>
      <c r="F92" s="1001"/>
      <c r="G92" s="1002"/>
      <c r="H92" s="1003"/>
      <c r="I92" s="970">
        <f>SUMIFS(I93:I1068,A93:A1068,A92&amp;"*")</f>
        <v>37643.399999999994</v>
      </c>
      <c r="J92" s="1227"/>
      <c r="K92" s="525" t="str">
        <f t="shared" si="46"/>
        <v/>
      </c>
      <c r="L92" s="535"/>
      <c r="M92" s="535"/>
      <c r="N92" s="535"/>
      <c r="O92" s="535"/>
      <c r="P92" s="535"/>
      <c r="Q92" s="1115"/>
      <c r="R92" s="1115"/>
      <c r="S92" s="1088"/>
      <c r="T92" s="1116"/>
    </row>
    <row r="93" spans="1:22" s="443" customFormat="1" ht="35.1" customHeight="1" x14ac:dyDescent="0.25">
      <c r="A93" s="462" t="s">
        <v>44030</v>
      </c>
      <c r="B93" s="460" t="s">
        <v>7585</v>
      </c>
      <c r="C93" s="346" t="s">
        <v>43940</v>
      </c>
      <c r="D93" s="874" t="s">
        <v>7586</v>
      </c>
      <c r="E93" s="1066" t="s">
        <v>159</v>
      </c>
      <c r="F93" s="348">
        <v>30.4</v>
      </c>
      <c r="G93" s="348" t="s">
        <v>41263</v>
      </c>
      <c r="H93" s="348">
        <f>TRUNC(G93*(1+$H$6),2)</f>
        <v>143.12</v>
      </c>
      <c r="I93" s="348">
        <f t="shared" ref="I93:I94" si="57">TRUNC(F93*H93,2)</f>
        <v>4350.84</v>
      </c>
      <c r="J93" s="1217"/>
      <c r="K93" s="525">
        <f t="shared" si="46"/>
        <v>6.7648576278226693E-4</v>
      </c>
      <c r="L93" s="535"/>
      <c r="M93" s="535"/>
      <c r="N93" s="535"/>
      <c r="O93" s="535"/>
      <c r="P93" s="535"/>
      <c r="Q93" s="1087" t="s">
        <v>28365</v>
      </c>
      <c r="R93" s="1087"/>
      <c r="S93" s="1116"/>
      <c r="T93" s="1088"/>
    </row>
    <row r="94" spans="1:22" s="443" customFormat="1" ht="39.950000000000003" customHeight="1" x14ac:dyDescent="0.25">
      <c r="A94" s="462" t="s">
        <v>44031</v>
      </c>
      <c r="B94" s="460" t="s">
        <v>15588</v>
      </c>
      <c r="C94" s="346" t="s">
        <v>43940</v>
      </c>
      <c r="D94" s="874" t="s">
        <v>39980</v>
      </c>
      <c r="E94" s="1066" t="s">
        <v>227</v>
      </c>
      <c r="F94" s="348">
        <v>42.56</v>
      </c>
      <c r="G94" s="348" t="s">
        <v>43531</v>
      </c>
      <c r="H94" s="348">
        <f>TRUNC(G94*(1+$H$6),2)</f>
        <v>782.25</v>
      </c>
      <c r="I94" s="348">
        <f t="shared" si="57"/>
        <v>33292.559999999998</v>
      </c>
      <c r="J94" s="1217"/>
      <c r="K94" s="525">
        <f t="shared" si="46"/>
        <v>5.1764585336565782E-3</v>
      </c>
      <c r="L94" s="535"/>
      <c r="M94" s="535"/>
      <c r="N94" s="535"/>
      <c r="O94" s="535"/>
      <c r="P94" s="535"/>
      <c r="Q94" s="1087"/>
      <c r="R94" s="1087"/>
      <c r="S94" s="1088"/>
      <c r="T94" s="1088"/>
    </row>
    <row r="95" spans="1:22" s="443" customFormat="1" ht="15" customHeight="1" x14ac:dyDescent="0.25">
      <c r="A95" s="461">
        <v>6</v>
      </c>
      <c r="B95" s="463"/>
      <c r="C95" s="464"/>
      <c r="D95" s="465" t="s">
        <v>31544</v>
      </c>
      <c r="E95" s="466"/>
      <c r="F95" s="979"/>
      <c r="G95" s="979"/>
      <c r="H95" s="978"/>
      <c r="I95" s="471">
        <f>SUMIFS(I96:$I$522,A96:$A$522,A95&amp;"*",G96:$G$522,"&lt;&gt;"&amp;"")</f>
        <v>782512.08</v>
      </c>
      <c r="J95" s="1227"/>
      <c r="K95" s="525" t="str">
        <f t="shared" si="46"/>
        <v/>
      </c>
      <c r="L95" s="535"/>
      <c r="M95" s="535"/>
      <c r="N95" s="535"/>
      <c r="O95" s="535"/>
      <c r="P95" s="535"/>
      <c r="Q95" s="1087"/>
      <c r="R95" s="1087"/>
      <c r="S95" s="1088"/>
      <c r="T95" s="1088"/>
    </row>
    <row r="96" spans="1:22" s="452" customFormat="1" ht="15" customHeight="1" x14ac:dyDescent="0.25">
      <c r="A96" s="998" t="s">
        <v>44032</v>
      </c>
      <c r="B96" s="999"/>
      <c r="C96" s="969"/>
      <c r="D96" s="969" t="s">
        <v>270</v>
      </c>
      <c r="E96" s="1000"/>
      <c r="F96" s="1001"/>
      <c r="G96" s="1002"/>
      <c r="H96" s="1003"/>
      <c r="I96" s="970">
        <f>SUMIFS(I97:I1073,A97:A1073,A96&amp;"*")</f>
        <v>33066.53</v>
      </c>
      <c r="J96" s="1227"/>
      <c r="K96" s="525" t="str">
        <f t="shared" si="46"/>
        <v/>
      </c>
      <c r="L96" s="535"/>
      <c r="M96" s="535"/>
      <c r="N96" s="535"/>
      <c r="O96" s="535"/>
      <c r="P96" s="535"/>
      <c r="Q96" s="1115"/>
      <c r="R96" s="1115"/>
      <c r="S96" s="1088"/>
      <c r="T96" s="1116"/>
    </row>
    <row r="97" spans="1:20" s="443" customFormat="1" ht="35.1" customHeight="1" x14ac:dyDescent="0.25">
      <c r="A97" s="462" t="s">
        <v>44033</v>
      </c>
      <c r="B97" s="460" t="s">
        <v>15468</v>
      </c>
      <c r="C97" s="346" t="s">
        <v>43940</v>
      </c>
      <c r="D97" s="874" t="s">
        <v>15469</v>
      </c>
      <c r="E97" s="1066" t="s">
        <v>227</v>
      </c>
      <c r="F97" s="348">
        <v>275.5</v>
      </c>
      <c r="G97" s="348" t="s">
        <v>3509</v>
      </c>
      <c r="H97" s="348">
        <f t="shared" ref="H97" si="58">TRUNC(G97*(1+$H$6),2)</f>
        <v>6.81</v>
      </c>
      <c r="I97" s="348">
        <f t="shared" ref="I97:I98" si="59">TRUNC(F97*H97,2)</f>
        <v>1876.15</v>
      </c>
      <c r="J97" s="1217"/>
      <c r="K97" s="525">
        <f t="shared" si="46"/>
        <v>2.9171120147924312E-4</v>
      </c>
      <c r="L97" s="535"/>
      <c r="M97" s="535"/>
      <c r="N97" s="535"/>
      <c r="O97" s="535"/>
      <c r="P97" s="535"/>
      <c r="Q97" s="1087"/>
      <c r="R97" s="1087"/>
      <c r="S97" s="1088"/>
      <c r="T97" s="1088"/>
    </row>
    <row r="98" spans="1:20" s="443" customFormat="1" ht="15" customHeight="1" x14ac:dyDescent="0.25">
      <c r="A98" s="462" t="s">
        <v>44034</v>
      </c>
      <c r="B98" s="460" t="s">
        <v>28949</v>
      </c>
      <c r="C98" s="346" t="s">
        <v>2744</v>
      </c>
      <c r="D98" s="874" t="s">
        <v>1184</v>
      </c>
      <c r="E98" s="346" t="s">
        <v>3</v>
      </c>
      <c r="F98" s="348">
        <v>300</v>
      </c>
      <c r="G98" s="348">
        <v>73.53</v>
      </c>
      <c r="H98" s="348">
        <f>TRUNC(G98*(1+$H$6),2)</f>
        <v>87.95</v>
      </c>
      <c r="I98" s="348">
        <f t="shared" si="59"/>
        <v>26385</v>
      </c>
      <c r="J98" s="1217"/>
      <c r="K98" s="525">
        <f t="shared" si="46"/>
        <v>4.1024438616474321E-3</v>
      </c>
      <c r="L98" s="535"/>
      <c r="M98" s="535"/>
      <c r="N98" s="535"/>
      <c r="O98" s="535"/>
      <c r="P98" s="535"/>
      <c r="Q98" s="1087"/>
      <c r="R98" s="1087"/>
      <c r="S98" s="1088"/>
      <c r="T98" s="1088"/>
    </row>
    <row r="99" spans="1:20" s="443" customFormat="1" ht="15" customHeight="1" x14ac:dyDescent="0.25">
      <c r="A99" s="462" t="s">
        <v>44035</v>
      </c>
      <c r="B99" s="346" t="s">
        <v>28958</v>
      </c>
      <c r="C99" s="346" t="s">
        <v>2744</v>
      </c>
      <c r="D99" s="874" t="s">
        <v>1191</v>
      </c>
      <c r="E99" s="346" t="s">
        <v>3</v>
      </c>
      <c r="F99" s="348">
        <v>97</v>
      </c>
      <c r="G99" s="348">
        <v>41.42</v>
      </c>
      <c r="H99" s="348">
        <f>TRUNC(G99*(1+$H$6),2)</f>
        <v>49.54</v>
      </c>
      <c r="I99" s="348">
        <f t="shared" ref="I99" si="60">TRUNC(F99*H99,2)</f>
        <v>4805.38</v>
      </c>
      <c r="J99" s="1217"/>
      <c r="K99" s="525">
        <f t="shared" si="46"/>
        <v>7.4715943467437316E-4</v>
      </c>
      <c r="L99" s="535"/>
      <c r="M99" s="535"/>
      <c r="N99" s="535"/>
      <c r="O99" s="535"/>
      <c r="P99" s="535"/>
      <c r="Q99" s="1087"/>
      <c r="R99" s="1087"/>
      <c r="S99" s="1088"/>
      <c r="T99" s="1088"/>
    </row>
    <row r="100" spans="1:20" s="452" customFormat="1" ht="15" customHeight="1" x14ac:dyDescent="0.25">
      <c r="A100" s="998" t="s">
        <v>44036</v>
      </c>
      <c r="B100" s="999"/>
      <c r="C100" s="969"/>
      <c r="D100" s="969" t="s">
        <v>271</v>
      </c>
      <c r="E100" s="1000"/>
      <c r="F100" s="1001"/>
      <c r="G100" s="1002"/>
      <c r="H100" s="1003"/>
      <c r="I100" s="970">
        <f>SUMIFS(I101:I1077,A101:A1077,A100&amp;"*")</f>
        <v>27838.55</v>
      </c>
      <c r="J100" s="1227"/>
      <c r="K100" s="525" t="str">
        <f t="shared" si="46"/>
        <v/>
      </c>
      <c r="L100" s="535"/>
      <c r="M100" s="535"/>
      <c r="N100" s="535"/>
      <c r="O100" s="535"/>
      <c r="P100" s="535"/>
      <c r="Q100" s="1115"/>
      <c r="R100" s="1115"/>
      <c r="S100" s="1088"/>
      <c r="T100" s="1116"/>
    </row>
    <row r="101" spans="1:20" s="443" customFormat="1" ht="30" customHeight="1" x14ac:dyDescent="0.25">
      <c r="A101" s="462" t="s">
        <v>44037</v>
      </c>
      <c r="B101" s="460" t="s">
        <v>28921</v>
      </c>
      <c r="C101" s="346" t="s">
        <v>2744</v>
      </c>
      <c r="D101" s="874" t="s">
        <v>1157</v>
      </c>
      <c r="E101" s="346" t="s">
        <v>41</v>
      </c>
      <c r="F101" s="348">
        <v>22.06</v>
      </c>
      <c r="G101" s="348">
        <v>845.6</v>
      </c>
      <c r="H101" s="348">
        <f>TRUNC(G101*(1+$H$6),2)</f>
        <v>1011.5</v>
      </c>
      <c r="I101" s="348">
        <f t="shared" ref="I101" si="61">TRUNC(F101*H101,2)</f>
        <v>22313.69</v>
      </c>
      <c r="J101" s="1217"/>
      <c r="K101" s="525">
        <f t="shared" si="46"/>
        <v>3.4694205257230879E-3</v>
      </c>
      <c r="L101" s="535"/>
      <c r="M101" s="535"/>
      <c r="N101" s="535"/>
      <c r="O101" s="535"/>
      <c r="P101" s="535"/>
      <c r="Q101" s="1087"/>
      <c r="R101" s="1087"/>
      <c r="S101" s="1088"/>
      <c r="T101" s="1088"/>
    </row>
    <row r="102" spans="1:20" s="443" customFormat="1" ht="15" customHeight="1" x14ac:dyDescent="0.25">
      <c r="A102" s="462" t="s">
        <v>44038</v>
      </c>
      <c r="B102" s="460" t="s">
        <v>28983</v>
      </c>
      <c r="C102" s="346" t="s">
        <v>2744</v>
      </c>
      <c r="D102" s="874" t="s">
        <v>7</v>
      </c>
      <c r="E102" s="346" t="s">
        <v>2</v>
      </c>
      <c r="F102" s="348">
        <v>54.400000000000006</v>
      </c>
      <c r="G102" s="348">
        <v>84.91</v>
      </c>
      <c r="H102" s="348">
        <f>TRUNC(G102*(1+$H$6),2)</f>
        <v>101.56</v>
      </c>
      <c r="I102" s="348">
        <f t="shared" ref="I102:I104" si="62">TRUNC(F102*H102,2)</f>
        <v>5524.86</v>
      </c>
      <c r="J102" s="1217"/>
      <c r="K102" s="525">
        <f t="shared" si="46"/>
        <v>8.5902702268188095E-4</v>
      </c>
      <c r="L102" s="535"/>
      <c r="M102" s="535"/>
      <c r="N102" s="535"/>
      <c r="O102" s="535"/>
      <c r="P102" s="535"/>
      <c r="Q102" s="1087"/>
      <c r="R102" s="1087"/>
      <c r="S102" s="1116"/>
      <c r="T102" s="1088"/>
    </row>
    <row r="103" spans="1:20" s="452" customFormat="1" ht="15" customHeight="1" x14ac:dyDescent="0.25">
      <c r="A103" s="1134" t="s">
        <v>31559</v>
      </c>
      <c r="B103" s="1135"/>
      <c r="C103" s="1136"/>
      <c r="D103" s="1136" t="s">
        <v>21621</v>
      </c>
      <c r="E103" s="1137"/>
      <c r="F103" s="1138"/>
      <c r="G103" s="1139"/>
      <c r="H103" s="1140"/>
      <c r="I103" s="1141">
        <f>SUMIFS(I104:I1081,A104:A1081,A103&amp;"*")</f>
        <v>721607</v>
      </c>
      <c r="J103" s="1227"/>
      <c r="K103" s="525" t="str">
        <f t="shared" si="46"/>
        <v/>
      </c>
      <c r="L103" s="535"/>
      <c r="M103" s="535"/>
      <c r="N103" s="535"/>
      <c r="O103" s="535"/>
      <c r="P103" s="535"/>
      <c r="Q103" s="1087"/>
      <c r="R103" s="1087"/>
      <c r="S103" s="1116"/>
      <c r="T103" s="1088"/>
    </row>
    <row r="104" spans="1:20" s="443" customFormat="1" ht="15" x14ac:dyDescent="0.25">
      <c r="A104" s="1150" t="s">
        <v>44039</v>
      </c>
      <c r="B104" s="10" t="s">
        <v>28976</v>
      </c>
      <c r="C104" s="437" t="s">
        <v>2744</v>
      </c>
      <c r="D104" s="874" t="s">
        <v>1206</v>
      </c>
      <c r="E104" s="1066" t="s">
        <v>158</v>
      </c>
      <c r="F104" s="348">
        <v>536</v>
      </c>
      <c r="G104" s="348">
        <v>1098.5</v>
      </c>
      <c r="H104" s="348">
        <f>TRUNC(G104*(1+$H$6),2)</f>
        <v>1314.02</v>
      </c>
      <c r="I104" s="1153">
        <f t="shared" si="62"/>
        <v>704314.72</v>
      </c>
      <c r="J104" s="1230" t="s">
        <v>44098</v>
      </c>
      <c r="K104" s="525">
        <f t="shared" si="46"/>
        <v>0.10950963046169905</v>
      </c>
      <c r="L104" s="535"/>
      <c r="M104" s="535"/>
      <c r="N104" s="535"/>
      <c r="O104" s="535"/>
      <c r="P104" s="535"/>
      <c r="Q104" s="1085" t="s">
        <v>28976</v>
      </c>
      <c r="R104" s="1086">
        <f>F104*TRUNC(INDEX(DERSP!$A$1:$E$2000,MATCH(Orçamento!Q104,DERSP!$A$1:$A$2000,0),5)*(1+$H$6),2)</f>
        <v>704320.08</v>
      </c>
      <c r="S104" s="1085">
        <v>3713604</v>
      </c>
      <c r="T104" s="1086">
        <f>F104*TRUNC(INDEX(SICRO!$A$1:$E$10000,MATCH(Orçamento!S104,SICRO!$A$1:$A$10000,0),4),2)*(1+$H$6)</f>
        <v>317119.31872000004</v>
      </c>
    </row>
    <row r="105" spans="1:20" s="443" customFormat="1" ht="25.5" x14ac:dyDescent="0.25">
      <c r="A105" s="1150" t="s">
        <v>44040</v>
      </c>
      <c r="B105" s="437" t="s">
        <v>28970</v>
      </c>
      <c r="C105" s="437" t="s">
        <v>2744</v>
      </c>
      <c r="D105" s="1151" t="s">
        <v>1200</v>
      </c>
      <c r="E105" s="437" t="s">
        <v>5</v>
      </c>
      <c r="F105" s="1153">
        <v>2</v>
      </c>
      <c r="G105" s="1153">
        <v>5706.66</v>
      </c>
      <c r="H105" s="1153">
        <f t="shared" ref="H105:H106" si="63">TRUNC(G105*(1+$H$6),2)</f>
        <v>6826.3</v>
      </c>
      <c r="I105" s="1153">
        <f t="shared" ref="I105:I106" si="64">TRUNC(F105*H105,2)</f>
        <v>13652.6</v>
      </c>
      <c r="J105" s="1217"/>
      <c r="K105" s="525">
        <f t="shared" si="46"/>
        <v>2.1227600934442953E-3</v>
      </c>
      <c r="L105" s="535"/>
      <c r="M105" s="535"/>
      <c r="N105" s="535"/>
      <c r="O105" s="535"/>
      <c r="P105" s="535"/>
      <c r="Q105" s="1087"/>
      <c r="R105" s="1087"/>
      <c r="S105" s="1116"/>
      <c r="T105" s="1088"/>
    </row>
    <row r="106" spans="1:20" s="443" customFormat="1" ht="25.5" x14ac:dyDescent="0.25">
      <c r="A106" s="1150" t="s">
        <v>44041</v>
      </c>
      <c r="B106" s="437" t="s">
        <v>28997</v>
      </c>
      <c r="C106" s="437" t="s">
        <v>2744</v>
      </c>
      <c r="D106" s="1151" t="s">
        <v>1224</v>
      </c>
      <c r="E106" s="437" t="s">
        <v>3</v>
      </c>
      <c r="F106" s="1153">
        <v>121</v>
      </c>
      <c r="G106" s="1153">
        <v>25.15</v>
      </c>
      <c r="H106" s="1153">
        <f t="shared" si="63"/>
        <v>30.08</v>
      </c>
      <c r="I106" s="1153">
        <f t="shared" si="64"/>
        <v>3639.68</v>
      </c>
      <c r="J106" s="1217"/>
      <c r="K106" s="525">
        <f t="shared" si="46"/>
        <v>5.659118011885891E-4</v>
      </c>
      <c r="L106" s="535"/>
      <c r="M106" s="535"/>
      <c r="N106" s="535"/>
      <c r="O106" s="535"/>
      <c r="P106" s="535"/>
      <c r="Q106" s="1087"/>
      <c r="R106" s="1087"/>
      <c r="S106" s="1116"/>
      <c r="T106" s="1088"/>
    </row>
    <row r="107" spans="1:20" s="452" customFormat="1" ht="15" customHeight="1" x14ac:dyDescent="0.25">
      <c r="A107" s="1079">
        <v>7</v>
      </c>
      <c r="B107" s="1142"/>
      <c r="C107" s="1143"/>
      <c r="D107" s="1144" t="s">
        <v>21344</v>
      </c>
      <c r="E107" s="1145"/>
      <c r="F107" s="1146"/>
      <c r="G107" s="1147"/>
      <c r="H107" s="1148"/>
      <c r="I107" s="1149">
        <f>SUMIFS(I108:$I$522,A108:$A$522,A107&amp;"*",G108:$G$522,"&lt;&gt;"&amp;"")</f>
        <v>67727.199999999997</v>
      </c>
      <c r="J107" s="1227"/>
      <c r="K107" s="525" t="str">
        <f t="shared" si="46"/>
        <v/>
      </c>
      <c r="L107" s="535"/>
      <c r="M107" s="535"/>
      <c r="N107" s="535"/>
      <c r="O107" s="535"/>
      <c r="P107" s="535"/>
      <c r="Q107" s="1087"/>
      <c r="R107" s="1087"/>
      <c r="S107" s="1116"/>
      <c r="T107" s="1088"/>
    </row>
    <row r="108" spans="1:20" s="443" customFormat="1" ht="15" customHeight="1" x14ac:dyDescent="0.25">
      <c r="A108" s="462" t="s">
        <v>44042</v>
      </c>
      <c r="B108" s="460" t="s">
        <v>35103</v>
      </c>
      <c r="C108" s="346" t="s">
        <v>39761</v>
      </c>
      <c r="D108" s="874" t="s">
        <v>35104</v>
      </c>
      <c r="E108" s="346" t="s">
        <v>227</v>
      </c>
      <c r="F108" s="348">
        <v>6224.9269999999997</v>
      </c>
      <c r="G108" s="986">
        <v>9.1</v>
      </c>
      <c r="H108" s="968">
        <f t="shared" ref="H108" si="65">TRUNC(G108*(1+$H$6),2)</f>
        <v>10.88</v>
      </c>
      <c r="I108" s="968">
        <f t="shared" ref="I108" si="66">TRUNC(F108*H108,2)</f>
        <v>67727.199999999997</v>
      </c>
      <c r="J108" s="1217"/>
      <c r="K108" s="525">
        <f t="shared" ref="K108:K139" si="67">IF(G108="","",I108/$I$153)</f>
        <v>1.053049217004237E-2</v>
      </c>
      <c r="L108" s="535"/>
      <c r="M108" s="535"/>
      <c r="N108" s="535"/>
      <c r="O108" s="535"/>
      <c r="P108" s="535"/>
      <c r="Q108" s="1087"/>
      <c r="R108" s="1087"/>
      <c r="S108" s="1116"/>
      <c r="T108" s="1088"/>
    </row>
    <row r="109" spans="1:20" s="452" customFormat="1" ht="15" customHeight="1" x14ac:dyDescent="0.25">
      <c r="A109" s="461">
        <v>8</v>
      </c>
      <c r="B109" s="962"/>
      <c r="C109" s="963"/>
      <c r="D109" s="964" t="s">
        <v>21601</v>
      </c>
      <c r="E109" s="529"/>
      <c r="F109" s="983"/>
      <c r="G109" s="984"/>
      <c r="H109" s="985"/>
      <c r="I109" s="965">
        <f>SUMIFS(I110:$I$522,A110:$A$522,A109&amp;"*",G110:$G$522,"&lt;&gt;"&amp;"")</f>
        <v>122280.62999999999</v>
      </c>
      <c r="J109" s="1227"/>
      <c r="K109" s="525" t="str">
        <f t="shared" si="67"/>
        <v/>
      </c>
      <c r="L109" s="535"/>
      <c r="M109" s="535"/>
      <c r="N109" s="535"/>
      <c r="O109" s="535"/>
      <c r="P109" s="535"/>
      <c r="Q109" s="1087"/>
      <c r="R109" s="1087"/>
      <c r="S109" s="1116"/>
      <c r="T109" s="1088"/>
    </row>
    <row r="110" spans="1:20" s="452" customFormat="1" ht="15" customHeight="1" x14ac:dyDescent="0.25">
      <c r="A110" s="998" t="s">
        <v>44043</v>
      </c>
      <c r="B110" s="999"/>
      <c r="C110" s="969"/>
      <c r="D110" s="969" t="s">
        <v>21597</v>
      </c>
      <c r="E110" s="1000"/>
      <c r="F110" s="1001"/>
      <c r="G110" s="1002"/>
      <c r="H110" s="1003"/>
      <c r="I110" s="970">
        <f>SUMIFS(I111:I1092,A111:A1092,A110&amp;"*")</f>
        <v>3494.62</v>
      </c>
      <c r="J110" s="1227"/>
      <c r="K110" s="525" t="str">
        <f t="shared" si="67"/>
        <v/>
      </c>
      <c r="L110" s="535"/>
      <c r="M110" s="535"/>
      <c r="N110" s="535"/>
      <c r="O110" s="535"/>
      <c r="P110" s="535"/>
      <c r="Q110" s="1087"/>
      <c r="R110" s="1087"/>
      <c r="S110" s="1116"/>
      <c r="T110" s="1088"/>
    </row>
    <row r="111" spans="1:20" s="443" customFormat="1" ht="39.950000000000003" customHeight="1" x14ac:dyDescent="0.25">
      <c r="A111" s="966" t="s">
        <v>44044</v>
      </c>
      <c r="B111" s="967" t="s">
        <v>2927</v>
      </c>
      <c r="C111" s="346" t="s">
        <v>43940</v>
      </c>
      <c r="D111" s="874" t="s">
        <v>9334</v>
      </c>
      <c r="E111" s="346" t="s">
        <v>226</v>
      </c>
      <c r="F111" s="968">
        <v>1</v>
      </c>
      <c r="G111" s="986" t="s">
        <v>41876</v>
      </c>
      <c r="H111" s="968">
        <f t="shared" ref="H111:H119" si="68">TRUNC(G111*(1+$H$6),2)</f>
        <v>2249.6799999999998</v>
      </c>
      <c r="I111" s="968">
        <f t="shared" ref="I111:I119" si="69">TRUNC(F111*H111,2)</f>
        <v>2249.6799999999998</v>
      </c>
      <c r="J111" s="1217"/>
      <c r="K111" s="525">
        <f t="shared" si="67"/>
        <v>3.4978911907034276E-4</v>
      </c>
      <c r="L111" s="535"/>
      <c r="M111" s="535"/>
      <c r="N111" s="535"/>
      <c r="O111" s="535"/>
      <c r="P111" s="535"/>
      <c r="Q111" s="1087"/>
      <c r="R111" s="1087"/>
      <c r="S111" s="1116"/>
      <c r="T111" s="1088"/>
    </row>
    <row r="112" spans="1:20" s="443" customFormat="1" ht="39.950000000000003" customHeight="1" x14ac:dyDescent="0.25">
      <c r="A112" s="462" t="s">
        <v>44045</v>
      </c>
      <c r="B112" s="460" t="s">
        <v>2928</v>
      </c>
      <c r="C112" s="346" t="s">
        <v>43940</v>
      </c>
      <c r="D112" s="874" t="s">
        <v>9474</v>
      </c>
      <c r="E112" s="346" t="s">
        <v>226</v>
      </c>
      <c r="F112" s="968">
        <v>2</v>
      </c>
      <c r="G112" s="986" t="s">
        <v>41939</v>
      </c>
      <c r="H112" s="348">
        <f t="shared" si="68"/>
        <v>44.11</v>
      </c>
      <c r="I112" s="348">
        <f t="shared" si="69"/>
        <v>88.22</v>
      </c>
      <c r="J112" s="1217"/>
      <c r="K112" s="525">
        <f t="shared" si="67"/>
        <v>1.3716793537029996E-5</v>
      </c>
      <c r="L112" s="535"/>
      <c r="M112" s="535"/>
      <c r="N112" s="535"/>
      <c r="O112" s="535"/>
      <c r="P112" s="535"/>
      <c r="Q112" s="1087"/>
      <c r="R112" s="1087"/>
      <c r="S112" s="1116"/>
      <c r="T112" s="1088"/>
    </row>
    <row r="113" spans="1:20" s="443" customFormat="1" ht="39.950000000000003" customHeight="1" x14ac:dyDescent="0.25">
      <c r="A113" s="462" t="s">
        <v>44046</v>
      </c>
      <c r="B113" s="460" t="s">
        <v>2931</v>
      </c>
      <c r="C113" s="346" t="s">
        <v>43940</v>
      </c>
      <c r="D113" s="874" t="s">
        <v>9051</v>
      </c>
      <c r="E113" s="346" t="s">
        <v>226</v>
      </c>
      <c r="F113" s="968">
        <v>1</v>
      </c>
      <c r="G113" s="986" t="s">
        <v>41749</v>
      </c>
      <c r="H113" s="348">
        <f t="shared" si="68"/>
        <v>80.77</v>
      </c>
      <c r="I113" s="348">
        <f t="shared" si="69"/>
        <v>80.77</v>
      </c>
      <c r="J113" s="1217"/>
      <c r="K113" s="525">
        <f t="shared" si="67"/>
        <v>1.2558438154453782E-5</v>
      </c>
      <c r="L113" s="535"/>
      <c r="M113" s="535"/>
      <c r="N113" s="535"/>
      <c r="O113" s="535"/>
      <c r="P113" s="535"/>
      <c r="Q113" s="1087"/>
      <c r="R113" s="1087"/>
      <c r="S113" s="1116"/>
      <c r="T113" s="1088"/>
    </row>
    <row r="114" spans="1:20" s="443" customFormat="1" ht="30" customHeight="1" x14ac:dyDescent="0.25">
      <c r="A114" s="462" t="s">
        <v>44047</v>
      </c>
      <c r="B114" s="460" t="s">
        <v>8740</v>
      </c>
      <c r="C114" s="346" t="s">
        <v>43940</v>
      </c>
      <c r="D114" s="874" t="s">
        <v>8741</v>
      </c>
      <c r="E114" s="346" t="s">
        <v>158</v>
      </c>
      <c r="F114" s="968">
        <v>10</v>
      </c>
      <c r="G114" s="986" t="s">
        <v>41647</v>
      </c>
      <c r="H114" s="348">
        <f t="shared" si="68"/>
        <v>32.880000000000003</v>
      </c>
      <c r="I114" s="348">
        <f t="shared" si="69"/>
        <v>328.8</v>
      </c>
      <c r="J114" s="1217"/>
      <c r="K114" s="525">
        <f t="shared" si="67"/>
        <v>5.1123120777323315E-5</v>
      </c>
      <c r="L114" s="535"/>
      <c r="M114" s="535"/>
      <c r="N114" s="535"/>
      <c r="O114" s="535"/>
      <c r="P114" s="535"/>
      <c r="Q114" s="1087" t="str">
        <f>MID(C114,1,SEARCH("",C114,1)-1)</f>
        <v/>
      </c>
      <c r="R114" s="1087"/>
      <c r="S114" s="1116"/>
      <c r="T114" s="1088"/>
    </row>
    <row r="115" spans="1:20" s="443" customFormat="1" ht="24.95" customHeight="1" x14ac:dyDescent="0.25">
      <c r="A115" s="462" t="s">
        <v>44048</v>
      </c>
      <c r="B115" s="460" t="s">
        <v>37098</v>
      </c>
      <c r="C115" s="346" t="s">
        <v>39761</v>
      </c>
      <c r="D115" s="874" t="s">
        <v>37099</v>
      </c>
      <c r="E115" s="346" t="s">
        <v>226</v>
      </c>
      <c r="F115" s="968">
        <v>1</v>
      </c>
      <c r="G115" s="986">
        <v>33.950000000000003</v>
      </c>
      <c r="H115" s="348">
        <f t="shared" si="68"/>
        <v>40.61</v>
      </c>
      <c r="I115" s="348">
        <f t="shared" si="69"/>
        <v>40.61</v>
      </c>
      <c r="J115" s="1217"/>
      <c r="K115" s="525">
        <f t="shared" si="67"/>
        <v>6.3142029646201329E-6</v>
      </c>
      <c r="L115" s="535"/>
      <c r="M115" s="535"/>
      <c r="N115" s="535"/>
      <c r="O115" s="535"/>
      <c r="P115" s="535"/>
      <c r="Q115" s="1087"/>
      <c r="R115" s="1087"/>
      <c r="S115" s="1116"/>
      <c r="T115" s="1088"/>
    </row>
    <row r="116" spans="1:20" s="443" customFormat="1" ht="30" customHeight="1" x14ac:dyDescent="0.25">
      <c r="A116" s="462" t="s">
        <v>44049</v>
      </c>
      <c r="B116" s="460" t="s">
        <v>43948</v>
      </c>
      <c r="C116" s="346" t="s">
        <v>43940</v>
      </c>
      <c r="D116" s="874" t="s">
        <v>43949</v>
      </c>
      <c r="E116" s="346" t="s">
        <v>226</v>
      </c>
      <c r="F116" s="968">
        <v>1</v>
      </c>
      <c r="G116" s="986" t="s">
        <v>42774</v>
      </c>
      <c r="H116" s="348">
        <f t="shared" si="68"/>
        <v>38.119999999999997</v>
      </c>
      <c r="I116" s="348">
        <f t="shared" si="69"/>
        <v>38.119999999999997</v>
      </c>
      <c r="J116" s="1217"/>
      <c r="K116" s="525">
        <f t="shared" si="67"/>
        <v>5.9270479441349286E-6</v>
      </c>
      <c r="L116" s="535"/>
      <c r="M116" s="535"/>
      <c r="N116" s="535"/>
      <c r="O116" s="535"/>
      <c r="P116" s="535"/>
      <c r="Q116" s="1087"/>
      <c r="R116" s="1087"/>
      <c r="S116" s="1116"/>
      <c r="T116" s="1088"/>
    </row>
    <row r="117" spans="1:20" s="443" customFormat="1" ht="39.950000000000003" customHeight="1" x14ac:dyDescent="0.25">
      <c r="A117" s="462" t="s">
        <v>44050</v>
      </c>
      <c r="B117" s="460" t="s">
        <v>2894</v>
      </c>
      <c r="C117" s="346" t="s">
        <v>43940</v>
      </c>
      <c r="D117" s="874" t="s">
        <v>39845</v>
      </c>
      <c r="E117" s="346" t="s">
        <v>158</v>
      </c>
      <c r="F117" s="968">
        <v>30</v>
      </c>
      <c r="G117" s="986" t="s">
        <v>41681</v>
      </c>
      <c r="H117" s="348">
        <f t="shared" si="68"/>
        <v>5.75</v>
      </c>
      <c r="I117" s="348">
        <f t="shared" si="69"/>
        <v>172.5</v>
      </c>
      <c r="J117" s="1217"/>
      <c r="K117" s="525">
        <f t="shared" si="67"/>
        <v>2.6820980334818343E-5</v>
      </c>
      <c r="L117" s="535"/>
      <c r="M117" s="535"/>
      <c r="N117" s="535"/>
      <c r="O117" s="535"/>
      <c r="P117" s="535"/>
      <c r="Q117" s="1087"/>
      <c r="R117" s="1087"/>
      <c r="S117" s="1116"/>
      <c r="T117" s="1088"/>
    </row>
    <row r="118" spans="1:20" s="443" customFormat="1" ht="24.95" customHeight="1" x14ac:dyDescent="0.25">
      <c r="A118" s="462" t="s">
        <v>44051</v>
      </c>
      <c r="B118" s="460" t="s">
        <v>36196</v>
      </c>
      <c r="C118" s="346" t="s">
        <v>39761</v>
      </c>
      <c r="D118" s="874" t="s">
        <v>36197</v>
      </c>
      <c r="E118" s="346" t="s">
        <v>226</v>
      </c>
      <c r="F118" s="968">
        <v>6</v>
      </c>
      <c r="G118" s="986">
        <v>13.31</v>
      </c>
      <c r="H118" s="348">
        <f t="shared" si="68"/>
        <v>15.92</v>
      </c>
      <c r="I118" s="348">
        <f t="shared" si="69"/>
        <v>95.52</v>
      </c>
      <c r="J118" s="1217"/>
      <c r="K118" s="525">
        <f t="shared" si="67"/>
        <v>1.4851826328010714E-5</v>
      </c>
      <c r="L118" s="535"/>
      <c r="M118" s="535"/>
      <c r="N118" s="535"/>
      <c r="O118" s="535"/>
      <c r="P118" s="535"/>
      <c r="Q118" s="1087"/>
      <c r="R118" s="1087"/>
      <c r="S118" s="1116"/>
      <c r="T118" s="1088"/>
    </row>
    <row r="119" spans="1:20" s="443" customFormat="1" ht="39.950000000000003" customHeight="1" x14ac:dyDescent="0.25">
      <c r="A119" s="462" t="s">
        <v>44052</v>
      </c>
      <c r="B119" s="460" t="s">
        <v>2901</v>
      </c>
      <c r="C119" s="346" t="s">
        <v>43940</v>
      </c>
      <c r="D119" s="874" t="s">
        <v>8860</v>
      </c>
      <c r="E119" s="346" t="s">
        <v>158</v>
      </c>
      <c r="F119" s="968">
        <v>10</v>
      </c>
      <c r="G119" s="986" t="s">
        <v>16016</v>
      </c>
      <c r="H119" s="348">
        <f t="shared" si="68"/>
        <v>40.04</v>
      </c>
      <c r="I119" s="348">
        <f t="shared" si="69"/>
        <v>400.4</v>
      </c>
      <c r="J119" s="1217"/>
      <c r="K119" s="525">
        <f t="shared" si="67"/>
        <v>6.2255771165572541E-5</v>
      </c>
      <c r="L119" s="535"/>
      <c r="M119" s="535"/>
      <c r="N119" s="535"/>
      <c r="O119" s="535"/>
      <c r="P119" s="535"/>
      <c r="Q119" s="1087"/>
      <c r="R119" s="1087"/>
      <c r="S119" s="1116"/>
      <c r="T119" s="1088"/>
    </row>
    <row r="120" spans="1:20" s="452" customFormat="1" ht="15" customHeight="1" x14ac:dyDescent="0.25">
      <c r="A120" s="998" t="s">
        <v>44053</v>
      </c>
      <c r="B120" s="999"/>
      <c r="C120" s="969"/>
      <c r="D120" s="969" t="s">
        <v>21598</v>
      </c>
      <c r="E120" s="1000"/>
      <c r="F120" s="1001"/>
      <c r="G120" s="1002"/>
      <c r="H120" s="1003"/>
      <c r="I120" s="970">
        <f>SUMIFS(I121:I1103,A121:A1103,A120&amp;"*")</f>
        <v>52949.219999999994</v>
      </c>
      <c r="J120" s="1227"/>
      <c r="K120" s="525" t="str">
        <f t="shared" si="67"/>
        <v/>
      </c>
      <c r="L120" s="535"/>
      <c r="M120" s="535"/>
      <c r="N120" s="535"/>
      <c r="O120" s="535"/>
      <c r="P120" s="535"/>
      <c r="Q120" s="1087"/>
      <c r="R120" s="1087"/>
      <c r="S120" s="1116"/>
      <c r="T120" s="1088"/>
    </row>
    <row r="121" spans="1:20" s="443" customFormat="1" ht="35.1" customHeight="1" x14ac:dyDescent="0.25">
      <c r="A121" s="462" t="s">
        <v>44054</v>
      </c>
      <c r="B121" s="262" t="s">
        <v>31546</v>
      </c>
      <c r="C121" s="346" t="s">
        <v>43940</v>
      </c>
      <c r="D121" s="874" t="s">
        <v>31547</v>
      </c>
      <c r="E121" s="346" t="s">
        <v>226</v>
      </c>
      <c r="F121" s="348">
        <v>14</v>
      </c>
      <c r="G121" s="348" t="s">
        <v>31548</v>
      </c>
      <c r="H121" s="348">
        <f>TRUNC(G121*(1+$H$6),2)</f>
        <v>2360.6799999999998</v>
      </c>
      <c r="I121" s="348">
        <f t="shared" ref="I121" si="70">TRUNC(F121*H121,2)</f>
        <v>33049.519999999997</v>
      </c>
      <c r="J121" s="1217"/>
      <c r="K121" s="525">
        <f t="shared" si="67"/>
        <v>5.138669715914119E-3</v>
      </c>
      <c r="L121" s="535"/>
      <c r="M121" s="535"/>
      <c r="N121" s="535"/>
      <c r="O121" s="535"/>
      <c r="P121" s="535"/>
      <c r="Q121" s="1087"/>
      <c r="R121" s="1087"/>
      <c r="S121" s="1116"/>
      <c r="T121" s="1088"/>
    </row>
    <row r="122" spans="1:20" s="443" customFormat="1" ht="35.1" customHeight="1" x14ac:dyDescent="0.25">
      <c r="A122" s="462" t="s">
        <v>44055</v>
      </c>
      <c r="B122" s="460" t="s">
        <v>2906</v>
      </c>
      <c r="C122" s="346" t="s">
        <v>43940</v>
      </c>
      <c r="D122" s="874" t="s">
        <v>9511</v>
      </c>
      <c r="E122" s="346" t="s">
        <v>226</v>
      </c>
      <c r="F122" s="348">
        <v>9</v>
      </c>
      <c r="G122" s="986" t="s">
        <v>41946</v>
      </c>
      <c r="H122" s="348">
        <f t="shared" ref="H122:H142" si="71">TRUNC(G122*(1+$H$6),2)</f>
        <v>337.36</v>
      </c>
      <c r="I122" s="348">
        <f t="shared" ref="I122:I142" si="72">TRUNC(F122*H122,2)</f>
        <v>3036.24</v>
      </c>
      <c r="J122" s="1217"/>
      <c r="K122" s="525">
        <f t="shared" si="67"/>
        <v>4.720865700393556E-4</v>
      </c>
      <c r="L122" s="535"/>
      <c r="M122" s="535"/>
      <c r="N122" s="535"/>
      <c r="O122" s="535"/>
      <c r="P122" s="535"/>
      <c r="Q122" s="1087"/>
      <c r="R122" s="1087"/>
      <c r="S122" s="1116"/>
      <c r="T122" s="1088"/>
    </row>
    <row r="123" spans="1:20" s="443" customFormat="1" ht="35.1" customHeight="1" x14ac:dyDescent="0.25">
      <c r="A123" s="462" t="s">
        <v>44056</v>
      </c>
      <c r="B123" s="460" t="s">
        <v>2907</v>
      </c>
      <c r="C123" s="346" t="s">
        <v>43940</v>
      </c>
      <c r="D123" s="874" t="s">
        <v>9518</v>
      </c>
      <c r="E123" s="346" t="s">
        <v>226</v>
      </c>
      <c r="F123" s="348">
        <v>10</v>
      </c>
      <c r="G123" s="986" t="s">
        <v>41950</v>
      </c>
      <c r="H123" s="348">
        <f t="shared" si="71"/>
        <v>899.14</v>
      </c>
      <c r="I123" s="348">
        <f t="shared" si="72"/>
        <v>8991.4</v>
      </c>
      <c r="J123" s="1217"/>
      <c r="K123" s="525">
        <f t="shared" si="67"/>
        <v>1.398018333811511E-3</v>
      </c>
      <c r="L123" s="535"/>
      <c r="M123" s="535"/>
      <c r="N123" s="535"/>
      <c r="O123" s="535"/>
      <c r="P123" s="535"/>
      <c r="Q123" s="1087"/>
      <c r="R123" s="1087"/>
      <c r="S123" s="1116"/>
      <c r="T123" s="1088"/>
    </row>
    <row r="124" spans="1:20" s="443" customFormat="1" ht="35.1" customHeight="1" x14ac:dyDescent="0.25">
      <c r="A124" s="462" t="s">
        <v>44057</v>
      </c>
      <c r="B124" s="460" t="s">
        <v>43948</v>
      </c>
      <c r="C124" s="346" t="s">
        <v>43940</v>
      </c>
      <c r="D124" s="874" t="s">
        <v>43949</v>
      </c>
      <c r="E124" s="346" t="s">
        <v>226</v>
      </c>
      <c r="F124" s="348">
        <v>84</v>
      </c>
      <c r="G124" s="986" t="s">
        <v>42774</v>
      </c>
      <c r="H124" s="348">
        <f t="shared" si="71"/>
        <v>38.119999999999997</v>
      </c>
      <c r="I124" s="348">
        <f t="shared" si="72"/>
        <v>3202.08</v>
      </c>
      <c r="J124" s="1217"/>
      <c r="K124" s="525">
        <f t="shared" si="67"/>
        <v>4.9787202730733403E-4</v>
      </c>
      <c r="L124" s="535"/>
      <c r="M124" s="535"/>
      <c r="N124" s="535"/>
      <c r="O124" s="535"/>
      <c r="P124" s="535"/>
      <c r="Q124" s="1087"/>
      <c r="R124" s="1087"/>
      <c r="S124" s="1116"/>
      <c r="T124" s="1088"/>
    </row>
    <row r="125" spans="1:20" s="443" customFormat="1" ht="35.1" customHeight="1" x14ac:dyDescent="0.25">
      <c r="A125" s="462" t="s">
        <v>44058</v>
      </c>
      <c r="B125" s="460">
        <v>2690</v>
      </c>
      <c r="C125" s="346" t="s">
        <v>43940</v>
      </c>
      <c r="D125" s="874" t="s">
        <v>18233</v>
      </c>
      <c r="E125" s="346" t="s">
        <v>18234</v>
      </c>
      <c r="F125" s="348">
        <v>14</v>
      </c>
      <c r="G125" s="986" t="s">
        <v>16641</v>
      </c>
      <c r="H125" s="348">
        <f t="shared" si="71"/>
        <v>5.25</v>
      </c>
      <c r="I125" s="348">
        <f t="shared" si="72"/>
        <v>73.5</v>
      </c>
      <c r="J125" s="1217"/>
      <c r="K125" s="525">
        <f t="shared" si="67"/>
        <v>1.1428069881792164E-5</v>
      </c>
      <c r="L125" s="535"/>
      <c r="M125" s="535"/>
      <c r="N125" s="535"/>
      <c r="O125" s="535"/>
      <c r="P125" s="535"/>
      <c r="Q125" s="1087"/>
      <c r="R125" s="1087"/>
      <c r="S125" s="1116"/>
      <c r="T125" s="1088"/>
    </row>
    <row r="126" spans="1:20" s="443" customFormat="1" ht="39.950000000000003" customHeight="1" x14ac:dyDescent="0.25">
      <c r="A126" s="462" t="s">
        <v>44059</v>
      </c>
      <c r="B126" s="460" t="s">
        <v>2894</v>
      </c>
      <c r="C126" s="346" t="s">
        <v>43940</v>
      </c>
      <c r="D126" s="874" t="s">
        <v>39845</v>
      </c>
      <c r="E126" s="346" t="s">
        <v>158</v>
      </c>
      <c r="F126" s="348">
        <v>504</v>
      </c>
      <c r="G126" s="986" t="s">
        <v>41681</v>
      </c>
      <c r="H126" s="348">
        <f t="shared" si="71"/>
        <v>5.75</v>
      </c>
      <c r="I126" s="348">
        <f t="shared" si="72"/>
        <v>2898</v>
      </c>
      <c r="J126" s="1217"/>
      <c r="K126" s="525">
        <f t="shared" si="67"/>
        <v>4.5059246962494818E-4</v>
      </c>
      <c r="L126" s="535"/>
      <c r="M126" s="535"/>
      <c r="N126" s="535"/>
      <c r="O126" s="535"/>
      <c r="P126" s="535"/>
      <c r="Q126" s="1087"/>
      <c r="R126" s="1087"/>
      <c r="S126" s="1116"/>
      <c r="T126" s="1088"/>
    </row>
    <row r="127" spans="1:20" s="443" customFormat="1" ht="39.950000000000003" customHeight="1" x14ac:dyDescent="0.25">
      <c r="A127" s="462" t="s">
        <v>44060</v>
      </c>
      <c r="B127" s="460" t="s">
        <v>2901</v>
      </c>
      <c r="C127" s="346" t="s">
        <v>43940</v>
      </c>
      <c r="D127" s="874" t="s">
        <v>8860</v>
      </c>
      <c r="E127" s="346" t="s">
        <v>158</v>
      </c>
      <c r="F127" s="348">
        <v>14</v>
      </c>
      <c r="G127" s="986" t="s">
        <v>16016</v>
      </c>
      <c r="H127" s="348">
        <f t="shared" si="71"/>
        <v>40.04</v>
      </c>
      <c r="I127" s="348">
        <f t="shared" si="72"/>
        <v>560.55999999999995</v>
      </c>
      <c r="J127" s="1217"/>
      <c r="K127" s="525">
        <f t="shared" si="67"/>
        <v>8.7158079631801554E-5</v>
      </c>
      <c r="L127" s="535"/>
      <c r="M127" s="535"/>
      <c r="N127" s="535"/>
      <c r="O127" s="535"/>
      <c r="P127" s="535"/>
      <c r="Q127" s="1087"/>
      <c r="R127" s="1087"/>
      <c r="S127" s="1116"/>
      <c r="T127" s="1088"/>
    </row>
    <row r="128" spans="1:20" s="443" customFormat="1" ht="30" customHeight="1" x14ac:dyDescent="0.25">
      <c r="A128" s="462" t="s">
        <v>44061</v>
      </c>
      <c r="B128" s="460" t="s">
        <v>37064</v>
      </c>
      <c r="C128" s="346" t="s">
        <v>39761</v>
      </c>
      <c r="D128" s="874" t="s">
        <v>37065</v>
      </c>
      <c r="E128" s="346" t="s">
        <v>226</v>
      </c>
      <c r="F128" s="348">
        <v>14</v>
      </c>
      <c r="G128" s="986">
        <v>34</v>
      </c>
      <c r="H128" s="348">
        <f t="shared" si="71"/>
        <v>40.67</v>
      </c>
      <c r="I128" s="348">
        <f t="shared" si="72"/>
        <v>569.38</v>
      </c>
      <c r="J128" s="1217"/>
      <c r="K128" s="525">
        <f t="shared" si="67"/>
        <v>8.8529448017616623E-5</v>
      </c>
      <c r="L128" s="535"/>
      <c r="M128" s="535"/>
      <c r="N128" s="535"/>
      <c r="O128" s="535"/>
      <c r="P128" s="535"/>
      <c r="Q128" s="1087"/>
      <c r="R128" s="1087"/>
      <c r="S128" s="1116"/>
      <c r="T128" s="1088"/>
    </row>
    <row r="129" spans="1:20" s="443" customFormat="1" ht="30" customHeight="1" x14ac:dyDescent="0.25">
      <c r="A129" s="462" t="s">
        <v>44062</v>
      </c>
      <c r="B129" s="460" t="s">
        <v>37098</v>
      </c>
      <c r="C129" s="346" t="s">
        <v>39761</v>
      </c>
      <c r="D129" s="874" t="s">
        <v>37099</v>
      </c>
      <c r="E129" s="346" t="s">
        <v>226</v>
      </c>
      <c r="F129" s="348">
        <v>14</v>
      </c>
      <c r="G129" s="986">
        <v>33.950000000000003</v>
      </c>
      <c r="H129" s="348">
        <f t="shared" si="71"/>
        <v>40.61</v>
      </c>
      <c r="I129" s="348">
        <f t="shared" si="72"/>
        <v>568.54</v>
      </c>
      <c r="J129" s="1217"/>
      <c r="K129" s="525">
        <f t="shared" si="67"/>
        <v>8.8398841504681858E-5</v>
      </c>
      <c r="L129" s="535"/>
      <c r="M129" s="535"/>
      <c r="N129" s="535"/>
      <c r="O129" s="535"/>
      <c r="P129" s="535"/>
      <c r="Q129" s="1087"/>
      <c r="R129" s="1087"/>
      <c r="S129" s="1116"/>
      <c r="T129" s="1088"/>
    </row>
    <row r="130" spans="1:20" s="452" customFormat="1" ht="15" customHeight="1" x14ac:dyDescent="0.25">
      <c r="A130" s="998" t="s">
        <v>44063</v>
      </c>
      <c r="B130" s="999"/>
      <c r="C130" s="969"/>
      <c r="D130" s="969" t="s">
        <v>21599</v>
      </c>
      <c r="E130" s="1000"/>
      <c r="F130" s="1001"/>
      <c r="G130" s="1002"/>
      <c r="H130" s="1003"/>
      <c r="I130" s="970">
        <f>SUMIFS(I131:I1113,A131:A1113,A130&amp;"*")</f>
        <v>60452.049999999996</v>
      </c>
      <c r="J130" s="1227"/>
      <c r="K130" s="525" t="str">
        <f t="shared" si="67"/>
        <v/>
      </c>
      <c r="L130" s="535"/>
      <c r="M130" s="535"/>
      <c r="N130" s="535"/>
      <c r="O130" s="535"/>
      <c r="P130" s="535"/>
      <c r="Q130" s="1087"/>
      <c r="R130" s="1087"/>
      <c r="S130" s="1116"/>
      <c r="T130" s="1088"/>
    </row>
    <row r="131" spans="1:20" s="443" customFormat="1" ht="39.950000000000003" customHeight="1" x14ac:dyDescent="0.25">
      <c r="A131" s="462" t="s">
        <v>44064</v>
      </c>
      <c r="B131" s="460" t="s">
        <v>2901</v>
      </c>
      <c r="C131" s="346" t="s">
        <v>43940</v>
      </c>
      <c r="D131" s="874" t="s">
        <v>8860</v>
      </c>
      <c r="E131" s="346" t="s">
        <v>158</v>
      </c>
      <c r="F131" s="348">
        <v>548</v>
      </c>
      <c r="G131" s="986" t="s">
        <v>16016</v>
      </c>
      <c r="H131" s="348">
        <f t="shared" si="71"/>
        <v>40.04</v>
      </c>
      <c r="I131" s="348">
        <f t="shared" si="72"/>
        <v>21941.919999999998</v>
      </c>
      <c r="J131" s="1217"/>
      <c r="K131" s="525">
        <f t="shared" si="67"/>
        <v>3.4116162598733756E-3</v>
      </c>
      <c r="L131" s="535"/>
      <c r="M131" s="535"/>
      <c r="N131" s="535"/>
      <c r="O131" s="535"/>
      <c r="P131" s="535"/>
      <c r="Q131" s="1087"/>
      <c r="R131" s="1087"/>
      <c r="S131" s="1116"/>
      <c r="T131" s="1088"/>
    </row>
    <row r="132" spans="1:20" s="443" customFormat="1" ht="15" customHeight="1" x14ac:dyDescent="0.25">
      <c r="A132" s="462" t="s">
        <v>44065</v>
      </c>
      <c r="B132" s="460" t="s">
        <v>28325</v>
      </c>
      <c r="C132" s="346" t="s">
        <v>2744</v>
      </c>
      <c r="D132" s="874" t="s">
        <v>699</v>
      </c>
      <c r="E132" s="346" t="s">
        <v>40</v>
      </c>
      <c r="F132" s="348">
        <v>10.960000000000003</v>
      </c>
      <c r="G132" s="348">
        <v>579.14</v>
      </c>
      <c r="H132" s="348">
        <f t="shared" si="71"/>
        <v>692.76</v>
      </c>
      <c r="I132" s="348">
        <f t="shared" si="72"/>
        <v>7592.64</v>
      </c>
      <c r="J132" s="1217"/>
      <c r="K132" s="525">
        <f t="shared" si="67"/>
        <v>1.1805336123440879E-3</v>
      </c>
      <c r="L132" s="535"/>
      <c r="M132" s="535"/>
      <c r="N132" s="535"/>
      <c r="O132" s="535"/>
      <c r="P132" s="535"/>
      <c r="Q132" s="1087"/>
      <c r="R132" s="1087"/>
      <c r="S132" s="1116"/>
      <c r="T132" s="1088"/>
    </row>
    <row r="133" spans="1:20" s="443" customFormat="1" ht="35.1" customHeight="1" x14ac:dyDescent="0.25">
      <c r="A133" s="462" t="s">
        <v>44066</v>
      </c>
      <c r="B133" s="460" t="s">
        <v>43951</v>
      </c>
      <c r="C133" s="346" t="s">
        <v>43940</v>
      </c>
      <c r="D133" s="874" t="s">
        <v>43952</v>
      </c>
      <c r="E133" s="346" t="s">
        <v>227</v>
      </c>
      <c r="F133" s="348">
        <v>219.20000000000002</v>
      </c>
      <c r="G133" s="986" t="s">
        <v>4559</v>
      </c>
      <c r="H133" s="348">
        <f t="shared" si="71"/>
        <v>10.53</v>
      </c>
      <c r="I133" s="348">
        <f t="shared" si="72"/>
        <v>2308.17</v>
      </c>
      <c r="J133" s="1217"/>
      <c r="K133" s="525">
        <f t="shared" si="67"/>
        <v>3.5888337495314584E-4</v>
      </c>
      <c r="L133" s="535"/>
      <c r="M133" s="535"/>
      <c r="N133" s="535"/>
      <c r="O133" s="535"/>
      <c r="P133" s="535"/>
      <c r="Q133" s="1087"/>
      <c r="R133" s="1087"/>
      <c r="S133" s="1116"/>
      <c r="T133" s="1088"/>
    </row>
    <row r="134" spans="1:20" s="443" customFormat="1" ht="30" customHeight="1" x14ac:dyDescent="0.25">
      <c r="A134" s="462" t="s">
        <v>44067</v>
      </c>
      <c r="B134" s="460">
        <v>367</v>
      </c>
      <c r="C134" s="346" t="s">
        <v>43940</v>
      </c>
      <c r="D134" s="874" t="s">
        <v>31539</v>
      </c>
      <c r="E134" s="346" t="s">
        <v>31540</v>
      </c>
      <c r="F134" s="348">
        <v>10.960000000000003</v>
      </c>
      <c r="G134" s="986" t="s">
        <v>18235</v>
      </c>
      <c r="H134" s="348">
        <f t="shared" si="71"/>
        <v>72.34</v>
      </c>
      <c r="I134" s="348">
        <f t="shared" si="72"/>
        <v>792.84</v>
      </c>
      <c r="J134" s="1217"/>
      <c r="K134" s="525">
        <f t="shared" si="67"/>
        <v>1.2327389013714422E-4</v>
      </c>
      <c r="L134" s="535"/>
      <c r="M134" s="535"/>
      <c r="N134" s="535"/>
      <c r="O134" s="535"/>
      <c r="P134" s="535"/>
      <c r="Q134" s="1087"/>
      <c r="R134" s="1087"/>
      <c r="S134" s="1116"/>
      <c r="T134" s="1088"/>
    </row>
    <row r="135" spans="1:20" s="443" customFormat="1" ht="30" customHeight="1" x14ac:dyDescent="0.25">
      <c r="A135" s="462" t="s">
        <v>44068</v>
      </c>
      <c r="B135" s="460" t="s">
        <v>2917</v>
      </c>
      <c r="C135" s="346" t="s">
        <v>43940</v>
      </c>
      <c r="D135" s="874" t="s">
        <v>8857</v>
      </c>
      <c r="E135" s="346" t="s">
        <v>158</v>
      </c>
      <c r="F135" s="348">
        <v>1644</v>
      </c>
      <c r="G135" s="986" t="s">
        <v>6342</v>
      </c>
      <c r="H135" s="348">
        <f t="shared" si="71"/>
        <v>16.920000000000002</v>
      </c>
      <c r="I135" s="348">
        <f t="shared" si="72"/>
        <v>27816.48</v>
      </c>
      <c r="J135" s="1217"/>
      <c r="K135" s="525">
        <f t="shared" si="67"/>
        <v>4.3250160177615519E-3</v>
      </c>
      <c r="L135" s="535"/>
      <c r="M135" s="535"/>
      <c r="N135" s="535"/>
      <c r="O135" s="535"/>
      <c r="P135" s="535"/>
      <c r="Q135" s="1087"/>
      <c r="R135" s="1087"/>
      <c r="S135" s="1116"/>
      <c r="T135" s="1088"/>
    </row>
    <row r="136" spans="1:20" s="452" customFormat="1" ht="15" customHeight="1" x14ac:dyDescent="0.25">
      <c r="A136" s="998" t="s">
        <v>44069</v>
      </c>
      <c r="B136" s="999"/>
      <c r="C136" s="969"/>
      <c r="D136" s="969" t="s">
        <v>21600</v>
      </c>
      <c r="E136" s="1000"/>
      <c r="F136" s="1001"/>
      <c r="G136" s="1002"/>
      <c r="H136" s="1003"/>
      <c r="I136" s="970">
        <f>SUMIFS(I137:I1119,A137:A1119,A136&amp;"*")</f>
        <v>4793.4800000000005</v>
      </c>
      <c r="J136" s="1227"/>
      <c r="K136" s="525" t="str">
        <f t="shared" si="67"/>
        <v/>
      </c>
      <c r="L136" s="535"/>
      <c r="M136" s="535"/>
      <c r="N136" s="535"/>
      <c r="O136" s="535"/>
      <c r="P136" s="535"/>
      <c r="Q136" s="1087"/>
      <c r="R136" s="1087"/>
      <c r="S136" s="1116"/>
      <c r="T136" s="1088"/>
    </row>
    <row r="137" spans="1:20" s="443" customFormat="1" ht="35.1" customHeight="1" x14ac:dyDescent="0.25">
      <c r="A137" s="462" t="s">
        <v>44070</v>
      </c>
      <c r="B137" s="460" t="s">
        <v>8983</v>
      </c>
      <c r="C137" s="346" t="s">
        <v>43940</v>
      </c>
      <c r="D137" s="874" t="s">
        <v>8984</v>
      </c>
      <c r="E137" s="346" t="s">
        <v>226</v>
      </c>
      <c r="F137" s="348">
        <v>10</v>
      </c>
      <c r="G137" s="986" t="s">
        <v>41725</v>
      </c>
      <c r="H137" s="348">
        <f t="shared" si="71"/>
        <v>463.51</v>
      </c>
      <c r="I137" s="348">
        <f t="shared" si="72"/>
        <v>4635.1000000000004</v>
      </c>
      <c r="J137" s="1217"/>
      <c r="K137" s="525">
        <f t="shared" si="67"/>
        <v>7.2068362869516815E-4</v>
      </c>
      <c r="L137" s="535"/>
      <c r="M137" s="535"/>
      <c r="N137" s="535"/>
      <c r="O137" s="535"/>
      <c r="P137" s="535"/>
      <c r="Q137" s="1087"/>
      <c r="R137" s="1087"/>
      <c r="S137" s="1116"/>
      <c r="T137" s="1088"/>
    </row>
    <row r="138" spans="1:20" s="443" customFormat="1" ht="15" customHeight="1" x14ac:dyDescent="0.25">
      <c r="A138" s="462" t="s">
        <v>44071</v>
      </c>
      <c r="B138" s="437" t="s">
        <v>18</v>
      </c>
      <c r="C138" s="346" t="s">
        <v>2744</v>
      </c>
      <c r="D138" s="874" t="s">
        <v>698</v>
      </c>
      <c r="E138" s="346" t="s">
        <v>40</v>
      </c>
      <c r="F138" s="348">
        <v>0.25</v>
      </c>
      <c r="G138" s="348">
        <v>529.62</v>
      </c>
      <c r="H138" s="348">
        <f t="shared" si="71"/>
        <v>633.53</v>
      </c>
      <c r="I138" s="348">
        <f t="shared" si="72"/>
        <v>158.38</v>
      </c>
      <c r="J138" s="1217"/>
      <c r="K138" s="525">
        <f t="shared" si="67"/>
        <v>2.4625547045962486E-5</v>
      </c>
      <c r="L138" s="535"/>
      <c r="M138" s="535"/>
      <c r="N138" s="535"/>
      <c r="O138" s="535"/>
      <c r="P138" s="535"/>
      <c r="Q138" s="1087"/>
      <c r="R138" s="1087"/>
      <c r="S138" s="1116"/>
      <c r="T138" s="1088"/>
    </row>
    <row r="139" spans="1:20" s="452" customFormat="1" ht="15" customHeight="1" x14ac:dyDescent="0.25">
      <c r="A139" s="998" t="s">
        <v>44072</v>
      </c>
      <c r="B139" s="999"/>
      <c r="C139" s="969"/>
      <c r="D139" s="969" t="s">
        <v>2898</v>
      </c>
      <c r="E139" s="1000"/>
      <c r="F139" s="1001"/>
      <c r="G139" s="1002"/>
      <c r="H139" s="1003"/>
      <c r="I139" s="970">
        <f>SUMIFS(I140:I1123,A140:A1123,A139&amp;"*")</f>
        <v>591.26</v>
      </c>
      <c r="J139" s="1227"/>
      <c r="K139" s="525" t="str">
        <f t="shared" si="67"/>
        <v/>
      </c>
      <c r="L139" s="535"/>
      <c r="M139" s="535"/>
      <c r="N139" s="535"/>
      <c r="O139" s="535"/>
      <c r="P139" s="535"/>
      <c r="Q139" s="1087"/>
      <c r="R139" s="1087"/>
      <c r="S139" s="1116"/>
      <c r="T139" s="1088"/>
    </row>
    <row r="140" spans="1:20" s="443" customFormat="1" ht="39.950000000000003" customHeight="1" x14ac:dyDescent="0.25">
      <c r="A140" s="462" t="s">
        <v>44073</v>
      </c>
      <c r="B140" s="460" t="s">
        <v>2901</v>
      </c>
      <c r="C140" s="346" t="s">
        <v>43940</v>
      </c>
      <c r="D140" s="874" t="s">
        <v>8860</v>
      </c>
      <c r="E140" s="346" t="s">
        <v>158</v>
      </c>
      <c r="F140" s="348">
        <v>12</v>
      </c>
      <c r="G140" s="986" t="s">
        <v>16016</v>
      </c>
      <c r="H140" s="348">
        <f t="shared" si="71"/>
        <v>40.04</v>
      </c>
      <c r="I140" s="348">
        <f t="shared" si="72"/>
        <v>480.48</v>
      </c>
      <c r="J140" s="1217"/>
      <c r="K140" s="525">
        <f t="shared" ref="K140:K152" si="73">IF(G140="","",I140/$I$153)</f>
        <v>7.4706925398687068E-5</v>
      </c>
      <c r="L140" s="535"/>
      <c r="M140" s="535"/>
      <c r="N140" s="535"/>
      <c r="O140" s="535"/>
      <c r="P140" s="535"/>
      <c r="Q140" s="1087"/>
      <c r="R140" s="1087"/>
      <c r="S140" s="1116"/>
      <c r="T140" s="1088"/>
    </row>
    <row r="141" spans="1:20" s="443" customFormat="1" ht="30" customHeight="1" x14ac:dyDescent="0.25">
      <c r="A141" s="462" t="s">
        <v>44074</v>
      </c>
      <c r="B141" s="460" t="s">
        <v>43948</v>
      </c>
      <c r="C141" s="346" t="s">
        <v>43940</v>
      </c>
      <c r="D141" s="874" t="s">
        <v>43949</v>
      </c>
      <c r="E141" s="346" t="s">
        <v>226</v>
      </c>
      <c r="F141" s="348">
        <v>1</v>
      </c>
      <c r="G141" s="986" t="s">
        <v>42774</v>
      </c>
      <c r="H141" s="348">
        <f t="shared" si="71"/>
        <v>38.119999999999997</v>
      </c>
      <c r="I141" s="348">
        <f t="shared" si="72"/>
        <v>38.119999999999997</v>
      </c>
      <c r="J141" s="1217"/>
      <c r="K141" s="525">
        <f t="shared" si="73"/>
        <v>5.9270479441349286E-6</v>
      </c>
      <c r="L141" s="535"/>
      <c r="M141" s="535"/>
      <c r="N141" s="535"/>
      <c r="O141" s="535"/>
      <c r="P141" s="535"/>
      <c r="Q141" s="1087"/>
      <c r="R141" s="1087"/>
      <c r="S141" s="1116"/>
      <c r="T141" s="1088"/>
    </row>
    <row r="142" spans="1:20" s="443" customFormat="1" ht="30" customHeight="1" x14ac:dyDescent="0.25">
      <c r="A142" s="462" t="s">
        <v>44075</v>
      </c>
      <c r="B142" s="460" t="s">
        <v>37078</v>
      </c>
      <c r="C142" s="346" t="s">
        <v>39761</v>
      </c>
      <c r="D142" s="874" t="s">
        <v>37079</v>
      </c>
      <c r="E142" s="346" t="s">
        <v>226</v>
      </c>
      <c r="F142" s="348">
        <v>1</v>
      </c>
      <c r="G142" s="986">
        <v>60.75</v>
      </c>
      <c r="H142" s="348">
        <f t="shared" si="71"/>
        <v>72.66</v>
      </c>
      <c r="I142" s="348">
        <f t="shared" si="72"/>
        <v>72.66</v>
      </c>
      <c r="J142" s="1217"/>
      <c r="K142" s="525">
        <f t="shared" si="73"/>
        <v>1.1297463368857395E-5</v>
      </c>
      <c r="L142" s="535"/>
      <c r="M142" s="535"/>
      <c r="N142" s="535"/>
      <c r="O142" s="535"/>
      <c r="P142" s="535"/>
      <c r="Q142" s="1087"/>
      <c r="R142" s="1087"/>
      <c r="S142" s="1116"/>
      <c r="T142" s="1088"/>
    </row>
    <row r="143" spans="1:20" s="452" customFormat="1" ht="15" customHeight="1" x14ac:dyDescent="0.25">
      <c r="A143" s="461">
        <v>9</v>
      </c>
      <c r="B143" s="1204"/>
      <c r="C143" s="1205"/>
      <c r="D143" s="473" t="s">
        <v>21619</v>
      </c>
      <c r="E143" s="472"/>
      <c r="F143" s="980"/>
      <c r="G143" s="981"/>
      <c r="H143" s="982"/>
      <c r="I143" s="471">
        <f>SUMIFS(I144:$I$522,A144:$A$522,A143&amp;"*",G144:$G$522,"&lt;&gt;"&amp;"")</f>
        <v>357900.35</v>
      </c>
      <c r="J143" s="1227"/>
      <c r="K143" s="525" t="str">
        <f t="shared" si="73"/>
        <v/>
      </c>
      <c r="L143" s="535"/>
      <c r="M143" s="535"/>
      <c r="N143" s="535"/>
      <c r="O143" s="535"/>
      <c r="P143" s="535"/>
      <c r="Q143" s="1087"/>
      <c r="R143" s="1087"/>
      <c r="S143" s="1116"/>
      <c r="T143" s="1088"/>
    </row>
    <row r="144" spans="1:20" s="443" customFormat="1" ht="24.95" customHeight="1" x14ac:dyDescent="0.25">
      <c r="A144" s="1186" t="s">
        <v>44076</v>
      </c>
      <c r="B144" s="1207" t="s">
        <v>35035</v>
      </c>
      <c r="C144" s="437" t="s">
        <v>39761</v>
      </c>
      <c r="D144" s="1202" t="s">
        <v>35036</v>
      </c>
      <c r="E144" s="1187" t="s">
        <v>6008</v>
      </c>
      <c r="F144" s="1188">
        <v>352</v>
      </c>
      <c r="G144" s="1188">
        <v>3.71</v>
      </c>
      <c r="H144" s="1188">
        <f t="shared" ref="H144" si="74">TRUNC(G144*(1+$H$6),2)</f>
        <v>4.43</v>
      </c>
      <c r="I144" s="1188">
        <f t="shared" ref="I144:I152" si="75">TRUNC(F144*H144,2)</f>
        <v>1559.36</v>
      </c>
      <c r="J144" s="1217"/>
      <c r="K144" s="525">
        <f t="shared" si="73"/>
        <v>2.4245544286899902E-4</v>
      </c>
      <c r="L144" s="535"/>
      <c r="M144" s="535"/>
      <c r="N144" s="535"/>
      <c r="O144" s="535"/>
      <c r="P144" s="535"/>
      <c r="Q144" s="1087"/>
      <c r="R144" s="1087"/>
      <c r="S144" s="1116"/>
      <c r="T144" s="1088"/>
    </row>
    <row r="145" spans="1:20" s="443" customFormat="1" ht="24.95" customHeight="1" x14ac:dyDescent="0.25">
      <c r="A145" s="462" t="s">
        <v>44077</v>
      </c>
      <c r="B145" s="1080" t="s">
        <v>32673</v>
      </c>
      <c r="C145" s="437" t="s">
        <v>39761</v>
      </c>
      <c r="D145" s="1203" t="s">
        <v>32674</v>
      </c>
      <c r="E145" s="437" t="s">
        <v>227</v>
      </c>
      <c r="F145" s="1153">
        <v>441.1</v>
      </c>
      <c r="G145" s="1153">
        <v>21.31</v>
      </c>
      <c r="H145" s="1153">
        <f t="shared" ref="H145" si="76">TRUNC(G145*(1+$H$6),2)</f>
        <v>25.49</v>
      </c>
      <c r="I145" s="1153">
        <f t="shared" si="75"/>
        <v>11243.63</v>
      </c>
      <c r="J145" s="1217"/>
      <c r="K145" s="525">
        <f t="shared" si="73"/>
        <v>1.7482039369389772E-3</v>
      </c>
      <c r="L145" s="535"/>
      <c r="M145" s="535"/>
      <c r="N145" s="535"/>
      <c r="O145" s="535"/>
      <c r="P145" s="535"/>
      <c r="Q145" s="1087"/>
      <c r="R145" s="1087"/>
      <c r="S145" s="460">
        <v>2003866</v>
      </c>
      <c r="T145" s="1086">
        <f>F145*TRUNC(INDEX(SICRO!A122:E10121,MATCH(Orçamento!S145,SICRO!A122:A10121,0),4)*(1+H$6),2)</f>
        <v>4252.2040000000006</v>
      </c>
    </row>
    <row r="146" spans="1:20" s="443" customFormat="1" ht="24.95" customHeight="1" x14ac:dyDescent="0.25">
      <c r="A146" s="462" t="s">
        <v>44078</v>
      </c>
      <c r="B146" s="437" t="s">
        <v>32763</v>
      </c>
      <c r="C146" s="437" t="s">
        <v>39761</v>
      </c>
      <c r="D146" s="1078" t="s">
        <v>32764</v>
      </c>
      <c r="E146" s="1189" t="s">
        <v>6008</v>
      </c>
      <c r="F146" s="968">
        <v>4520</v>
      </c>
      <c r="G146" s="968">
        <v>11.28</v>
      </c>
      <c r="H146" s="968">
        <f t="shared" ref="H146:H152" si="77">TRUNC(G146*(1+$H$6),2)</f>
        <v>13.49</v>
      </c>
      <c r="I146" s="968">
        <f t="shared" si="75"/>
        <v>60974.8</v>
      </c>
      <c r="J146" s="1217" t="s">
        <v>13</v>
      </c>
      <c r="K146" s="525">
        <f t="shared" si="73"/>
        <v>9.4806023867796043E-3</v>
      </c>
      <c r="L146" s="535"/>
      <c r="M146" s="535"/>
      <c r="N146" s="535"/>
      <c r="O146" s="535"/>
      <c r="P146" s="535"/>
      <c r="Q146" s="1087"/>
      <c r="R146" s="1087"/>
      <c r="S146" s="1085">
        <v>407819</v>
      </c>
      <c r="T146" s="1086">
        <f>F146*TRUNC(INDEX(SICRO!$A$1:$E$10000,MATCH(Orçamento!S146,SICRO!$A$1:$A$10000,0),4),2)*(1+$H$6)</f>
        <v>63746.454959999988</v>
      </c>
    </row>
    <row r="147" spans="1:20" s="443" customFormat="1" ht="24.95" customHeight="1" x14ac:dyDescent="0.25">
      <c r="A147" s="462" t="s">
        <v>44079</v>
      </c>
      <c r="B147" s="437" t="s">
        <v>32763</v>
      </c>
      <c r="C147" s="437" t="s">
        <v>39761</v>
      </c>
      <c r="D147" s="1078" t="s">
        <v>32764</v>
      </c>
      <c r="E147" s="346" t="s">
        <v>6008</v>
      </c>
      <c r="F147" s="348">
        <v>15941</v>
      </c>
      <c r="G147" s="348">
        <v>11.28</v>
      </c>
      <c r="H147" s="348">
        <f>TRUNC(G147*(1+$H$6),2)</f>
        <v>13.49</v>
      </c>
      <c r="I147" s="348">
        <f t="shared" ref="I147" si="78">TRUNC(F147*H147,2)</f>
        <v>215044.09</v>
      </c>
      <c r="J147" s="1217" t="s">
        <v>13</v>
      </c>
      <c r="K147" s="525">
        <f t="shared" si="73"/>
        <v>3.3435903240631337E-2</v>
      </c>
      <c r="L147" s="535"/>
      <c r="M147" s="535"/>
      <c r="N147" s="535"/>
      <c r="O147" s="535"/>
      <c r="P147" s="535"/>
      <c r="Q147" s="1087"/>
      <c r="R147" s="1087"/>
      <c r="S147" s="1085">
        <v>407819</v>
      </c>
      <c r="T147" s="1086">
        <f>F147*TRUNC(INDEX(SICRO!$A$1:$E$10000,MATCH(Orçamento!S147,SICRO!$A$1:$A$10000,0),4),2)*(1+$H$6)</f>
        <v>224819.07931799997</v>
      </c>
    </row>
    <row r="148" spans="1:20" s="443" customFormat="1" ht="24.95" customHeight="1" x14ac:dyDescent="0.25">
      <c r="A148" s="462" t="s">
        <v>44080</v>
      </c>
      <c r="B148" s="437" t="s">
        <v>32775</v>
      </c>
      <c r="C148" s="437" t="s">
        <v>39761</v>
      </c>
      <c r="D148" s="1078" t="s">
        <v>244</v>
      </c>
      <c r="E148" s="346" t="s">
        <v>159</v>
      </c>
      <c r="F148" s="348">
        <v>7</v>
      </c>
      <c r="G148" s="348">
        <v>437.97</v>
      </c>
      <c r="H148" s="348">
        <f t="shared" si="77"/>
        <v>523.89</v>
      </c>
      <c r="I148" s="348">
        <f t="shared" si="75"/>
        <v>3667.23</v>
      </c>
      <c r="J148" s="1217"/>
      <c r="K148" s="525">
        <f t="shared" si="73"/>
        <v>5.7019538384496158E-4</v>
      </c>
      <c r="L148" s="535"/>
      <c r="M148" s="535"/>
      <c r="N148" s="535"/>
      <c r="O148" s="551" t="s">
        <v>32775</v>
      </c>
      <c r="P148" s="535"/>
      <c r="Q148" s="1087"/>
      <c r="R148" s="1087"/>
      <c r="S148" s="460">
        <v>1107928</v>
      </c>
      <c r="T148" s="1088"/>
    </row>
    <row r="149" spans="1:20" s="443" customFormat="1" ht="24.95" customHeight="1" x14ac:dyDescent="0.25">
      <c r="A149" s="462" t="s">
        <v>44081</v>
      </c>
      <c r="B149" s="437" t="s">
        <v>32778</v>
      </c>
      <c r="C149" s="437" t="s">
        <v>39761</v>
      </c>
      <c r="D149" s="1078" t="s">
        <v>32779</v>
      </c>
      <c r="E149" s="1066" t="s">
        <v>159</v>
      </c>
      <c r="F149" s="348">
        <v>63</v>
      </c>
      <c r="G149" s="348">
        <v>479.61</v>
      </c>
      <c r="H149" s="348">
        <f t="shared" ref="H149" si="79">TRUNC(G149*(1+$H$6),2)</f>
        <v>573.70000000000005</v>
      </c>
      <c r="I149" s="348">
        <f t="shared" si="75"/>
        <v>36143.1</v>
      </c>
      <c r="J149" s="1217"/>
      <c r="K149" s="525">
        <f t="shared" si="73"/>
        <v>5.6196717353007124E-3</v>
      </c>
      <c r="L149" s="535"/>
      <c r="M149" s="535"/>
      <c r="N149" s="535"/>
      <c r="O149" s="535"/>
      <c r="P149" s="535"/>
      <c r="Q149" s="1087"/>
      <c r="R149" s="1087"/>
      <c r="S149" s="1116"/>
      <c r="T149" s="1088"/>
    </row>
    <row r="150" spans="1:20" s="443" customFormat="1" ht="24.95" customHeight="1" x14ac:dyDescent="0.25">
      <c r="A150" s="462" t="s">
        <v>44082</v>
      </c>
      <c r="B150" s="1206" t="s">
        <v>28336</v>
      </c>
      <c r="C150" s="1189" t="s">
        <v>2744</v>
      </c>
      <c r="D150" s="874" t="s">
        <v>710</v>
      </c>
      <c r="E150" s="346" t="s">
        <v>2</v>
      </c>
      <c r="F150" s="348">
        <v>207</v>
      </c>
      <c r="G150" s="348">
        <v>87.51</v>
      </c>
      <c r="H150" s="348">
        <f t="shared" si="77"/>
        <v>104.67</v>
      </c>
      <c r="I150" s="348">
        <f t="shared" si="75"/>
        <v>21666.69</v>
      </c>
      <c r="J150" s="1217"/>
      <c r="K150" s="525">
        <f t="shared" si="73"/>
        <v>3.3688224139745231E-3</v>
      </c>
      <c r="L150" s="535"/>
      <c r="M150" s="535"/>
      <c r="N150" s="535"/>
      <c r="O150" s="535"/>
      <c r="P150" s="535"/>
      <c r="Q150" s="1087"/>
      <c r="R150" s="1087"/>
      <c r="S150" s="1116"/>
      <c r="T150" s="1088"/>
    </row>
    <row r="151" spans="1:20" s="443" customFormat="1" ht="35.1" customHeight="1" x14ac:dyDescent="0.25">
      <c r="A151" s="462" t="s">
        <v>44083</v>
      </c>
      <c r="B151" s="460" t="s">
        <v>43946</v>
      </c>
      <c r="C151" s="346" t="s">
        <v>39761</v>
      </c>
      <c r="D151" s="874" t="s">
        <v>43947</v>
      </c>
      <c r="E151" s="1066" t="s">
        <v>227</v>
      </c>
      <c r="F151" s="348">
        <v>690</v>
      </c>
      <c r="G151" s="348">
        <v>1.3620000000000001</v>
      </c>
      <c r="H151" s="348">
        <f t="shared" si="77"/>
        <v>1.62</v>
      </c>
      <c r="I151" s="348">
        <f t="shared" ref="I151" si="80">TRUNC(F151*H151,2)</f>
        <v>1117.8</v>
      </c>
      <c r="J151" s="1217"/>
      <c r="K151" s="525">
        <f t="shared" si="73"/>
        <v>1.7379995256962285E-4</v>
      </c>
      <c r="L151" s="535"/>
      <c r="M151" s="535"/>
      <c r="N151" s="535"/>
      <c r="O151" s="535"/>
      <c r="P151" s="535"/>
      <c r="Q151" s="1087"/>
      <c r="R151" s="1087"/>
      <c r="S151" s="1116"/>
      <c r="T151" s="1088"/>
    </row>
    <row r="152" spans="1:20" s="443" customFormat="1" ht="24.95" customHeight="1" x14ac:dyDescent="0.25">
      <c r="A152" s="462" t="s">
        <v>44084</v>
      </c>
      <c r="B152" s="460">
        <v>39212</v>
      </c>
      <c r="C152" s="346" t="s">
        <v>43940</v>
      </c>
      <c r="D152" s="874" t="s">
        <v>43942</v>
      </c>
      <c r="E152" s="1066" t="s">
        <v>43943</v>
      </c>
      <c r="F152" s="348">
        <v>2759</v>
      </c>
      <c r="G152" s="348" t="s">
        <v>17092</v>
      </c>
      <c r="H152" s="348">
        <f t="shared" si="77"/>
        <v>2.35</v>
      </c>
      <c r="I152" s="348">
        <f t="shared" si="75"/>
        <v>6483.65</v>
      </c>
      <c r="J152" s="1217"/>
      <c r="K152" s="525">
        <f t="shared" si="73"/>
        <v>1.0081034733208402E-3</v>
      </c>
      <c r="L152" s="535"/>
      <c r="M152" s="535"/>
      <c r="N152" s="535"/>
      <c r="O152" s="535"/>
      <c r="P152" s="535"/>
      <c r="Q152" s="1087"/>
      <c r="R152" s="1087"/>
      <c r="S152" s="1116"/>
      <c r="T152" s="1088"/>
    </row>
    <row r="153" spans="1:20" s="1" customFormat="1" ht="24.95" customHeight="1" x14ac:dyDescent="0.2">
      <c r="A153" s="531"/>
      <c r="B153" s="532"/>
      <c r="C153" s="533"/>
      <c r="D153" s="1223">
        <f>H6</f>
        <v>0.19620000000000001</v>
      </c>
      <c r="E153" s="529"/>
      <c r="F153" s="983"/>
      <c r="G153" s="987" t="s">
        <v>2447</v>
      </c>
      <c r="H153" s="988"/>
      <c r="I153" s="530">
        <f>SUMIF(H7:H152,"&lt;&gt;"&amp;"",I7:I152)</f>
        <v>6431532.2500000009</v>
      </c>
      <c r="J153" s="1227"/>
      <c r="K153" s="1156"/>
      <c r="L153" s="535"/>
      <c r="M153" s="535"/>
      <c r="N153" s="535"/>
      <c r="O153" s="535"/>
      <c r="P153" s="535"/>
      <c r="Q153" s="1087"/>
      <c r="R153" s="1087"/>
      <c r="S153" s="1116"/>
      <c r="T153" s="1088"/>
    </row>
    <row r="154" spans="1:20" s="1" customFormat="1" ht="15" customHeight="1" x14ac:dyDescent="0.2">
      <c r="B154" s="7"/>
      <c r="C154" s="351"/>
      <c r="D154" s="351"/>
      <c r="E154" s="8"/>
      <c r="F154" s="9"/>
      <c r="G154" s="9"/>
      <c r="H154" s="9"/>
      <c r="I154" s="989"/>
      <c r="J154" s="989"/>
      <c r="K154" s="527"/>
      <c r="Q154" s="1087"/>
      <c r="R154" s="1087"/>
      <c r="S154" s="1116"/>
      <c r="T154" s="1088"/>
    </row>
    <row r="155" spans="1:20" s="1" customFormat="1" ht="15" customHeight="1" x14ac:dyDescent="0.2">
      <c r="B155" s="7"/>
      <c r="C155" s="351"/>
      <c r="D155" s="351"/>
      <c r="E155" s="8"/>
      <c r="F155" s="9"/>
      <c r="G155" s="9"/>
      <c r="H155" s="9"/>
      <c r="I155" s="989"/>
      <c r="J155" s="989"/>
      <c r="K155" s="527"/>
    </row>
    <row r="156" spans="1:20" s="1" customFormat="1" ht="15" customHeight="1" x14ac:dyDescent="0.2">
      <c r="B156" s="7"/>
      <c r="C156" s="351"/>
      <c r="D156" s="351"/>
      <c r="E156" s="8"/>
      <c r="F156" s="9"/>
      <c r="G156" s="9"/>
      <c r="H156" s="9"/>
      <c r="I156" s="989"/>
      <c r="J156" s="989"/>
      <c r="K156" s="527"/>
    </row>
    <row r="157" spans="1:20" s="1" customFormat="1" ht="15" customHeight="1" x14ac:dyDescent="0.2">
      <c r="F157" s="990"/>
      <c r="G157" s="989"/>
      <c r="H157" s="989"/>
      <c r="I157" s="989"/>
      <c r="J157" s="989"/>
      <c r="K157" s="527"/>
    </row>
    <row r="158" spans="1:20" s="1" customFormat="1" ht="15" customHeight="1" x14ac:dyDescent="0.25">
      <c r="A158" s="501" t="s">
        <v>2452</v>
      </c>
      <c r="B158" s="500"/>
      <c r="C158" s="502"/>
      <c r="D158" s="340"/>
      <c r="E158" s="340"/>
      <c r="F158" s="991"/>
      <c r="G158" s="992"/>
      <c r="H158" s="992"/>
      <c r="I158" s="989"/>
      <c r="J158" s="989"/>
      <c r="K158" s="527"/>
    </row>
    <row r="159" spans="1:20" s="1" customFormat="1" ht="15" customHeight="1" x14ac:dyDescent="0.25">
      <c r="A159" s="499" t="s">
        <v>2464</v>
      </c>
      <c r="F159" s="990"/>
      <c r="G159" s="989"/>
      <c r="H159" s="989"/>
      <c r="I159" s="989"/>
      <c r="J159" s="989"/>
      <c r="K159" s="527"/>
    </row>
    <row r="160" spans="1:20" ht="15" customHeight="1" x14ac:dyDescent="0.25">
      <c r="A160" s="499" t="s">
        <v>2465</v>
      </c>
    </row>
    <row r="161" spans="1:1" ht="15" customHeight="1" x14ac:dyDescent="0.25">
      <c r="A161" s="534" t="s">
        <v>2488</v>
      </c>
    </row>
    <row r="162" spans="1:1" ht="15" customHeight="1" x14ac:dyDescent="0.25"/>
    <row r="163" spans="1:1" ht="15" customHeight="1" x14ac:dyDescent="0.25"/>
    <row r="164" spans="1:1" ht="15" customHeight="1" x14ac:dyDescent="0.25"/>
    <row r="165" spans="1:1" ht="15" customHeight="1" x14ac:dyDescent="0.25"/>
    <row r="166" spans="1:1" ht="15" customHeight="1" x14ac:dyDescent="0.25"/>
    <row r="167" spans="1:1" ht="15" customHeight="1" x14ac:dyDescent="0.25"/>
    <row r="168" spans="1:1" ht="15" customHeight="1" x14ac:dyDescent="0.25"/>
    <row r="169" spans="1:1" ht="15" customHeight="1" x14ac:dyDescent="0.25"/>
    <row r="170" spans="1:1" ht="15" customHeight="1" x14ac:dyDescent="0.25"/>
    <row r="171" spans="1:1" ht="15" customHeight="1" x14ac:dyDescent="0.25"/>
    <row r="172" spans="1:1" ht="15" customHeight="1" x14ac:dyDescent="0.25"/>
    <row r="173" spans="1:1" ht="15" customHeight="1" x14ac:dyDescent="0.25"/>
    <row r="174" spans="1:1" ht="15" customHeight="1" x14ac:dyDescent="0.25"/>
    <row r="175" spans="1:1" ht="15" customHeight="1" x14ac:dyDescent="0.25"/>
    <row r="176" spans="1:1"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sheetData>
  <autoFilter ref="A6:V153" xr:uid="{00000000-0001-0000-0000-000000000000}"/>
  <sortState xmlns:xlrd2="http://schemas.microsoft.com/office/spreadsheetml/2017/richdata2" ref="B144:B152">
    <sortCondition ref="B144:B152"/>
  </sortState>
  <mergeCells count="6">
    <mergeCell ref="J6:J7"/>
    <mergeCell ref="F2:H3"/>
    <mergeCell ref="B2:D2"/>
    <mergeCell ref="B5:C5"/>
    <mergeCell ref="A5:A6"/>
    <mergeCell ref="I2:I3"/>
  </mergeCells>
  <phoneticPr fontId="51" type="noConversion"/>
  <conditionalFormatting sqref="A19:A1048576 A1:A8 A12">
    <cfRule type="duplicateValues" dxfId="387" priority="5"/>
  </conditionalFormatting>
  <conditionalFormatting sqref="A9:A11">
    <cfRule type="containsErrors" dxfId="386" priority="4">
      <formula>ISERROR(A9)</formula>
    </cfRule>
  </conditionalFormatting>
  <conditionalFormatting sqref="A9:A11">
    <cfRule type="duplicateValues" dxfId="385" priority="3"/>
  </conditionalFormatting>
  <conditionalFormatting sqref="A13:A18">
    <cfRule type="containsErrors" dxfId="384" priority="2">
      <formula>ISERROR(A13)</formula>
    </cfRule>
  </conditionalFormatting>
  <conditionalFormatting sqref="A13:A18">
    <cfRule type="duplicateValues" dxfId="383" priority="1"/>
  </conditionalFormatting>
  <pageMargins left="0.59055118110236227" right="0.15748031496062992" top="0.31496062992125984" bottom="0.27559055118110237" header="0.19685039370078741" footer="0.15748031496062992"/>
  <pageSetup paperSize="9" scale="46" orientation="portrait"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17FF1-1F52-4D15-B1AA-C44B9EFB8608}">
  <sheetPr>
    <tabColor theme="0" tint="-4.9989318521683403E-2"/>
  </sheetPr>
  <dimension ref="A1:E7528"/>
  <sheetViews>
    <sheetView topLeftCell="A7496" workbookViewId="0">
      <selection activeCell="B7528" sqref="B7528"/>
    </sheetView>
  </sheetViews>
  <sheetFormatPr defaultRowHeight="12.75" x14ac:dyDescent="0.2"/>
  <cols>
    <col min="1" max="1" width="11.7109375" style="14" customWidth="1"/>
    <col min="2" max="2" width="146.140625" style="14" customWidth="1"/>
    <col min="3" max="3" width="8.140625" style="38" customWidth="1"/>
    <col min="4" max="4" width="12" style="14" customWidth="1"/>
    <col min="5" max="248" width="9.140625" style="14"/>
    <col min="249" max="249" width="70.28515625" style="14" customWidth="1"/>
    <col min="250" max="250" width="17.5703125" style="14" customWidth="1"/>
    <col min="251" max="251" width="70.28515625" style="14" customWidth="1"/>
    <col min="252" max="252" width="17.5703125" style="14" customWidth="1"/>
    <col min="253" max="253" width="15.28515625" style="14" customWidth="1"/>
    <col min="254" max="254" width="48.7109375" style="14" customWidth="1"/>
    <col min="255" max="255" width="24.5703125" style="14" customWidth="1"/>
    <col min="256" max="256" width="48.7109375" style="14" customWidth="1"/>
    <col min="257" max="257" width="8.140625" style="14" customWidth="1"/>
    <col min="258" max="258" width="38.7109375" style="14" customWidth="1"/>
    <col min="259" max="259" width="21.140625" style="14" customWidth="1"/>
    <col min="260" max="260" width="82" style="14" customWidth="1"/>
    <col min="261" max="504" width="9.140625" style="14"/>
    <col min="505" max="505" width="70.28515625" style="14" customWidth="1"/>
    <col min="506" max="506" width="17.5703125" style="14" customWidth="1"/>
    <col min="507" max="507" width="70.28515625" style="14" customWidth="1"/>
    <col min="508" max="508" width="17.5703125" style="14" customWidth="1"/>
    <col min="509" max="509" width="15.28515625" style="14" customWidth="1"/>
    <col min="510" max="510" width="48.7109375" style="14" customWidth="1"/>
    <col min="511" max="511" width="24.5703125" style="14" customWidth="1"/>
    <col min="512" max="512" width="48.7109375" style="14" customWidth="1"/>
    <col min="513" max="513" width="8.140625" style="14" customWidth="1"/>
    <col min="514" max="514" width="38.7109375" style="14" customWidth="1"/>
    <col min="515" max="515" width="21.140625" style="14" customWidth="1"/>
    <col min="516" max="516" width="82" style="14" customWidth="1"/>
    <col min="517" max="760" width="9.140625" style="14"/>
    <col min="761" max="761" width="70.28515625" style="14" customWidth="1"/>
    <col min="762" max="762" width="17.5703125" style="14" customWidth="1"/>
    <col min="763" max="763" width="70.28515625" style="14" customWidth="1"/>
    <col min="764" max="764" width="17.5703125" style="14" customWidth="1"/>
    <col min="765" max="765" width="15.28515625" style="14" customWidth="1"/>
    <col min="766" max="766" width="48.7109375" style="14" customWidth="1"/>
    <col min="767" max="767" width="24.5703125" style="14" customWidth="1"/>
    <col min="768" max="768" width="48.7109375" style="14" customWidth="1"/>
    <col min="769" max="769" width="8.140625" style="14" customWidth="1"/>
    <col min="770" max="770" width="38.7109375" style="14" customWidth="1"/>
    <col min="771" max="771" width="21.140625" style="14" customWidth="1"/>
    <col min="772" max="772" width="82" style="14" customWidth="1"/>
    <col min="773" max="1016" width="9.140625" style="14"/>
    <col min="1017" max="1017" width="70.28515625" style="14" customWidth="1"/>
    <col min="1018" max="1018" width="17.5703125" style="14" customWidth="1"/>
    <col min="1019" max="1019" width="70.28515625" style="14" customWidth="1"/>
    <col min="1020" max="1020" width="17.5703125" style="14" customWidth="1"/>
    <col min="1021" max="1021" width="15.28515625" style="14" customWidth="1"/>
    <col min="1022" max="1022" width="48.7109375" style="14" customWidth="1"/>
    <col min="1023" max="1023" width="24.5703125" style="14" customWidth="1"/>
    <col min="1024" max="1024" width="48.7109375" style="14" customWidth="1"/>
    <col min="1025" max="1025" width="8.140625" style="14" customWidth="1"/>
    <col min="1026" max="1026" width="38.7109375" style="14" customWidth="1"/>
    <col min="1027" max="1027" width="21.140625" style="14" customWidth="1"/>
    <col min="1028" max="1028" width="82" style="14" customWidth="1"/>
    <col min="1029" max="1272" width="9.140625" style="14"/>
    <col min="1273" max="1273" width="70.28515625" style="14" customWidth="1"/>
    <col min="1274" max="1274" width="17.5703125" style="14" customWidth="1"/>
    <col min="1275" max="1275" width="70.28515625" style="14" customWidth="1"/>
    <col min="1276" max="1276" width="17.5703125" style="14" customWidth="1"/>
    <col min="1277" max="1277" width="15.28515625" style="14" customWidth="1"/>
    <col min="1278" max="1278" width="48.7109375" style="14" customWidth="1"/>
    <col min="1279" max="1279" width="24.5703125" style="14" customWidth="1"/>
    <col min="1280" max="1280" width="48.7109375" style="14" customWidth="1"/>
    <col min="1281" max="1281" width="8.140625" style="14" customWidth="1"/>
    <col min="1282" max="1282" width="38.7109375" style="14" customWidth="1"/>
    <col min="1283" max="1283" width="21.140625" style="14" customWidth="1"/>
    <col min="1284" max="1284" width="82" style="14" customWidth="1"/>
    <col min="1285" max="1528" width="9.140625" style="14"/>
    <col min="1529" max="1529" width="70.28515625" style="14" customWidth="1"/>
    <col min="1530" max="1530" width="17.5703125" style="14" customWidth="1"/>
    <col min="1531" max="1531" width="70.28515625" style="14" customWidth="1"/>
    <col min="1532" max="1532" width="17.5703125" style="14" customWidth="1"/>
    <col min="1533" max="1533" width="15.28515625" style="14" customWidth="1"/>
    <col min="1534" max="1534" width="48.7109375" style="14" customWidth="1"/>
    <col min="1535" max="1535" width="24.5703125" style="14" customWidth="1"/>
    <col min="1536" max="1536" width="48.7109375" style="14" customWidth="1"/>
    <col min="1537" max="1537" width="8.140625" style="14" customWidth="1"/>
    <col min="1538" max="1538" width="38.7109375" style="14" customWidth="1"/>
    <col min="1539" max="1539" width="21.140625" style="14" customWidth="1"/>
    <col min="1540" max="1540" width="82" style="14" customWidth="1"/>
    <col min="1541" max="1784" width="9.140625" style="14"/>
    <col min="1785" max="1785" width="70.28515625" style="14" customWidth="1"/>
    <col min="1786" max="1786" width="17.5703125" style="14" customWidth="1"/>
    <col min="1787" max="1787" width="70.28515625" style="14" customWidth="1"/>
    <col min="1788" max="1788" width="17.5703125" style="14" customWidth="1"/>
    <col min="1789" max="1789" width="15.28515625" style="14" customWidth="1"/>
    <col min="1790" max="1790" width="48.7109375" style="14" customWidth="1"/>
    <col min="1791" max="1791" width="24.5703125" style="14" customWidth="1"/>
    <col min="1792" max="1792" width="48.7109375" style="14" customWidth="1"/>
    <col min="1793" max="1793" width="8.140625" style="14" customWidth="1"/>
    <col min="1794" max="1794" width="38.7109375" style="14" customWidth="1"/>
    <col min="1795" max="1795" width="21.140625" style="14" customWidth="1"/>
    <col min="1796" max="1796" width="82" style="14" customWidth="1"/>
    <col min="1797" max="2040" width="9.140625" style="14"/>
    <col min="2041" max="2041" width="70.28515625" style="14" customWidth="1"/>
    <col min="2042" max="2042" width="17.5703125" style="14" customWidth="1"/>
    <col min="2043" max="2043" width="70.28515625" style="14" customWidth="1"/>
    <col min="2044" max="2044" width="17.5703125" style="14" customWidth="1"/>
    <col min="2045" max="2045" width="15.28515625" style="14" customWidth="1"/>
    <col min="2046" max="2046" width="48.7109375" style="14" customWidth="1"/>
    <col min="2047" max="2047" width="24.5703125" style="14" customWidth="1"/>
    <col min="2048" max="2048" width="48.7109375" style="14" customWidth="1"/>
    <col min="2049" max="2049" width="8.140625" style="14" customWidth="1"/>
    <col min="2050" max="2050" width="38.7109375" style="14" customWidth="1"/>
    <col min="2051" max="2051" width="21.140625" style="14" customWidth="1"/>
    <col min="2052" max="2052" width="82" style="14" customWidth="1"/>
    <col min="2053" max="2296" width="9.140625" style="14"/>
    <col min="2297" max="2297" width="70.28515625" style="14" customWidth="1"/>
    <col min="2298" max="2298" width="17.5703125" style="14" customWidth="1"/>
    <col min="2299" max="2299" width="70.28515625" style="14" customWidth="1"/>
    <col min="2300" max="2300" width="17.5703125" style="14" customWidth="1"/>
    <col min="2301" max="2301" width="15.28515625" style="14" customWidth="1"/>
    <col min="2302" max="2302" width="48.7109375" style="14" customWidth="1"/>
    <col min="2303" max="2303" width="24.5703125" style="14" customWidth="1"/>
    <col min="2304" max="2304" width="48.7109375" style="14" customWidth="1"/>
    <col min="2305" max="2305" width="8.140625" style="14" customWidth="1"/>
    <col min="2306" max="2306" width="38.7109375" style="14" customWidth="1"/>
    <col min="2307" max="2307" width="21.140625" style="14" customWidth="1"/>
    <col min="2308" max="2308" width="82" style="14" customWidth="1"/>
    <col min="2309" max="2552" width="9.140625" style="14"/>
    <col min="2553" max="2553" width="70.28515625" style="14" customWidth="1"/>
    <col min="2554" max="2554" width="17.5703125" style="14" customWidth="1"/>
    <col min="2555" max="2555" width="70.28515625" style="14" customWidth="1"/>
    <col min="2556" max="2556" width="17.5703125" style="14" customWidth="1"/>
    <col min="2557" max="2557" width="15.28515625" style="14" customWidth="1"/>
    <col min="2558" max="2558" width="48.7109375" style="14" customWidth="1"/>
    <col min="2559" max="2559" width="24.5703125" style="14" customWidth="1"/>
    <col min="2560" max="2560" width="48.7109375" style="14" customWidth="1"/>
    <col min="2561" max="2561" width="8.140625" style="14" customWidth="1"/>
    <col min="2562" max="2562" width="38.7109375" style="14" customWidth="1"/>
    <col min="2563" max="2563" width="21.140625" style="14" customWidth="1"/>
    <col min="2564" max="2564" width="82" style="14" customWidth="1"/>
    <col min="2565" max="2808" width="9.140625" style="14"/>
    <col min="2809" max="2809" width="70.28515625" style="14" customWidth="1"/>
    <col min="2810" max="2810" width="17.5703125" style="14" customWidth="1"/>
    <col min="2811" max="2811" width="70.28515625" style="14" customWidth="1"/>
    <col min="2812" max="2812" width="17.5703125" style="14" customWidth="1"/>
    <col min="2813" max="2813" width="15.28515625" style="14" customWidth="1"/>
    <col min="2814" max="2814" width="48.7109375" style="14" customWidth="1"/>
    <col min="2815" max="2815" width="24.5703125" style="14" customWidth="1"/>
    <col min="2816" max="2816" width="48.7109375" style="14" customWidth="1"/>
    <col min="2817" max="2817" width="8.140625" style="14" customWidth="1"/>
    <col min="2818" max="2818" width="38.7109375" style="14" customWidth="1"/>
    <col min="2819" max="2819" width="21.140625" style="14" customWidth="1"/>
    <col min="2820" max="2820" width="82" style="14" customWidth="1"/>
    <col min="2821" max="3064" width="9.140625" style="14"/>
    <col min="3065" max="3065" width="70.28515625" style="14" customWidth="1"/>
    <col min="3066" max="3066" width="17.5703125" style="14" customWidth="1"/>
    <col min="3067" max="3067" width="70.28515625" style="14" customWidth="1"/>
    <col min="3068" max="3068" width="17.5703125" style="14" customWidth="1"/>
    <col min="3069" max="3069" width="15.28515625" style="14" customWidth="1"/>
    <col min="3070" max="3070" width="48.7109375" style="14" customWidth="1"/>
    <col min="3071" max="3071" width="24.5703125" style="14" customWidth="1"/>
    <col min="3072" max="3072" width="48.7109375" style="14" customWidth="1"/>
    <col min="3073" max="3073" width="8.140625" style="14" customWidth="1"/>
    <col min="3074" max="3074" width="38.7109375" style="14" customWidth="1"/>
    <col min="3075" max="3075" width="21.140625" style="14" customWidth="1"/>
    <col min="3076" max="3076" width="82" style="14" customWidth="1"/>
    <col min="3077" max="3320" width="9.140625" style="14"/>
    <col min="3321" max="3321" width="70.28515625" style="14" customWidth="1"/>
    <col min="3322" max="3322" width="17.5703125" style="14" customWidth="1"/>
    <col min="3323" max="3323" width="70.28515625" style="14" customWidth="1"/>
    <col min="3324" max="3324" width="17.5703125" style="14" customWidth="1"/>
    <col min="3325" max="3325" width="15.28515625" style="14" customWidth="1"/>
    <col min="3326" max="3326" width="48.7109375" style="14" customWidth="1"/>
    <col min="3327" max="3327" width="24.5703125" style="14" customWidth="1"/>
    <col min="3328" max="3328" width="48.7109375" style="14" customWidth="1"/>
    <col min="3329" max="3329" width="8.140625" style="14" customWidth="1"/>
    <col min="3330" max="3330" width="38.7109375" style="14" customWidth="1"/>
    <col min="3331" max="3331" width="21.140625" style="14" customWidth="1"/>
    <col min="3332" max="3332" width="82" style="14" customWidth="1"/>
    <col min="3333" max="3576" width="9.140625" style="14"/>
    <col min="3577" max="3577" width="70.28515625" style="14" customWidth="1"/>
    <col min="3578" max="3578" width="17.5703125" style="14" customWidth="1"/>
    <col min="3579" max="3579" width="70.28515625" style="14" customWidth="1"/>
    <col min="3580" max="3580" width="17.5703125" style="14" customWidth="1"/>
    <col min="3581" max="3581" width="15.28515625" style="14" customWidth="1"/>
    <col min="3582" max="3582" width="48.7109375" style="14" customWidth="1"/>
    <col min="3583" max="3583" width="24.5703125" style="14" customWidth="1"/>
    <col min="3584" max="3584" width="48.7109375" style="14" customWidth="1"/>
    <col min="3585" max="3585" width="8.140625" style="14" customWidth="1"/>
    <col min="3586" max="3586" width="38.7109375" style="14" customWidth="1"/>
    <col min="3587" max="3587" width="21.140625" style="14" customWidth="1"/>
    <col min="3588" max="3588" width="82" style="14" customWidth="1"/>
    <col min="3589" max="3832" width="9.140625" style="14"/>
    <col min="3833" max="3833" width="70.28515625" style="14" customWidth="1"/>
    <col min="3834" max="3834" width="17.5703125" style="14" customWidth="1"/>
    <col min="3835" max="3835" width="70.28515625" style="14" customWidth="1"/>
    <col min="3836" max="3836" width="17.5703125" style="14" customWidth="1"/>
    <col min="3837" max="3837" width="15.28515625" style="14" customWidth="1"/>
    <col min="3838" max="3838" width="48.7109375" style="14" customWidth="1"/>
    <col min="3839" max="3839" width="24.5703125" style="14" customWidth="1"/>
    <col min="3840" max="3840" width="48.7109375" style="14" customWidth="1"/>
    <col min="3841" max="3841" width="8.140625" style="14" customWidth="1"/>
    <col min="3842" max="3842" width="38.7109375" style="14" customWidth="1"/>
    <col min="3843" max="3843" width="21.140625" style="14" customWidth="1"/>
    <col min="3844" max="3844" width="82" style="14" customWidth="1"/>
    <col min="3845" max="4088" width="9.140625" style="14"/>
    <col min="4089" max="4089" width="70.28515625" style="14" customWidth="1"/>
    <col min="4090" max="4090" width="17.5703125" style="14" customWidth="1"/>
    <col min="4091" max="4091" width="70.28515625" style="14" customWidth="1"/>
    <col min="4092" max="4092" width="17.5703125" style="14" customWidth="1"/>
    <col min="4093" max="4093" width="15.28515625" style="14" customWidth="1"/>
    <col min="4094" max="4094" width="48.7109375" style="14" customWidth="1"/>
    <col min="4095" max="4095" width="24.5703125" style="14" customWidth="1"/>
    <col min="4096" max="4096" width="48.7109375" style="14" customWidth="1"/>
    <col min="4097" max="4097" width="8.140625" style="14" customWidth="1"/>
    <col min="4098" max="4098" width="38.7109375" style="14" customWidth="1"/>
    <col min="4099" max="4099" width="21.140625" style="14" customWidth="1"/>
    <col min="4100" max="4100" width="82" style="14" customWidth="1"/>
    <col min="4101" max="4344" width="9.140625" style="14"/>
    <col min="4345" max="4345" width="70.28515625" style="14" customWidth="1"/>
    <col min="4346" max="4346" width="17.5703125" style="14" customWidth="1"/>
    <col min="4347" max="4347" width="70.28515625" style="14" customWidth="1"/>
    <col min="4348" max="4348" width="17.5703125" style="14" customWidth="1"/>
    <col min="4349" max="4349" width="15.28515625" style="14" customWidth="1"/>
    <col min="4350" max="4350" width="48.7109375" style="14" customWidth="1"/>
    <col min="4351" max="4351" width="24.5703125" style="14" customWidth="1"/>
    <col min="4352" max="4352" width="48.7109375" style="14" customWidth="1"/>
    <col min="4353" max="4353" width="8.140625" style="14" customWidth="1"/>
    <col min="4354" max="4354" width="38.7109375" style="14" customWidth="1"/>
    <col min="4355" max="4355" width="21.140625" style="14" customWidth="1"/>
    <col min="4356" max="4356" width="82" style="14" customWidth="1"/>
    <col min="4357" max="4600" width="9.140625" style="14"/>
    <col min="4601" max="4601" width="70.28515625" style="14" customWidth="1"/>
    <col min="4602" max="4602" width="17.5703125" style="14" customWidth="1"/>
    <col min="4603" max="4603" width="70.28515625" style="14" customWidth="1"/>
    <col min="4604" max="4604" width="17.5703125" style="14" customWidth="1"/>
    <col min="4605" max="4605" width="15.28515625" style="14" customWidth="1"/>
    <col min="4606" max="4606" width="48.7109375" style="14" customWidth="1"/>
    <col min="4607" max="4607" width="24.5703125" style="14" customWidth="1"/>
    <col min="4608" max="4608" width="48.7109375" style="14" customWidth="1"/>
    <col min="4609" max="4609" width="8.140625" style="14" customWidth="1"/>
    <col min="4610" max="4610" width="38.7109375" style="14" customWidth="1"/>
    <col min="4611" max="4611" width="21.140625" style="14" customWidth="1"/>
    <col min="4612" max="4612" width="82" style="14" customWidth="1"/>
    <col min="4613" max="4856" width="9.140625" style="14"/>
    <col min="4857" max="4857" width="70.28515625" style="14" customWidth="1"/>
    <col min="4858" max="4858" width="17.5703125" style="14" customWidth="1"/>
    <col min="4859" max="4859" width="70.28515625" style="14" customWidth="1"/>
    <col min="4860" max="4860" width="17.5703125" style="14" customWidth="1"/>
    <col min="4861" max="4861" width="15.28515625" style="14" customWidth="1"/>
    <col min="4862" max="4862" width="48.7109375" style="14" customWidth="1"/>
    <col min="4863" max="4863" width="24.5703125" style="14" customWidth="1"/>
    <col min="4864" max="4864" width="48.7109375" style="14" customWidth="1"/>
    <col min="4865" max="4865" width="8.140625" style="14" customWidth="1"/>
    <col min="4866" max="4866" width="38.7109375" style="14" customWidth="1"/>
    <col min="4867" max="4867" width="21.140625" style="14" customWidth="1"/>
    <col min="4868" max="4868" width="82" style="14" customWidth="1"/>
    <col min="4869" max="5112" width="9.140625" style="14"/>
    <col min="5113" max="5113" width="70.28515625" style="14" customWidth="1"/>
    <col min="5114" max="5114" width="17.5703125" style="14" customWidth="1"/>
    <col min="5115" max="5115" width="70.28515625" style="14" customWidth="1"/>
    <col min="5116" max="5116" width="17.5703125" style="14" customWidth="1"/>
    <col min="5117" max="5117" width="15.28515625" style="14" customWidth="1"/>
    <col min="5118" max="5118" width="48.7109375" style="14" customWidth="1"/>
    <col min="5119" max="5119" width="24.5703125" style="14" customWidth="1"/>
    <col min="5120" max="5120" width="48.7109375" style="14" customWidth="1"/>
    <col min="5121" max="5121" width="8.140625" style="14" customWidth="1"/>
    <col min="5122" max="5122" width="38.7109375" style="14" customWidth="1"/>
    <col min="5123" max="5123" width="21.140625" style="14" customWidth="1"/>
    <col min="5124" max="5124" width="82" style="14" customWidth="1"/>
    <col min="5125" max="5368" width="9.140625" style="14"/>
    <col min="5369" max="5369" width="70.28515625" style="14" customWidth="1"/>
    <col min="5370" max="5370" width="17.5703125" style="14" customWidth="1"/>
    <col min="5371" max="5371" width="70.28515625" style="14" customWidth="1"/>
    <col min="5372" max="5372" width="17.5703125" style="14" customWidth="1"/>
    <col min="5373" max="5373" width="15.28515625" style="14" customWidth="1"/>
    <col min="5374" max="5374" width="48.7109375" style="14" customWidth="1"/>
    <col min="5375" max="5375" width="24.5703125" style="14" customWidth="1"/>
    <col min="5376" max="5376" width="48.7109375" style="14" customWidth="1"/>
    <col min="5377" max="5377" width="8.140625" style="14" customWidth="1"/>
    <col min="5378" max="5378" width="38.7109375" style="14" customWidth="1"/>
    <col min="5379" max="5379" width="21.140625" style="14" customWidth="1"/>
    <col min="5380" max="5380" width="82" style="14" customWidth="1"/>
    <col min="5381" max="5624" width="9.140625" style="14"/>
    <col min="5625" max="5625" width="70.28515625" style="14" customWidth="1"/>
    <col min="5626" max="5626" width="17.5703125" style="14" customWidth="1"/>
    <col min="5627" max="5627" width="70.28515625" style="14" customWidth="1"/>
    <col min="5628" max="5628" width="17.5703125" style="14" customWidth="1"/>
    <col min="5629" max="5629" width="15.28515625" style="14" customWidth="1"/>
    <col min="5630" max="5630" width="48.7109375" style="14" customWidth="1"/>
    <col min="5631" max="5631" width="24.5703125" style="14" customWidth="1"/>
    <col min="5632" max="5632" width="48.7109375" style="14" customWidth="1"/>
    <col min="5633" max="5633" width="8.140625" style="14" customWidth="1"/>
    <col min="5634" max="5634" width="38.7109375" style="14" customWidth="1"/>
    <col min="5635" max="5635" width="21.140625" style="14" customWidth="1"/>
    <col min="5636" max="5636" width="82" style="14" customWidth="1"/>
    <col min="5637" max="5880" width="9.140625" style="14"/>
    <col min="5881" max="5881" width="70.28515625" style="14" customWidth="1"/>
    <col min="5882" max="5882" width="17.5703125" style="14" customWidth="1"/>
    <col min="5883" max="5883" width="70.28515625" style="14" customWidth="1"/>
    <col min="5884" max="5884" width="17.5703125" style="14" customWidth="1"/>
    <col min="5885" max="5885" width="15.28515625" style="14" customWidth="1"/>
    <col min="5886" max="5886" width="48.7109375" style="14" customWidth="1"/>
    <col min="5887" max="5887" width="24.5703125" style="14" customWidth="1"/>
    <col min="5888" max="5888" width="48.7109375" style="14" customWidth="1"/>
    <col min="5889" max="5889" width="8.140625" style="14" customWidth="1"/>
    <col min="5890" max="5890" width="38.7109375" style="14" customWidth="1"/>
    <col min="5891" max="5891" width="21.140625" style="14" customWidth="1"/>
    <col min="5892" max="5892" width="82" style="14" customWidth="1"/>
    <col min="5893" max="6136" width="9.140625" style="14"/>
    <col min="6137" max="6137" width="70.28515625" style="14" customWidth="1"/>
    <col min="6138" max="6138" width="17.5703125" style="14" customWidth="1"/>
    <col min="6139" max="6139" width="70.28515625" style="14" customWidth="1"/>
    <col min="6140" max="6140" width="17.5703125" style="14" customWidth="1"/>
    <col min="6141" max="6141" width="15.28515625" style="14" customWidth="1"/>
    <col min="6142" max="6142" width="48.7109375" style="14" customWidth="1"/>
    <col min="6143" max="6143" width="24.5703125" style="14" customWidth="1"/>
    <col min="6144" max="6144" width="48.7109375" style="14" customWidth="1"/>
    <col min="6145" max="6145" width="8.140625" style="14" customWidth="1"/>
    <col min="6146" max="6146" width="38.7109375" style="14" customWidth="1"/>
    <col min="6147" max="6147" width="21.140625" style="14" customWidth="1"/>
    <col min="6148" max="6148" width="82" style="14" customWidth="1"/>
    <col min="6149" max="6392" width="9.140625" style="14"/>
    <col min="6393" max="6393" width="70.28515625" style="14" customWidth="1"/>
    <col min="6394" max="6394" width="17.5703125" style="14" customWidth="1"/>
    <col min="6395" max="6395" width="70.28515625" style="14" customWidth="1"/>
    <col min="6396" max="6396" width="17.5703125" style="14" customWidth="1"/>
    <col min="6397" max="6397" width="15.28515625" style="14" customWidth="1"/>
    <col min="6398" max="6398" width="48.7109375" style="14" customWidth="1"/>
    <col min="6399" max="6399" width="24.5703125" style="14" customWidth="1"/>
    <col min="6400" max="6400" width="48.7109375" style="14" customWidth="1"/>
    <col min="6401" max="6401" width="8.140625" style="14" customWidth="1"/>
    <col min="6402" max="6402" width="38.7109375" style="14" customWidth="1"/>
    <col min="6403" max="6403" width="21.140625" style="14" customWidth="1"/>
    <col min="6404" max="6404" width="82" style="14" customWidth="1"/>
    <col min="6405" max="6648" width="9.140625" style="14"/>
    <col min="6649" max="6649" width="70.28515625" style="14" customWidth="1"/>
    <col min="6650" max="6650" width="17.5703125" style="14" customWidth="1"/>
    <col min="6651" max="6651" width="70.28515625" style="14" customWidth="1"/>
    <col min="6652" max="6652" width="17.5703125" style="14" customWidth="1"/>
    <col min="6653" max="6653" width="15.28515625" style="14" customWidth="1"/>
    <col min="6654" max="6654" width="48.7109375" style="14" customWidth="1"/>
    <col min="6655" max="6655" width="24.5703125" style="14" customWidth="1"/>
    <col min="6656" max="6656" width="48.7109375" style="14" customWidth="1"/>
    <col min="6657" max="6657" width="8.140625" style="14" customWidth="1"/>
    <col min="6658" max="6658" width="38.7109375" style="14" customWidth="1"/>
    <col min="6659" max="6659" width="21.140625" style="14" customWidth="1"/>
    <col min="6660" max="6660" width="82" style="14" customWidth="1"/>
    <col min="6661" max="6904" width="9.140625" style="14"/>
    <col min="6905" max="6905" width="70.28515625" style="14" customWidth="1"/>
    <col min="6906" max="6906" width="17.5703125" style="14" customWidth="1"/>
    <col min="6907" max="6907" width="70.28515625" style="14" customWidth="1"/>
    <col min="6908" max="6908" width="17.5703125" style="14" customWidth="1"/>
    <col min="6909" max="6909" width="15.28515625" style="14" customWidth="1"/>
    <col min="6910" max="6910" width="48.7109375" style="14" customWidth="1"/>
    <col min="6911" max="6911" width="24.5703125" style="14" customWidth="1"/>
    <col min="6912" max="6912" width="48.7109375" style="14" customWidth="1"/>
    <col min="6913" max="6913" width="8.140625" style="14" customWidth="1"/>
    <col min="6914" max="6914" width="38.7109375" style="14" customWidth="1"/>
    <col min="6915" max="6915" width="21.140625" style="14" customWidth="1"/>
    <col min="6916" max="6916" width="82" style="14" customWidth="1"/>
    <col min="6917" max="7160" width="9.140625" style="14"/>
    <col min="7161" max="7161" width="70.28515625" style="14" customWidth="1"/>
    <col min="7162" max="7162" width="17.5703125" style="14" customWidth="1"/>
    <col min="7163" max="7163" width="70.28515625" style="14" customWidth="1"/>
    <col min="7164" max="7164" width="17.5703125" style="14" customWidth="1"/>
    <col min="7165" max="7165" width="15.28515625" style="14" customWidth="1"/>
    <col min="7166" max="7166" width="48.7109375" style="14" customWidth="1"/>
    <col min="7167" max="7167" width="24.5703125" style="14" customWidth="1"/>
    <col min="7168" max="7168" width="48.7109375" style="14" customWidth="1"/>
    <col min="7169" max="7169" width="8.140625" style="14" customWidth="1"/>
    <col min="7170" max="7170" width="38.7109375" style="14" customWidth="1"/>
    <col min="7171" max="7171" width="21.140625" style="14" customWidth="1"/>
    <col min="7172" max="7172" width="82" style="14" customWidth="1"/>
    <col min="7173" max="7416" width="9.140625" style="14"/>
    <col min="7417" max="7417" width="70.28515625" style="14" customWidth="1"/>
    <col min="7418" max="7418" width="17.5703125" style="14" customWidth="1"/>
    <col min="7419" max="7419" width="70.28515625" style="14" customWidth="1"/>
    <col min="7420" max="7420" width="17.5703125" style="14" customWidth="1"/>
    <col min="7421" max="7421" width="15.28515625" style="14" customWidth="1"/>
    <col min="7422" max="7422" width="48.7109375" style="14" customWidth="1"/>
    <col min="7423" max="7423" width="24.5703125" style="14" customWidth="1"/>
    <col min="7424" max="7424" width="48.7109375" style="14" customWidth="1"/>
    <col min="7425" max="7425" width="8.140625" style="14" customWidth="1"/>
    <col min="7426" max="7426" width="38.7109375" style="14" customWidth="1"/>
    <col min="7427" max="7427" width="21.140625" style="14" customWidth="1"/>
    <col min="7428" max="7428" width="82" style="14" customWidth="1"/>
    <col min="7429" max="7672" width="9.140625" style="14"/>
    <col min="7673" max="7673" width="70.28515625" style="14" customWidth="1"/>
    <col min="7674" max="7674" width="17.5703125" style="14" customWidth="1"/>
    <col min="7675" max="7675" width="70.28515625" style="14" customWidth="1"/>
    <col min="7676" max="7676" width="17.5703125" style="14" customWidth="1"/>
    <col min="7677" max="7677" width="15.28515625" style="14" customWidth="1"/>
    <col min="7678" max="7678" width="48.7109375" style="14" customWidth="1"/>
    <col min="7679" max="7679" width="24.5703125" style="14" customWidth="1"/>
    <col min="7680" max="7680" width="48.7109375" style="14" customWidth="1"/>
    <col min="7681" max="7681" width="8.140625" style="14" customWidth="1"/>
    <col min="7682" max="7682" width="38.7109375" style="14" customWidth="1"/>
    <col min="7683" max="7683" width="21.140625" style="14" customWidth="1"/>
    <col min="7684" max="7684" width="82" style="14" customWidth="1"/>
    <col min="7685" max="7928" width="9.140625" style="14"/>
    <col min="7929" max="7929" width="70.28515625" style="14" customWidth="1"/>
    <col min="7930" max="7930" width="17.5703125" style="14" customWidth="1"/>
    <col min="7931" max="7931" width="70.28515625" style="14" customWidth="1"/>
    <col min="7932" max="7932" width="17.5703125" style="14" customWidth="1"/>
    <col min="7933" max="7933" width="15.28515625" style="14" customWidth="1"/>
    <col min="7934" max="7934" width="48.7109375" style="14" customWidth="1"/>
    <col min="7935" max="7935" width="24.5703125" style="14" customWidth="1"/>
    <col min="7936" max="7936" width="48.7109375" style="14" customWidth="1"/>
    <col min="7937" max="7937" width="8.140625" style="14" customWidth="1"/>
    <col min="7938" max="7938" width="38.7109375" style="14" customWidth="1"/>
    <col min="7939" max="7939" width="21.140625" style="14" customWidth="1"/>
    <col min="7940" max="7940" width="82" style="14" customWidth="1"/>
    <col min="7941" max="8184" width="9.140625" style="14"/>
    <col min="8185" max="8185" width="70.28515625" style="14" customWidth="1"/>
    <col min="8186" max="8186" width="17.5703125" style="14" customWidth="1"/>
    <col min="8187" max="8187" width="70.28515625" style="14" customWidth="1"/>
    <col min="8188" max="8188" width="17.5703125" style="14" customWidth="1"/>
    <col min="8189" max="8189" width="15.28515625" style="14" customWidth="1"/>
    <col min="8190" max="8190" width="48.7109375" style="14" customWidth="1"/>
    <col min="8191" max="8191" width="24.5703125" style="14" customWidth="1"/>
    <col min="8192" max="8192" width="48.7109375" style="14" customWidth="1"/>
    <col min="8193" max="8193" width="8.140625" style="14" customWidth="1"/>
    <col min="8194" max="8194" width="38.7109375" style="14" customWidth="1"/>
    <col min="8195" max="8195" width="21.140625" style="14" customWidth="1"/>
    <col min="8196" max="8196" width="82" style="14" customWidth="1"/>
    <col min="8197" max="8440" width="9.140625" style="14"/>
    <col min="8441" max="8441" width="70.28515625" style="14" customWidth="1"/>
    <col min="8442" max="8442" width="17.5703125" style="14" customWidth="1"/>
    <col min="8443" max="8443" width="70.28515625" style="14" customWidth="1"/>
    <col min="8444" max="8444" width="17.5703125" style="14" customWidth="1"/>
    <col min="8445" max="8445" width="15.28515625" style="14" customWidth="1"/>
    <col min="8446" max="8446" width="48.7109375" style="14" customWidth="1"/>
    <col min="8447" max="8447" width="24.5703125" style="14" customWidth="1"/>
    <col min="8448" max="8448" width="48.7109375" style="14" customWidth="1"/>
    <col min="8449" max="8449" width="8.140625" style="14" customWidth="1"/>
    <col min="8450" max="8450" width="38.7109375" style="14" customWidth="1"/>
    <col min="8451" max="8451" width="21.140625" style="14" customWidth="1"/>
    <col min="8452" max="8452" width="82" style="14" customWidth="1"/>
    <col min="8453" max="8696" width="9.140625" style="14"/>
    <col min="8697" max="8697" width="70.28515625" style="14" customWidth="1"/>
    <col min="8698" max="8698" width="17.5703125" style="14" customWidth="1"/>
    <col min="8699" max="8699" width="70.28515625" style="14" customWidth="1"/>
    <col min="8700" max="8700" width="17.5703125" style="14" customWidth="1"/>
    <col min="8701" max="8701" width="15.28515625" style="14" customWidth="1"/>
    <col min="8702" max="8702" width="48.7109375" style="14" customWidth="1"/>
    <col min="8703" max="8703" width="24.5703125" style="14" customWidth="1"/>
    <col min="8704" max="8704" width="48.7109375" style="14" customWidth="1"/>
    <col min="8705" max="8705" width="8.140625" style="14" customWidth="1"/>
    <col min="8706" max="8706" width="38.7109375" style="14" customWidth="1"/>
    <col min="8707" max="8707" width="21.140625" style="14" customWidth="1"/>
    <col min="8708" max="8708" width="82" style="14" customWidth="1"/>
    <col min="8709" max="8952" width="9.140625" style="14"/>
    <col min="8953" max="8953" width="70.28515625" style="14" customWidth="1"/>
    <col min="8954" max="8954" width="17.5703125" style="14" customWidth="1"/>
    <col min="8955" max="8955" width="70.28515625" style="14" customWidth="1"/>
    <col min="8956" max="8956" width="17.5703125" style="14" customWidth="1"/>
    <col min="8957" max="8957" width="15.28515625" style="14" customWidth="1"/>
    <col min="8958" max="8958" width="48.7109375" style="14" customWidth="1"/>
    <col min="8959" max="8959" width="24.5703125" style="14" customWidth="1"/>
    <col min="8960" max="8960" width="48.7109375" style="14" customWidth="1"/>
    <col min="8961" max="8961" width="8.140625" style="14" customWidth="1"/>
    <col min="8962" max="8962" width="38.7109375" style="14" customWidth="1"/>
    <col min="8963" max="8963" width="21.140625" style="14" customWidth="1"/>
    <col min="8964" max="8964" width="82" style="14" customWidth="1"/>
    <col min="8965" max="9208" width="9.140625" style="14"/>
    <col min="9209" max="9209" width="70.28515625" style="14" customWidth="1"/>
    <col min="9210" max="9210" width="17.5703125" style="14" customWidth="1"/>
    <col min="9211" max="9211" width="70.28515625" style="14" customWidth="1"/>
    <col min="9212" max="9212" width="17.5703125" style="14" customWidth="1"/>
    <col min="9213" max="9213" width="15.28515625" style="14" customWidth="1"/>
    <col min="9214" max="9214" width="48.7109375" style="14" customWidth="1"/>
    <col min="9215" max="9215" width="24.5703125" style="14" customWidth="1"/>
    <col min="9216" max="9216" width="48.7109375" style="14" customWidth="1"/>
    <col min="9217" max="9217" width="8.140625" style="14" customWidth="1"/>
    <col min="9218" max="9218" width="38.7109375" style="14" customWidth="1"/>
    <col min="9219" max="9219" width="21.140625" style="14" customWidth="1"/>
    <col min="9220" max="9220" width="82" style="14" customWidth="1"/>
    <col min="9221" max="9464" width="9.140625" style="14"/>
    <col min="9465" max="9465" width="70.28515625" style="14" customWidth="1"/>
    <col min="9466" max="9466" width="17.5703125" style="14" customWidth="1"/>
    <col min="9467" max="9467" width="70.28515625" style="14" customWidth="1"/>
    <col min="9468" max="9468" width="17.5703125" style="14" customWidth="1"/>
    <col min="9469" max="9469" width="15.28515625" style="14" customWidth="1"/>
    <col min="9470" max="9470" width="48.7109375" style="14" customWidth="1"/>
    <col min="9471" max="9471" width="24.5703125" style="14" customWidth="1"/>
    <col min="9472" max="9472" width="48.7109375" style="14" customWidth="1"/>
    <col min="9473" max="9473" width="8.140625" style="14" customWidth="1"/>
    <col min="9474" max="9474" width="38.7109375" style="14" customWidth="1"/>
    <col min="9475" max="9475" width="21.140625" style="14" customWidth="1"/>
    <col min="9476" max="9476" width="82" style="14" customWidth="1"/>
    <col min="9477" max="9720" width="9.140625" style="14"/>
    <col min="9721" max="9721" width="70.28515625" style="14" customWidth="1"/>
    <col min="9722" max="9722" width="17.5703125" style="14" customWidth="1"/>
    <col min="9723" max="9723" width="70.28515625" style="14" customWidth="1"/>
    <col min="9724" max="9724" width="17.5703125" style="14" customWidth="1"/>
    <col min="9725" max="9725" width="15.28515625" style="14" customWidth="1"/>
    <col min="9726" max="9726" width="48.7109375" style="14" customWidth="1"/>
    <col min="9727" max="9727" width="24.5703125" style="14" customWidth="1"/>
    <col min="9728" max="9728" width="48.7109375" style="14" customWidth="1"/>
    <col min="9729" max="9729" width="8.140625" style="14" customWidth="1"/>
    <col min="9730" max="9730" width="38.7109375" style="14" customWidth="1"/>
    <col min="9731" max="9731" width="21.140625" style="14" customWidth="1"/>
    <col min="9732" max="9732" width="82" style="14" customWidth="1"/>
    <col min="9733" max="9976" width="9.140625" style="14"/>
    <col min="9977" max="9977" width="70.28515625" style="14" customWidth="1"/>
    <col min="9978" max="9978" width="17.5703125" style="14" customWidth="1"/>
    <col min="9979" max="9979" width="70.28515625" style="14" customWidth="1"/>
    <col min="9980" max="9980" width="17.5703125" style="14" customWidth="1"/>
    <col min="9981" max="9981" width="15.28515625" style="14" customWidth="1"/>
    <col min="9982" max="9982" width="48.7109375" style="14" customWidth="1"/>
    <col min="9983" max="9983" width="24.5703125" style="14" customWidth="1"/>
    <col min="9984" max="9984" width="48.7109375" style="14" customWidth="1"/>
    <col min="9985" max="9985" width="8.140625" style="14" customWidth="1"/>
    <col min="9986" max="9986" width="38.7109375" style="14" customWidth="1"/>
    <col min="9987" max="9987" width="21.140625" style="14" customWidth="1"/>
    <col min="9988" max="9988" width="82" style="14" customWidth="1"/>
    <col min="9989" max="10232" width="9.140625" style="14"/>
    <col min="10233" max="10233" width="70.28515625" style="14" customWidth="1"/>
    <col min="10234" max="10234" width="17.5703125" style="14" customWidth="1"/>
    <col min="10235" max="10235" width="70.28515625" style="14" customWidth="1"/>
    <col min="10236" max="10236" width="17.5703125" style="14" customWidth="1"/>
    <col min="10237" max="10237" width="15.28515625" style="14" customWidth="1"/>
    <col min="10238" max="10238" width="48.7109375" style="14" customWidth="1"/>
    <col min="10239" max="10239" width="24.5703125" style="14" customWidth="1"/>
    <col min="10240" max="10240" width="48.7109375" style="14" customWidth="1"/>
    <col min="10241" max="10241" width="8.140625" style="14" customWidth="1"/>
    <col min="10242" max="10242" width="38.7109375" style="14" customWidth="1"/>
    <col min="10243" max="10243" width="21.140625" style="14" customWidth="1"/>
    <col min="10244" max="10244" width="82" style="14" customWidth="1"/>
    <col min="10245" max="10488" width="9.140625" style="14"/>
    <col min="10489" max="10489" width="70.28515625" style="14" customWidth="1"/>
    <col min="10490" max="10490" width="17.5703125" style="14" customWidth="1"/>
    <col min="10491" max="10491" width="70.28515625" style="14" customWidth="1"/>
    <col min="10492" max="10492" width="17.5703125" style="14" customWidth="1"/>
    <col min="10493" max="10493" width="15.28515625" style="14" customWidth="1"/>
    <col min="10494" max="10494" width="48.7109375" style="14" customWidth="1"/>
    <col min="10495" max="10495" width="24.5703125" style="14" customWidth="1"/>
    <col min="10496" max="10496" width="48.7109375" style="14" customWidth="1"/>
    <col min="10497" max="10497" width="8.140625" style="14" customWidth="1"/>
    <col min="10498" max="10498" width="38.7109375" style="14" customWidth="1"/>
    <col min="10499" max="10499" width="21.140625" style="14" customWidth="1"/>
    <col min="10500" max="10500" width="82" style="14" customWidth="1"/>
    <col min="10501" max="10744" width="9.140625" style="14"/>
    <col min="10745" max="10745" width="70.28515625" style="14" customWidth="1"/>
    <col min="10746" max="10746" width="17.5703125" style="14" customWidth="1"/>
    <col min="10747" max="10747" width="70.28515625" style="14" customWidth="1"/>
    <col min="10748" max="10748" width="17.5703125" style="14" customWidth="1"/>
    <col min="10749" max="10749" width="15.28515625" style="14" customWidth="1"/>
    <col min="10750" max="10750" width="48.7109375" style="14" customWidth="1"/>
    <col min="10751" max="10751" width="24.5703125" style="14" customWidth="1"/>
    <col min="10752" max="10752" width="48.7109375" style="14" customWidth="1"/>
    <col min="10753" max="10753" width="8.140625" style="14" customWidth="1"/>
    <col min="10754" max="10754" width="38.7109375" style="14" customWidth="1"/>
    <col min="10755" max="10755" width="21.140625" style="14" customWidth="1"/>
    <col min="10756" max="10756" width="82" style="14" customWidth="1"/>
    <col min="10757" max="11000" width="9.140625" style="14"/>
    <col min="11001" max="11001" width="70.28515625" style="14" customWidth="1"/>
    <col min="11002" max="11002" width="17.5703125" style="14" customWidth="1"/>
    <col min="11003" max="11003" width="70.28515625" style="14" customWidth="1"/>
    <col min="11004" max="11004" width="17.5703125" style="14" customWidth="1"/>
    <col min="11005" max="11005" width="15.28515625" style="14" customWidth="1"/>
    <col min="11006" max="11006" width="48.7109375" style="14" customWidth="1"/>
    <col min="11007" max="11007" width="24.5703125" style="14" customWidth="1"/>
    <col min="11008" max="11008" width="48.7109375" style="14" customWidth="1"/>
    <col min="11009" max="11009" width="8.140625" style="14" customWidth="1"/>
    <col min="11010" max="11010" width="38.7109375" style="14" customWidth="1"/>
    <col min="11011" max="11011" width="21.140625" style="14" customWidth="1"/>
    <col min="11012" max="11012" width="82" style="14" customWidth="1"/>
    <col min="11013" max="11256" width="9.140625" style="14"/>
    <col min="11257" max="11257" width="70.28515625" style="14" customWidth="1"/>
    <col min="11258" max="11258" width="17.5703125" style="14" customWidth="1"/>
    <col min="11259" max="11259" width="70.28515625" style="14" customWidth="1"/>
    <col min="11260" max="11260" width="17.5703125" style="14" customWidth="1"/>
    <col min="11261" max="11261" width="15.28515625" style="14" customWidth="1"/>
    <col min="11262" max="11262" width="48.7109375" style="14" customWidth="1"/>
    <col min="11263" max="11263" width="24.5703125" style="14" customWidth="1"/>
    <col min="11264" max="11264" width="48.7109375" style="14" customWidth="1"/>
    <col min="11265" max="11265" width="8.140625" style="14" customWidth="1"/>
    <col min="11266" max="11266" width="38.7109375" style="14" customWidth="1"/>
    <col min="11267" max="11267" width="21.140625" style="14" customWidth="1"/>
    <col min="11268" max="11268" width="82" style="14" customWidth="1"/>
    <col min="11269" max="11512" width="9.140625" style="14"/>
    <col min="11513" max="11513" width="70.28515625" style="14" customWidth="1"/>
    <col min="11514" max="11514" width="17.5703125" style="14" customWidth="1"/>
    <col min="11515" max="11515" width="70.28515625" style="14" customWidth="1"/>
    <col min="11516" max="11516" width="17.5703125" style="14" customWidth="1"/>
    <col min="11517" max="11517" width="15.28515625" style="14" customWidth="1"/>
    <col min="11518" max="11518" width="48.7109375" style="14" customWidth="1"/>
    <col min="11519" max="11519" width="24.5703125" style="14" customWidth="1"/>
    <col min="11520" max="11520" width="48.7109375" style="14" customWidth="1"/>
    <col min="11521" max="11521" width="8.140625" style="14" customWidth="1"/>
    <col min="11522" max="11522" width="38.7109375" style="14" customWidth="1"/>
    <col min="11523" max="11523" width="21.140625" style="14" customWidth="1"/>
    <col min="11524" max="11524" width="82" style="14" customWidth="1"/>
    <col min="11525" max="11768" width="9.140625" style="14"/>
    <col min="11769" max="11769" width="70.28515625" style="14" customWidth="1"/>
    <col min="11770" max="11770" width="17.5703125" style="14" customWidth="1"/>
    <col min="11771" max="11771" width="70.28515625" style="14" customWidth="1"/>
    <col min="11772" max="11772" width="17.5703125" style="14" customWidth="1"/>
    <col min="11773" max="11773" width="15.28515625" style="14" customWidth="1"/>
    <col min="11774" max="11774" width="48.7109375" style="14" customWidth="1"/>
    <col min="11775" max="11775" width="24.5703125" style="14" customWidth="1"/>
    <col min="11776" max="11776" width="48.7109375" style="14" customWidth="1"/>
    <col min="11777" max="11777" width="8.140625" style="14" customWidth="1"/>
    <col min="11778" max="11778" width="38.7109375" style="14" customWidth="1"/>
    <col min="11779" max="11779" width="21.140625" style="14" customWidth="1"/>
    <col min="11780" max="11780" width="82" style="14" customWidth="1"/>
    <col min="11781" max="12024" width="9.140625" style="14"/>
    <col min="12025" max="12025" width="70.28515625" style="14" customWidth="1"/>
    <col min="12026" max="12026" width="17.5703125" style="14" customWidth="1"/>
    <col min="12027" max="12027" width="70.28515625" style="14" customWidth="1"/>
    <col min="12028" max="12028" width="17.5703125" style="14" customWidth="1"/>
    <col min="12029" max="12029" width="15.28515625" style="14" customWidth="1"/>
    <col min="12030" max="12030" width="48.7109375" style="14" customWidth="1"/>
    <col min="12031" max="12031" width="24.5703125" style="14" customWidth="1"/>
    <col min="12032" max="12032" width="48.7109375" style="14" customWidth="1"/>
    <col min="12033" max="12033" width="8.140625" style="14" customWidth="1"/>
    <col min="12034" max="12034" width="38.7109375" style="14" customWidth="1"/>
    <col min="12035" max="12035" width="21.140625" style="14" customWidth="1"/>
    <col min="12036" max="12036" width="82" style="14" customWidth="1"/>
    <col min="12037" max="12280" width="9.140625" style="14"/>
    <col min="12281" max="12281" width="70.28515625" style="14" customWidth="1"/>
    <col min="12282" max="12282" width="17.5703125" style="14" customWidth="1"/>
    <col min="12283" max="12283" width="70.28515625" style="14" customWidth="1"/>
    <col min="12284" max="12284" width="17.5703125" style="14" customWidth="1"/>
    <col min="12285" max="12285" width="15.28515625" style="14" customWidth="1"/>
    <col min="12286" max="12286" width="48.7109375" style="14" customWidth="1"/>
    <col min="12287" max="12287" width="24.5703125" style="14" customWidth="1"/>
    <col min="12288" max="12288" width="48.7109375" style="14" customWidth="1"/>
    <col min="12289" max="12289" width="8.140625" style="14" customWidth="1"/>
    <col min="12290" max="12290" width="38.7109375" style="14" customWidth="1"/>
    <col min="12291" max="12291" width="21.140625" style="14" customWidth="1"/>
    <col min="12292" max="12292" width="82" style="14" customWidth="1"/>
    <col min="12293" max="12536" width="9.140625" style="14"/>
    <col min="12537" max="12537" width="70.28515625" style="14" customWidth="1"/>
    <col min="12538" max="12538" width="17.5703125" style="14" customWidth="1"/>
    <col min="12539" max="12539" width="70.28515625" style="14" customWidth="1"/>
    <col min="12540" max="12540" width="17.5703125" style="14" customWidth="1"/>
    <col min="12541" max="12541" width="15.28515625" style="14" customWidth="1"/>
    <col min="12542" max="12542" width="48.7109375" style="14" customWidth="1"/>
    <col min="12543" max="12543" width="24.5703125" style="14" customWidth="1"/>
    <col min="12544" max="12544" width="48.7109375" style="14" customWidth="1"/>
    <col min="12545" max="12545" width="8.140625" style="14" customWidth="1"/>
    <col min="12546" max="12546" width="38.7109375" style="14" customWidth="1"/>
    <col min="12547" max="12547" width="21.140625" style="14" customWidth="1"/>
    <col min="12548" max="12548" width="82" style="14" customWidth="1"/>
    <col min="12549" max="12792" width="9.140625" style="14"/>
    <col min="12793" max="12793" width="70.28515625" style="14" customWidth="1"/>
    <col min="12794" max="12794" width="17.5703125" style="14" customWidth="1"/>
    <col min="12795" max="12795" width="70.28515625" style="14" customWidth="1"/>
    <col min="12796" max="12796" width="17.5703125" style="14" customWidth="1"/>
    <col min="12797" max="12797" width="15.28515625" style="14" customWidth="1"/>
    <col min="12798" max="12798" width="48.7109375" style="14" customWidth="1"/>
    <col min="12799" max="12799" width="24.5703125" style="14" customWidth="1"/>
    <col min="12800" max="12800" width="48.7109375" style="14" customWidth="1"/>
    <col min="12801" max="12801" width="8.140625" style="14" customWidth="1"/>
    <col min="12802" max="12802" width="38.7109375" style="14" customWidth="1"/>
    <col min="12803" max="12803" width="21.140625" style="14" customWidth="1"/>
    <col min="12804" max="12804" width="82" style="14" customWidth="1"/>
    <col min="12805" max="13048" width="9.140625" style="14"/>
    <col min="13049" max="13049" width="70.28515625" style="14" customWidth="1"/>
    <col min="13050" max="13050" width="17.5703125" style="14" customWidth="1"/>
    <col min="13051" max="13051" width="70.28515625" style="14" customWidth="1"/>
    <col min="13052" max="13052" width="17.5703125" style="14" customWidth="1"/>
    <col min="13053" max="13053" width="15.28515625" style="14" customWidth="1"/>
    <col min="13054" max="13054" width="48.7109375" style="14" customWidth="1"/>
    <col min="13055" max="13055" width="24.5703125" style="14" customWidth="1"/>
    <col min="13056" max="13056" width="48.7109375" style="14" customWidth="1"/>
    <col min="13057" max="13057" width="8.140625" style="14" customWidth="1"/>
    <col min="13058" max="13058" width="38.7109375" style="14" customWidth="1"/>
    <col min="13059" max="13059" width="21.140625" style="14" customWidth="1"/>
    <col min="13060" max="13060" width="82" style="14" customWidth="1"/>
    <col min="13061" max="13304" width="9.140625" style="14"/>
    <col min="13305" max="13305" width="70.28515625" style="14" customWidth="1"/>
    <col min="13306" max="13306" width="17.5703125" style="14" customWidth="1"/>
    <col min="13307" max="13307" width="70.28515625" style="14" customWidth="1"/>
    <col min="13308" max="13308" width="17.5703125" style="14" customWidth="1"/>
    <col min="13309" max="13309" width="15.28515625" style="14" customWidth="1"/>
    <col min="13310" max="13310" width="48.7109375" style="14" customWidth="1"/>
    <col min="13311" max="13311" width="24.5703125" style="14" customWidth="1"/>
    <col min="13312" max="13312" width="48.7109375" style="14" customWidth="1"/>
    <col min="13313" max="13313" width="8.140625" style="14" customWidth="1"/>
    <col min="13314" max="13314" width="38.7109375" style="14" customWidth="1"/>
    <col min="13315" max="13315" width="21.140625" style="14" customWidth="1"/>
    <col min="13316" max="13316" width="82" style="14" customWidth="1"/>
    <col min="13317" max="13560" width="9.140625" style="14"/>
    <col min="13561" max="13561" width="70.28515625" style="14" customWidth="1"/>
    <col min="13562" max="13562" width="17.5703125" style="14" customWidth="1"/>
    <col min="13563" max="13563" width="70.28515625" style="14" customWidth="1"/>
    <col min="13564" max="13564" width="17.5703125" style="14" customWidth="1"/>
    <col min="13565" max="13565" width="15.28515625" style="14" customWidth="1"/>
    <col min="13566" max="13566" width="48.7109375" style="14" customWidth="1"/>
    <col min="13567" max="13567" width="24.5703125" style="14" customWidth="1"/>
    <col min="13568" max="13568" width="48.7109375" style="14" customWidth="1"/>
    <col min="13569" max="13569" width="8.140625" style="14" customWidth="1"/>
    <col min="13570" max="13570" width="38.7109375" style="14" customWidth="1"/>
    <col min="13571" max="13571" width="21.140625" style="14" customWidth="1"/>
    <col min="13572" max="13572" width="82" style="14" customWidth="1"/>
    <col min="13573" max="13816" width="9.140625" style="14"/>
    <col min="13817" max="13817" width="70.28515625" style="14" customWidth="1"/>
    <col min="13818" max="13818" width="17.5703125" style="14" customWidth="1"/>
    <col min="13819" max="13819" width="70.28515625" style="14" customWidth="1"/>
    <col min="13820" max="13820" width="17.5703125" style="14" customWidth="1"/>
    <col min="13821" max="13821" width="15.28515625" style="14" customWidth="1"/>
    <col min="13822" max="13822" width="48.7109375" style="14" customWidth="1"/>
    <col min="13823" max="13823" width="24.5703125" style="14" customWidth="1"/>
    <col min="13824" max="13824" width="48.7109375" style="14" customWidth="1"/>
    <col min="13825" max="13825" width="8.140625" style="14" customWidth="1"/>
    <col min="13826" max="13826" width="38.7109375" style="14" customWidth="1"/>
    <col min="13827" max="13827" width="21.140625" style="14" customWidth="1"/>
    <col min="13828" max="13828" width="82" style="14" customWidth="1"/>
    <col min="13829" max="14072" width="9.140625" style="14"/>
    <col min="14073" max="14073" width="70.28515625" style="14" customWidth="1"/>
    <col min="14074" max="14074" width="17.5703125" style="14" customWidth="1"/>
    <col min="14075" max="14075" width="70.28515625" style="14" customWidth="1"/>
    <col min="14076" max="14076" width="17.5703125" style="14" customWidth="1"/>
    <col min="14077" max="14077" width="15.28515625" style="14" customWidth="1"/>
    <col min="14078" max="14078" width="48.7109375" style="14" customWidth="1"/>
    <col min="14079" max="14079" width="24.5703125" style="14" customWidth="1"/>
    <col min="14080" max="14080" width="48.7109375" style="14" customWidth="1"/>
    <col min="14081" max="14081" width="8.140625" style="14" customWidth="1"/>
    <col min="14082" max="14082" width="38.7109375" style="14" customWidth="1"/>
    <col min="14083" max="14083" width="21.140625" style="14" customWidth="1"/>
    <col min="14084" max="14084" width="82" style="14" customWidth="1"/>
    <col min="14085" max="14328" width="9.140625" style="14"/>
    <col min="14329" max="14329" width="70.28515625" style="14" customWidth="1"/>
    <col min="14330" max="14330" width="17.5703125" style="14" customWidth="1"/>
    <col min="14331" max="14331" width="70.28515625" style="14" customWidth="1"/>
    <col min="14332" max="14332" width="17.5703125" style="14" customWidth="1"/>
    <col min="14333" max="14333" width="15.28515625" style="14" customWidth="1"/>
    <col min="14334" max="14334" width="48.7109375" style="14" customWidth="1"/>
    <col min="14335" max="14335" width="24.5703125" style="14" customWidth="1"/>
    <col min="14336" max="14336" width="48.7109375" style="14" customWidth="1"/>
    <col min="14337" max="14337" width="8.140625" style="14" customWidth="1"/>
    <col min="14338" max="14338" width="38.7109375" style="14" customWidth="1"/>
    <col min="14339" max="14339" width="21.140625" style="14" customWidth="1"/>
    <col min="14340" max="14340" width="82" style="14" customWidth="1"/>
    <col min="14341" max="14584" width="9.140625" style="14"/>
    <col min="14585" max="14585" width="70.28515625" style="14" customWidth="1"/>
    <col min="14586" max="14586" width="17.5703125" style="14" customWidth="1"/>
    <col min="14587" max="14587" width="70.28515625" style="14" customWidth="1"/>
    <col min="14588" max="14588" width="17.5703125" style="14" customWidth="1"/>
    <col min="14589" max="14589" width="15.28515625" style="14" customWidth="1"/>
    <col min="14590" max="14590" width="48.7109375" style="14" customWidth="1"/>
    <col min="14591" max="14591" width="24.5703125" style="14" customWidth="1"/>
    <col min="14592" max="14592" width="48.7109375" style="14" customWidth="1"/>
    <col min="14593" max="14593" width="8.140625" style="14" customWidth="1"/>
    <col min="14594" max="14594" width="38.7109375" style="14" customWidth="1"/>
    <col min="14595" max="14595" width="21.140625" style="14" customWidth="1"/>
    <col min="14596" max="14596" width="82" style="14" customWidth="1"/>
    <col min="14597" max="14840" width="9.140625" style="14"/>
    <col min="14841" max="14841" width="70.28515625" style="14" customWidth="1"/>
    <col min="14842" max="14842" width="17.5703125" style="14" customWidth="1"/>
    <col min="14843" max="14843" width="70.28515625" style="14" customWidth="1"/>
    <col min="14844" max="14844" width="17.5703125" style="14" customWidth="1"/>
    <col min="14845" max="14845" width="15.28515625" style="14" customWidth="1"/>
    <col min="14846" max="14846" width="48.7109375" style="14" customWidth="1"/>
    <col min="14847" max="14847" width="24.5703125" style="14" customWidth="1"/>
    <col min="14848" max="14848" width="48.7109375" style="14" customWidth="1"/>
    <col min="14849" max="14849" width="8.140625" style="14" customWidth="1"/>
    <col min="14850" max="14850" width="38.7109375" style="14" customWidth="1"/>
    <col min="14851" max="14851" width="21.140625" style="14" customWidth="1"/>
    <col min="14852" max="14852" width="82" style="14" customWidth="1"/>
    <col min="14853" max="15096" width="9.140625" style="14"/>
    <col min="15097" max="15097" width="70.28515625" style="14" customWidth="1"/>
    <col min="15098" max="15098" width="17.5703125" style="14" customWidth="1"/>
    <col min="15099" max="15099" width="70.28515625" style="14" customWidth="1"/>
    <col min="15100" max="15100" width="17.5703125" style="14" customWidth="1"/>
    <col min="15101" max="15101" width="15.28515625" style="14" customWidth="1"/>
    <col min="15102" max="15102" width="48.7109375" style="14" customWidth="1"/>
    <col min="15103" max="15103" width="24.5703125" style="14" customWidth="1"/>
    <col min="15104" max="15104" width="48.7109375" style="14" customWidth="1"/>
    <col min="15105" max="15105" width="8.140625" style="14" customWidth="1"/>
    <col min="15106" max="15106" width="38.7109375" style="14" customWidth="1"/>
    <col min="15107" max="15107" width="21.140625" style="14" customWidth="1"/>
    <col min="15108" max="15108" width="82" style="14" customWidth="1"/>
    <col min="15109" max="15352" width="9.140625" style="14"/>
    <col min="15353" max="15353" width="70.28515625" style="14" customWidth="1"/>
    <col min="15354" max="15354" width="17.5703125" style="14" customWidth="1"/>
    <col min="15355" max="15355" width="70.28515625" style="14" customWidth="1"/>
    <col min="15356" max="15356" width="17.5703125" style="14" customWidth="1"/>
    <col min="15357" max="15357" width="15.28515625" style="14" customWidth="1"/>
    <col min="15358" max="15358" width="48.7109375" style="14" customWidth="1"/>
    <col min="15359" max="15359" width="24.5703125" style="14" customWidth="1"/>
    <col min="15360" max="15360" width="48.7109375" style="14" customWidth="1"/>
    <col min="15361" max="15361" width="8.140625" style="14" customWidth="1"/>
    <col min="15362" max="15362" width="38.7109375" style="14" customWidth="1"/>
    <col min="15363" max="15363" width="21.140625" style="14" customWidth="1"/>
    <col min="15364" max="15364" width="82" style="14" customWidth="1"/>
    <col min="15365" max="15608" width="9.140625" style="14"/>
    <col min="15609" max="15609" width="70.28515625" style="14" customWidth="1"/>
    <col min="15610" max="15610" width="17.5703125" style="14" customWidth="1"/>
    <col min="15611" max="15611" width="70.28515625" style="14" customWidth="1"/>
    <col min="15612" max="15612" width="17.5703125" style="14" customWidth="1"/>
    <col min="15613" max="15613" width="15.28515625" style="14" customWidth="1"/>
    <col min="15614" max="15614" width="48.7109375" style="14" customWidth="1"/>
    <col min="15615" max="15615" width="24.5703125" style="14" customWidth="1"/>
    <col min="15616" max="15616" width="48.7109375" style="14" customWidth="1"/>
    <col min="15617" max="15617" width="8.140625" style="14" customWidth="1"/>
    <col min="15618" max="15618" width="38.7109375" style="14" customWidth="1"/>
    <col min="15619" max="15619" width="21.140625" style="14" customWidth="1"/>
    <col min="15620" max="15620" width="82" style="14" customWidth="1"/>
    <col min="15621" max="15864" width="9.140625" style="14"/>
    <col min="15865" max="15865" width="70.28515625" style="14" customWidth="1"/>
    <col min="15866" max="15866" width="17.5703125" style="14" customWidth="1"/>
    <col min="15867" max="15867" width="70.28515625" style="14" customWidth="1"/>
    <col min="15868" max="15868" width="17.5703125" style="14" customWidth="1"/>
    <col min="15869" max="15869" width="15.28515625" style="14" customWidth="1"/>
    <col min="15870" max="15870" width="48.7109375" style="14" customWidth="1"/>
    <col min="15871" max="15871" width="24.5703125" style="14" customWidth="1"/>
    <col min="15872" max="15872" width="48.7109375" style="14" customWidth="1"/>
    <col min="15873" max="15873" width="8.140625" style="14" customWidth="1"/>
    <col min="15874" max="15874" width="38.7109375" style="14" customWidth="1"/>
    <col min="15875" max="15875" width="21.140625" style="14" customWidth="1"/>
    <col min="15876" max="15876" width="82" style="14" customWidth="1"/>
    <col min="15877" max="16120" width="9.140625" style="14"/>
    <col min="16121" max="16121" width="70.28515625" style="14" customWidth="1"/>
    <col min="16122" max="16122" width="17.5703125" style="14" customWidth="1"/>
    <col min="16123" max="16123" width="70.28515625" style="14" customWidth="1"/>
    <col min="16124" max="16124" width="17.5703125" style="14" customWidth="1"/>
    <col min="16125" max="16125" width="15.28515625" style="14" customWidth="1"/>
    <col min="16126" max="16126" width="48.7109375" style="14" customWidth="1"/>
    <col min="16127" max="16127" width="24.5703125" style="14" customWidth="1"/>
    <col min="16128" max="16128" width="48.7109375" style="14" customWidth="1"/>
    <col min="16129" max="16129" width="8.140625" style="14" customWidth="1"/>
    <col min="16130" max="16130" width="38.7109375" style="14" customWidth="1"/>
    <col min="16131" max="16131" width="21.140625" style="14" customWidth="1"/>
    <col min="16132" max="16132" width="82" style="14" customWidth="1"/>
    <col min="16133" max="16384" width="9.140625" style="14"/>
  </cols>
  <sheetData>
    <row r="1" spans="1:4" ht="15" customHeight="1" x14ac:dyDescent="0.2">
      <c r="A1" s="14" t="s">
        <v>2938</v>
      </c>
      <c r="B1" s="38" t="s">
        <v>43939</v>
      </c>
      <c r="D1" s="877" t="s">
        <v>29981</v>
      </c>
    </row>
    <row r="2" spans="1:4" ht="13.5" x14ac:dyDescent="0.25">
      <c r="A2" s="878" t="s">
        <v>2939</v>
      </c>
      <c r="B2" s="878" t="s">
        <v>2940</v>
      </c>
      <c r="C2" s="879" t="s">
        <v>2450</v>
      </c>
      <c r="D2" s="878" t="s">
        <v>2941</v>
      </c>
    </row>
    <row r="4" spans="1:4" ht="13.5" x14ac:dyDescent="0.25">
      <c r="A4" s="878" t="s">
        <v>2942</v>
      </c>
      <c r="B4" s="878" t="s">
        <v>2943</v>
      </c>
      <c r="C4" s="879" t="s">
        <v>158</v>
      </c>
      <c r="D4" s="880" t="s">
        <v>3186</v>
      </c>
    </row>
    <row r="5" spans="1:4" ht="13.5" x14ac:dyDescent="0.25">
      <c r="A5" s="878" t="s">
        <v>2945</v>
      </c>
      <c r="B5" s="878" t="s">
        <v>2946</v>
      </c>
      <c r="C5" s="879" t="s">
        <v>158</v>
      </c>
      <c r="D5" s="880" t="s">
        <v>16567</v>
      </c>
    </row>
    <row r="6" spans="1:4" ht="13.5" x14ac:dyDescent="0.25">
      <c r="A6" s="878" t="s">
        <v>2948</v>
      </c>
      <c r="B6" s="878" t="s">
        <v>2949</v>
      </c>
      <c r="C6" s="879" t="s">
        <v>158</v>
      </c>
      <c r="D6" s="880" t="s">
        <v>10563</v>
      </c>
    </row>
    <row r="7" spans="1:4" ht="13.5" x14ac:dyDescent="0.25">
      <c r="A7" s="878" t="s">
        <v>2950</v>
      </c>
      <c r="B7" s="878" t="s">
        <v>2951</v>
      </c>
      <c r="C7" s="879" t="s">
        <v>158</v>
      </c>
      <c r="D7" s="880" t="s">
        <v>40017</v>
      </c>
    </row>
    <row r="8" spans="1:4" ht="13.5" x14ac:dyDescent="0.25">
      <c r="A8" s="878" t="s">
        <v>2952</v>
      </c>
      <c r="B8" s="878" t="s">
        <v>2953</v>
      </c>
      <c r="C8" s="879" t="s">
        <v>158</v>
      </c>
      <c r="D8" s="880" t="s">
        <v>10927</v>
      </c>
    </row>
    <row r="9" spans="1:4" ht="13.5" x14ac:dyDescent="0.25">
      <c r="A9" s="878" t="s">
        <v>2954</v>
      </c>
      <c r="B9" s="878" t="s">
        <v>2955</v>
      </c>
      <c r="C9" s="879" t="s">
        <v>158</v>
      </c>
      <c r="D9" s="880" t="s">
        <v>30833</v>
      </c>
    </row>
    <row r="10" spans="1:4" ht="13.5" x14ac:dyDescent="0.25">
      <c r="A10" s="878" t="s">
        <v>2957</v>
      </c>
      <c r="B10" s="878" t="s">
        <v>2958</v>
      </c>
      <c r="C10" s="879" t="s">
        <v>158</v>
      </c>
      <c r="D10" s="880" t="s">
        <v>40018</v>
      </c>
    </row>
    <row r="11" spans="1:4" ht="13.5" x14ac:dyDescent="0.25">
      <c r="A11" s="878" t="s">
        <v>2959</v>
      </c>
      <c r="B11" s="878" t="s">
        <v>2960</v>
      </c>
      <c r="C11" s="879" t="s">
        <v>158</v>
      </c>
      <c r="D11" s="880" t="s">
        <v>40019</v>
      </c>
    </row>
    <row r="12" spans="1:4" ht="13.5" x14ac:dyDescent="0.25">
      <c r="A12" s="878" t="s">
        <v>2961</v>
      </c>
      <c r="B12" s="878" t="s">
        <v>2962</v>
      </c>
      <c r="C12" s="879" t="s">
        <v>158</v>
      </c>
      <c r="D12" s="880" t="s">
        <v>30761</v>
      </c>
    </row>
    <row r="13" spans="1:4" ht="13.5" x14ac:dyDescent="0.25">
      <c r="A13" s="878" t="s">
        <v>2963</v>
      </c>
      <c r="B13" s="878" t="s">
        <v>2964</v>
      </c>
      <c r="C13" s="879" t="s">
        <v>158</v>
      </c>
      <c r="D13" s="880" t="s">
        <v>30245</v>
      </c>
    </row>
    <row r="14" spans="1:4" ht="13.5" x14ac:dyDescent="0.25">
      <c r="A14" s="878" t="s">
        <v>2965</v>
      </c>
      <c r="B14" s="878" t="s">
        <v>2966</v>
      </c>
      <c r="C14" s="879" t="s">
        <v>158</v>
      </c>
      <c r="D14" s="880" t="s">
        <v>11244</v>
      </c>
    </row>
    <row r="15" spans="1:4" ht="13.5" x14ac:dyDescent="0.25">
      <c r="A15" s="878" t="s">
        <v>2967</v>
      </c>
      <c r="B15" s="878" t="s">
        <v>2968</v>
      </c>
      <c r="C15" s="879" t="s">
        <v>158</v>
      </c>
      <c r="D15" s="880" t="s">
        <v>40020</v>
      </c>
    </row>
    <row r="16" spans="1:4" ht="13.5" x14ac:dyDescent="0.25">
      <c r="A16" s="878" t="s">
        <v>2969</v>
      </c>
      <c r="B16" s="878" t="s">
        <v>2970</v>
      </c>
      <c r="C16" s="879" t="s">
        <v>158</v>
      </c>
      <c r="D16" s="880" t="s">
        <v>40021</v>
      </c>
    </row>
    <row r="17" spans="1:4" ht="13.5" x14ac:dyDescent="0.25">
      <c r="A17" s="878" t="s">
        <v>2971</v>
      </c>
      <c r="B17" s="878" t="s">
        <v>2972</v>
      </c>
      <c r="C17" s="879" t="s">
        <v>158</v>
      </c>
      <c r="D17" s="880" t="s">
        <v>40022</v>
      </c>
    </row>
    <row r="18" spans="1:4" ht="13.5" x14ac:dyDescent="0.25">
      <c r="A18" s="878" t="s">
        <v>2973</v>
      </c>
      <c r="B18" s="878" t="s">
        <v>2974</v>
      </c>
      <c r="C18" s="879" t="s">
        <v>158</v>
      </c>
      <c r="D18" s="880" t="s">
        <v>31186</v>
      </c>
    </row>
    <row r="19" spans="1:4" ht="13.5" x14ac:dyDescent="0.25">
      <c r="A19" s="878" t="s">
        <v>2975</v>
      </c>
      <c r="B19" s="878" t="s">
        <v>2976</v>
      </c>
      <c r="C19" s="879" t="s">
        <v>158</v>
      </c>
      <c r="D19" s="880" t="s">
        <v>40023</v>
      </c>
    </row>
    <row r="20" spans="1:4" ht="13.5" x14ac:dyDescent="0.25">
      <c r="A20" s="878" t="s">
        <v>2977</v>
      </c>
      <c r="B20" s="878" t="s">
        <v>2978</v>
      </c>
      <c r="C20" s="879" t="s">
        <v>158</v>
      </c>
      <c r="D20" s="880" t="s">
        <v>3757</v>
      </c>
    </row>
    <row r="21" spans="1:4" ht="13.5" x14ac:dyDescent="0.25">
      <c r="A21" s="878" t="s">
        <v>2979</v>
      </c>
      <c r="B21" s="878" t="s">
        <v>2980</v>
      </c>
      <c r="C21" s="879" t="s">
        <v>158</v>
      </c>
      <c r="D21" s="880" t="s">
        <v>14525</v>
      </c>
    </row>
    <row r="22" spans="1:4" ht="13.5" x14ac:dyDescent="0.25">
      <c r="A22" s="878" t="s">
        <v>2981</v>
      </c>
      <c r="B22" s="878" t="s">
        <v>2982</v>
      </c>
      <c r="C22" s="879" t="s">
        <v>158</v>
      </c>
      <c r="D22" s="880" t="s">
        <v>31267</v>
      </c>
    </row>
    <row r="23" spans="1:4" ht="13.5" x14ac:dyDescent="0.25">
      <c r="A23" s="878" t="s">
        <v>2983</v>
      </c>
      <c r="B23" s="878" t="s">
        <v>2984</v>
      </c>
      <c r="C23" s="879" t="s">
        <v>158</v>
      </c>
      <c r="D23" s="880" t="s">
        <v>40024</v>
      </c>
    </row>
    <row r="24" spans="1:4" ht="13.5" x14ac:dyDescent="0.25">
      <c r="A24" s="878" t="s">
        <v>2985</v>
      </c>
      <c r="B24" s="878" t="s">
        <v>2986</v>
      </c>
      <c r="C24" s="879" t="s">
        <v>158</v>
      </c>
      <c r="D24" s="880" t="s">
        <v>40025</v>
      </c>
    </row>
    <row r="25" spans="1:4" ht="13.5" x14ac:dyDescent="0.25">
      <c r="A25" s="878" t="s">
        <v>2988</v>
      </c>
      <c r="B25" s="878" t="s">
        <v>2989</v>
      </c>
      <c r="C25" s="879" t="s">
        <v>158</v>
      </c>
      <c r="D25" s="880" t="s">
        <v>40026</v>
      </c>
    </row>
    <row r="26" spans="1:4" ht="13.5" x14ac:dyDescent="0.25">
      <c r="A26" s="878" t="s">
        <v>2991</v>
      </c>
      <c r="B26" s="878" t="s">
        <v>2992</v>
      </c>
      <c r="C26" s="879" t="s">
        <v>158</v>
      </c>
      <c r="D26" s="880" t="s">
        <v>40027</v>
      </c>
    </row>
    <row r="27" spans="1:4" ht="13.5" x14ac:dyDescent="0.25">
      <c r="A27" s="878" t="s">
        <v>2993</v>
      </c>
      <c r="B27" s="878" t="s">
        <v>2994</v>
      </c>
      <c r="C27" s="879" t="s">
        <v>158</v>
      </c>
      <c r="D27" s="880" t="s">
        <v>7493</v>
      </c>
    </row>
    <row r="28" spans="1:4" ht="13.5" x14ac:dyDescent="0.25">
      <c r="A28" s="878" t="s">
        <v>2995</v>
      </c>
      <c r="B28" s="878" t="s">
        <v>2996</v>
      </c>
      <c r="C28" s="879" t="s">
        <v>158</v>
      </c>
      <c r="D28" s="880" t="s">
        <v>10266</v>
      </c>
    </row>
    <row r="29" spans="1:4" ht="13.5" x14ac:dyDescent="0.25">
      <c r="A29" s="878" t="s">
        <v>2998</v>
      </c>
      <c r="B29" s="878" t="s">
        <v>2999</v>
      </c>
      <c r="C29" s="879" t="s">
        <v>158</v>
      </c>
      <c r="D29" s="880" t="s">
        <v>40028</v>
      </c>
    </row>
    <row r="30" spans="1:4" ht="13.5" x14ac:dyDescent="0.25">
      <c r="A30" s="878" t="s">
        <v>3000</v>
      </c>
      <c r="B30" s="878" t="s">
        <v>3001</v>
      </c>
      <c r="C30" s="879" t="s">
        <v>158</v>
      </c>
      <c r="D30" s="880" t="s">
        <v>40029</v>
      </c>
    </row>
    <row r="31" spans="1:4" ht="13.5" x14ac:dyDescent="0.25">
      <c r="A31" s="878" t="s">
        <v>3002</v>
      </c>
      <c r="B31" s="878" t="s">
        <v>3003</v>
      </c>
      <c r="C31" s="879" t="s">
        <v>158</v>
      </c>
      <c r="D31" s="880" t="s">
        <v>40030</v>
      </c>
    </row>
    <row r="32" spans="1:4" ht="13.5" x14ac:dyDescent="0.25">
      <c r="A32" s="878" t="s">
        <v>3004</v>
      </c>
      <c r="B32" s="878" t="s">
        <v>3005</v>
      </c>
      <c r="C32" s="879" t="s">
        <v>158</v>
      </c>
      <c r="D32" s="880" t="s">
        <v>40031</v>
      </c>
    </row>
    <row r="33" spans="1:4" ht="13.5" x14ac:dyDescent="0.25">
      <c r="A33" s="878" t="s">
        <v>3006</v>
      </c>
      <c r="B33" s="878" t="s">
        <v>3007</v>
      </c>
      <c r="C33" s="879" t="s">
        <v>158</v>
      </c>
      <c r="D33" s="880" t="s">
        <v>30753</v>
      </c>
    </row>
    <row r="34" spans="1:4" ht="13.5" x14ac:dyDescent="0.25">
      <c r="A34" s="878" t="s">
        <v>3008</v>
      </c>
      <c r="B34" s="878" t="s">
        <v>3009</v>
      </c>
      <c r="C34" s="879" t="s">
        <v>158</v>
      </c>
      <c r="D34" s="880" t="s">
        <v>40032</v>
      </c>
    </row>
    <row r="35" spans="1:4" ht="13.5" x14ac:dyDescent="0.25">
      <c r="A35" s="878" t="s">
        <v>3010</v>
      </c>
      <c r="B35" s="878" t="s">
        <v>3011</v>
      </c>
      <c r="C35" s="879" t="s">
        <v>158</v>
      </c>
      <c r="D35" s="880" t="s">
        <v>40033</v>
      </c>
    </row>
    <row r="36" spans="1:4" ht="13.5" x14ac:dyDescent="0.25">
      <c r="A36" s="878" t="s">
        <v>3012</v>
      </c>
      <c r="B36" s="878" t="s">
        <v>3013</v>
      </c>
      <c r="C36" s="879" t="s">
        <v>158</v>
      </c>
      <c r="D36" s="880" t="s">
        <v>31086</v>
      </c>
    </row>
    <row r="37" spans="1:4" ht="13.5" x14ac:dyDescent="0.25">
      <c r="A37" s="878" t="s">
        <v>3014</v>
      </c>
      <c r="B37" s="878" t="s">
        <v>3015</v>
      </c>
      <c r="C37" s="879" t="s">
        <v>158</v>
      </c>
      <c r="D37" s="880" t="s">
        <v>40034</v>
      </c>
    </row>
    <row r="38" spans="1:4" ht="13.5" x14ac:dyDescent="0.25">
      <c r="A38" s="878" t="s">
        <v>3016</v>
      </c>
      <c r="B38" s="878" t="s">
        <v>3017</v>
      </c>
      <c r="C38" s="879" t="s">
        <v>158</v>
      </c>
      <c r="D38" s="880" t="s">
        <v>30448</v>
      </c>
    </row>
    <row r="39" spans="1:4" ht="13.5" x14ac:dyDescent="0.25">
      <c r="A39" s="878" t="s">
        <v>3018</v>
      </c>
      <c r="B39" s="878" t="s">
        <v>3019</v>
      </c>
      <c r="C39" s="879" t="s">
        <v>158</v>
      </c>
      <c r="D39" s="880" t="s">
        <v>30519</v>
      </c>
    </row>
    <row r="40" spans="1:4" ht="13.5" x14ac:dyDescent="0.25">
      <c r="A40" s="878" t="s">
        <v>3020</v>
      </c>
      <c r="B40" s="878" t="s">
        <v>3021</v>
      </c>
      <c r="C40" s="879" t="s">
        <v>158</v>
      </c>
      <c r="D40" s="880" t="s">
        <v>40035</v>
      </c>
    </row>
    <row r="41" spans="1:4" ht="13.5" x14ac:dyDescent="0.25">
      <c r="A41" s="878" t="s">
        <v>3022</v>
      </c>
      <c r="B41" s="878" t="s">
        <v>3023</v>
      </c>
      <c r="C41" s="879" t="s">
        <v>158</v>
      </c>
      <c r="D41" s="880" t="s">
        <v>40036</v>
      </c>
    </row>
    <row r="42" spans="1:4" ht="13.5" x14ac:dyDescent="0.25">
      <c r="A42" s="878" t="s">
        <v>3024</v>
      </c>
      <c r="B42" s="878" t="s">
        <v>3025</v>
      </c>
      <c r="C42" s="879" t="s">
        <v>158</v>
      </c>
      <c r="D42" s="880" t="s">
        <v>40037</v>
      </c>
    </row>
    <row r="43" spans="1:4" ht="13.5" x14ac:dyDescent="0.25">
      <c r="A43" s="878" t="s">
        <v>3026</v>
      </c>
      <c r="B43" s="878" t="s">
        <v>3027</v>
      </c>
      <c r="C43" s="879" t="s">
        <v>158</v>
      </c>
      <c r="D43" s="880" t="s">
        <v>30391</v>
      </c>
    </row>
    <row r="44" spans="1:4" ht="13.5" x14ac:dyDescent="0.25">
      <c r="A44" s="878" t="s">
        <v>3028</v>
      </c>
      <c r="B44" s="878" t="s">
        <v>3029</v>
      </c>
      <c r="C44" s="879" t="s">
        <v>158</v>
      </c>
      <c r="D44" s="880" t="s">
        <v>40038</v>
      </c>
    </row>
    <row r="45" spans="1:4" ht="13.5" x14ac:dyDescent="0.25">
      <c r="A45" s="878" t="s">
        <v>3030</v>
      </c>
      <c r="B45" s="878" t="s">
        <v>3031</v>
      </c>
      <c r="C45" s="879" t="s">
        <v>158</v>
      </c>
      <c r="D45" s="880" t="s">
        <v>40039</v>
      </c>
    </row>
    <row r="46" spans="1:4" ht="13.5" x14ac:dyDescent="0.25">
      <c r="A46" s="878" t="s">
        <v>3032</v>
      </c>
      <c r="B46" s="878" t="s">
        <v>3033</v>
      </c>
      <c r="C46" s="879" t="s">
        <v>158</v>
      </c>
      <c r="D46" s="880" t="s">
        <v>30635</v>
      </c>
    </row>
    <row r="47" spans="1:4" ht="13.5" x14ac:dyDescent="0.25">
      <c r="A47" s="878" t="s">
        <v>3034</v>
      </c>
      <c r="B47" s="878" t="s">
        <v>3035</v>
      </c>
      <c r="C47" s="879" t="s">
        <v>158</v>
      </c>
      <c r="D47" s="880" t="s">
        <v>40040</v>
      </c>
    </row>
    <row r="48" spans="1:4" ht="13.5" x14ac:dyDescent="0.25">
      <c r="A48" s="878" t="s">
        <v>3036</v>
      </c>
      <c r="B48" s="878" t="s">
        <v>3037</v>
      </c>
      <c r="C48" s="879" t="s">
        <v>158</v>
      </c>
      <c r="D48" s="880" t="s">
        <v>40041</v>
      </c>
    </row>
    <row r="49" spans="1:4" ht="13.5" x14ac:dyDescent="0.25">
      <c r="A49" s="878" t="s">
        <v>3038</v>
      </c>
      <c r="B49" s="878" t="s">
        <v>3039</v>
      </c>
      <c r="C49" s="879" t="s">
        <v>158</v>
      </c>
      <c r="D49" s="880" t="s">
        <v>40042</v>
      </c>
    </row>
    <row r="50" spans="1:4" ht="13.5" x14ac:dyDescent="0.25">
      <c r="A50" s="878" t="s">
        <v>3040</v>
      </c>
      <c r="B50" s="878" t="s">
        <v>3041</v>
      </c>
      <c r="C50" s="879" t="s">
        <v>158</v>
      </c>
      <c r="D50" s="880" t="s">
        <v>40043</v>
      </c>
    </row>
    <row r="51" spans="1:4" ht="13.5" x14ac:dyDescent="0.25">
      <c r="A51" s="878" t="s">
        <v>3042</v>
      </c>
      <c r="B51" s="878" t="s">
        <v>3043</v>
      </c>
      <c r="C51" s="879" t="s">
        <v>158</v>
      </c>
      <c r="D51" s="880" t="s">
        <v>40044</v>
      </c>
    </row>
    <row r="52" spans="1:4" ht="13.5" x14ac:dyDescent="0.25">
      <c r="A52" s="878" t="s">
        <v>3044</v>
      </c>
      <c r="B52" s="878" t="s">
        <v>3045</v>
      </c>
      <c r="C52" s="879" t="s">
        <v>158</v>
      </c>
      <c r="D52" s="880" t="s">
        <v>40045</v>
      </c>
    </row>
    <row r="53" spans="1:4" ht="13.5" x14ac:dyDescent="0.25">
      <c r="A53" s="878" t="s">
        <v>3046</v>
      </c>
      <c r="B53" s="878" t="s">
        <v>3047</v>
      </c>
      <c r="C53" s="879" t="s">
        <v>158</v>
      </c>
      <c r="D53" s="880" t="s">
        <v>40046</v>
      </c>
    </row>
    <row r="54" spans="1:4" ht="13.5" x14ac:dyDescent="0.25">
      <c r="A54" s="878" t="s">
        <v>3048</v>
      </c>
      <c r="B54" s="878" t="s">
        <v>3049</v>
      </c>
      <c r="C54" s="879" t="s">
        <v>158</v>
      </c>
      <c r="D54" s="880" t="s">
        <v>40047</v>
      </c>
    </row>
    <row r="55" spans="1:4" ht="13.5" x14ac:dyDescent="0.25">
      <c r="A55" s="878" t="s">
        <v>3050</v>
      </c>
      <c r="B55" s="878" t="s">
        <v>3051</v>
      </c>
      <c r="C55" s="879" t="s">
        <v>158</v>
      </c>
      <c r="D55" s="880" t="s">
        <v>40048</v>
      </c>
    </row>
    <row r="56" spans="1:4" ht="13.5" x14ac:dyDescent="0.25">
      <c r="A56" s="878" t="s">
        <v>3052</v>
      </c>
      <c r="B56" s="878" t="s">
        <v>3053</v>
      </c>
      <c r="C56" s="879" t="s">
        <v>158</v>
      </c>
      <c r="D56" s="880" t="s">
        <v>40049</v>
      </c>
    </row>
    <row r="57" spans="1:4" ht="13.5" x14ac:dyDescent="0.25">
      <c r="A57" s="878" t="s">
        <v>3054</v>
      </c>
      <c r="B57" s="878" t="s">
        <v>3055</v>
      </c>
      <c r="C57" s="879" t="s">
        <v>158</v>
      </c>
      <c r="D57" s="880" t="s">
        <v>40050</v>
      </c>
    </row>
    <row r="58" spans="1:4" ht="13.5" x14ac:dyDescent="0.25">
      <c r="A58" s="878" t="s">
        <v>3056</v>
      </c>
      <c r="B58" s="878" t="s">
        <v>3057</v>
      </c>
      <c r="C58" s="879" t="s">
        <v>158</v>
      </c>
      <c r="D58" s="880" t="s">
        <v>40051</v>
      </c>
    </row>
    <row r="59" spans="1:4" ht="13.5" x14ac:dyDescent="0.25">
      <c r="A59" s="878" t="s">
        <v>3058</v>
      </c>
      <c r="B59" s="878" t="s">
        <v>3059</v>
      </c>
      <c r="C59" s="879" t="s">
        <v>158</v>
      </c>
      <c r="D59" s="880" t="s">
        <v>40052</v>
      </c>
    </row>
    <row r="60" spans="1:4" ht="13.5" x14ac:dyDescent="0.25">
      <c r="A60" s="878" t="s">
        <v>3060</v>
      </c>
      <c r="B60" s="878" t="s">
        <v>3061</v>
      </c>
      <c r="C60" s="879" t="s">
        <v>158</v>
      </c>
      <c r="D60" s="880" t="s">
        <v>40053</v>
      </c>
    </row>
    <row r="61" spans="1:4" ht="13.5" x14ac:dyDescent="0.25">
      <c r="A61" s="878" t="s">
        <v>3062</v>
      </c>
      <c r="B61" s="878" t="s">
        <v>3063</v>
      </c>
      <c r="C61" s="879" t="s">
        <v>158</v>
      </c>
      <c r="D61" s="880" t="s">
        <v>40054</v>
      </c>
    </row>
    <row r="62" spans="1:4" ht="13.5" x14ac:dyDescent="0.25">
      <c r="A62" s="878" t="s">
        <v>3064</v>
      </c>
      <c r="B62" s="878" t="s">
        <v>3065</v>
      </c>
      <c r="C62" s="879" t="s">
        <v>158</v>
      </c>
      <c r="D62" s="880" t="s">
        <v>40055</v>
      </c>
    </row>
    <row r="63" spans="1:4" ht="13.5" x14ac:dyDescent="0.25">
      <c r="A63" s="878" t="s">
        <v>3066</v>
      </c>
      <c r="B63" s="878" t="s">
        <v>3067</v>
      </c>
      <c r="C63" s="879" t="s">
        <v>158</v>
      </c>
      <c r="D63" s="880" t="s">
        <v>40056</v>
      </c>
    </row>
    <row r="64" spans="1:4" ht="13.5" x14ac:dyDescent="0.25">
      <c r="A64" s="878" t="s">
        <v>3068</v>
      </c>
      <c r="B64" s="878" t="s">
        <v>3069</v>
      </c>
      <c r="C64" s="879" t="s">
        <v>158</v>
      </c>
      <c r="D64" s="880" t="s">
        <v>40057</v>
      </c>
    </row>
    <row r="65" spans="1:4" ht="13.5" x14ac:dyDescent="0.25">
      <c r="A65" s="878" t="s">
        <v>3070</v>
      </c>
      <c r="B65" s="878" t="s">
        <v>3071</v>
      </c>
      <c r="C65" s="879" t="s">
        <v>158</v>
      </c>
      <c r="D65" s="880" t="s">
        <v>40058</v>
      </c>
    </row>
    <row r="66" spans="1:4" ht="13.5" x14ac:dyDescent="0.25">
      <c r="A66" s="878" t="s">
        <v>3072</v>
      </c>
      <c r="B66" s="878" t="s">
        <v>3073</v>
      </c>
      <c r="C66" s="879" t="s">
        <v>158</v>
      </c>
      <c r="D66" s="880" t="s">
        <v>40059</v>
      </c>
    </row>
    <row r="67" spans="1:4" ht="13.5" x14ac:dyDescent="0.25">
      <c r="A67" s="878" t="s">
        <v>3074</v>
      </c>
      <c r="B67" s="878" t="s">
        <v>3075</v>
      </c>
      <c r="C67" s="879" t="s">
        <v>158</v>
      </c>
      <c r="D67" s="880" t="s">
        <v>40060</v>
      </c>
    </row>
    <row r="68" spans="1:4" ht="13.5" x14ac:dyDescent="0.25">
      <c r="A68" s="878" t="s">
        <v>3076</v>
      </c>
      <c r="B68" s="878" t="s">
        <v>3077</v>
      </c>
      <c r="C68" s="879" t="s">
        <v>158</v>
      </c>
      <c r="D68" s="880" t="s">
        <v>40061</v>
      </c>
    </row>
    <row r="69" spans="1:4" ht="13.5" x14ac:dyDescent="0.25">
      <c r="A69" s="878" t="s">
        <v>3078</v>
      </c>
      <c r="B69" s="878" t="s">
        <v>3079</v>
      </c>
      <c r="C69" s="879" t="s">
        <v>158</v>
      </c>
      <c r="D69" s="880" t="s">
        <v>40062</v>
      </c>
    </row>
    <row r="70" spans="1:4" ht="13.5" x14ac:dyDescent="0.25">
      <c r="A70" s="878" t="s">
        <v>3080</v>
      </c>
      <c r="B70" s="878" t="s">
        <v>3081</v>
      </c>
      <c r="C70" s="879" t="s">
        <v>226</v>
      </c>
      <c r="D70" s="880" t="s">
        <v>40063</v>
      </c>
    </row>
    <row r="71" spans="1:4" ht="13.5" x14ac:dyDescent="0.25">
      <c r="A71" s="878" t="s">
        <v>3082</v>
      </c>
      <c r="B71" s="878" t="s">
        <v>3083</v>
      </c>
      <c r="C71" s="879" t="s">
        <v>226</v>
      </c>
      <c r="D71" s="880" t="s">
        <v>7800</v>
      </c>
    </row>
    <row r="72" spans="1:4" ht="13.5" x14ac:dyDescent="0.25">
      <c r="A72" s="878" t="s">
        <v>3084</v>
      </c>
      <c r="B72" s="878" t="s">
        <v>3085</v>
      </c>
      <c r="C72" s="879" t="s">
        <v>226</v>
      </c>
      <c r="D72" s="880" t="s">
        <v>40064</v>
      </c>
    </row>
    <row r="73" spans="1:4" ht="13.5" x14ac:dyDescent="0.25">
      <c r="A73" s="878" t="s">
        <v>3086</v>
      </c>
      <c r="B73" s="878" t="s">
        <v>3087</v>
      </c>
      <c r="C73" s="879" t="s">
        <v>226</v>
      </c>
      <c r="D73" s="880" t="s">
        <v>40065</v>
      </c>
    </row>
    <row r="74" spans="1:4" ht="13.5" x14ac:dyDescent="0.25">
      <c r="A74" s="878" t="s">
        <v>3088</v>
      </c>
      <c r="B74" s="878" t="s">
        <v>3089</v>
      </c>
      <c r="C74" s="879" t="s">
        <v>226</v>
      </c>
      <c r="D74" s="880" t="s">
        <v>40066</v>
      </c>
    </row>
    <row r="75" spans="1:4" ht="13.5" x14ac:dyDescent="0.25">
      <c r="A75" s="878" t="s">
        <v>3090</v>
      </c>
      <c r="B75" s="878" t="s">
        <v>3091</v>
      </c>
      <c r="C75" s="879" t="s">
        <v>226</v>
      </c>
      <c r="D75" s="880" t="s">
        <v>40067</v>
      </c>
    </row>
    <row r="76" spans="1:4" ht="13.5" x14ac:dyDescent="0.25">
      <c r="A76" s="878" t="s">
        <v>3092</v>
      </c>
      <c r="B76" s="878" t="s">
        <v>3093</v>
      </c>
      <c r="C76" s="879" t="s">
        <v>226</v>
      </c>
      <c r="D76" s="880" t="s">
        <v>40068</v>
      </c>
    </row>
    <row r="77" spans="1:4" ht="13.5" x14ac:dyDescent="0.25">
      <c r="A77" s="878" t="s">
        <v>3094</v>
      </c>
      <c r="B77" s="878" t="s">
        <v>3095</v>
      </c>
      <c r="C77" s="879" t="s">
        <v>226</v>
      </c>
      <c r="D77" s="880" t="s">
        <v>40069</v>
      </c>
    </row>
    <row r="78" spans="1:4" ht="13.5" x14ac:dyDescent="0.25">
      <c r="A78" s="878" t="s">
        <v>3096</v>
      </c>
      <c r="B78" s="878" t="s">
        <v>3097</v>
      </c>
      <c r="C78" s="879" t="s">
        <v>226</v>
      </c>
      <c r="D78" s="880" t="s">
        <v>40070</v>
      </c>
    </row>
    <row r="79" spans="1:4" ht="13.5" x14ac:dyDescent="0.25">
      <c r="A79" s="878" t="s">
        <v>3098</v>
      </c>
      <c r="B79" s="878" t="s">
        <v>3099</v>
      </c>
      <c r="C79" s="879" t="s">
        <v>158</v>
      </c>
      <c r="D79" s="880" t="s">
        <v>30185</v>
      </c>
    </row>
    <row r="80" spans="1:4" ht="13.5" x14ac:dyDescent="0.25">
      <c r="A80" s="878" t="s">
        <v>3100</v>
      </c>
      <c r="B80" s="878" t="s">
        <v>3101</v>
      </c>
      <c r="C80" s="879" t="s">
        <v>158</v>
      </c>
      <c r="D80" s="880" t="s">
        <v>5108</v>
      </c>
    </row>
    <row r="81" spans="1:4" ht="13.5" x14ac:dyDescent="0.25">
      <c r="A81" s="878" t="s">
        <v>3103</v>
      </c>
      <c r="B81" s="878" t="s">
        <v>3104</v>
      </c>
      <c r="C81" s="879" t="s">
        <v>158</v>
      </c>
      <c r="D81" s="880" t="s">
        <v>30186</v>
      </c>
    </row>
    <row r="82" spans="1:4" ht="13.5" x14ac:dyDescent="0.25">
      <c r="A82" s="878" t="s">
        <v>3105</v>
      </c>
      <c r="B82" s="878" t="s">
        <v>3106</v>
      </c>
      <c r="C82" s="879" t="s">
        <v>158</v>
      </c>
      <c r="D82" s="880" t="s">
        <v>30187</v>
      </c>
    </row>
    <row r="83" spans="1:4" ht="13.5" x14ac:dyDescent="0.25">
      <c r="A83" s="878" t="s">
        <v>3107</v>
      </c>
      <c r="B83" s="878" t="s">
        <v>3108</v>
      </c>
      <c r="C83" s="879" t="s">
        <v>158</v>
      </c>
      <c r="D83" s="880" t="s">
        <v>30188</v>
      </c>
    </row>
    <row r="84" spans="1:4" ht="13.5" x14ac:dyDescent="0.25">
      <c r="A84" s="878" t="s">
        <v>3109</v>
      </c>
      <c r="B84" s="878" t="s">
        <v>3110</v>
      </c>
      <c r="C84" s="879" t="s">
        <v>158</v>
      </c>
      <c r="D84" s="880" t="s">
        <v>30189</v>
      </c>
    </row>
    <row r="85" spans="1:4" ht="13.5" x14ac:dyDescent="0.25">
      <c r="A85" s="878" t="s">
        <v>3111</v>
      </c>
      <c r="B85" s="878" t="s">
        <v>3112</v>
      </c>
      <c r="C85" s="879" t="s">
        <v>158</v>
      </c>
      <c r="D85" s="880" t="s">
        <v>15758</v>
      </c>
    </row>
    <row r="86" spans="1:4" ht="13.5" x14ac:dyDescent="0.25">
      <c r="A86" s="878" t="s">
        <v>3113</v>
      </c>
      <c r="B86" s="878" t="s">
        <v>3114</v>
      </c>
      <c r="C86" s="879" t="s">
        <v>158</v>
      </c>
      <c r="D86" s="880" t="s">
        <v>15447</v>
      </c>
    </row>
    <row r="87" spans="1:4" ht="13.5" x14ac:dyDescent="0.25">
      <c r="A87" s="878" t="s">
        <v>3115</v>
      </c>
      <c r="B87" s="878" t="s">
        <v>3116</v>
      </c>
      <c r="C87" s="879" t="s">
        <v>158</v>
      </c>
      <c r="D87" s="880" t="s">
        <v>30190</v>
      </c>
    </row>
    <row r="88" spans="1:4" ht="13.5" x14ac:dyDescent="0.25">
      <c r="A88" s="878" t="s">
        <v>3117</v>
      </c>
      <c r="B88" s="878" t="s">
        <v>3118</v>
      </c>
      <c r="C88" s="879" t="s">
        <v>158</v>
      </c>
      <c r="D88" s="880" t="s">
        <v>30191</v>
      </c>
    </row>
    <row r="89" spans="1:4" ht="13.5" x14ac:dyDescent="0.25">
      <c r="A89" s="878" t="s">
        <v>3120</v>
      </c>
      <c r="B89" s="878" t="s">
        <v>3121</v>
      </c>
      <c r="C89" s="879" t="s">
        <v>158</v>
      </c>
      <c r="D89" s="880" t="s">
        <v>5522</v>
      </c>
    </row>
    <row r="90" spans="1:4" ht="13.5" x14ac:dyDescent="0.25">
      <c r="A90" s="878" t="s">
        <v>3122</v>
      </c>
      <c r="B90" s="878" t="s">
        <v>3123</v>
      </c>
      <c r="C90" s="879" t="s">
        <v>158</v>
      </c>
      <c r="D90" s="880" t="s">
        <v>30192</v>
      </c>
    </row>
    <row r="91" spans="1:4" ht="13.5" x14ac:dyDescent="0.25">
      <c r="A91" s="878" t="s">
        <v>3124</v>
      </c>
      <c r="B91" s="878" t="s">
        <v>3125</v>
      </c>
      <c r="C91" s="879" t="s">
        <v>158</v>
      </c>
      <c r="D91" s="880" t="s">
        <v>8083</v>
      </c>
    </row>
    <row r="92" spans="1:4" ht="13.5" x14ac:dyDescent="0.25">
      <c r="A92" s="878" t="s">
        <v>3127</v>
      </c>
      <c r="B92" s="878" t="s">
        <v>3128</v>
      </c>
      <c r="C92" s="879" t="s">
        <v>158</v>
      </c>
      <c r="D92" s="880" t="s">
        <v>30193</v>
      </c>
    </row>
    <row r="93" spans="1:4" ht="13.5" x14ac:dyDescent="0.25">
      <c r="A93" s="878" t="s">
        <v>3129</v>
      </c>
      <c r="B93" s="878" t="s">
        <v>3130</v>
      </c>
      <c r="C93" s="879" t="s">
        <v>158</v>
      </c>
      <c r="D93" s="880" t="s">
        <v>10954</v>
      </c>
    </row>
    <row r="94" spans="1:4" ht="13.5" x14ac:dyDescent="0.25">
      <c r="A94" s="878" t="s">
        <v>3131</v>
      </c>
      <c r="B94" s="878" t="s">
        <v>3132</v>
      </c>
      <c r="C94" s="879" t="s">
        <v>158</v>
      </c>
      <c r="D94" s="880" t="s">
        <v>30459</v>
      </c>
    </row>
    <row r="95" spans="1:4" ht="13.5" x14ac:dyDescent="0.25">
      <c r="A95" s="878" t="s">
        <v>3133</v>
      </c>
      <c r="B95" s="878" t="s">
        <v>3134</v>
      </c>
      <c r="C95" s="879" t="s">
        <v>158</v>
      </c>
      <c r="D95" s="880" t="s">
        <v>40071</v>
      </c>
    </row>
    <row r="96" spans="1:4" ht="13.5" x14ac:dyDescent="0.25">
      <c r="A96" s="878" t="s">
        <v>3135</v>
      </c>
      <c r="B96" s="878" t="s">
        <v>3136</v>
      </c>
      <c r="C96" s="879" t="s">
        <v>158</v>
      </c>
      <c r="D96" s="880" t="s">
        <v>40072</v>
      </c>
    </row>
    <row r="97" spans="1:4" ht="13.5" x14ac:dyDescent="0.25">
      <c r="A97" s="878" t="s">
        <v>3137</v>
      </c>
      <c r="B97" s="878" t="s">
        <v>3138</v>
      </c>
      <c r="C97" s="879" t="s">
        <v>158</v>
      </c>
      <c r="D97" s="880" t="s">
        <v>31319</v>
      </c>
    </row>
    <row r="98" spans="1:4" ht="13.5" x14ac:dyDescent="0.25">
      <c r="A98" s="878" t="s">
        <v>3140</v>
      </c>
      <c r="B98" s="878" t="s">
        <v>3141</v>
      </c>
      <c r="C98" s="879" t="s">
        <v>158</v>
      </c>
      <c r="D98" s="881" t="s">
        <v>40073</v>
      </c>
    </row>
    <row r="99" spans="1:4" ht="13.5" x14ac:dyDescent="0.25">
      <c r="A99" s="878" t="s">
        <v>3142</v>
      </c>
      <c r="B99" s="878" t="s">
        <v>3143</v>
      </c>
      <c r="C99" s="879" t="s">
        <v>158</v>
      </c>
      <c r="D99" s="880" t="s">
        <v>40074</v>
      </c>
    </row>
    <row r="100" spans="1:4" ht="13.5" x14ac:dyDescent="0.25">
      <c r="A100" s="878" t="s">
        <v>3144</v>
      </c>
      <c r="B100" s="878" t="s">
        <v>3145</v>
      </c>
      <c r="C100" s="879" t="s">
        <v>158</v>
      </c>
      <c r="D100" s="880" t="s">
        <v>30200</v>
      </c>
    </row>
    <row r="101" spans="1:4" ht="13.5" x14ac:dyDescent="0.25">
      <c r="A101" s="878" t="s">
        <v>3146</v>
      </c>
      <c r="B101" s="878" t="s">
        <v>3147</v>
      </c>
      <c r="C101" s="879" t="s">
        <v>158</v>
      </c>
      <c r="D101" s="881" t="s">
        <v>40075</v>
      </c>
    </row>
    <row r="102" spans="1:4" ht="13.5" x14ac:dyDescent="0.25">
      <c r="A102" s="878" t="s">
        <v>3148</v>
      </c>
      <c r="B102" s="878" t="s">
        <v>3149</v>
      </c>
      <c r="C102" s="879" t="s">
        <v>158</v>
      </c>
      <c r="D102" s="880" t="s">
        <v>30730</v>
      </c>
    </row>
    <row r="103" spans="1:4" ht="13.5" x14ac:dyDescent="0.25">
      <c r="A103" s="878" t="s">
        <v>3150</v>
      </c>
      <c r="B103" s="878" t="s">
        <v>3151</v>
      </c>
      <c r="C103" s="879" t="s">
        <v>158</v>
      </c>
      <c r="D103" s="881" t="s">
        <v>40076</v>
      </c>
    </row>
    <row r="104" spans="1:4" ht="13.5" x14ac:dyDescent="0.25">
      <c r="A104" s="878" t="s">
        <v>3152</v>
      </c>
      <c r="B104" s="878" t="s">
        <v>3153</v>
      </c>
      <c r="C104" s="879" t="s">
        <v>158</v>
      </c>
      <c r="D104" s="880" t="s">
        <v>40077</v>
      </c>
    </row>
    <row r="105" spans="1:4" ht="13.5" x14ac:dyDescent="0.25">
      <c r="A105" s="878" t="s">
        <v>3154</v>
      </c>
      <c r="B105" s="878" t="s">
        <v>3155</v>
      </c>
      <c r="C105" s="879" t="s">
        <v>158</v>
      </c>
      <c r="D105" s="880" t="s">
        <v>40078</v>
      </c>
    </row>
    <row r="106" spans="1:4" ht="13.5" x14ac:dyDescent="0.25">
      <c r="A106" s="878" t="s">
        <v>3156</v>
      </c>
      <c r="B106" s="878" t="s">
        <v>3157</v>
      </c>
      <c r="C106" s="879" t="s">
        <v>158</v>
      </c>
      <c r="D106" s="880" t="s">
        <v>30196</v>
      </c>
    </row>
    <row r="107" spans="1:4" ht="13.5" x14ac:dyDescent="0.25">
      <c r="A107" s="878" t="s">
        <v>3158</v>
      </c>
      <c r="B107" s="878" t="s">
        <v>3159</v>
      </c>
      <c r="C107" s="879" t="s">
        <v>158</v>
      </c>
      <c r="D107" s="880" t="s">
        <v>5037</v>
      </c>
    </row>
    <row r="108" spans="1:4" ht="13.5" x14ac:dyDescent="0.25">
      <c r="A108" s="878" t="s">
        <v>3160</v>
      </c>
      <c r="B108" s="878" t="s">
        <v>3161</v>
      </c>
      <c r="C108" s="879" t="s">
        <v>158</v>
      </c>
      <c r="D108" s="880" t="s">
        <v>17060</v>
      </c>
    </row>
    <row r="109" spans="1:4" ht="13.5" x14ac:dyDescent="0.25">
      <c r="A109" s="878" t="s">
        <v>3162</v>
      </c>
      <c r="B109" s="878" t="s">
        <v>3163</v>
      </c>
      <c r="C109" s="879" t="s">
        <v>158</v>
      </c>
      <c r="D109" s="880" t="s">
        <v>30197</v>
      </c>
    </row>
    <row r="110" spans="1:4" ht="13.5" x14ac:dyDescent="0.25">
      <c r="A110" s="878" t="s">
        <v>3165</v>
      </c>
      <c r="B110" s="878" t="s">
        <v>3166</v>
      </c>
      <c r="C110" s="879" t="s">
        <v>158</v>
      </c>
      <c r="D110" s="880" t="s">
        <v>30341</v>
      </c>
    </row>
    <row r="111" spans="1:4" ht="13.5" x14ac:dyDescent="0.25">
      <c r="A111" s="878" t="s">
        <v>3167</v>
      </c>
      <c r="B111" s="878" t="s">
        <v>3168</v>
      </c>
      <c r="C111" s="879" t="s">
        <v>158</v>
      </c>
      <c r="D111" s="880" t="s">
        <v>40079</v>
      </c>
    </row>
    <row r="112" spans="1:4" ht="13.5" x14ac:dyDescent="0.25">
      <c r="A112" s="878" t="s">
        <v>3169</v>
      </c>
      <c r="B112" s="878" t="s">
        <v>3170</v>
      </c>
      <c r="C112" s="879" t="s">
        <v>158</v>
      </c>
      <c r="D112" s="880" t="s">
        <v>40080</v>
      </c>
    </row>
    <row r="113" spans="1:4" ht="13.5" x14ac:dyDescent="0.25">
      <c r="A113" s="878" t="s">
        <v>3171</v>
      </c>
      <c r="B113" s="878" t="s">
        <v>3172</v>
      </c>
      <c r="C113" s="879" t="s">
        <v>226</v>
      </c>
      <c r="D113" s="880" t="s">
        <v>40081</v>
      </c>
    </row>
    <row r="114" spans="1:4" ht="13.5" x14ac:dyDescent="0.25">
      <c r="A114" s="878" t="s">
        <v>3173</v>
      </c>
      <c r="B114" s="878" t="s">
        <v>3174</v>
      </c>
      <c r="C114" s="879" t="s">
        <v>226</v>
      </c>
      <c r="D114" s="880" t="s">
        <v>40082</v>
      </c>
    </row>
    <row r="115" spans="1:4" ht="13.5" x14ac:dyDescent="0.25">
      <c r="A115" s="878" t="s">
        <v>3175</v>
      </c>
      <c r="B115" s="878" t="s">
        <v>3176</v>
      </c>
      <c r="C115" s="879" t="s">
        <v>226</v>
      </c>
      <c r="D115" s="880" t="s">
        <v>40083</v>
      </c>
    </row>
    <row r="116" spans="1:4" ht="13.5" x14ac:dyDescent="0.25">
      <c r="A116" s="878" t="s">
        <v>3177</v>
      </c>
      <c r="B116" s="878" t="s">
        <v>3178</v>
      </c>
      <c r="C116" s="879" t="s">
        <v>226</v>
      </c>
      <c r="D116" s="880" t="s">
        <v>40084</v>
      </c>
    </row>
    <row r="117" spans="1:4" ht="13.5" x14ac:dyDescent="0.25">
      <c r="A117" s="878" t="s">
        <v>3179</v>
      </c>
      <c r="B117" s="878" t="s">
        <v>3180</v>
      </c>
      <c r="C117" s="879" t="s">
        <v>226</v>
      </c>
      <c r="D117" s="880" t="s">
        <v>40085</v>
      </c>
    </row>
    <row r="118" spans="1:4" ht="13.5" x14ac:dyDescent="0.25">
      <c r="A118" s="878" t="s">
        <v>3181</v>
      </c>
      <c r="B118" s="878" t="s">
        <v>3182</v>
      </c>
      <c r="C118" s="879" t="s">
        <v>158</v>
      </c>
      <c r="D118" s="880" t="s">
        <v>31023</v>
      </c>
    </row>
    <row r="119" spans="1:4" ht="13.5" x14ac:dyDescent="0.25">
      <c r="A119" s="878" t="s">
        <v>3184</v>
      </c>
      <c r="B119" s="878" t="s">
        <v>3185</v>
      </c>
      <c r="C119" s="879" t="s">
        <v>158</v>
      </c>
      <c r="D119" s="880" t="s">
        <v>40086</v>
      </c>
    </row>
    <row r="120" spans="1:4" ht="13.5" x14ac:dyDescent="0.25">
      <c r="A120" s="878" t="s">
        <v>3187</v>
      </c>
      <c r="B120" s="878" t="s">
        <v>3188</v>
      </c>
      <c r="C120" s="879" t="s">
        <v>158</v>
      </c>
      <c r="D120" s="880" t="s">
        <v>40087</v>
      </c>
    </row>
    <row r="121" spans="1:4" ht="13.5" x14ac:dyDescent="0.25">
      <c r="A121" s="878" t="s">
        <v>3189</v>
      </c>
      <c r="B121" s="878" t="s">
        <v>3190</v>
      </c>
      <c r="C121" s="879" t="s">
        <v>158</v>
      </c>
      <c r="D121" s="880" t="s">
        <v>40088</v>
      </c>
    </row>
    <row r="122" spans="1:4" ht="13.5" x14ac:dyDescent="0.25">
      <c r="A122" s="878" t="s">
        <v>3192</v>
      </c>
      <c r="B122" s="878" t="s">
        <v>3193</v>
      </c>
      <c r="C122" s="879" t="s">
        <v>158</v>
      </c>
      <c r="D122" s="880" t="s">
        <v>40089</v>
      </c>
    </row>
    <row r="123" spans="1:4" ht="13.5" x14ac:dyDescent="0.25">
      <c r="A123" s="878" t="s">
        <v>3194</v>
      </c>
      <c r="B123" s="878" t="s">
        <v>3195</v>
      </c>
      <c r="C123" s="879" t="s">
        <v>158</v>
      </c>
      <c r="D123" s="880" t="s">
        <v>40090</v>
      </c>
    </row>
    <row r="124" spans="1:4" ht="13.5" x14ac:dyDescent="0.25">
      <c r="A124" s="878" t="s">
        <v>3196</v>
      </c>
      <c r="B124" s="878" t="s">
        <v>3197</v>
      </c>
      <c r="C124" s="879" t="s">
        <v>158</v>
      </c>
      <c r="D124" s="880" t="s">
        <v>40091</v>
      </c>
    </row>
    <row r="125" spans="1:4" ht="13.5" x14ac:dyDescent="0.25">
      <c r="A125" s="878" t="s">
        <v>3198</v>
      </c>
      <c r="B125" s="878" t="s">
        <v>3199</v>
      </c>
      <c r="C125" s="879" t="s">
        <v>158</v>
      </c>
      <c r="D125" s="880" t="s">
        <v>30990</v>
      </c>
    </row>
    <row r="126" spans="1:4" ht="13.5" x14ac:dyDescent="0.25">
      <c r="A126" s="878" t="s">
        <v>3200</v>
      </c>
      <c r="B126" s="878" t="s">
        <v>3201</v>
      </c>
      <c r="C126" s="879" t="s">
        <v>158</v>
      </c>
      <c r="D126" s="880" t="s">
        <v>40092</v>
      </c>
    </row>
    <row r="127" spans="1:4" ht="13.5" x14ac:dyDescent="0.25">
      <c r="A127" s="878" t="s">
        <v>3202</v>
      </c>
      <c r="B127" s="878" t="s">
        <v>3203</v>
      </c>
      <c r="C127" s="879" t="s">
        <v>158</v>
      </c>
      <c r="D127" s="880" t="s">
        <v>5937</v>
      </c>
    </row>
    <row r="128" spans="1:4" ht="13.5" x14ac:dyDescent="0.25">
      <c r="A128" s="878" t="s">
        <v>3204</v>
      </c>
      <c r="B128" s="878" t="s">
        <v>3205</v>
      </c>
      <c r="C128" s="879" t="s">
        <v>158</v>
      </c>
      <c r="D128" s="880" t="s">
        <v>40093</v>
      </c>
    </row>
    <row r="129" spans="1:4" ht="13.5" x14ac:dyDescent="0.25">
      <c r="A129" s="878" t="s">
        <v>3206</v>
      </c>
      <c r="B129" s="878" t="s">
        <v>3207</v>
      </c>
      <c r="C129" s="879" t="s">
        <v>158</v>
      </c>
      <c r="D129" s="880" t="s">
        <v>40094</v>
      </c>
    </row>
    <row r="130" spans="1:4" ht="13.5" x14ac:dyDescent="0.25">
      <c r="A130" s="878" t="s">
        <v>3209</v>
      </c>
      <c r="B130" s="878" t="s">
        <v>3210</v>
      </c>
      <c r="C130" s="879" t="s">
        <v>158</v>
      </c>
      <c r="D130" s="880" t="s">
        <v>40095</v>
      </c>
    </row>
    <row r="131" spans="1:4" ht="13.5" x14ac:dyDescent="0.25">
      <c r="A131" s="878" t="s">
        <v>3211</v>
      </c>
      <c r="B131" s="878" t="s">
        <v>3212</v>
      </c>
      <c r="C131" s="879" t="s">
        <v>158</v>
      </c>
      <c r="D131" s="880" t="s">
        <v>31344</v>
      </c>
    </row>
    <row r="132" spans="1:4" ht="13.5" x14ac:dyDescent="0.25">
      <c r="A132" s="878" t="s">
        <v>3213</v>
      </c>
      <c r="B132" s="878" t="s">
        <v>3214</v>
      </c>
      <c r="C132" s="879" t="s">
        <v>158</v>
      </c>
      <c r="D132" s="880" t="s">
        <v>40096</v>
      </c>
    </row>
    <row r="133" spans="1:4" ht="13.5" x14ac:dyDescent="0.25">
      <c r="A133" s="878" t="s">
        <v>3215</v>
      </c>
      <c r="B133" s="878" t="s">
        <v>3216</v>
      </c>
      <c r="C133" s="879" t="s">
        <v>158</v>
      </c>
      <c r="D133" s="880" t="s">
        <v>4979</v>
      </c>
    </row>
    <row r="134" spans="1:4" ht="13.5" x14ac:dyDescent="0.25">
      <c r="A134" s="878" t="s">
        <v>3217</v>
      </c>
      <c r="B134" s="878" t="s">
        <v>3218</v>
      </c>
      <c r="C134" s="879" t="s">
        <v>158</v>
      </c>
      <c r="D134" s="880" t="s">
        <v>40097</v>
      </c>
    </row>
    <row r="135" spans="1:4" ht="13.5" x14ac:dyDescent="0.25">
      <c r="A135" s="878" t="s">
        <v>3219</v>
      </c>
      <c r="B135" s="878" t="s">
        <v>3220</v>
      </c>
      <c r="C135" s="879" t="s">
        <v>158</v>
      </c>
      <c r="D135" s="880" t="s">
        <v>31037</v>
      </c>
    </row>
    <row r="136" spans="1:4" ht="13.5" x14ac:dyDescent="0.25">
      <c r="A136" s="878" t="s">
        <v>3221</v>
      </c>
      <c r="B136" s="878" t="s">
        <v>3222</v>
      </c>
      <c r="C136" s="879" t="s">
        <v>158</v>
      </c>
      <c r="D136" s="880" t="s">
        <v>40098</v>
      </c>
    </row>
    <row r="137" spans="1:4" ht="13.5" x14ac:dyDescent="0.25">
      <c r="A137" s="878" t="s">
        <v>3223</v>
      </c>
      <c r="B137" s="878" t="s">
        <v>3224</v>
      </c>
      <c r="C137" s="879" t="s">
        <v>158</v>
      </c>
      <c r="D137" s="880" t="s">
        <v>40099</v>
      </c>
    </row>
    <row r="138" spans="1:4" ht="13.5" x14ac:dyDescent="0.25">
      <c r="A138" s="878" t="s">
        <v>3225</v>
      </c>
      <c r="B138" s="878" t="s">
        <v>3226</v>
      </c>
      <c r="C138" s="879" t="s">
        <v>158</v>
      </c>
      <c r="D138" s="880" t="s">
        <v>40100</v>
      </c>
    </row>
    <row r="139" spans="1:4" ht="13.5" x14ac:dyDescent="0.25">
      <c r="A139" s="878" t="s">
        <v>3227</v>
      </c>
      <c r="B139" s="878" t="s">
        <v>3228</v>
      </c>
      <c r="C139" s="879" t="s">
        <v>158</v>
      </c>
      <c r="D139" s="880" t="s">
        <v>40101</v>
      </c>
    </row>
    <row r="140" spans="1:4" ht="13.5" x14ac:dyDescent="0.25">
      <c r="A140" s="878" t="s">
        <v>3229</v>
      </c>
      <c r="B140" s="878" t="s">
        <v>3230</v>
      </c>
      <c r="C140" s="879" t="s">
        <v>158</v>
      </c>
      <c r="D140" s="880" t="s">
        <v>40102</v>
      </c>
    </row>
    <row r="141" spans="1:4" ht="13.5" x14ac:dyDescent="0.25">
      <c r="A141" s="878" t="s">
        <v>3231</v>
      </c>
      <c r="B141" s="878" t="s">
        <v>3232</v>
      </c>
      <c r="C141" s="879" t="s">
        <v>158</v>
      </c>
      <c r="D141" s="880" t="s">
        <v>40103</v>
      </c>
    </row>
    <row r="142" spans="1:4" ht="13.5" x14ac:dyDescent="0.25">
      <c r="A142" s="878" t="s">
        <v>3233</v>
      </c>
      <c r="B142" s="878" t="s">
        <v>3234</v>
      </c>
      <c r="C142" s="879" t="s">
        <v>158</v>
      </c>
      <c r="D142" s="880" t="s">
        <v>40104</v>
      </c>
    </row>
    <row r="143" spans="1:4" ht="13.5" x14ac:dyDescent="0.25">
      <c r="A143" s="878" t="s">
        <v>3235</v>
      </c>
      <c r="B143" s="878" t="s">
        <v>3236</v>
      </c>
      <c r="C143" s="879" t="s">
        <v>158</v>
      </c>
      <c r="D143" s="880" t="s">
        <v>31077</v>
      </c>
    </row>
    <row r="144" spans="1:4" ht="13.5" x14ac:dyDescent="0.25">
      <c r="A144" s="878" t="s">
        <v>3237</v>
      </c>
      <c r="B144" s="878" t="s">
        <v>3238</v>
      </c>
      <c r="C144" s="879" t="s">
        <v>158</v>
      </c>
      <c r="D144" s="880" t="s">
        <v>40105</v>
      </c>
    </row>
    <row r="145" spans="1:4" ht="13.5" x14ac:dyDescent="0.25">
      <c r="A145" s="878" t="s">
        <v>3239</v>
      </c>
      <c r="B145" s="878" t="s">
        <v>3240</v>
      </c>
      <c r="C145" s="879" t="s">
        <v>158</v>
      </c>
      <c r="D145" s="880" t="s">
        <v>40106</v>
      </c>
    </row>
    <row r="146" spans="1:4" ht="13.5" x14ac:dyDescent="0.25">
      <c r="A146" s="878" t="s">
        <v>3241</v>
      </c>
      <c r="B146" s="878" t="s">
        <v>3242</v>
      </c>
      <c r="C146" s="879" t="s">
        <v>158</v>
      </c>
      <c r="D146" s="880" t="s">
        <v>40107</v>
      </c>
    </row>
    <row r="147" spans="1:4" ht="13.5" x14ac:dyDescent="0.25">
      <c r="A147" s="878" t="s">
        <v>3243</v>
      </c>
      <c r="B147" s="878" t="s">
        <v>3244</v>
      </c>
      <c r="C147" s="879" t="s">
        <v>158</v>
      </c>
      <c r="D147" s="880" t="s">
        <v>13025</v>
      </c>
    </row>
    <row r="148" spans="1:4" ht="13.5" x14ac:dyDescent="0.25">
      <c r="A148" s="878" t="s">
        <v>3245</v>
      </c>
      <c r="B148" s="878" t="s">
        <v>3246</v>
      </c>
      <c r="C148" s="879" t="s">
        <v>158</v>
      </c>
      <c r="D148" s="880" t="s">
        <v>40108</v>
      </c>
    </row>
    <row r="149" spans="1:4" ht="13.5" x14ac:dyDescent="0.25">
      <c r="A149" s="878" t="s">
        <v>3247</v>
      </c>
      <c r="B149" s="878" t="s">
        <v>3248</v>
      </c>
      <c r="C149" s="879" t="s">
        <v>158</v>
      </c>
      <c r="D149" s="880" t="s">
        <v>31127</v>
      </c>
    </row>
    <row r="150" spans="1:4" ht="13.5" x14ac:dyDescent="0.25">
      <c r="A150" s="878" t="s">
        <v>3249</v>
      </c>
      <c r="B150" s="878" t="s">
        <v>3250</v>
      </c>
      <c r="C150" s="879" t="s">
        <v>158</v>
      </c>
      <c r="D150" s="880" t="s">
        <v>40109</v>
      </c>
    </row>
    <row r="151" spans="1:4" ht="13.5" x14ac:dyDescent="0.25">
      <c r="A151" s="878" t="s">
        <v>3251</v>
      </c>
      <c r="B151" s="878" t="s">
        <v>3252</v>
      </c>
      <c r="C151" s="879" t="s">
        <v>158</v>
      </c>
      <c r="D151" s="880" t="s">
        <v>40110</v>
      </c>
    </row>
    <row r="152" spans="1:4" ht="13.5" x14ac:dyDescent="0.25">
      <c r="A152" s="878" t="s">
        <v>3253</v>
      </c>
      <c r="B152" s="878" t="s">
        <v>3254</v>
      </c>
      <c r="C152" s="879" t="s">
        <v>158</v>
      </c>
      <c r="D152" s="880" t="s">
        <v>40111</v>
      </c>
    </row>
    <row r="153" spans="1:4" ht="13.5" x14ac:dyDescent="0.25">
      <c r="A153" s="878" t="s">
        <v>3255</v>
      </c>
      <c r="B153" s="878" t="s">
        <v>3256</v>
      </c>
      <c r="C153" s="879" t="s">
        <v>158</v>
      </c>
      <c r="D153" s="880" t="s">
        <v>40112</v>
      </c>
    </row>
    <row r="154" spans="1:4" ht="13.5" x14ac:dyDescent="0.25">
      <c r="A154" s="878" t="s">
        <v>3257</v>
      </c>
      <c r="B154" s="878" t="s">
        <v>3258</v>
      </c>
      <c r="C154" s="879" t="s">
        <v>158</v>
      </c>
      <c r="D154" s="880" t="s">
        <v>40113</v>
      </c>
    </row>
    <row r="155" spans="1:4" ht="13.5" x14ac:dyDescent="0.25">
      <c r="A155" s="878" t="s">
        <v>3259</v>
      </c>
      <c r="B155" s="878" t="s">
        <v>3260</v>
      </c>
      <c r="C155" s="879" t="s">
        <v>158</v>
      </c>
      <c r="D155" s="880" t="s">
        <v>40114</v>
      </c>
    </row>
    <row r="156" spans="1:4" ht="13.5" x14ac:dyDescent="0.25">
      <c r="A156" s="878" t="s">
        <v>3261</v>
      </c>
      <c r="B156" s="878" t="s">
        <v>3262</v>
      </c>
      <c r="C156" s="879" t="s">
        <v>158</v>
      </c>
      <c r="D156" s="880" t="s">
        <v>40115</v>
      </c>
    </row>
    <row r="157" spans="1:4" ht="13.5" x14ac:dyDescent="0.25">
      <c r="A157" s="878" t="s">
        <v>3263</v>
      </c>
      <c r="B157" s="878" t="s">
        <v>3264</v>
      </c>
      <c r="C157" s="879" t="s">
        <v>158</v>
      </c>
      <c r="D157" s="880" t="s">
        <v>40116</v>
      </c>
    </row>
    <row r="158" spans="1:4" ht="13.5" x14ac:dyDescent="0.25">
      <c r="A158" s="878" t="s">
        <v>3265</v>
      </c>
      <c r="B158" s="878" t="s">
        <v>3266</v>
      </c>
      <c r="C158" s="879" t="s">
        <v>158</v>
      </c>
      <c r="D158" s="880" t="s">
        <v>40117</v>
      </c>
    </row>
    <row r="159" spans="1:4" ht="13.5" x14ac:dyDescent="0.25">
      <c r="A159" s="878" t="s">
        <v>3267</v>
      </c>
      <c r="B159" s="878" t="s">
        <v>3268</v>
      </c>
      <c r="C159" s="879" t="s">
        <v>158</v>
      </c>
      <c r="D159" s="880" t="s">
        <v>40118</v>
      </c>
    </row>
    <row r="160" spans="1:4" ht="13.5" x14ac:dyDescent="0.25">
      <c r="A160" s="878" t="s">
        <v>3269</v>
      </c>
      <c r="B160" s="878" t="s">
        <v>3270</v>
      </c>
      <c r="C160" s="879" t="s">
        <v>158</v>
      </c>
      <c r="D160" s="880" t="s">
        <v>40119</v>
      </c>
    </row>
    <row r="161" spans="1:4" ht="13.5" x14ac:dyDescent="0.25">
      <c r="A161" s="878" t="s">
        <v>3271</v>
      </c>
      <c r="B161" s="878" t="s">
        <v>3272</v>
      </c>
      <c r="C161" s="879" t="s">
        <v>158</v>
      </c>
      <c r="D161" s="880" t="s">
        <v>40120</v>
      </c>
    </row>
    <row r="162" spans="1:4" ht="13.5" x14ac:dyDescent="0.25">
      <c r="A162" s="878" t="s">
        <v>3273</v>
      </c>
      <c r="B162" s="878" t="s">
        <v>3274</v>
      </c>
      <c r="C162" s="879" t="s">
        <v>158</v>
      </c>
      <c r="D162" s="880" t="s">
        <v>40121</v>
      </c>
    </row>
    <row r="163" spans="1:4" ht="13.5" x14ac:dyDescent="0.25">
      <c r="A163" s="878" t="s">
        <v>3275</v>
      </c>
      <c r="B163" s="878" t="s">
        <v>3276</v>
      </c>
      <c r="C163" s="879" t="s">
        <v>158</v>
      </c>
      <c r="D163" s="880" t="s">
        <v>40122</v>
      </c>
    </row>
    <row r="164" spans="1:4" ht="13.5" x14ac:dyDescent="0.25">
      <c r="A164" s="878" t="s">
        <v>3277</v>
      </c>
      <c r="B164" s="878" t="s">
        <v>3278</v>
      </c>
      <c r="C164" s="879" t="s">
        <v>158</v>
      </c>
      <c r="D164" s="880" t="s">
        <v>30684</v>
      </c>
    </row>
    <row r="165" spans="1:4" ht="13.5" x14ac:dyDescent="0.25">
      <c r="A165" s="878" t="s">
        <v>3279</v>
      </c>
      <c r="B165" s="878" t="s">
        <v>3280</v>
      </c>
      <c r="C165" s="879" t="s">
        <v>158</v>
      </c>
      <c r="D165" s="880" t="s">
        <v>40123</v>
      </c>
    </row>
    <row r="166" spans="1:4" ht="13.5" x14ac:dyDescent="0.25">
      <c r="A166" s="878" t="s">
        <v>3281</v>
      </c>
      <c r="B166" s="878" t="s">
        <v>3282</v>
      </c>
      <c r="C166" s="879" t="s">
        <v>158</v>
      </c>
      <c r="D166" s="880" t="s">
        <v>40124</v>
      </c>
    </row>
    <row r="167" spans="1:4" ht="13.5" x14ac:dyDescent="0.25">
      <c r="A167" s="878" t="s">
        <v>3284</v>
      </c>
      <c r="B167" s="878" t="s">
        <v>3285</v>
      </c>
      <c r="C167" s="879" t="s">
        <v>158</v>
      </c>
      <c r="D167" s="880" t="s">
        <v>40125</v>
      </c>
    </row>
    <row r="168" spans="1:4" ht="13.5" x14ac:dyDescent="0.25">
      <c r="A168" s="878" t="s">
        <v>3286</v>
      </c>
      <c r="B168" s="878" t="s">
        <v>3287</v>
      </c>
      <c r="C168" s="879" t="s">
        <v>158</v>
      </c>
      <c r="D168" s="880" t="s">
        <v>30180</v>
      </c>
    </row>
    <row r="169" spans="1:4" ht="13.5" x14ac:dyDescent="0.25">
      <c r="A169" s="878" t="s">
        <v>3288</v>
      </c>
      <c r="B169" s="878" t="s">
        <v>3289</v>
      </c>
      <c r="C169" s="879" t="s">
        <v>158</v>
      </c>
      <c r="D169" s="880" t="s">
        <v>40126</v>
      </c>
    </row>
    <row r="170" spans="1:4" ht="13.5" x14ac:dyDescent="0.25">
      <c r="A170" s="878" t="s">
        <v>3290</v>
      </c>
      <c r="B170" s="878" t="s">
        <v>3291</v>
      </c>
      <c r="C170" s="879" t="s">
        <v>158</v>
      </c>
      <c r="D170" s="880" t="s">
        <v>40127</v>
      </c>
    </row>
    <row r="171" spans="1:4" ht="13.5" x14ac:dyDescent="0.25">
      <c r="A171" s="878" t="s">
        <v>3292</v>
      </c>
      <c r="B171" s="878" t="s">
        <v>3293</v>
      </c>
      <c r="C171" s="879" t="s">
        <v>158</v>
      </c>
      <c r="D171" s="880" t="s">
        <v>40128</v>
      </c>
    </row>
    <row r="172" spans="1:4" ht="13.5" x14ac:dyDescent="0.25">
      <c r="A172" s="878" t="s">
        <v>3294</v>
      </c>
      <c r="B172" s="878" t="s">
        <v>3295</v>
      </c>
      <c r="C172" s="879" t="s">
        <v>158</v>
      </c>
      <c r="D172" s="880" t="s">
        <v>40129</v>
      </c>
    </row>
    <row r="173" spans="1:4" ht="13.5" x14ac:dyDescent="0.25">
      <c r="A173" s="878" t="s">
        <v>3296</v>
      </c>
      <c r="B173" s="878" t="s">
        <v>3297</v>
      </c>
      <c r="C173" s="879" t="s">
        <v>158</v>
      </c>
      <c r="D173" s="880" t="s">
        <v>40130</v>
      </c>
    </row>
    <row r="174" spans="1:4" ht="13.5" x14ac:dyDescent="0.25">
      <c r="A174" s="878" t="s">
        <v>3298</v>
      </c>
      <c r="B174" s="878" t="s">
        <v>3299</v>
      </c>
      <c r="C174" s="879" t="s">
        <v>158</v>
      </c>
      <c r="D174" s="881" t="s">
        <v>40131</v>
      </c>
    </row>
    <row r="175" spans="1:4" ht="13.5" x14ac:dyDescent="0.25">
      <c r="A175" s="878" t="s">
        <v>3300</v>
      </c>
      <c r="B175" s="878" t="s">
        <v>3301</v>
      </c>
      <c r="C175" s="879" t="s">
        <v>158</v>
      </c>
      <c r="D175" s="880" t="s">
        <v>40132</v>
      </c>
    </row>
    <row r="176" spans="1:4" ht="13.5" x14ac:dyDescent="0.25">
      <c r="A176" s="878" t="s">
        <v>3302</v>
      </c>
      <c r="B176" s="878" t="s">
        <v>3303</v>
      </c>
      <c r="C176" s="879" t="s">
        <v>158</v>
      </c>
      <c r="D176" s="880" t="s">
        <v>40133</v>
      </c>
    </row>
    <row r="177" spans="1:4" ht="13.5" x14ac:dyDescent="0.25">
      <c r="A177" s="878" t="s">
        <v>3304</v>
      </c>
      <c r="B177" s="878" t="s">
        <v>3305</v>
      </c>
      <c r="C177" s="879" t="s">
        <v>158</v>
      </c>
      <c r="D177" s="880" t="s">
        <v>31165</v>
      </c>
    </row>
    <row r="178" spans="1:4" ht="13.5" x14ac:dyDescent="0.25">
      <c r="A178" s="878" t="s">
        <v>3306</v>
      </c>
      <c r="B178" s="878" t="s">
        <v>3307</v>
      </c>
      <c r="C178" s="879" t="s">
        <v>158</v>
      </c>
      <c r="D178" s="880" t="s">
        <v>40134</v>
      </c>
    </row>
    <row r="179" spans="1:4" ht="13.5" x14ac:dyDescent="0.25">
      <c r="A179" s="878" t="s">
        <v>3308</v>
      </c>
      <c r="B179" s="878" t="s">
        <v>3309</v>
      </c>
      <c r="C179" s="879" t="s">
        <v>158</v>
      </c>
      <c r="D179" s="880" t="s">
        <v>40135</v>
      </c>
    </row>
    <row r="180" spans="1:4" ht="13.5" x14ac:dyDescent="0.25">
      <c r="A180" s="878" t="s">
        <v>3310</v>
      </c>
      <c r="B180" s="878" t="s">
        <v>3311</v>
      </c>
      <c r="C180" s="879" t="s">
        <v>158</v>
      </c>
      <c r="D180" s="880" t="s">
        <v>40136</v>
      </c>
    </row>
    <row r="181" spans="1:4" ht="13.5" x14ac:dyDescent="0.25">
      <c r="A181" s="878" t="s">
        <v>3312</v>
      </c>
      <c r="B181" s="878" t="s">
        <v>3313</v>
      </c>
      <c r="C181" s="879" t="s">
        <v>158</v>
      </c>
      <c r="D181" s="880" t="s">
        <v>40137</v>
      </c>
    </row>
    <row r="182" spans="1:4" ht="13.5" x14ac:dyDescent="0.25">
      <c r="A182" s="878" t="s">
        <v>3314</v>
      </c>
      <c r="B182" s="878" t="s">
        <v>3315</v>
      </c>
      <c r="C182" s="879" t="s">
        <v>158</v>
      </c>
      <c r="D182" s="880" t="s">
        <v>40138</v>
      </c>
    </row>
    <row r="183" spans="1:4" ht="13.5" x14ac:dyDescent="0.25">
      <c r="A183" s="878" t="s">
        <v>3316</v>
      </c>
      <c r="B183" s="878" t="s">
        <v>3317</v>
      </c>
      <c r="C183" s="879" t="s">
        <v>158</v>
      </c>
      <c r="D183" s="880" t="s">
        <v>40139</v>
      </c>
    </row>
    <row r="184" spans="1:4" ht="13.5" x14ac:dyDescent="0.25">
      <c r="A184" s="878" t="s">
        <v>3318</v>
      </c>
      <c r="B184" s="878" t="s">
        <v>3319</v>
      </c>
      <c r="C184" s="879" t="s">
        <v>158</v>
      </c>
      <c r="D184" s="880" t="s">
        <v>40140</v>
      </c>
    </row>
    <row r="185" spans="1:4" ht="13.5" x14ac:dyDescent="0.25">
      <c r="A185" s="878" t="s">
        <v>3320</v>
      </c>
      <c r="B185" s="878" t="s">
        <v>3321</v>
      </c>
      <c r="C185" s="879" t="s">
        <v>158</v>
      </c>
      <c r="D185" s="880" t="s">
        <v>40141</v>
      </c>
    </row>
    <row r="186" spans="1:4" ht="13.5" x14ac:dyDescent="0.25">
      <c r="A186" s="878" t="s">
        <v>3322</v>
      </c>
      <c r="B186" s="878" t="s">
        <v>3323</v>
      </c>
      <c r="C186" s="879" t="s">
        <v>158</v>
      </c>
      <c r="D186" s="881" t="s">
        <v>40142</v>
      </c>
    </row>
    <row r="187" spans="1:4" ht="13.5" x14ac:dyDescent="0.25">
      <c r="A187" s="878" t="s">
        <v>3324</v>
      </c>
      <c r="B187" s="878" t="s">
        <v>3325</v>
      </c>
      <c r="C187" s="879" t="s">
        <v>158</v>
      </c>
      <c r="D187" s="880" t="s">
        <v>40143</v>
      </c>
    </row>
    <row r="188" spans="1:4" ht="13.5" x14ac:dyDescent="0.25">
      <c r="A188" s="878" t="s">
        <v>3326</v>
      </c>
      <c r="B188" s="878" t="s">
        <v>3327</v>
      </c>
      <c r="C188" s="879" t="s">
        <v>158</v>
      </c>
      <c r="D188" s="880" t="s">
        <v>40144</v>
      </c>
    </row>
    <row r="189" spans="1:4" ht="13.5" x14ac:dyDescent="0.25">
      <c r="A189" s="878" t="s">
        <v>3328</v>
      </c>
      <c r="B189" s="878" t="s">
        <v>3329</v>
      </c>
      <c r="C189" s="879" t="s">
        <v>158</v>
      </c>
      <c r="D189" s="880" t="s">
        <v>30710</v>
      </c>
    </row>
    <row r="190" spans="1:4" ht="13.5" x14ac:dyDescent="0.25">
      <c r="A190" s="878" t="s">
        <v>3330</v>
      </c>
      <c r="B190" s="878" t="s">
        <v>3331</v>
      </c>
      <c r="C190" s="879" t="s">
        <v>158</v>
      </c>
      <c r="D190" s="880" t="s">
        <v>40145</v>
      </c>
    </row>
    <row r="191" spans="1:4" ht="13.5" x14ac:dyDescent="0.25">
      <c r="A191" s="878" t="s">
        <v>3332</v>
      </c>
      <c r="B191" s="878" t="s">
        <v>3333</v>
      </c>
      <c r="C191" s="879" t="s">
        <v>158</v>
      </c>
      <c r="D191" s="880" t="s">
        <v>40146</v>
      </c>
    </row>
    <row r="192" spans="1:4" ht="13.5" x14ac:dyDescent="0.25">
      <c r="A192" s="878" t="s">
        <v>3334</v>
      </c>
      <c r="B192" s="878" t="s">
        <v>3335</v>
      </c>
      <c r="C192" s="879" t="s">
        <v>158</v>
      </c>
      <c r="D192" s="880" t="s">
        <v>30255</v>
      </c>
    </row>
    <row r="193" spans="1:4" ht="13.5" x14ac:dyDescent="0.25">
      <c r="A193" s="878" t="s">
        <v>3336</v>
      </c>
      <c r="B193" s="878" t="s">
        <v>3337</v>
      </c>
      <c r="C193" s="879" t="s">
        <v>158</v>
      </c>
      <c r="D193" s="880" t="s">
        <v>40147</v>
      </c>
    </row>
    <row r="194" spans="1:4" ht="13.5" x14ac:dyDescent="0.25">
      <c r="A194" s="878" t="s">
        <v>3338</v>
      </c>
      <c r="B194" s="878" t="s">
        <v>3339</v>
      </c>
      <c r="C194" s="879" t="s">
        <v>158</v>
      </c>
      <c r="D194" s="880" t="s">
        <v>40148</v>
      </c>
    </row>
    <row r="195" spans="1:4" ht="13.5" x14ac:dyDescent="0.25">
      <c r="A195" s="878" t="s">
        <v>3340</v>
      </c>
      <c r="B195" s="878" t="s">
        <v>3341</v>
      </c>
      <c r="C195" s="879" t="s">
        <v>158</v>
      </c>
      <c r="D195" s="880" t="s">
        <v>40149</v>
      </c>
    </row>
    <row r="196" spans="1:4" ht="13.5" x14ac:dyDescent="0.25">
      <c r="A196" s="878" t="s">
        <v>3342</v>
      </c>
      <c r="B196" s="878" t="s">
        <v>3343</v>
      </c>
      <c r="C196" s="879" t="s">
        <v>158</v>
      </c>
      <c r="D196" s="880" t="s">
        <v>40150</v>
      </c>
    </row>
    <row r="197" spans="1:4" ht="13.5" x14ac:dyDescent="0.25">
      <c r="A197" s="878" t="s">
        <v>3344</v>
      </c>
      <c r="B197" s="878" t="s">
        <v>3345</v>
      </c>
      <c r="C197" s="879" t="s">
        <v>158</v>
      </c>
      <c r="D197" s="880" t="s">
        <v>8706</v>
      </c>
    </row>
    <row r="198" spans="1:4" ht="13.5" x14ac:dyDescent="0.25">
      <c r="A198" s="878" t="s">
        <v>3347</v>
      </c>
      <c r="B198" s="878" t="s">
        <v>3348</v>
      </c>
      <c r="C198" s="879" t="s">
        <v>158</v>
      </c>
      <c r="D198" s="880" t="s">
        <v>40151</v>
      </c>
    </row>
    <row r="199" spans="1:4" ht="13.5" x14ac:dyDescent="0.25">
      <c r="A199" s="878" t="s">
        <v>3350</v>
      </c>
      <c r="B199" s="878" t="s">
        <v>3351</v>
      </c>
      <c r="C199" s="879" t="s">
        <v>158</v>
      </c>
      <c r="D199" s="880" t="s">
        <v>31212</v>
      </c>
    </row>
    <row r="200" spans="1:4" ht="13.5" x14ac:dyDescent="0.25">
      <c r="A200" s="878" t="s">
        <v>3352</v>
      </c>
      <c r="B200" s="878" t="s">
        <v>3353</v>
      </c>
      <c r="C200" s="879" t="s">
        <v>158</v>
      </c>
      <c r="D200" s="880" t="s">
        <v>40152</v>
      </c>
    </row>
    <row r="201" spans="1:4" ht="13.5" x14ac:dyDescent="0.25">
      <c r="A201" s="878" t="s">
        <v>3354</v>
      </c>
      <c r="B201" s="878" t="s">
        <v>3355</v>
      </c>
      <c r="C201" s="879" t="s">
        <v>158</v>
      </c>
      <c r="D201" s="880" t="s">
        <v>3208</v>
      </c>
    </row>
    <row r="202" spans="1:4" ht="13.5" x14ac:dyDescent="0.25">
      <c r="A202" s="878" t="s">
        <v>3356</v>
      </c>
      <c r="B202" s="878" t="s">
        <v>3357</v>
      </c>
      <c r="C202" s="879" t="s">
        <v>158</v>
      </c>
      <c r="D202" s="880" t="s">
        <v>15338</v>
      </c>
    </row>
    <row r="203" spans="1:4" ht="13.5" x14ac:dyDescent="0.25">
      <c r="A203" s="878" t="s">
        <v>3359</v>
      </c>
      <c r="B203" s="878" t="s">
        <v>3360</v>
      </c>
      <c r="C203" s="879" t="s">
        <v>158</v>
      </c>
      <c r="D203" s="880" t="s">
        <v>40153</v>
      </c>
    </row>
    <row r="204" spans="1:4" ht="13.5" x14ac:dyDescent="0.25">
      <c r="A204" s="878" t="s">
        <v>3362</v>
      </c>
      <c r="B204" s="878" t="s">
        <v>3363</v>
      </c>
      <c r="C204" s="879" t="s">
        <v>158</v>
      </c>
      <c r="D204" s="880" t="s">
        <v>40154</v>
      </c>
    </row>
    <row r="205" spans="1:4" ht="13.5" x14ac:dyDescent="0.25">
      <c r="A205" s="878" t="s">
        <v>3365</v>
      </c>
      <c r="B205" s="878" t="s">
        <v>3366</v>
      </c>
      <c r="C205" s="879" t="s">
        <v>158</v>
      </c>
      <c r="D205" s="880" t="s">
        <v>40155</v>
      </c>
    </row>
    <row r="206" spans="1:4" ht="13.5" x14ac:dyDescent="0.25">
      <c r="A206" s="878" t="s">
        <v>3368</v>
      </c>
      <c r="B206" s="878" t="s">
        <v>3369</v>
      </c>
      <c r="C206" s="879" t="s">
        <v>158</v>
      </c>
      <c r="D206" s="880" t="s">
        <v>40156</v>
      </c>
    </row>
    <row r="207" spans="1:4" ht="13.5" x14ac:dyDescent="0.25">
      <c r="A207" s="878" t="s">
        <v>3370</v>
      </c>
      <c r="B207" s="878" t="s">
        <v>3371</v>
      </c>
      <c r="C207" s="879" t="s">
        <v>158</v>
      </c>
      <c r="D207" s="880" t="s">
        <v>30578</v>
      </c>
    </row>
    <row r="208" spans="1:4" ht="13.5" x14ac:dyDescent="0.25">
      <c r="A208" s="878" t="s">
        <v>3372</v>
      </c>
      <c r="B208" s="878" t="s">
        <v>3373</v>
      </c>
      <c r="C208" s="879" t="s">
        <v>158</v>
      </c>
      <c r="D208" s="880" t="s">
        <v>40157</v>
      </c>
    </row>
    <row r="209" spans="1:4" ht="13.5" x14ac:dyDescent="0.25">
      <c r="A209" s="878" t="s">
        <v>3375</v>
      </c>
      <c r="B209" s="878" t="s">
        <v>3376</v>
      </c>
      <c r="C209" s="879" t="s">
        <v>158</v>
      </c>
      <c r="D209" s="880" t="s">
        <v>4738</v>
      </c>
    </row>
    <row r="210" spans="1:4" ht="13.5" x14ac:dyDescent="0.25">
      <c r="A210" s="878" t="s">
        <v>3378</v>
      </c>
      <c r="B210" s="878" t="s">
        <v>3379</v>
      </c>
      <c r="C210" s="879" t="s">
        <v>158</v>
      </c>
      <c r="D210" s="880" t="s">
        <v>31090</v>
      </c>
    </row>
    <row r="211" spans="1:4" ht="13.5" x14ac:dyDescent="0.25">
      <c r="A211" s="878" t="s">
        <v>3381</v>
      </c>
      <c r="B211" s="878" t="s">
        <v>3382</v>
      </c>
      <c r="C211" s="879" t="s">
        <v>158</v>
      </c>
      <c r="D211" s="880" t="s">
        <v>40158</v>
      </c>
    </row>
    <row r="212" spans="1:4" ht="13.5" x14ac:dyDescent="0.25">
      <c r="A212" s="878" t="s">
        <v>3383</v>
      </c>
      <c r="B212" s="878" t="s">
        <v>3384</v>
      </c>
      <c r="C212" s="879" t="s">
        <v>158</v>
      </c>
      <c r="D212" s="880" t="s">
        <v>14358</v>
      </c>
    </row>
    <row r="213" spans="1:4" ht="13.5" x14ac:dyDescent="0.25">
      <c r="A213" s="878" t="s">
        <v>3385</v>
      </c>
      <c r="B213" s="878" t="s">
        <v>3386</v>
      </c>
      <c r="C213" s="879" t="s">
        <v>158</v>
      </c>
      <c r="D213" s="880" t="s">
        <v>12062</v>
      </c>
    </row>
    <row r="214" spans="1:4" ht="13.5" x14ac:dyDescent="0.25">
      <c r="A214" s="878" t="s">
        <v>3387</v>
      </c>
      <c r="B214" s="878" t="s">
        <v>3388</v>
      </c>
      <c r="C214" s="879" t="s">
        <v>158</v>
      </c>
      <c r="D214" s="880" t="s">
        <v>30362</v>
      </c>
    </row>
    <row r="215" spans="1:4" ht="13.5" x14ac:dyDescent="0.25">
      <c r="A215" s="878" t="s">
        <v>3389</v>
      </c>
      <c r="B215" s="878" t="s">
        <v>3390</v>
      </c>
      <c r="C215" s="879" t="s">
        <v>158</v>
      </c>
      <c r="D215" s="880" t="s">
        <v>40159</v>
      </c>
    </row>
    <row r="216" spans="1:4" ht="13.5" x14ac:dyDescent="0.25">
      <c r="A216" s="878" t="s">
        <v>3391</v>
      </c>
      <c r="B216" s="878" t="s">
        <v>3392</v>
      </c>
      <c r="C216" s="879" t="s">
        <v>158</v>
      </c>
      <c r="D216" s="880" t="s">
        <v>40160</v>
      </c>
    </row>
    <row r="217" spans="1:4" ht="13.5" x14ac:dyDescent="0.25">
      <c r="A217" s="878" t="s">
        <v>3393</v>
      </c>
      <c r="B217" s="878" t="s">
        <v>3394</v>
      </c>
      <c r="C217" s="879" t="s">
        <v>158</v>
      </c>
      <c r="D217" s="880" t="s">
        <v>40161</v>
      </c>
    </row>
    <row r="218" spans="1:4" ht="13.5" x14ac:dyDescent="0.25">
      <c r="A218" s="878" t="s">
        <v>3395</v>
      </c>
      <c r="B218" s="878" t="s">
        <v>3396</v>
      </c>
      <c r="C218" s="879" t="s">
        <v>158</v>
      </c>
      <c r="D218" s="880" t="s">
        <v>30283</v>
      </c>
    </row>
    <row r="219" spans="1:4" ht="13.5" x14ac:dyDescent="0.25">
      <c r="A219" s="878" t="s">
        <v>3397</v>
      </c>
      <c r="B219" s="878" t="s">
        <v>3398</v>
      </c>
      <c r="C219" s="879" t="s">
        <v>158</v>
      </c>
      <c r="D219" s="880" t="s">
        <v>40162</v>
      </c>
    </row>
    <row r="220" spans="1:4" ht="13.5" x14ac:dyDescent="0.25">
      <c r="A220" s="878" t="s">
        <v>3399</v>
      </c>
      <c r="B220" s="878" t="s">
        <v>3400</v>
      </c>
      <c r="C220" s="879" t="s">
        <v>158</v>
      </c>
      <c r="D220" s="880" t="s">
        <v>40163</v>
      </c>
    </row>
    <row r="221" spans="1:4" ht="13.5" x14ac:dyDescent="0.25">
      <c r="A221" s="878" t="s">
        <v>3401</v>
      </c>
      <c r="B221" s="878" t="s">
        <v>3402</v>
      </c>
      <c r="C221" s="879" t="s">
        <v>158</v>
      </c>
      <c r="D221" s="880" t="s">
        <v>40164</v>
      </c>
    </row>
    <row r="222" spans="1:4" ht="13.5" x14ac:dyDescent="0.25">
      <c r="A222" s="878" t="s">
        <v>3403</v>
      </c>
      <c r="B222" s="878" t="s">
        <v>3404</v>
      </c>
      <c r="C222" s="879" t="s">
        <v>158</v>
      </c>
      <c r="D222" s="880" t="s">
        <v>40165</v>
      </c>
    </row>
    <row r="223" spans="1:4" ht="13.5" x14ac:dyDescent="0.25">
      <c r="A223" s="878" t="s">
        <v>3405</v>
      </c>
      <c r="B223" s="878" t="s">
        <v>3406</v>
      </c>
      <c r="C223" s="879" t="s">
        <v>158</v>
      </c>
      <c r="D223" s="880" t="s">
        <v>30359</v>
      </c>
    </row>
    <row r="224" spans="1:4" ht="13.5" x14ac:dyDescent="0.25">
      <c r="A224" s="878" t="s">
        <v>3407</v>
      </c>
      <c r="B224" s="878" t="s">
        <v>3408</v>
      </c>
      <c r="C224" s="879" t="s">
        <v>158</v>
      </c>
      <c r="D224" s="880" t="s">
        <v>40166</v>
      </c>
    </row>
    <row r="225" spans="1:4" ht="13.5" x14ac:dyDescent="0.25">
      <c r="A225" s="878" t="s">
        <v>3409</v>
      </c>
      <c r="B225" s="878" t="s">
        <v>3410</v>
      </c>
      <c r="C225" s="879" t="s">
        <v>158</v>
      </c>
      <c r="D225" s="880" t="s">
        <v>40109</v>
      </c>
    </row>
    <row r="226" spans="1:4" ht="13.5" x14ac:dyDescent="0.25">
      <c r="A226" s="878" t="s">
        <v>3411</v>
      </c>
      <c r="B226" s="878" t="s">
        <v>3412</v>
      </c>
      <c r="C226" s="879" t="s">
        <v>226</v>
      </c>
      <c r="D226" s="880" t="s">
        <v>40167</v>
      </c>
    </row>
    <row r="227" spans="1:4" ht="13.5" x14ac:dyDescent="0.25">
      <c r="A227" s="878" t="s">
        <v>3413</v>
      </c>
      <c r="B227" s="878" t="s">
        <v>3414</v>
      </c>
      <c r="C227" s="879" t="s">
        <v>226</v>
      </c>
      <c r="D227" s="880" t="s">
        <v>40168</v>
      </c>
    </row>
    <row r="228" spans="1:4" ht="13.5" x14ac:dyDescent="0.25">
      <c r="A228" s="878" t="s">
        <v>3415</v>
      </c>
      <c r="B228" s="878" t="s">
        <v>3416</v>
      </c>
      <c r="C228" s="879" t="s">
        <v>226</v>
      </c>
      <c r="D228" s="880" t="s">
        <v>40169</v>
      </c>
    </row>
    <row r="229" spans="1:4" ht="13.5" x14ac:dyDescent="0.25">
      <c r="A229" s="878" t="s">
        <v>3417</v>
      </c>
      <c r="B229" s="878" t="s">
        <v>3418</v>
      </c>
      <c r="C229" s="879" t="s">
        <v>226</v>
      </c>
      <c r="D229" s="880" t="s">
        <v>40170</v>
      </c>
    </row>
    <row r="230" spans="1:4" ht="13.5" x14ac:dyDescent="0.25">
      <c r="A230" s="878" t="s">
        <v>3419</v>
      </c>
      <c r="B230" s="878" t="s">
        <v>3420</v>
      </c>
      <c r="C230" s="879" t="s">
        <v>226</v>
      </c>
      <c r="D230" s="880" t="s">
        <v>40171</v>
      </c>
    </row>
    <row r="231" spans="1:4" ht="13.5" x14ac:dyDescent="0.25">
      <c r="A231" s="878" t="s">
        <v>3421</v>
      </c>
      <c r="B231" s="878" t="s">
        <v>3422</v>
      </c>
      <c r="C231" s="879" t="s">
        <v>226</v>
      </c>
      <c r="D231" s="880" t="s">
        <v>40172</v>
      </c>
    </row>
    <row r="232" spans="1:4" ht="13.5" x14ac:dyDescent="0.25">
      <c r="A232" s="878" t="s">
        <v>3423</v>
      </c>
      <c r="B232" s="878" t="s">
        <v>3424</v>
      </c>
      <c r="C232" s="879" t="s">
        <v>226</v>
      </c>
      <c r="D232" s="880" t="s">
        <v>40173</v>
      </c>
    </row>
    <row r="233" spans="1:4" ht="13.5" x14ac:dyDescent="0.25">
      <c r="A233" s="878" t="s">
        <v>3425</v>
      </c>
      <c r="B233" s="878" t="s">
        <v>3426</v>
      </c>
      <c r="C233" s="879" t="s">
        <v>226</v>
      </c>
      <c r="D233" s="880" t="s">
        <v>40174</v>
      </c>
    </row>
    <row r="234" spans="1:4" ht="13.5" x14ac:dyDescent="0.25">
      <c r="A234" s="878" t="s">
        <v>3427</v>
      </c>
      <c r="B234" s="878" t="s">
        <v>3428</v>
      </c>
      <c r="C234" s="879" t="s">
        <v>226</v>
      </c>
      <c r="D234" s="880" t="s">
        <v>40175</v>
      </c>
    </row>
    <row r="235" spans="1:4" ht="13.5" x14ac:dyDescent="0.25">
      <c r="A235" s="878" t="s">
        <v>3429</v>
      </c>
      <c r="B235" s="878" t="s">
        <v>3430</v>
      </c>
      <c r="C235" s="879" t="s">
        <v>226</v>
      </c>
      <c r="D235" s="880" t="s">
        <v>40176</v>
      </c>
    </row>
    <row r="236" spans="1:4" ht="13.5" x14ac:dyDescent="0.25">
      <c r="A236" s="878" t="s">
        <v>3431</v>
      </c>
      <c r="B236" s="878" t="s">
        <v>3432</v>
      </c>
      <c r="C236" s="879" t="s">
        <v>226</v>
      </c>
      <c r="D236" s="880" t="s">
        <v>40177</v>
      </c>
    </row>
    <row r="237" spans="1:4" ht="13.5" x14ac:dyDescent="0.25">
      <c r="A237" s="878" t="s">
        <v>3433</v>
      </c>
      <c r="B237" s="878" t="s">
        <v>3434</v>
      </c>
      <c r="C237" s="879" t="s">
        <v>226</v>
      </c>
      <c r="D237" s="880" t="s">
        <v>40178</v>
      </c>
    </row>
    <row r="238" spans="1:4" ht="13.5" x14ac:dyDescent="0.25">
      <c r="A238" s="878" t="s">
        <v>3435</v>
      </c>
      <c r="B238" s="878" t="s">
        <v>3436</v>
      </c>
      <c r="C238" s="879" t="s">
        <v>226</v>
      </c>
      <c r="D238" s="880" t="s">
        <v>40179</v>
      </c>
    </row>
    <row r="239" spans="1:4" ht="13.5" x14ac:dyDescent="0.25">
      <c r="A239" s="878" t="s">
        <v>3437</v>
      </c>
      <c r="B239" s="878" t="s">
        <v>3438</v>
      </c>
      <c r="C239" s="879" t="s">
        <v>226</v>
      </c>
      <c r="D239" s="880" t="s">
        <v>40180</v>
      </c>
    </row>
    <row r="240" spans="1:4" ht="13.5" x14ac:dyDescent="0.25">
      <c r="A240" s="878" t="s">
        <v>3439</v>
      </c>
      <c r="B240" s="878" t="s">
        <v>3440</v>
      </c>
      <c r="C240" s="879" t="s">
        <v>226</v>
      </c>
      <c r="D240" s="880" t="s">
        <v>40181</v>
      </c>
    </row>
    <row r="241" spans="1:4" ht="13.5" x14ac:dyDescent="0.25">
      <c r="A241" s="878" t="s">
        <v>3441</v>
      </c>
      <c r="B241" s="878" t="s">
        <v>3442</v>
      </c>
      <c r="C241" s="879" t="s">
        <v>226</v>
      </c>
      <c r="D241" s="880" t="s">
        <v>40182</v>
      </c>
    </row>
    <row r="242" spans="1:4" ht="13.5" x14ac:dyDescent="0.25">
      <c r="A242" s="878" t="s">
        <v>3443</v>
      </c>
      <c r="B242" s="878" t="s">
        <v>3444</v>
      </c>
      <c r="C242" s="879" t="s">
        <v>226</v>
      </c>
      <c r="D242" s="880" t="s">
        <v>30898</v>
      </c>
    </row>
    <row r="243" spans="1:4" ht="13.5" x14ac:dyDescent="0.25">
      <c r="A243" s="878" t="s">
        <v>3445</v>
      </c>
      <c r="B243" s="878" t="s">
        <v>3446</v>
      </c>
      <c r="C243" s="879" t="s">
        <v>226</v>
      </c>
      <c r="D243" s="880" t="s">
        <v>40183</v>
      </c>
    </row>
    <row r="244" spans="1:4" ht="13.5" x14ac:dyDescent="0.25">
      <c r="A244" s="878" t="s">
        <v>3447</v>
      </c>
      <c r="B244" s="878" t="s">
        <v>3448</v>
      </c>
      <c r="C244" s="879" t="s">
        <v>226</v>
      </c>
      <c r="D244" s="880" t="s">
        <v>40184</v>
      </c>
    </row>
    <row r="245" spans="1:4" ht="13.5" x14ac:dyDescent="0.25">
      <c r="A245" s="878" t="s">
        <v>3449</v>
      </c>
      <c r="B245" s="878" t="s">
        <v>3450</v>
      </c>
      <c r="C245" s="879" t="s">
        <v>226</v>
      </c>
      <c r="D245" s="880" t="s">
        <v>40185</v>
      </c>
    </row>
    <row r="246" spans="1:4" ht="13.5" x14ac:dyDescent="0.25">
      <c r="A246" s="878" t="s">
        <v>3451</v>
      </c>
      <c r="B246" s="878" t="s">
        <v>3452</v>
      </c>
      <c r="C246" s="879" t="s">
        <v>226</v>
      </c>
      <c r="D246" s="880" t="s">
        <v>40186</v>
      </c>
    </row>
    <row r="247" spans="1:4" ht="13.5" x14ac:dyDescent="0.25">
      <c r="A247" s="878" t="s">
        <v>3453</v>
      </c>
      <c r="B247" s="878" t="s">
        <v>3454</v>
      </c>
      <c r="C247" s="879" t="s">
        <v>226</v>
      </c>
      <c r="D247" s="880" t="s">
        <v>40187</v>
      </c>
    </row>
    <row r="248" spans="1:4" ht="13.5" x14ac:dyDescent="0.25">
      <c r="A248" s="878" t="s">
        <v>3455</v>
      </c>
      <c r="B248" s="878" t="s">
        <v>3456</v>
      </c>
      <c r="C248" s="879" t="s">
        <v>226</v>
      </c>
      <c r="D248" s="880" t="s">
        <v>40188</v>
      </c>
    </row>
    <row r="249" spans="1:4" ht="13.5" x14ac:dyDescent="0.25">
      <c r="A249" s="878" t="s">
        <v>3457</v>
      </c>
      <c r="B249" s="878" t="s">
        <v>3458</v>
      </c>
      <c r="C249" s="879" t="s">
        <v>226</v>
      </c>
      <c r="D249" s="880" t="s">
        <v>40189</v>
      </c>
    </row>
    <row r="250" spans="1:4" ht="13.5" x14ac:dyDescent="0.25">
      <c r="A250" s="878" t="s">
        <v>3459</v>
      </c>
      <c r="B250" s="878" t="s">
        <v>3460</v>
      </c>
      <c r="C250" s="879" t="s">
        <v>226</v>
      </c>
      <c r="D250" s="880" t="s">
        <v>40190</v>
      </c>
    </row>
    <row r="251" spans="1:4" ht="13.5" x14ac:dyDescent="0.25">
      <c r="A251" s="878" t="s">
        <v>3461</v>
      </c>
      <c r="B251" s="878" t="s">
        <v>3462</v>
      </c>
      <c r="C251" s="879" t="s">
        <v>226</v>
      </c>
      <c r="D251" s="880" t="s">
        <v>40191</v>
      </c>
    </row>
    <row r="252" spans="1:4" ht="13.5" x14ac:dyDescent="0.25">
      <c r="A252" s="878" t="s">
        <v>3463</v>
      </c>
      <c r="B252" s="878" t="s">
        <v>3464</v>
      </c>
      <c r="C252" s="879" t="s">
        <v>226</v>
      </c>
      <c r="D252" s="880" t="s">
        <v>40192</v>
      </c>
    </row>
    <row r="253" spans="1:4" ht="13.5" x14ac:dyDescent="0.25">
      <c r="A253" s="878" t="s">
        <v>3465</v>
      </c>
      <c r="B253" s="878" t="s">
        <v>3466</v>
      </c>
      <c r="C253" s="879" t="s">
        <v>226</v>
      </c>
      <c r="D253" s="880" t="s">
        <v>40193</v>
      </c>
    </row>
    <row r="254" spans="1:4" ht="13.5" x14ac:dyDescent="0.25">
      <c r="A254" s="878" t="s">
        <v>3467</v>
      </c>
      <c r="B254" s="878" t="s">
        <v>3468</v>
      </c>
      <c r="C254" s="879" t="s">
        <v>226</v>
      </c>
      <c r="D254" s="880" t="s">
        <v>40194</v>
      </c>
    </row>
    <row r="255" spans="1:4" ht="13.5" x14ac:dyDescent="0.25">
      <c r="A255" s="878" t="s">
        <v>3469</v>
      </c>
      <c r="B255" s="878" t="s">
        <v>3470</v>
      </c>
      <c r="C255" s="879" t="s">
        <v>226</v>
      </c>
      <c r="D255" s="880" t="s">
        <v>40195</v>
      </c>
    </row>
    <row r="256" spans="1:4" ht="13.5" x14ac:dyDescent="0.25">
      <c r="A256" s="878" t="s">
        <v>3471</v>
      </c>
      <c r="B256" s="878" t="s">
        <v>3472</v>
      </c>
      <c r="C256" s="879" t="s">
        <v>226</v>
      </c>
      <c r="D256" s="880" t="s">
        <v>40196</v>
      </c>
    </row>
    <row r="257" spans="1:4" ht="13.5" x14ac:dyDescent="0.25">
      <c r="A257" s="878" t="s">
        <v>3473</v>
      </c>
      <c r="B257" s="878" t="s">
        <v>3474</v>
      </c>
      <c r="C257" s="879" t="s">
        <v>226</v>
      </c>
      <c r="D257" s="881" t="s">
        <v>40197</v>
      </c>
    </row>
    <row r="258" spans="1:4" ht="13.5" x14ac:dyDescent="0.25">
      <c r="A258" s="878" t="s">
        <v>3475</v>
      </c>
      <c r="B258" s="878" t="s">
        <v>3476</v>
      </c>
      <c r="C258" s="879" t="s">
        <v>226</v>
      </c>
      <c r="D258" s="880" t="s">
        <v>40198</v>
      </c>
    </row>
    <row r="259" spans="1:4" ht="13.5" x14ac:dyDescent="0.25">
      <c r="A259" s="878" t="s">
        <v>3477</v>
      </c>
      <c r="B259" s="878" t="s">
        <v>3478</v>
      </c>
      <c r="C259" s="879" t="s">
        <v>226</v>
      </c>
      <c r="D259" s="880" t="s">
        <v>40199</v>
      </c>
    </row>
    <row r="260" spans="1:4" ht="13.5" x14ac:dyDescent="0.25">
      <c r="A260" s="878" t="s">
        <v>3479</v>
      </c>
      <c r="B260" s="878" t="s">
        <v>3480</v>
      </c>
      <c r="C260" s="879" t="s">
        <v>226</v>
      </c>
      <c r="D260" s="880" t="s">
        <v>40200</v>
      </c>
    </row>
    <row r="261" spans="1:4" ht="13.5" x14ac:dyDescent="0.25">
      <c r="A261" s="878" t="s">
        <v>3481</v>
      </c>
      <c r="B261" s="878" t="s">
        <v>3482</v>
      </c>
      <c r="C261" s="879" t="s">
        <v>226</v>
      </c>
      <c r="D261" s="880" t="s">
        <v>40201</v>
      </c>
    </row>
    <row r="262" spans="1:4" ht="13.5" x14ac:dyDescent="0.25">
      <c r="A262" s="878" t="s">
        <v>3483</v>
      </c>
      <c r="B262" s="878" t="s">
        <v>3484</v>
      </c>
      <c r="C262" s="879" t="s">
        <v>226</v>
      </c>
      <c r="D262" s="880" t="s">
        <v>40202</v>
      </c>
    </row>
    <row r="263" spans="1:4" ht="13.5" x14ac:dyDescent="0.25">
      <c r="A263" s="878" t="s">
        <v>3485</v>
      </c>
      <c r="B263" s="878" t="s">
        <v>3486</v>
      </c>
      <c r="C263" s="879" t="s">
        <v>226</v>
      </c>
      <c r="D263" s="880" t="s">
        <v>40203</v>
      </c>
    </row>
    <row r="264" spans="1:4" ht="13.5" x14ac:dyDescent="0.25">
      <c r="A264" s="878" t="s">
        <v>3487</v>
      </c>
      <c r="B264" s="878" t="s">
        <v>3488</v>
      </c>
      <c r="C264" s="879" t="s">
        <v>226</v>
      </c>
      <c r="D264" s="880" t="s">
        <v>40204</v>
      </c>
    </row>
    <row r="265" spans="1:4" ht="13.5" x14ac:dyDescent="0.25">
      <c r="A265" s="878" t="s">
        <v>3489</v>
      </c>
      <c r="B265" s="878" t="s">
        <v>3490</v>
      </c>
      <c r="C265" s="879" t="s">
        <v>226</v>
      </c>
      <c r="D265" s="880" t="s">
        <v>40205</v>
      </c>
    </row>
    <row r="266" spans="1:4" ht="13.5" x14ac:dyDescent="0.25">
      <c r="A266" s="878" t="s">
        <v>3491</v>
      </c>
      <c r="B266" s="878" t="s">
        <v>3492</v>
      </c>
      <c r="C266" s="879" t="s">
        <v>226</v>
      </c>
      <c r="D266" s="880" t="s">
        <v>40206</v>
      </c>
    </row>
    <row r="267" spans="1:4" ht="13.5" x14ac:dyDescent="0.25">
      <c r="A267" s="878" t="s">
        <v>3493</v>
      </c>
      <c r="B267" s="878" t="s">
        <v>3494</v>
      </c>
      <c r="C267" s="879" t="s">
        <v>226</v>
      </c>
      <c r="D267" s="880" t="s">
        <v>40207</v>
      </c>
    </row>
    <row r="268" spans="1:4" ht="13.5" x14ac:dyDescent="0.25">
      <c r="A268" s="878" t="s">
        <v>3495</v>
      </c>
      <c r="B268" s="878" t="s">
        <v>3496</v>
      </c>
      <c r="C268" s="879" t="s">
        <v>226</v>
      </c>
      <c r="D268" s="880" t="s">
        <v>40208</v>
      </c>
    </row>
    <row r="269" spans="1:4" ht="13.5" x14ac:dyDescent="0.25">
      <c r="A269" s="878" t="s">
        <v>3497</v>
      </c>
      <c r="B269" s="878" t="s">
        <v>3498</v>
      </c>
      <c r="C269" s="879" t="s">
        <v>226</v>
      </c>
      <c r="D269" s="880" t="s">
        <v>40209</v>
      </c>
    </row>
    <row r="270" spans="1:4" ht="13.5" x14ac:dyDescent="0.25">
      <c r="A270" s="878" t="s">
        <v>3499</v>
      </c>
      <c r="B270" s="878" t="s">
        <v>3500</v>
      </c>
      <c r="C270" s="879" t="s">
        <v>226</v>
      </c>
      <c r="D270" s="880" t="s">
        <v>31065</v>
      </c>
    </row>
    <row r="271" spans="1:4" ht="13.5" x14ac:dyDescent="0.25">
      <c r="A271" s="878" t="s">
        <v>3501</v>
      </c>
      <c r="B271" s="878" t="s">
        <v>3502</v>
      </c>
      <c r="C271" s="879" t="s">
        <v>226</v>
      </c>
      <c r="D271" s="880" t="s">
        <v>40210</v>
      </c>
    </row>
    <row r="272" spans="1:4" ht="13.5" x14ac:dyDescent="0.25">
      <c r="A272" s="878" t="s">
        <v>3503</v>
      </c>
      <c r="B272" s="878" t="s">
        <v>3504</v>
      </c>
      <c r="C272" s="879" t="s">
        <v>226</v>
      </c>
      <c r="D272" s="880" t="s">
        <v>40211</v>
      </c>
    </row>
    <row r="273" spans="1:4" ht="13.5" x14ac:dyDescent="0.25">
      <c r="A273" s="878" t="s">
        <v>3505</v>
      </c>
      <c r="B273" s="878" t="s">
        <v>3506</v>
      </c>
      <c r="C273" s="879" t="s">
        <v>226</v>
      </c>
      <c r="D273" s="880" t="s">
        <v>40212</v>
      </c>
    </row>
    <row r="274" spans="1:4" ht="13.5" x14ac:dyDescent="0.25">
      <c r="A274" s="878" t="s">
        <v>3507</v>
      </c>
      <c r="B274" s="878" t="s">
        <v>3508</v>
      </c>
      <c r="C274" s="879" t="s">
        <v>158</v>
      </c>
      <c r="D274" s="880" t="s">
        <v>14532</v>
      </c>
    </row>
    <row r="275" spans="1:4" ht="13.5" x14ac:dyDescent="0.25">
      <c r="A275" s="878" t="s">
        <v>3510</v>
      </c>
      <c r="B275" s="878" t="s">
        <v>3511</v>
      </c>
      <c r="C275" s="879" t="s">
        <v>158</v>
      </c>
      <c r="D275" s="880" t="s">
        <v>8578</v>
      </c>
    </row>
    <row r="276" spans="1:4" ht="13.5" x14ac:dyDescent="0.25">
      <c r="A276" s="878" t="s">
        <v>3512</v>
      </c>
      <c r="B276" s="878" t="s">
        <v>3513</v>
      </c>
      <c r="C276" s="879" t="s">
        <v>158</v>
      </c>
      <c r="D276" s="880" t="s">
        <v>30218</v>
      </c>
    </row>
    <row r="277" spans="1:4" ht="13.5" x14ac:dyDescent="0.25">
      <c r="A277" s="878" t="s">
        <v>3514</v>
      </c>
      <c r="B277" s="878" t="s">
        <v>3515</v>
      </c>
      <c r="C277" s="879" t="s">
        <v>158</v>
      </c>
      <c r="D277" s="881" t="s">
        <v>30219</v>
      </c>
    </row>
    <row r="278" spans="1:4" ht="13.5" x14ac:dyDescent="0.25">
      <c r="A278" s="878" t="s">
        <v>3516</v>
      </c>
      <c r="B278" s="878" t="s">
        <v>3517</v>
      </c>
      <c r="C278" s="879" t="s">
        <v>158</v>
      </c>
      <c r="D278" s="880" t="s">
        <v>30220</v>
      </c>
    </row>
    <row r="279" spans="1:4" ht="13.5" x14ac:dyDescent="0.25">
      <c r="A279" s="878" t="s">
        <v>3518</v>
      </c>
      <c r="B279" s="878" t="s">
        <v>3519</v>
      </c>
      <c r="C279" s="879" t="s">
        <v>158</v>
      </c>
      <c r="D279" s="881" t="s">
        <v>40213</v>
      </c>
    </row>
    <row r="280" spans="1:4" ht="13.5" x14ac:dyDescent="0.25">
      <c r="A280" s="878" t="s">
        <v>3520</v>
      </c>
      <c r="B280" s="878" t="s">
        <v>3521</v>
      </c>
      <c r="C280" s="879" t="s">
        <v>158</v>
      </c>
      <c r="D280" s="881" t="s">
        <v>40214</v>
      </c>
    </row>
    <row r="281" spans="1:4" ht="13.5" x14ac:dyDescent="0.25">
      <c r="A281" s="878" t="s">
        <v>3522</v>
      </c>
      <c r="B281" s="878" t="s">
        <v>3523</v>
      </c>
      <c r="C281" s="879" t="s">
        <v>158</v>
      </c>
      <c r="D281" s="881" t="s">
        <v>40215</v>
      </c>
    </row>
    <row r="282" spans="1:4" ht="13.5" x14ac:dyDescent="0.25">
      <c r="A282" s="878" t="s">
        <v>3524</v>
      </c>
      <c r="B282" s="878" t="s">
        <v>3525</v>
      </c>
      <c r="C282" s="879" t="s">
        <v>158</v>
      </c>
      <c r="D282" s="881" t="s">
        <v>40216</v>
      </c>
    </row>
    <row r="283" spans="1:4" ht="13.5" x14ac:dyDescent="0.25">
      <c r="A283" s="878" t="s">
        <v>3526</v>
      </c>
      <c r="B283" s="878" t="s">
        <v>3527</v>
      </c>
      <c r="C283" s="879" t="s">
        <v>158</v>
      </c>
      <c r="D283" s="881" t="s">
        <v>40217</v>
      </c>
    </row>
    <row r="284" spans="1:4" ht="13.5" x14ac:dyDescent="0.25">
      <c r="A284" s="878" t="s">
        <v>3528</v>
      </c>
      <c r="B284" s="878" t="s">
        <v>3529</v>
      </c>
      <c r="C284" s="879" t="s">
        <v>158</v>
      </c>
      <c r="D284" s="881" t="s">
        <v>40218</v>
      </c>
    </row>
    <row r="285" spans="1:4" ht="13.5" x14ac:dyDescent="0.25">
      <c r="A285" s="878" t="s">
        <v>3530</v>
      </c>
      <c r="B285" s="878" t="s">
        <v>3531</v>
      </c>
      <c r="C285" s="879" t="s">
        <v>158</v>
      </c>
      <c r="D285" s="881" t="s">
        <v>40219</v>
      </c>
    </row>
    <row r="286" spans="1:4" ht="13.5" x14ac:dyDescent="0.25">
      <c r="A286" s="878" t="s">
        <v>3532</v>
      </c>
      <c r="B286" s="878" t="s">
        <v>3533</v>
      </c>
      <c r="C286" s="879" t="s">
        <v>158</v>
      </c>
      <c r="D286" s="881" t="s">
        <v>40220</v>
      </c>
    </row>
    <row r="287" spans="1:4" ht="13.5" x14ac:dyDescent="0.25">
      <c r="A287" s="878" t="s">
        <v>3534</v>
      </c>
      <c r="B287" s="878" t="s">
        <v>3535</v>
      </c>
      <c r="C287" s="879" t="s">
        <v>158</v>
      </c>
      <c r="D287" s="881" t="s">
        <v>40221</v>
      </c>
    </row>
    <row r="288" spans="1:4" ht="13.5" x14ac:dyDescent="0.25">
      <c r="A288" s="878" t="s">
        <v>3536</v>
      </c>
      <c r="B288" s="878" t="s">
        <v>3537</v>
      </c>
      <c r="C288" s="879" t="s">
        <v>158</v>
      </c>
      <c r="D288" s="881" t="s">
        <v>40222</v>
      </c>
    </row>
    <row r="289" spans="1:4" ht="13.5" x14ac:dyDescent="0.25">
      <c r="A289" s="878" t="s">
        <v>3538</v>
      </c>
      <c r="B289" s="878" t="s">
        <v>3539</v>
      </c>
      <c r="C289" s="879" t="s">
        <v>226</v>
      </c>
      <c r="D289" s="880" t="s">
        <v>4728</v>
      </c>
    </row>
    <row r="290" spans="1:4" ht="13.5" x14ac:dyDescent="0.25">
      <c r="A290" s="878" t="s">
        <v>3541</v>
      </c>
      <c r="B290" s="878" t="s">
        <v>3542</v>
      </c>
      <c r="C290" s="879" t="s">
        <v>226</v>
      </c>
      <c r="D290" s="880" t="s">
        <v>30221</v>
      </c>
    </row>
    <row r="291" spans="1:4" ht="13.5" x14ac:dyDescent="0.25">
      <c r="A291" s="878" t="s">
        <v>3543</v>
      </c>
      <c r="B291" s="878" t="s">
        <v>3544</v>
      </c>
      <c r="C291" s="879" t="s">
        <v>226</v>
      </c>
      <c r="D291" s="880" t="s">
        <v>11833</v>
      </c>
    </row>
    <row r="292" spans="1:4" ht="13.5" x14ac:dyDescent="0.25">
      <c r="A292" s="878" t="s">
        <v>3545</v>
      </c>
      <c r="B292" s="878" t="s">
        <v>3546</v>
      </c>
      <c r="C292" s="879" t="s">
        <v>226</v>
      </c>
      <c r="D292" s="880" t="s">
        <v>30222</v>
      </c>
    </row>
    <row r="293" spans="1:4" ht="13.5" x14ac:dyDescent="0.25">
      <c r="A293" s="878" t="s">
        <v>3547</v>
      </c>
      <c r="B293" s="878" t="s">
        <v>3548</v>
      </c>
      <c r="C293" s="879" t="s">
        <v>226</v>
      </c>
      <c r="D293" s="880" t="s">
        <v>30223</v>
      </c>
    </row>
    <row r="294" spans="1:4" ht="13.5" x14ac:dyDescent="0.25">
      <c r="A294" s="878" t="s">
        <v>3549</v>
      </c>
      <c r="B294" s="878" t="s">
        <v>3550</v>
      </c>
      <c r="C294" s="879" t="s">
        <v>226</v>
      </c>
      <c r="D294" s="880" t="s">
        <v>30224</v>
      </c>
    </row>
    <row r="295" spans="1:4" ht="13.5" x14ac:dyDescent="0.25">
      <c r="A295" s="878" t="s">
        <v>3551</v>
      </c>
      <c r="B295" s="878" t="s">
        <v>3552</v>
      </c>
      <c r="C295" s="879" t="s">
        <v>226</v>
      </c>
      <c r="D295" s="880" t="s">
        <v>30225</v>
      </c>
    </row>
    <row r="296" spans="1:4" ht="13.5" x14ac:dyDescent="0.25">
      <c r="A296" s="878" t="s">
        <v>3553</v>
      </c>
      <c r="B296" s="878" t="s">
        <v>3554</v>
      </c>
      <c r="C296" s="879" t="s">
        <v>226</v>
      </c>
      <c r="D296" s="880" t="s">
        <v>30226</v>
      </c>
    </row>
    <row r="297" spans="1:4" ht="13.5" x14ac:dyDescent="0.25">
      <c r="A297" s="878" t="s">
        <v>3555</v>
      </c>
      <c r="B297" s="878" t="s">
        <v>3556</v>
      </c>
      <c r="C297" s="879" t="s">
        <v>226</v>
      </c>
      <c r="D297" s="880" t="s">
        <v>30227</v>
      </c>
    </row>
    <row r="298" spans="1:4" ht="13.5" x14ac:dyDescent="0.25">
      <c r="A298" s="878" t="s">
        <v>3557</v>
      </c>
      <c r="B298" s="878" t="s">
        <v>3558</v>
      </c>
      <c r="C298" s="879" t="s">
        <v>226</v>
      </c>
      <c r="D298" s="880" t="s">
        <v>30228</v>
      </c>
    </row>
    <row r="299" spans="1:4" ht="13.5" x14ac:dyDescent="0.25">
      <c r="A299" s="878" t="s">
        <v>3559</v>
      </c>
      <c r="B299" s="878" t="s">
        <v>3560</v>
      </c>
      <c r="C299" s="879" t="s">
        <v>226</v>
      </c>
      <c r="D299" s="880" t="s">
        <v>30229</v>
      </c>
    </row>
    <row r="300" spans="1:4" ht="13.5" x14ac:dyDescent="0.25">
      <c r="A300" s="878" t="s">
        <v>3561</v>
      </c>
      <c r="B300" s="878" t="s">
        <v>3562</v>
      </c>
      <c r="C300" s="879" t="s">
        <v>226</v>
      </c>
      <c r="D300" s="880" t="s">
        <v>30230</v>
      </c>
    </row>
    <row r="301" spans="1:4" ht="13.5" x14ac:dyDescent="0.25">
      <c r="A301" s="878" t="s">
        <v>3564</v>
      </c>
      <c r="B301" s="878" t="s">
        <v>3565</v>
      </c>
      <c r="C301" s="879" t="s">
        <v>226</v>
      </c>
      <c r="D301" s="880" t="s">
        <v>30231</v>
      </c>
    </row>
    <row r="302" spans="1:4" ht="13.5" x14ac:dyDescent="0.25">
      <c r="A302" s="878" t="s">
        <v>3566</v>
      </c>
      <c r="B302" s="878" t="s">
        <v>3567</v>
      </c>
      <c r="C302" s="879" t="s">
        <v>226</v>
      </c>
      <c r="D302" s="880" t="s">
        <v>30232</v>
      </c>
    </row>
    <row r="303" spans="1:4" ht="13.5" x14ac:dyDescent="0.25">
      <c r="A303" s="878" t="s">
        <v>3568</v>
      </c>
      <c r="B303" s="878" t="s">
        <v>3569</v>
      </c>
      <c r="C303" s="879" t="s">
        <v>226</v>
      </c>
      <c r="D303" s="880" t="s">
        <v>4830</v>
      </c>
    </row>
    <row r="304" spans="1:4" ht="13.5" x14ac:dyDescent="0.25">
      <c r="A304" s="878" t="s">
        <v>3571</v>
      </c>
      <c r="B304" s="878" t="s">
        <v>3572</v>
      </c>
      <c r="C304" s="879" t="s">
        <v>226</v>
      </c>
      <c r="D304" s="880" t="s">
        <v>30176</v>
      </c>
    </row>
    <row r="305" spans="1:4" ht="13.5" x14ac:dyDescent="0.25">
      <c r="A305" s="878" t="s">
        <v>3573</v>
      </c>
      <c r="B305" s="878" t="s">
        <v>3574</v>
      </c>
      <c r="C305" s="879" t="s">
        <v>226</v>
      </c>
      <c r="D305" s="880" t="s">
        <v>30233</v>
      </c>
    </row>
    <row r="306" spans="1:4" ht="13.5" x14ac:dyDescent="0.25">
      <c r="A306" s="878" t="s">
        <v>3575</v>
      </c>
      <c r="B306" s="878" t="s">
        <v>3576</v>
      </c>
      <c r="C306" s="879" t="s">
        <v>226</v>
      </c>
      <c r="D306" s="880" t="s">
        <v>30225</v>
      </c>
    </row>
    <row r="307" spans="1:4" ht="13.5" x14ac:dyDescent="0.25">
      <c r="A307" s="878" t="s">
        <v>3577</v>
      </c>
      <c r="B307" s="878" t="s">
        <v>3578</v>
      </c>
      <c r="C307" s="879" t="s">
        <v>226</v>
      </c>
      <c r="D307" s="880" t="s">
        <v>30234</v>
      </c>
    </row>
    <row r="308" spans="1:4" ht="13.5" x14ac:dyDescent="0.25">
      <c r="A308" s="878" t="s">
        <v>3579</v>
      </c>
      <c r="B308" s="878" t="s">
        <v>3580</v>
      </c>
      <c r="C308" s="879" t="s">
        <v>226</v>
      </c>
      <c r="D308" s="880" t="s">
        <v>30184</v>
      </c>
    </row>
    <row r="309" spans="1:4" ht="13.5" x14ac:dyDescent="0.25">
      <c r="A309" s="878" t="s">
        <v>3581</v>
      </c>
      <c r="B309" s="878" t="s">
        <v>3582</v>
      </c>
      <c r="C309" s="879" t="s">
        <v>226</v>
      </c>
      <c r="D309" s="880" t="s">
        <v>30235</v>
      </c>
    </row>
    <row r="310" spans="1:4" ht="13.5" x14ac:dyDescent="0.25">
      <c r="A310" s="878" t="s">
        <v>3583</v>
      </c>
      <c r="B310" s="878" t="s">
        <v>3584</v>
      </c>
      <c r="C310" s="879" t="s">
        <v>226</v>
      </c>
      <c r="D310" s="880" t="s">
        <v>30232</v>
      </c>
    </row>
    <row r="311" spans="1:4" ht="13.5" x14ac:dyDescent="0.25">
      <c r="A311" s="878" t="s">
        <v>3585</v>
      </c>
      <c r="B311" s="878" t="s">
        <v>3586</v>
      </c>
      <c r="C311" s="879" t="s">
        <v>226</v>
      </c>
      <c r="D311" s="880" t="s">
        <v>30236</v>
      </c>
    </row>
    <row r="312" spans="1:4" ht="13.5" x14ac:dyDescent="0.25">
      <c r="A312" s="878" t="s">
        <v>3587</v>
      </c>
      <c r="B312" s="878" t="s">
        <v>3588</v>
      </c>
      <c r="C312" s="879" t="s">
        <v>226</v>
      </c>
      <c r="D312" s="880" t="s">
        <v>30237</v>
      </c>
    </row>
    <row r="313" spans="1:4" ht="13.5" x14ac:dyDescent="0.25">
      <c r="A313" s="878" t="s">
        <v>3589</v>
      </c>
      <c r="B313" s="878" t="s">
        <v>3590</v>
      </c>
      <c r="C313" s="879" t="s">
        <v>226</v>
      </c>
      <c r="D313" s="880" t="s">
        <v>14820</v>
      </c>
    </row>
    <row r="314" spans="1:4" ht="13.5" x14ac:dyDescent="0.25">
      <c r="A314" s="878" t="s">
        <v>3591</v>
      </c>
      <c r="B314" s="878" t="s">
        <v>3592</v>
      </c>
      <c r="C314" s="879" t="s">
        <v>226</v>
      </c>
      <c r="D314" s="880" t="s">
        <v>30238</v>
      </c>
    </row>
    <row r="315" spans="1:4" ht="13.5" x14ac:dyDescent="0.25">
      <c r="A315" s="878" t="s">
        <v>3593</v>
      </c>
      <c r="B315" s="878" t="s">
        <v>3594</v>
      </c>
      <c r="C315" s="879" t="s">
        <v>226</v>
      </c>
      <c r="D315" s="880" t="s">
        <v>30239</v>
      </c>
    </row>
    <row r="316" spans="1:4" ht="13.5" x14ac:dyDescent="0.25">
      <c r="A316" s="878" t="s">
        <v>3595</v>
      </c>
      <c r="B316" s="878" t="s">
        <v>3596</v>
      </c>
      <c r="C316" s="879" t="s">
        <v>226</v>
      </c>
      <c r="D316" s="880" t="s">
        <v>5958</v>
      </c>
    </row>
    <row r="317" spans="1:4" ht="13.5" x14ac:dyDescent="0.25">
      <c r="A317" s="878" t="s">
        <v>3597</v>
      </c>
      <c r="B317" s="878" t="s">
        <v>3598</v>
      </c>
      <c r="C317" s="879" t="s">
        <v>226</v>
      </c>
      <c r="D317" s="880" t="s">
        <v>30240</v>
      </c>
    </row>
    <row r="318" spans="1:4" ht="13.5" x14ac:dyDescent="0.25">
      <c r="A318" s="878" t="s">
        <v>3599</v>
      </c>
      <c r="B318" s="878" t="s">
        <v>3600</v>
      </c>
      <c r="C318" s="879" t="s">
        <v>226</v>
      </c>
      <c r="D318" s="880" t="s">
        <v>30241</v>
      </c>
    </row>
    <row r="319" spans="1:4" ht="13.5" x14ac:dyDescent="0.25">
      <c r="A319" s="878" t="s">
        <v>3601</v>
      </c>
      <c r="B319" s="878" t="s">
        <v>3602</v>
      </c>
      <c r="C319" s="879" t="s">
        <v>226</v>
      </c>
      <c r="D319" s="880" t="s">
        <v>30242</v>
      </c>
    </row>
    <row r="320" spans="1:4" ht="13.5" x14ac:dyDescent="0.25">
      <c r="A320" s="878" t="s">
        <v>3603</v>
      </c>
      <c r="B320" s="878" t="s">
        <v>3604</v>
      </c>
      <c r="C320" s="879" t="s">
        <v>226</v>
      </c>
      <c r="D320" s="880" t="s">
        <v>30243</v>
      </c>
    </row>
    <row r="321" spans="1:4" ht="13.5" x14ac:dyDescent="0.25">
      <c r="A321" s="878" t="s">
        <v>3605</v>
      </c>
      <c r="B321" s="878" t="s">
        <v>3606</v>
      </c>
      <c r="C321" s="879" t="s">
        <v>226</v>
      </c>
      <c r="D321" s="881" t="s">
        <v>30244</v>
      </c>
    </row>
    <row r="322" spans="1:4" ht="13.5" x14ac:dyDescent="0.25">
      <c r="A322" s="878" t="s">
        <v>3607</v>
      </c>
      <c r="B322" s="878" t="s">
        <v>3608</v>
      </c>
      <c r="C322" s="879" t="s">
        <v>226</v>
      </c>
      <c r="D322" s="880" t="s">
        <v>30245</v>
      </c>
    </row>
    <row r="323" spans="1:4" ht="13.5" x14ac:dyDescent="0.25">
      <c r="A323" s="878" t="s">
        <v>3609</v>
      </c>
      <c r="B323" s="878" t="s">
        <v>3610</v>
      </c>
      <c r="C323" s="879" t="s">
        <v>226</v>
      </c>
      <c r="D323" s="880" t="s">
        <v>30246</v>
      </c>
    </row>
    <row r="324" spans="1:4" ht="13.5" x14ac:dyDescent="0.25">
      <c r="A324" s="878" t="s">
        <v>3611</v>
      </c>
      <c r="B324" s="878" t="s">
        <v>3612</v>
      </c>
      <c r="C324" s="879" t="s">
        <v>226</v>
      </c>
      <c r="D324" s="881" t="s">
        <v>30247</v>
      </c>
    </row>
    <row r="325" spans="1:4" ht="13.5" x14ac:dyDescent="0.25">
      <c r="A325" s="878" t="s">
        <v>3613</v>
      </c>
      <c r="B325" s="878" t="s">
        <v>3614</v>
      </c>
      <c r="C325" s="879" t="s">
        <v>226</v>
      </c>
      <c r="D325" s="880" t="s">
        <v>30248</v>
      </c>
    </row>
    <row r="326" spans="1:4" ht="13.5" x14ac:dyDescent="0.25">
      <c r="A326" s="878" t="s">
        <v>3616</v>
      </c>
      <c r="B326" s="878" t="s">
        <v>3617</v>
      </c>
      <c r="C326" s="879" t="s">
        <v>226</v>
      </c>
      <c r="D326" s="880" t="s">
        <v>16810</v>
      </c>
    </row>
    <row r="327" spans="1:4" ht="13.5" x14ac:dyDescent="0.25">
      <c r="A327" s="878" t="s">
        <v>3618</v>
      </c>
      <c r="B327" s="878" t="s">
        <v>3619</v>
      </c>
      <c r="C327" s="879" t="s">
        <v>226</v>
      </c>
      <c r="D327" s="880" t="s">
        <v>15886</v>
      </c>
    </row>
    <row r="328" spans="1:4" ht="13.5" x14ac:dyDescent="0.25">
      <c r="A328" s="878" t="s">
        <v>3620</v>
      </c>
      <c r="B328" s="878" t="s">
        <v>3621</v>
      </c>
      <c r="C328" s="879" t="s">
        <v>226</v>
      </c>
      <c r="D328" s="881" t="s">
        <v>30249</v>
      </c>
    </row>
    <row r="329" spans="1:4" ht="13.5" x14ac:dyDescent="0.25">
      <c r="A329" s="878" t="s">
        <v>3622</v>
      </c>
      <c r="B329" s="878" t="s">
        <v>3623</v>
      </c>
      <c r="C329" s="879" t="s">
        <v>226</v>
      </c>
      <c r="D329" s="880" t="s">
        <v>30250</v>
      </c>
    </row>
    <row r="330" spans="1:4" ht="13.5" x14ac:dyDescent="0.25">
      <c r="A330" s="878" t="s">
        <v>3624</v>
      </c>
      <c r="B330" s="878" t="s">
        <v>3625</v>
      </c>
      <c r="C330" s="879" t="s">
        <v>226</v>
      </c>
      <c r="D330" s="880" t="s">
        <v>30250</v>
      </c>
    </row>
    <row r="331" spans="1:4" ht="13.5" x14ac:dyDescent="0.25">
      <c r="A331" s="878" t="s">
        <v>3626</v>
      </c>
      <c r="B331" s="878" t="s">
        <v>3627</v>
      </c>
      <c r="C331" s="879" t="s">
        <v>226</v>
      </c>
      <c r="D331" s="880" t="s">
        <v>30251</v>
      </c>
    </row>
    <row r="332" spans="1:4" ht="13.5" x14ac:dyDescent="0.25">
      <c r="A332" s="878" t="s">
        <v>3628</v>
      </c>
      <c r="B332" s="878" t="s">
        <v>3629</v>
      </c>
      <c r="C332" s="879" t="s">
        <v>226</v>
      </c>
      <c r="D332" s="880" t="s">
        <v>30252</v>
      </c>
    </row>
    <row r="333" spans="1:4" ht="13.5" x14ac:dyDescent="0.25">
      <c r="A333" s="878" t="s">
        <v>3630</v>
      </c>
      <c r="B333" s="878" t="s">
        <v>3631</v>
      </c>
      <c r="C333" s="879" t="s">
        <v>226</v>
      </c>
      <c r="D333" s="880" t="s">
        <v>30253</v>
      </c>
    </row>
    <row r="334" spans="1:4" ht="13.5" x14ac:dyDescent="0.25">
      <c r="A334" s="878" t="s">
        <v>3632</v>
      </c>
      <c r="B334" s="878" t="s">
        <v>3633</v>
      </c>
      <c r="C334" s="879" t="s">
        <v>226</v>
      </c>
      <c r="D334" s="880" t="s">
        <v>30254</v>
      </c>
    </row>
    <row r="335" spans="1:4" ht="13.5" x14ac:dyDescent="0.25">
      <c r="A335" s="878" t="s">
        <v>3634</v>
      </c>
      <c r="B335" s="878" t="s">
        <v>3635</v>
      </c>
      <c r="C335" s="879" t="s">
        <v>227</v>
      </c>
      <c r="D335" s="881" t="s">
        <v>40223</v>
      </c>
    </row>
    <row r="336" spans="1:4" ht="13.5" x14ac:dyDescent="0.25">
      <c r="A336" s="878" t="s">
        <v>3636</v>
      </c>
      <c r="B336" s="878" t="s">
        <v>3637</v>
      </c>
      <c r="C336" s="879" t="s">
        <v>227</v>
      </c>
      <c r="D336" s="881" t="s">
        <v>40224</v>
      </c>
    </row>
    <row r="337" spans="1:4" ht="13.5" x14ac:dyDescent="0.25">
      <c r="A337" s="878" t="s">
        <v>3638</v>
      </c>
      <c r="B337" s="878" t="s">
        <v>3639</v>
      </c>
      <c r="C337" s="879" t="s">
        <v>227</v>
      </c>
      <c r="D337" s="880" t="s">
        <v>40225</v>
      </c>
    </row>
    <row r="338" spans="1:4" ht="13.5" x14ac:dyDescent="0.25">
      <c r="A338" s="878" t="s">
        <v>3640</v>
      </c>
      <c r="B338" s="878" t="s">
        <v>3641</v>
      </c>
      <c r="C338" s="879" t="s">
        <v>227</v>
      </c>
      <c r="D338" s="880" t="s">
        <v>31146</v>
      </c>
    </row>
    <row r="339" spans="1:4" ht="13.5" x14ac:dyDescent="0.25">
      <c r="A339" s="878" t="s">
        <v>3642</v>
      </c>
      <c r="B339" s="878" t="s">
        <v>3643</v>
      </c>
      <c r="C339" s="879" t="s">
        <v>227</v>
      </c>
      <c r="D339" s="880" t="s">
        <v>40226</v>
      </c>
    </row>
    <row r="340" spans="1:4" ht="13.5" x14ac:dyDescent="0.25">
      <c r="A340" s="878" t="s">
        <v>3644</v>
      </c>
      <c r="B340" s="878" t="s">
        <v>3645</v>
      </c>
      <c r="C340" s="879" t="s">
        <v>227</v>
      </c>
      <c r="D340" s="880" t="s">
        <v>40227</v>
      </c>
    </row>
    <row r="341" spans="1:4" ht="13.5" x14ac:dyDescent="0.25">
      <c r="A341" s="878" t="s">
        <v>3646</v>
      </c>
      <c r="B341" s="878" t="s">
        <v>3647</v>
      </c>
      <c r="C341" s="879" t="s">
        <v>227</v>
      </c>
      <c r="D341" s="880" t="s">
        <v>40228</v>
      </c>
    </row>
    <row r="342" spans="1:4" ht="13.5" x14ac:dyDescent="0.25">
      <c r="A342" s="878" t="s">
        <v>3648</v>
      </c>
      <c r="B342" s="878" t="s">
        <v>3649</v>
      </c>
      <c r="C342" s="879" t="s">
        <v>227</v>
      </c>
      <c r="D342" s="880" t="s">
        <v>40229</v>
      </c>
    </row>
    <row r="343" spans="1:4" ht="13.5" x14ac:dyDescent="0.25">
      <c r="A343" s="878" t="s">
        <v>3650</v>
      </c>
      <c r="B343" s="878" t="s">
        <v>3651</v>
      </c>
      <c r="C343" s="879" t="s">
        <v>226</v>
      </c>
      <c r="D343" s="881" t="s">
        <v>40230</v>
      </c>
    </row>
    <row r="344" spans="1:4" ht="13.5" x14ac:dyDescent="0.25">
      <c r="A344" s="878" t="s">
        <v>3652</v>
      </c>
      <c r="B344" s="878" t="s">
        <v>3653</v>
      </c>
      <c r="C344" s="879" t="s">
        <v>226</v>
      </c>
      <c r="D344" s="881" t="s">
        <v>40231</v>
      </c>
    </row>
    <row r="345" spans="1:4" ht="13.5" x14ac:dyDescent="0.25">
      <c r="A345" s="878" t="s">
        <v>3654</v>
      </c>
      <c r="B345" s="878" t="s">
        <v>3655</v>
      </c>
      <c r="C345" s="879" t="s">
        <v>227</v>
      </c>
      <c r="D345" s="880" t="s">
        <v>40232</v>
      </c>
    </row>
    <row r="346" spans="1:4" ht="13.5" x14ac:dyDescent="0.25">
      <c r="A346" s="878" t="s">
        <v>3656</v>
      </c>
      <c r="B346" s="878" t="s">
        <v>3657</v>
      </c>
      <c r="C346" s="879" t="s">
        <v>227</v>
      </c>
      <c r="D346" s="880" t="s">
        <v>40233</v>
      </c>
    </row>
    <row r="347" spans="1:4" ht="13.5" x14ac:dyDescent="0.25">
      <c r="A347" s="878" t="s">
        <v>3658</v>
      </c>
      <c r="B347" s="878" t="s">
        <v>3659</v>
      </c>
      <c r="C347" s="879" t="s">
        <v>227</v>
      </c>
      <c r="D347" s="880" t="s">
        <v>40234</v>
      </c>
    </row>
    <row r="348" spans="1:4" ht="13.5" x14ac:dyDescent="0.25">
      <c r="A348" s="878" t="s">
        <v>3660</v>
      </c>
      <c r="B348" s="878" t="s">
        <v>3661</v>
      </c>
      <c r="C348" s="879" t="s">
        <v>227</v>
      </c>
      <c r="D348" s="881" t="s">
        <v>40235</v>
      </c>
    </row>
    <row r="349" spans="1:4" ht="13.5" x14ac:dyDescent="0.25">
      <c r="A349" s="878" t="s">
        <v>3662</v>
      </c>
      <c r="B349" s="878" t="s">
        <v>3663</v>
      </c>
      <c r="C349" s="879" t="s">
        <v>227</v>
      </c>
      <c r="D349" s="880" t="s">
        <v>40236</v>
      </c>
    </row>
    <row r="350" spans="1:4" ht="13.5" x14ac:dyDescent="0.25">
      <c r="A350" s="878" t="s">
        <v>3664</v>
      </c>
      <c r="B350" s="878" t="s">
        <v>3665</v>
      </c>
      <c r="C350" s="879" t="s">
        <v>227</v>
      </c>
      <c r="D350" s="880" t="s">
        <v>40237</v>
      </c>
    </row>
    <row r="351" spans="1:4" ht="13.5" x14ac:dyDescent="0.25">
      <c r="A351" s="878" t="s">
        <v>3666</v>
      </c>
      <c r="B351" s="878" t="s">
        <v>3667</v>
      </c>
      <c r="C351" s="879" t="s">
        <v>227</v>
      </c>
      <c r="D351" s="880" t="s">
        <v>40238</v>
      </c>
    </row>
    <row r="352" spans="1:4" ht="13.5" x14ac:dyDescent="0.25">
      <c r="A352" s="878" t="s">
        <v>3668</v>
      </c>
      <c r="B352" s="878" t="s">
        <v>3669</v>
      </c>
      <c r="C352" s="879" t="s">
        <v>227</v>
      </c>
      <c r="D352" s="880" t="s">
        <v>40239</v>
      </c>
    </row>
    <row r="353" spans="1:4" ht="13.5" x14ac:dyDescent="0.25">
      <c r="A353" s="878" t="s">
        <v>3670</v>
      </c>
      <c r="B353" s="878" t="s">
        <v>3671</v>
      </c>
      <c r="C353" s="879" t="s">
        <v>227</v>
      </c>
      <c r="D353" s="880" t="s">
        <v>40240</v>
      </c>
    </row>
    <row r="354" spans="1:4" ht="13.5" x14ac:dyDescent="0.25">
      <c r="A354" s="878" t="s">
        <v>3672</v>
      </c>
      <c r="B354" s="878" t="s">
        <v>3673</v>
      </c>
      <c r="C354" s="879" t="s">
        <v>227</v>
      </c>
      <c r="D354" s="880" t="s">
        <v>40241</v>
      </c>
    </row>
    <row r="355" spans="1:4" ht="13.5" x14ac:dyDescent="0.25">
      <c r="A355" s="878" t="s">
        <v>3674</v>
      </c>
      <c r="B355" s="878" t="s">
        <v>3675</v>
      </c>
      <c r="C355" s="879" t="s">
        <v>227</v>
      </c>
      <c r="D355" s="880" t="s">
        <v>40242</v>
      </c>
    </row>
    <row r="356" spans="1:4" ht="13.5" x14ac:dyDescent="0.25">
      <c r="A356" s="878" t="s">
        <v>3676</v>
      </c>
      <c r="B356" s="878" t="s">
        <v>3677</v>
      </c>
      <c r="C356" s="879" t="s">
        <v>227</v>
      </c>
      <c r="D356" s="880" t="s">
        <v>40243</v>
      </c>
    </row>
    <row r="357" spans="1:4" ht="13.5" x14ac:dyDescent="0.25">
      <c r="A357" s="878" t="s">
        <v>3678</v>
      </c>
      <c r="B357" s="878" t="s">
        <v>3679</v>
      </c>
      <c r="C357" s="879" t="s">
        <v>227</v>
      </c>
      <c r="D357" s="880" t="s">
        <v>30543</v>
      </c>
    </row>
    <row r="358" spans="1:4" ht="13.5" x14ac:dyDescent="0.25">
      <c r="A358" s="878" t="s">
        <v>3680</v>
      </c>
      <c r="B358" s="878" t="s">
        <v>3681</v>
      </c>
      <c r="C358" s="879" t="s">
        <v>227</v>
      </c>
      <c r="D358" s="880" t="s">
        <v>40244</v>
      </c>
    </row>
    <row r="359" spans="1:4" ht="13.5" x14ac:dyDescent="0.25">
      <c r="A359" s="878" t="s">
        <v>3682</v>
      </c>
      <c r="B359" s="878" t="s">
        <v>3683</v>
      </c>
      <c r="C359" s="879" t="s">
        <v>227</v>
      </c>
      <c r="D359" s="880" t="s">
        <v>40245</v>
      </c>
    </row>
    <row r="360" spans="1:4" ht="13.5" x14ac:dyDescent="0.25">
      <c r="A360" s="878" t="s">
        <v>3684</v>
      </c>
      <c r="B360" s="878" t="s">
        <v>3685</v>
      </c>
      <c r="C360" s="879" t="s">
        <v>227</v>
      </c>
      <c r="D360" s="880" t="s">
        <v>40246</v>
      </c>
    </row>
    <row r="361" spans="1:4" ht="13.5" x14ac:dyDescent="0.25">
      <c r="A361" s="878" t="s">
        <v>3686</v>
      </c>
      <c r="B361" s="878" t="s">
        <v>3687</v>
      </c>
      <c r="C361" s="879" t="s">
        <v>227</v>
      </c>
      <c r="D361" s="880" t="s">
        <v>40247</v>
      </c>
    </row>
    <row r="362" spans="1:4" ht="13.5" x14ac:dyDescent="0.25">
      <c r="A362" s="878" t="s">
        <v>3688</v>
      </c>
      <c r="B362" s="878" t="s">
        <v>3689</v>
      </c>
      <c r="C362" s="879" t="s">
        <v>227</v>
      </c>
      <c r="D362" s="880" t="s">
        <v>40248</v>
      </c>
    </row>
    <row r="363" spans="1:4" ht="13.5" x14ac:dyDescent="0.25">
      <c r="A363" s="878" t="s">
        <v>3690</v>
      </c>
      <c r="B363" s="878" t="s">
        <v>3691</v>
      </c>
      <c r="C363" s="879" t="s">
        <v>227</v>
      </c>
      <c r="D363" s="880" t="s">
        <v>40249</v>
      </c>
    </row>
    <row r="364" spans="1:4" ht="13.5" x14ac:dyDescent="0.25">
      <c r="A364" s="878" t="s">
        <v>3692</v>
      </c>
      <c r="B364" s="878" t="s">
        <v>3693</v>
      </c>
      <c r="C364" s="879" t="s">
        <v>227</v>
      </c>
      <c r="D364" s="880" t="s">
        <v>40250</v>
      </c>
    </row>
    <row r="365" spans="1:4" ht="13.5" x14ac:dyDescent="0.25">
      <c r="A365" s="878" t="s">
        <v>3694</v>
      </c>
      <c r="B365" s="878" t="s">
        <v>3695</v>
      </c>
      <c r="C365" s="879" t="s">
        <v>227</v>
      </c>
      <c r="D365" s="880" t="s">
        <v>40251</v>
      </c>
    </row>
    <row r="366" spans="1:4" ht="13.5" x14ac:dyDescent="0.25">
      <c r="A366" s="878" t="s">
        <v>3696</v>
      </c>
      <c r="B366" s="878" t="s">
        <v>3697</v>
      </c>
      <c r="C366" s="879" t="s">
        <v>227</v>
      </c>
      <c r="D366" s="880" t="s">
        <v>30256</v>
      </c>
    </row>
    <row r="367" spans="1:4" ht="13.5" x14ac:dyDescent="0.25">
      <c r="A367" s="878" t="s">
        <v>3698</v>
      </c>
      <c r="B367" s="878" t="s">
        <v>3699</v>
      </c>
      <c r="C367" s="879" t="s">
        <v>227</v>
      </c>
      <c r="D367" s="880" t="s">
        <v>40252</v>
      </c>
    </row>
    <row r="368" spans="1:4" ht="13.5" x14ac:dyDescent="0.25">
      <c r="A368" s="878" t="s">
        <v>3700</v>
      </c>
      <c r="B368" s="878" t="s">
        <v>3701</v>
      </c>
      <c r="C368" s="879" t="s">
        <v>226</v>
      </c>
      <c r="D368" s="881" t="s">
        <v>40253</v>
      </c>
    </row>
    <row r="369" spans="1:4" ht="13.5" x14ac:dyDescent="0.25">
      <c r="A369" s="878" t="s">
        <v>3702</v>
      </c>
      <c r="B369" s="878" t="s">
        <v>3703</v>
      </c>
      <c r="C369" s="879" t="s">
        <v>226</v>
      </c>
      <c r="D369" s="881" t="s">
        <v>40254</v>
      </c>
    </row>
    <row r="370" spans="1:4" ht="13.5" x14ac:dyDescent="0.25">
      <c r="A370" s="878" t="s">
        <v>3704</v>
      </c>
      <c r="B370" s="878" t="s">
        <v>3705</v>
      </c>
      <c r="C370" s="879" t="s">
        <v>3706</v>
      </c>
      <c r="D370" s="880" t="s">
        <v>40255</v>
      </c>
    </row>
    <row r="371" spans="1:4" ht="13.5" x14ac:dyDescent="0.25">
      <c r="A371" s="878" t="s">
        <v>3707</v>
      </c>
      <c r="B371" s="878" t="s">
        <v>3708</v>
      </c>
      <c r="C371" s="879" t="s">
        <v>3706</v>
      </c>
      <c r="D371" s="880" t="s">
        <v>40256</v>
      </c>
    </row>
    <row r="372" spans="1:4" ht="13.5" x14ac:dyDescent="0.25">
      <c r="A372" s="878" t="s">
        <v>3709</v>
      </c>
      <c r="B372" s="878" t="s">
        <v>3710</v>
      </c>
      <c r="C372" s="879" t="s">
        <v>3706</v>
      </c>
      <c r="D372" s="880" t="s">
        <v>40257</v>
      </c>
    </row>
    <row r="373" spans="1:4" ht="13.5" x14ac:dyDescent="0.25">
      <c r="A373" s="878" t="s">
        <v>3711</v>
      </c>
      <c r="B373" s="878" t="s">
        <v>3712</v>
      </c>
      <c r="C373" s="879" t="s">
        <v>3706</v>
      </c>
      <c r="D373" s="880" t="s">
        <v>40258</v>
      </c>
    </row>
    <row r="374" spans="1:4" ht="13.5" x14ac:dyDescent="0.25">
      <c r="A374" s="878" t="s">
        <v>3713</v>
      </c>
      <c r="B374" s="878" t="s">
        <v>3714</v>
      </c>
      <c r="C374" s="879" t="s">
        <v>3706</v>
      </c>
      <c r="D374" s="880" t="s">
        <v>9952</v>
      </c>
    </row>
    <row r="375" spans="1:4" ht="13.5" x14ac:dyDescent="0.25">
      <c r="A375" s="878" t="s">
        <v>3715</v>
      </c>
      <c r="B375" s="878" t="s">
        <v>3716</v>
      </c>
      <c r="C375" s="879" t="s">
        <v>3706</v>
      </c>
      <c r="D375" s="880" t="s">
        <v>40259</v>
      </c>
    </row>
    <row r="376" spans="1:4" ht="13.5" x14ac:dyDescent="0.25">
      <c r="A376" s="878" t="s">
        <v>3717</v>
      </c>
      <c r="B376" s="878" t="s">
        <v>3718</v>
      </c>
      <c r="C376" s="879" t="s">
        <v>3706</v>
      </c>
      <c r="D376" s="880" t="s">
        <v>40260</v>
      </c>
    </row>
    <row r="377" spans="1:4" ht="13.5" x14ac:dyDescent="0.25">
      <c r="A377" s="878" t="s">
        <v>3719</v>
      </c>
      <c r="B377" s="878" t="s">
        <v>3720</v>
      </c>
      <c r="C377" s="879" t="s">
        <v>3706</v>
      </c>
      <c r="D377" s="880" t="s">
        <v>40261</v>
      </c>
    </row>
    <row r="378" spans="1:4" ht="13.5" x14ac:dyDescent="0.25">
      <c r="A378" s="878" t="s">
        <v>3721</v>
      </c>
      <c r="B378" s="878" t="s">
        <v>3722</v>
      </c>
      <c r="C378" s="879" t="s">
        <v>3706</v>
      </c>
      <c r="D378" s="880" t="s">
        <v>40262</v>
      </c>
    </row>
    <row r="379" spans="1:4" ht="13.5" x14ac:dyDescent="0.25">
      <c r="A379" s="878" t="s">
        <v>3723</v>
      </c>
      <c r="B379" s="878" t="s">
        <v>3724</v>
      </c>
      <c r="C379" s="879" t="s">
        <v>3706</v>
      </c>
      <c r="D379" s="880" t="s">
        <v>40263</v>
      </c>
    </row>
    <row r="380" spans="1:4" ht="13.5" x14ac:dyDescent="0.25">
      <c r="A380" s="878" t="s">
        <v>3725</v>
      </c>
      <c r="B380" s="878" t="s">
        <v>3726</v>
      </c>
      <c r="C380" s="879" t="s">
        <v>3706</v>
      </c>
      <c r="D380" s="880" t="s">
        <v>30497</v>
      </c>
    </row>
    <row r="381" spans="1:4" ht="13.5" x14ac:dyDescent="0.25">
      <c r="A381" s="878" t="s">
        <v>3728</v>
      </c>
      <c r="B381" s="878" t="s">
        <v>3729</v>
      </c>
      <c r="C381" s="879" t="s">
        <v>3706</v>
      </c>
      <c r="D381" s="880" t="s">
        <v>40264</v>
      </c>
    </row>
    <row r="382" spans="1:4" ht="13.5" x14ac:dyDescent="0.25">
      <c r="A382" s="878" t="s">
        <v>3730</v>
      </c>
      <c r="B382" s="878" t="s">
        <v>3731</v>
      </c>
      <c r="C382" s="879" t="s">
        <v>3706</v>
      </c>
      <c r="D382" s="880" t="s">
        <v>40265</v>
      </c>
    </row>
    <row r="383" spans="1:4" ht="13.5" x14ac:dyDescent="0.25">
      <c r="A383" s="878" t="s">
        <v>3732</v>
      </c>
      <c r="B383" s="878" t="s">
        <v>3733</v>
      </c>
      <c r="C383" s="879" t="s">
        <v>3706</v>
      </c>
      <c r="D383" s="880" t="s">
        <v>40266</v>
      </c>
    </row>
    <row r="384" spans="1:4" ht="13.5" x14ac:dyDescent="0.25">
      <c r="A384" s="878" t="s">
        <v>3734</v>
      </c>
      <c r="B384" s="878" t="s">
        <v>3735</v>
      </c>
      <c r="C384" s="879" t="s">
        <v>3706</v>
      </c>
      <c r="D384" s="880" t="s">
        <v>40267</v>
      </c>
    </row>
    <row r="385" spans="1:4" ht="13.5" x14ac:dyDescent="0.25">
      <c r="A385" s="878" t="s">
        <v>3736</v>
      </c>
      <c r="B385" s="878" t="s">
        <v>3737</v>
      </c>
      <c r="C385" s="879" t="s">
        <v>3706</v>
      </c>
      <c r="D385" s="880" t="s">
        <v>7399</v>
      </c>
    </row>
    <row r="386" spans="1:4" ht="13.5" x14ac:dyDescent="0.25">
      <c r="A386" s="878" t="s">
        <v>3738</v>
      </c>
      <c r="B386" s="878" t="s">
        <v>3739</v>
      </c>
      <c r="C386" s="879" t="s">
        <v>3706</v>
      </c>
      <c r="D386" s="880" t="s">
        <v>40268</v>
      </c>
    </row>
    <row r="387" spans="1:4" ht="13.5" x14ac:dyDescent="0.25">
      <c r="A387" s="878" t="s">
        <v>3740</v>
      </c>
      <c r="B387" s="878" t="s">
        <v>3741</v>
      </c>
      <c r="C387" s="879" t="s">
        <v>3706</v>
      </c>
      <c r="D387" s="880" t="s">
        <v>40269</v>
      </c>
    </row>
    <row r="388" spans="1:4" ht="13.5" x14ac:dyDescent="0.25">
      <c r="A388" s="878" t="s">
        <v>3742</v>
      </c>
      <c r="B388" s="878" t="s">
        <v>3743</v>
      </c>
      <c r="C388" s="879" t="s">
        <v>3706</v>
      </c>
      <c r="D388" s="880" t="s">
        <v>40270</v>
      </c>
    </row>
    <row r="389" spans="1:4" ht="13.5" x14ac:dyDescent="0.25">
      <c r="A389" s="878" t="s">
        <v>3744</v>
      </c>
      <c r="B389" s="878" t="s">
        <v>3745</v>
      </c>
      <c r="C389" s="879" t="s">
        <v>3706</v>
      </c>
      <c r="D389" s="880" t="s">
        <v>40271</v>
      </c>
    </row>
    <row r="390" spans="1:4" ht="13.5" x14ac:dyDescent="0.25">
      <c r="A390" s="878" t="s">
        <v>3746</v>
      </c>
      <c r="B390" s="878" t="s">
        <v>3747</v>
      </c>
      <c r="C390" s="879" t="s">
        <v>3706</v>
      </c>
      <c r="D390" s="880" t="s">
        <v>40272</v>
      </c>
    </row>
    <row r="391" spans="1:4" ht="13.5" x14ac:dyDescent="0.25">
      <c r="A391" s="878" t="s">
        <v>3748</v>
      </c>
      <c r="B391" s="878" t="s">
        <v>3749</v>
      </c>
      <c r="C391" s="879" t="s">
        <v>3706</v>
      </c>
      <c r="D391" s="880" t="s">
        <v>40273</v>
      </c>
    </row>
    <row r="392" spans="1:4" ht="13.5" x14ac:dyDescent="0.25">
      <c r="A392" s="878" t="s">
        <v>3750</v>
      </c>
      <c r="B392" s="878" t="s">
        <v>3751</v>
      </c>
      <c r="C392" s="879" t="s">
        <v>3706</v>
      </c>
      <c r="D392" s="880" t="s">
        <v>40274</v>
      </c>
    </row>
    <row r="393" spans="1:4" ht="13.5" x14ac:dyDescent="0.25">
      <c r="A393" s="878" t="s">
        <v>3752</v>
      </c>
      <c r="B393" s="878" t="s">
        <v>3753</v>
      </c>
      <c r="C393" s="879" t="s">
        <v>3706</v>
      </c>
      <c r="D393" s="880" t="s">
        <v>40275</v>
      </c>
    </row>
    <row r="394" spans="1:4" ht="13.5" x14ac:dyDescent="0.25">
      <c r="A394" s="878" t="s">
        <v>3755</v>
      </c>
      <c r="B394" s="878" t="s">
        <v>3756</v>
      </c>
      <c r="C394" s="879" t="s">
        <v>3706</v>
      </c>
      <c r="D394" s="880" t="s">
        <v>40276</v>
      </c>
    </row>
    <row r="395" spans="1:4" ht="13.5" x14ac:dyDescent="0.25">
      <c r="A395" s="878" t="s">
        <v>3758</v>
      </c>
      <c r="B395" s="878" t="s">
        <v>3759</v>
      </c>
      <c r="C395" s="879" t="s">
        <v>3706</v>
      </c>
      <c r="D395" s="880" t="s">
        <v>40277</v>
      </c>
    </row>
    <row r="396" spans="1:4" ht="13.5" x14ac:dyDescent="0.25">
      <c r="A396" s="878" t="s">
        <v>3760</v>
      </c>
      <c r="B396" s="878" t="s">
        <v>3761</v>
      </c>
      <c r="C396" s="879" t="s">
        <v>3706</v>
      </c>
      <c r="D396" s="880" t="s">
        <v>40278</v>
      </c>
    </row>
    <row r="397" spans="1:4" ht="13.5" x14ac:dyDescent="0.25">
      <c r="A397" s="878" t="s">
        <v>3762</v>
      </c>
      <c r="B397" s="878" t="s">
        <v>3763</v>
      </c>
      <c r="C397" s="879" t="s">
        <v>3706</v>
      </c>
      <c r="D397" s="880" t="s">
        <v>40279</v>
      </c>
    </row>
    <row r="398" spans="1:4" ht="13.5" x14ac:dyDescent="0.25">
      <c r="A398" s="878" t="s">
        <v>3764</v>
      </c>
      <c r="B398" s="878" t="s">
        <v>3765</v>
      </c>
      <c r="C398" s="879" t="s">
        <v>3706</v>
      </c>
      <c r="D398" s="880" t="s">
        <v>40280</v>
      </c>
    </row>
    <row r="399" spans="1:4" ht="13.5" x14ac:dyDescent="0.25">
      <c r="A399" s="878" t="s">
        <v>3766</v>
      </c>
      <c r="B399" s="878" t="s">
        <v>3767</v>
      </c>
      <c r="C399" s="879" t="s">
        <v>3706</v>
      </c>
      <c r="D399" s="880" t="s">
        <v>30549</v>
      </c>
    </row>
    <row r="400" spans="1:4" ht="13.5" x14ac:dyDescent="0.25">
      <c r="A400" s="878" t="s">
        <v>3769</v>
      </c>
      <c r="B400" s="878" t="s">
        <v>3770</v>
      </c>
      <c r="C400" s="879" t="s">
        <v>3706</v>
      </c>
      <c r="D400" s="880" t="s">
        <v>40281</v>
      </c>
    </row>
    <row r="401" spans="1:4" ht="13.5" x14ac:dyDescent="0.25">
      <c r="A401" s="878" t="s">
        <v>3771</v>
      </c>
      <c r="B401" s="878" t="s">
        <v>3772</v>
      </c>
      <c r="C401" s="879" t="s">
        <v>3706</v>
      </c>
      <c r="D401" s="880" t="s">
        <v>40282</v>
      </c>
    </row>
    <row r="402" spans="1:4" ht="13.5" x14ac:dyDescent="0.25">
      <c r="A402" s="878" t="s">
        <v>3773</v>
      </c>
      <c r="B402" s="878" t="s">
        <v>3774</v>
      </c>
      <c r="C402" s="879" t="s">
        <v>3706</v>
      </c>
      <c r="D402" s="880" t="s">
        <v>40283</v>
      </c>
    </row>
    <row r="403" spans="1:4" ht="13.5" x14ac:dyDescent="0.25">
      <c r="A403" s="878" t="s">
        <v>3775</v>
      </c>
      <c r="B403" s="878" t="s">
        <v>3776</v>
      </c>
      <c r="C403" s="879" t="s">
        <v>3706</v>
      </c>
      <c r="D403" s="880" t="s">
        <v>40284</v>
      </c>
    </row>
    <row r="404" spans="1:4" ht="13.5" x14ac:dyDescent="0.25">
      <c r="A404" s="878" t="s">
        <v>3777</v>
      </c>
      <c r="B404" s="878" t="s">
        <v>3778</v>
      </c>
      <c r="C404" s="879" t="s">
        <v>3706</v>
      </c>
      <c r="D404" s="880" t="s">
        <v>40285</v>
      </c>
    </row>
    <row r="405" spans="1:4" ht="13.5" x14ac:dyDescent="0.25">
      <c r="A405" s="878" t="s">
        <v>3779</v>
      </c>
      <c r="B405" s="878" t="s">
        <v>3780</v>
      </c>
      <c r="C405" s="879" t="s">
        <v>3706</v>
      </c>
      <c r="D405" s="880" t="s">
        <v>40286</v>
      </c>
    </row>
    <row r="406" spans="1:4" ht="13.5" x14ac:dyDescent="0.25">
      <c r="A406" s="878" t="s">
        <v>3781</v>
      </c>
      <c r="B406" s="878" t="s">
        <v>3782</v>
      </c>
      <c r="C406" s="879" t="s">
        <v>3706</v>
      </c>
      <c r="D406" s="880" t="s">
        <v>40287</v>
      </c>
    </row>
    <row r="407" spans="1:4" ht="13.5" x14ac:dyDescent="0.25">
      <c r="A407" s="878" t="s">
        <v>3783</v>
      </c>
      <c r="B407" s="878" t="s">
        <v>3784</v>
      </c>
      <c r="C407" s="879" t="s">
        <v>3706</v>
      </c>
      <c r="D407" s="880" t="s">
        <v>31024</v>
      </c>
    </row>
    <row r="408" spans="1:4" ht="13.5" x14ac:dyDescent="0.25">
      <c r="A408" s="878" t="s">
        <v>3785</v>
      </c>
      <c r="B408" s="878" t="s">
        <v>3786</v>
      </c>
      <c r="C408" s="879" t="s">
        <v>3706</v>
      </c>
      <c r="D408" s="880" t="s">
        <v>40288</v>
      </c>
    </row>
    <row r="409" spans="1:4" ht="13.5" x14ac:dyDescent="0.25">
      <c r="A409" s="878" t="s">
        <v>3787</v>
      </c>
      <c r="B409" s="878" t="s">
        <v>3788</v>
      </c>
      <c r="C409" s="879" t="s">
        <v>3706</v>
      </c>
      <c r="D409" s="880" t="s">
        <v>40289</v>
      </c>
    </row>
    <row r="410" spans="1:4" ht="13.5" x14ac:dyDescent="0.25">
      <c r="A410" s="878" t="s">
        <v>3789</v>
      </c>
      <c r="B410" s="878" t="s">
        <v>3790</v>
      </c>
      <c r="C410" s="879" t="s">
        <v>3706</v>
      </c>
      <c r="D410" s="880" t="s">
        <v>40290</v>
      </c>
    </row>
    <row r="411" spans="1:4" ht="13.5" x14ac:dyDescent="0.25">
      <c r="A411" s="878" t="s">
        <v>3791</v>
      </c>
      <c r="B411" s="878" t="s">
        <v>3792</v>
      </c>
      <c r="C411" s="879" t="s">
        <v>3706</v>
      </c>
      <c r="D411" s="880" t="s">
        <v>31162</v>
      </c>
    </row>
    <row r="412" spans="1:4" ht="13.5" x14ac:dyDescent="0.25">
      <c r="A412" s="878" t="s">
        <v>3793</v>
      </c>
      <c r="B412" s="878" t="s">
        <v>3794</v>
      </c>
      <c r="C412" s="879" t="s">
        <v>3706</v>
      </c>
      <c r="D412" s="880" t="s">
        <v>40291</v>
      </c>
    </row>
    <row r="413" spans="1:4" ht="13.5" x14ac:dyDescent="0.25">
      <c r="A413" s="878" t="s">
        <v>3796</v>
      </c>
      <c r="B413" s="878" t="s">
        <v>3797</v>
      </c>
      <c r="C413" s="879" t="s">
        <v>3706</v>
      </c>
      <c r="D413" s="880" t="s">
        <v>31323</v>
      </c>
    </row>
    <row r="414" spans="1:4" ht="13.5" x14ac:dyDescent="0.25">
      <c r="A414" s="878" t="s">
        <v>3798</v>
      </c>
      <c r="B414" s="878" t="s">
        <v>3799</v>
      </c>
      <c r="C414" s="879" t="s">
        <v>3706</v>
      </c>
      <c r="D414" s="880" t="s">
        <v>3119</v>
      </c>
    </row>
    <row r="415" spans="1:4" ht="13.5" x14ac:dyDescent="0.25">
      <c r="A415" s="878" t="s">
        <v>3801</v>
      </c>
      <c r="B415" s="878" t="s">
        <v>3802</v>
      </c>
      <c r="C415" s="879" t="s">
        <v>3706</v>
      </c>
      <c r="D415" s="880" t="s">
        <v>30378</v>
      </c>
    </row>
    <row r="416" spans="1:4" ht="13.5" x14ac:dyDescent="0.25">
      <c r="A416" s="878" t="s">
        <v>3803</v>
      </c>
      <c r="B416" s="878" t="s">
        <v>3804</v>
      </c>
      <c r="C416" s="879" t="s">
        <v>3706</v>
      </c>
      <c r="D416" s="880" t="s">
        <v>30846</v>
      </c>
    </row>
    <row r="417" spans="1:4" ht="13.5" x14ac:dyDescent="0.25">
      <c r="A417" s="878" t="s">
        <v>3805</v>
      </c>
      <c r="B417" s="878" t="s">
        <v>3806</v>
      </c>
      <c r="C417" s="879" t="s">
        <v>3706</v>
      </c>
      <c r="D417" s="880" t="s">
        <v>30336</v>
      </c>
    </row>
    <row r="418" spans="1:4" ht="13.5" x14ac:dyDescent="0.25">
      <c r="A418" s="878" t="s">
        <v>3807</v>
      </c>
      <c r="B418" s="878" t="s">
        <v>3808</v>
      </c>
      <c r="C418" s="879" t="s">
        <v>3706</v>
      </c>
      <c r="D418" s="880" t="s">
        <v>17085</v>
      </c>
    </row>
    <row r="419" spans="1:4" ht="13.5" x14ac:dyDescent="0.25">
      <c r="A419" s="878" t="s">
        <v>3809</v>
      </c>
      <c r="B419" s="878" t="s">
        <v>3810</v>
      </c>
      <c r="C419" s="879" t="s">
        <v>3706</v>
      </c>
      <c r="D419" s="880" t="s">
        <v>40292</v>
      </c>
    </row>
    <row r="420" spans="1:4" ht="13.5" x14ac:dyDescent="0.25">
      <c r="A420" s="878" t="s">
        <v>3811</v>
      </c>
      <c r="B420" s="878" t="s">
        <v>3812</v>
      </c>
      <c r="C420" s="879" t="s">
        <v>3706</v>
      </c>
      <c r="D420" s="880" t="s">
        <v>40293</v>
      </c>
    </row>
    <row r="421" spans="1:4" ht="13.5" x14ac:dyDescent="0.25">
      <c r="A421" s="878" t="s">
        <v>3813</v>
      </c>
      <c r="B421" s="878" t="s">
        <v>3814</v>
      </c>
      <c r="C421" s="879" t="s">
        <v>3706</v>
      </c>
      <c r="D421" s="880" t="s">
        <v>40294</v>
      </c>
    </row>
    <row r="422" spans="1:4" ht="13.5" x14ac:dyDescent="0.25">
      <c r="A422" s="878" t="s">
        <v>3816</v>
      </c>
      <c r="B422" s="878" t="s">
        <v>3817</v>
      </c>
      <c r="C422" s="879" t="s">
        <v>3706</v>
      </c>
      <c r="D422" s="880" t="s">
        <v>40295</v>
      </c>
    </row>
    <row r="423" spans="1:4" ht="13.5" x14ac:dyDescent="0.25">
      <c r="A423" s="878" t="s">
        <v>3818</v>
      </c>
      <c r="B423" s="878" t="s">
        <v>3819</v>
      </c>
      <c r="C423" s="879" t="s">
        <v>3706</v>
      </c>
      <c r="D423" s="880" t="s">
        <v>40296</v>
      </c>
    </row>
    <row r="424" spans="1:4" ht="13.5" x14ac:dyDescent="0.25">
      <c r="A424" s="878" t="s">
        <v>3820</v>
      </c>
      <c r="B424" s="878" t="s">
        <v>3821</v>
      </c>
      <c r="C424" s="879" t="s">
        <v>3706</v>
      </c>
      <c r="D424" s="880" t="s">
        <v>31197</v>
      </c>
    </row>
    <row r="425" spans="1:4" ht="13.5" x14ac:dyDescent="0.25">
      <c r="A425" s="878" t="s">
        <v>3822</v>
      </c>
      <c r="B425" s="878" t="s">
        <v>3823</v>
      </c>
      <c r="C425" s="879" t="s">
        <v>3706</v>
      </c>
      <c r="D425" s="880" t="s">
        <v>40297</v>
      </c>
    </row>
    <row r="426" spans="1:4" ht="13.5" x14ac:dyDescent="0.25">
      <c r="A426" s="878" t="s">
        <v>3824</v>
      </c>
      <c r="B426" s="878" t="s">
        <v>3825</v>
      </c>
      <c r="C426" s="879" t="s">
        <v>3706</v>
      </c>
      <c r="D426" s="880" t="s">
        <v>40298</v>
      </c>
    </row>
    <row r="427" spans="1:4" ht="13.5" x14ac:dyDescent="0.25">
      <c r="A427" s="878" t="s">
        <v>3826</v>
      </c>
      <c r="B427" s="878" t="s">
        <v>3827</v>
      </c>
      <c r="C427" s="879" t="s">
        <v>3706</v>
      </c>
      <c r="D427" s="881" t="s">
        <v>40299</v>
      </c>
    </row>
    <row r="428" spans="1:4" ht="13.5" x14ac:dyDescent="0.25">
      <c r="A428" s="878" t="s">
        <v>3828</v>
      </c>
      <c r="B428" s="878" t="s">
        <v>3829</v>
      </c>
      <c r="C428" s="879" t="s">
        <v>3706</v>
      </c>
      <c r="D428" s="881" t="s">
        <v>40300</v>
      </c>
    </row>
    <row r="429" spans="1:4" ht="13.5" x14ac:dyDescent="0.25">
      <c r="A429" s="878" t="s">
        <v>3830</v>
      </c>
      <c r="B429" s="878" t="s">
        <v>3831</v>
      </c>
      <c r="C429" s="879" t="s">
        <v>3706</v>
      </c>
      <c r="D429" s="880" t="s">
        <v>40301</v>
      </c>
    </row>
    <row r="430" spans="1:4" ht="13.5" x14ac:dyDescent="0.25">
      <c r="A430" s="878" t="s">
        <v>3832</v>
      </c>
      <c r="B430" s="878" t="s">
        <v>3833</v>
      </c>
      <c r="C430" s="879" t="s">
        <v>3706</v>
      </c>
      <c r="D430" s="880" t="s">
        <v>30564</v>
      </c>
    </row>
    <row r="431" spans="1:4" ht="13.5" x14ac:dyDescent="0.25">
      <c r="A431" s="878" t="s">
        <v>3834</v>
      </c>
      <c r="B431" s="878" t="s">
        <v>3835</v>
      </c>
      <c r="C431" s="879" t="s">
        <v>3706</v>
      </c>
      <c r="D431" s="880" t="s">
        <v>30262</v>
      </c>
    </row>
    <row r="432" spans="1:4" ht="13.5" x14ac:dyDescent="0.25">
      <c r="A432" s="878" t="s">
        <v>3837</v>
      </c>
      <c r="B432" s="878" t="s">
        <v>3838</v>
      </c>
      <c r="C432" s="879" t="s">
        <v>3706</v>
      </c>
      <c r="D432" s="880" t="s">
        <v>40302</v>
      </c>
    </row>
    <row r="433" spans="1:4" ht="13.5" x14ac:dyDescent="0.25">
      <c r="A433" s="878" t="s">
        <v>3839</v>
      </c>
      <c r="B433" s="878" t="s">
        <v>3840</v>
      </c>
      <c r="C433" s="879" t="s">
        <v>3706</v>
      </c>
      <c r="D433" s="880" t="s">
        <v>30758</v>
      </c>
    </row>
    <row r="434" spans="1:4" ht="13.5" x14ac:dyDescent="0.25">
      <c r="A434" s="878" t="s">
        <v>3841</v>
      </c>
      <c r="B434" s="878" t="s">
        <v>3842</v>
      </c>
      <c r="C434" s="879" t="s">
        <v>3706</v>
      </c>
      <c r="D434" s="880" t="s">
        <v>40303</v>
      </c>
    </row>
    <row r="435" spans="1:4" ht="13.5" x14ac:dyDescent="0.25">
      <c r="A435" s="878" t="s">
        <v>3843</v>
      </c>
      <c r="B435" s="878" t="s">
        <v>3844</v>
      </c>
      <c r="C435" s="879" t="s">
        <v>3706</v>
      </c>
      <c r="D435" s="880" t="s">
        <v>16763</v>
      </c>
    </row>
    <row r="436" spans="1:4" ht="13.5" x14ac:dyDescent="0.25">
      <c r="A436" s="878" t="s">
        <v>3845</v>
      </c>
      <c r="B436" s="878" t="s">
        <v>3846</v>
      </c>
      <c r="C436" s="879" t="s">
        <v>3706</v>
      </c>
      <c r="D436" s="880" t="s">
        <v>40304</v>
      </c>
    </row>
    <row r="437" spans="1:4" ht="13.5" x14ac:dyDescent="0.25">
      <c r="A437" s="878" t="s">
        <v>3848</v>
      </c>
      <c r="B437" s="878" t="s">
        <v>3849</v>
      </c>
      <c r="C437" s="879" t="s">
        <v>3706</v>
      </c>
      <c r="D437" s="880" t="s">
        <v>40305</v>
      </c>
    </row>
    <row r="438" spans="1:4" ht="13.5" x14ac:dyDescent="0.25">
      <c r="A438" s="878" t="s">
        <v>3850</v>
      </c>
      <c r="B438" s="878" t="s">
        <v>3851</v>
      </c>
      <c r="C438" s="879" t="s">
        <v>3706</v>
      </c>
      <c r="D438" s="880" t="s">
        <v>40306</v>
      </c>
    </row>
    <row r="439" spans="1:4" ht="13.5" x14ac:dyDescent="0.25">
      <c r="A439" s="878" t="s">
        <v>3852</v>
      </c>
      <c r="B439" s="878" t="s">
        <v>3853</v>
      </c>
      <c r="C439" s="879" t="s">
        <v>3706</v>
      </c>
      <c r="D439" s="880" t="s">
        <v>12724</v>
      </c>
    </row>
    <row r="440" spans="1:4" ht="13.5" x14ac:dyDescent="0.25">
      <c r="A440" s="878" t="s">
        <v>3854</v>
      </c>
      <c r="B440" s="878" t="s">
        <v>3855</v>
      </c>
      <c r="C440" s="879" t="s">
        <v>3706</v>
      </c>
      <c r="D440" s="880" t="s">
        <v>8774</v>
      </c>
    </row>
    <row r="441" spans="1:4" ht="13.5" x14ac:dyDescent="0.25">
      <c r="A441" s="878" t="s">
        <v>3856</v>
      </c>
      <c r="B441" s="878" t="s">
        <v>3857</v>
      </c>
      <c r="C441" s="879" t="s">
        <v>3706</v>
      </c>
      <c r="D441" s="880" t="s">
        <v>40307</v>
      </c>
    </row>
    <row r="442" spans="1:4" ht="13.5" x14ac:dyDescent="0.25">
      <c r="A442" s="878" t="s">
        <v>3858</v>
      </c>
      <c r="B442" s="878" t="s">
        <v>3859</v>
      </c>
      <c r="C442" s="879" t="s">
        <v>3706</v>
      </c>
      <c r="D442" s="880" t="s">
        <v>40308</v>
      </c>
    </row>
    <row r="443" spans="1:4" ht="13.5" x14ac:dyDescent="0.25">
      <c r="A443" s="878" t="s">
        <v>3861</v>
      </c>
      <c r="B443" s="878" t="s">
        <v>3862</v>
      </c>
      <c r="C443" s="879" t="s">
        <v>3706</v>
      </c>
      <c r="D443" s="880" t="s">
        <v>15573</v>
      </c>
    </row>
    <row r="444" spans="1:4" ht="13.5" x14ac:dyDescent="0.25">
      <c r="A444" s="878" t="s">
        <v>3863</v>
      </c>
      <c r="B444" s="878" t="s">
        <v>3864</v>
      </c>
      <c r="C444" s="879" t="s">
        <v>3706</v>
      </c>
      <c r="D444" s="880" t="s">
        <v>40309</v>
      </c>
    </row>
    <row r="445" spans="1:4" ht="13.5" x14ac:dyDescent="0.25">
      <c r="A445" s="878" t="s">
        <v>3865</v>
      </c>
      <c r="B445" s="878" t="s">
        <v>3866</v>
      </c>
      <c r="C445" s="879" t="s">
        <v>3706</v>
      </c>
      <c r="D445" s="880" t="s">
        <v>40310</v>
      </c>
    </row>
    <row r="446" spans="1:4" ht="13.5" x14ac:dyDescent="0.25">
      <c r="A446" s="878" t="s">
        <v>3867</v>
      </c>
      <c r="B446" s="878" t="s">
        <v>3868</v>
      </c>
      <c r="C446" s="879" t="s">
        <v>3706</v>
      </c>
      <c r="D446" s="880" t="s">
        <v>31234</v>
      </c>
    </row>
    <row r="447" spans="1:4" ht="13.5" x14ac:dyDescent="0.25">
      <c r="A447" s="878" t="s">
        <v>3869</v>
      </c>
      <c r="B447" s="878" t="s">
        <v>3870</v>
      </c>
      <c r="C447" s="879" t="s">
        <v>3706</v>
      </c>
      <c r="D447" s="880" t="s">
        <v>40311</v>
      </c>
    </row>
    <row r="448" spans="1:4" ht="13.5" x14ac:dyDescent="0.25">
      <c r="A448" s="878" t="s">
        <v>3872</v>
      </c>
      <c r="B448" s="878" t="s">
        <v>3873</v>
      </c>
      <c r="C448" s="879" t="s">
        <v>3706</v>
      </c>
      <c r="D448" s="880" t="s">
        <v>40312</v>
      </c>
    </row>
    <row r="449" spans="1:4" ht="13.5" x14ac:dyDescent="0.25">
      <c r="A449" s="878" t="s">
        <v>3874</v>
      </c>
      <c r="B449" s="878" t="s">
        <v>3875</v>
      </c>
      <c r="C449" s="879" t="s">
        <v>3706</v>
      </c>
      <c r="D449" s="880" t="s">
        <v>31153</v>
      </c>
    </row>
    <row r="450" spans="1:4" ht="13.5" x14ac:dyDescent="0.25">
      <c r="A450" s="878" t="s">
        <v>3876</v>
      </c>
      <c r="B450" s="878" t="s">
        <v>3877</v>
      </c>
      <c r="C450" s="879" t="s">
        <v>3706</v>
      </c>
      <c r="D450" s="880" t="s">
        <v>3183</v>
      </c>
    </row>
    <row r="451" spans="1:4" ht="13.5" x14ac:dyDescent="0.25">
      <c r="A451" s="878" t="s">
        <v>3878</v>
      </c>
      <c r="B451" s="878" t="s">
        <v>3879</v>
      </c>
      <c r="C451" s="879" t="s">
        <v>3706</v>
      </c>
      <c r="D451" s="880" t="s">
        <v>40313</v>
      </c>
    </row>
    <row r="452" spans="1:4" ht="13.5" x14ac:dyDescent="0.25">
      <c r="A452" s="878" t="s">
        <v>3880</v>
      </c>
      <c r="B452" s="878" t="s">
        <v>3881</v>
      </c>
      <c r="C452" s="879" t="s">
        <v>3706</v>
      </c>
      <c r="D452" s="880" t="s">
        <v>40314</v>
      </c>
    </row>
    <row r="453" spans="1:4" ht="13.5" x14ac:dyDescent="0.25">
      <c r="A453" s="878" t="s">
        <v>3882</v>
      </c>
      <c r="B453" s="878" t="s">
        <v>3883</v>
      </c>
      <c r="C453" s="879" t="s">
        <v>3706</v>
      </c>
      <c r="D453" s="880" t="s">
        <v>40315</v>
      </c>
    </row>
    <row r="454" spans="1:4" ht="13.5" x14ac:dyDescent="0.25">
      <c r="A454" s="878" t="s">
        <v>3884</v>
      </c>
      <c r="B454" s="878" t="s">
        <v>3885</v>
      </c>
      <c r="C454" s="879" t="s">
        <v>3706</v>
      </c>
      <c r="D454" s="880" t="s">
        <v>30640</v>
      </c>
    </row>
    <row r="455" spans="1:4" ht="13.5" x14ac:dyDescent="0.25">
      <c r="A455" s="878" t="s">
        <v>3887</v>
      </c>
      <c r="B455" s="878" t="s">
        <v>3888</v>
      </c>
      <c r="C455" s="879" t="s">
        <v>3706</v>
      </c>
      <c r="D455" s="880" t="s">
        <v>40316</v>
      </c>
    </row>
    <row r="456" spans="1:4" ht="13.5" x14ac:dyDescent="0.25">
      <c r="A456" s="878" t="s">
        <v>3889</v>
      </c>
      <c r="B456" s="878" t="s">
        <v>3890</v>
      </c>
      <c r="C456" s="879" t="s">
        <v>3706</v>
      </c>
      <c r="D456" s="880" t="s">
        <v>40317</v>
      </c>
    </row>
    <row r="457" spans="1:4" ht="13.5" x14ac:dyDescent="0.25">
      <c r="A457" s="878" t="s">
        <v>3891</v>
      </c>
      <c r="B457" s="878" t="s">
        <v>3892</v>
      </c>
      <c r="C457" s="879" t="s">
        <v>3706</v>
      </c>
      <c r="D457" s="880" t="s">
        <v>30909</v>
      </c>
    </row>
    <row r="458" spans="1:4" ht="13.5" x14ac:dyDescent="0.25">
      <c r="A458" s="878" t="s">
        <v>3893</v>
      </c>
      <c r="B458" s="878" t="s">
        <v>3894</v>
      </c>
      <c r="C458" s="879" t="s">
        <v>3706</v>
      </c>
      <c r="D458" s="880" t="s">
        <v>40318</v>
      </c>
    </row>
    <row r="459" spans="1:4" ht="13.5" x14ac:dyDescent="0.25">
      <c r="A459" s="878" t="s">
        <v>3895</v>
      </c>
      <c r="B459" s="878" t="s">
        <v>3896</v>
      </c>
      <c r="C459" s="879" t="s">
        <v>3706</v>
      </c>
      <c r="D459" s="880" t="s">
        <v>40319</v>
      </c>
    </row>
    <row r="460" spans="1:4" ht="13.5" x14ac:dyDescent="0.25">
      <c r="A460" s="878" t="s">
        <v>3897</v>
      </c>
      <c r="B460" s="878" t="s">
        <v>3898</v>
      </c>
      <c r="C460" s="879" t="s">
        <v>3706</v>
      </c>
      <c r="D460" s="880" t="s">
        <v>40320</v>
      </c>
    </row>
    <row r="461" spans="1:4" ht="13.5" x14ac:dyDescent="0.25">
      <c r="A461" s="878" t="s">
        <v>3899</v>
      </c>
      <c r="B461" s="878" t="s">
        <v>3900</v>
      </c>
      <c r="C461" s="879" t="s">
        <v>3706</v>
      </c>
      <c r="D461" s="880" t="s">
        <v>13013</v>
      </c>
    </row>
    <row r="462" spans="1:4" ht="13.5" x14ac:dyDescent="0.25">
      <c r="A462" s="878" t="s">
        <v>3902</v>
      </c>
      <c r="B462" s="878" t="s">
        <v>3903</v>
      </c>
      <c r="C462" s="879" t="s">
        <v>3706</v>
      </c>
      <c r="D462" s="880" t="s">
        <v>40321</v>
      </c>
    </row>
    <row r="463" spans="1:4" ht="13.5" x14ac:dyDescent="0.25">
      <c r="A463" s="878" t="s">
        <v>3904</v>
      </c>
      <c r="B463" s="878" t="s">
        <v>3905</v>
      </c>
      <c r="C463" s="879" t="s">
        <v>3706</v>
      </c>
      <c r="D463" s="880" t="s">
        <v>16869</v>
      </c>
    </row>
    <row r="464" spans="1:4" ht="13.5" x14ac:dyDescent="0.25">
      <c r="A464" s="878" t="s">
        <v>3907</v>
      </c>
      <c r="B464" s="878" t="s">
        <v>3908</v>
      </c>
      <c r="C464" s="879" t="s">
        <v>3706</v>
      </c>
      <c r="D464" s="880" t="s">
        <v>4242</v>
      </c>
    </row>
    <row r="465" spans="1:4" ht="13.5" x14ac:dyDescent="0.25">
      <c r="A465" s="878" t="s">
        <v>3909</v>
      </c>
      <c r="B465" s="878" t="s">
        <v>3910</v>
      </c>
      <c r="C465" s="879" t="s">
        <v>3706</v>
      </c>
      <c r="D465" s="880" t="s">
        <v>40322</v>
      </c>
    </row>
    <row r="466" spans="1:4" ht="13.5" x14ac:dyDescent="0.25">
      <c r="A466" s="878" t="s">
        <v>3911</v>
      </c>
      <c r="B466" s="878" t="s">
        <v>3912</v>
      </c>
      <c r="C466" s="879" t="s">
        <v>3706</v>
      </c>
      <c r="D466" s="880" t="s">
        <v>40323</v>
      </c>
    </row>
    <row r="467" spans="1:4" ht="13.5" x14ac:dyDescent="0.25">
      <c r="A467" s="878" t="s">
        <v>3913</v>
      </c>
      <c r="B467" s="878" t="s">
        <v>3914</v>
      </c>
      <c r="C467" s="879" t="s">
        <v>3706</v>
      </c>
      <c r="D467" s="880" t="s">
        <v>40324</v>
      </c>
    </row>
    <row r="468" spans="1:4" ht="13.5" x14ac:dyDescent="0.25">
      <c r="A468" s="878" t="s">
        <v>3915</v>
      </c>
      <c r="B468" s="878" t="s">
        <v>3916</v>
      </c>
      <c r="C468" s="879" t="s">
        <v>3706</v>
      </c>
      <c r="D468" s="880" t="s">
        <v>30891</v>
      </c>
    </row>
    <row r="469" spans="1:4" ht="13.5" x14ac:dyDescent="0.25">
      <c r="A469" s="878" t="s">
        <v>3917</v>
      </c>
      <c r="B469" s="878" t="s">
        <v>3918</v>
      </c>
      <c r="C469" s="879" t="s">
        <v>3706</v>
      </c>
      <c r="D469" s="880" t="s">
        <v>40325</v>
      </c>
    </row>
    <row r="470" spans="1:4" ht="13.5" x14ac:dyDescent="0.25">
      <c r="A470" s="878" t="s">
        <v>3919</v>
      </c>
      <c r="B470" s="878" t="s">
        <v>3920</v>
      </c>
      <c r="C470" s="879" t="s">
        <v>3706</v>
      </c>
      <c r="D470" s="880" t="s">
        <v>40101</v>
      </c>
    </row>
    <row r="471" spans="1:4" ht="13.5" x14ac:dyDescent="0.25">
      <c r="A471" s="878" t="s">
        <v>3921</v>
      </c>
      <c r="B471" s="878" t="s">
        <v>3922</v>
      </c>
      <c r="C471" s="879" t="s">
        <v>3706</v>
      </c>
      <c r="D471" s="881" t="s">
        <v>40326</v>
      </c>
    </row>
    <row r="472" spans="1:4" ht="13.5" x14ac:dyDescent="0.25">
      <c r="A472" s="878" t="s">
        <v>3923</v>
      </c>
      <c r="B472" s="878" t="s">
        <v>3924</v>
      </c>
      <c r="C472" s="879" t="s">
        <v>3706</v>
      </c>
      <c r="D472" s="880" t="s">
        <v>16890</v>
      </c>
    </row>
    <row r="473" spans="1:4" ht="13.5" x14ac:dyDescent="0.25">
      <c r="A473" s="878" t="s">
        <v>3925</v>
      </c>
      <c r="B473" s="878" t="s">
        <v>3926</v>
      </c>
      <c r="C473" s="879" t="s">
        <v>3706</v>
      </c>
      <c r="D473" s="880" t="s">
        <v>30477</v>
      </c>
    </row>
    <row r="474" spans="1:4" ht="13.5" x14ac:dyDescent="0.25">
      <c r="A474" s="878" t="s">
        <v>3927</v>
      </c>
      <c r="B474" s="878" t="s">
        <v>3928</v>
      </c>
      <c r="C474" s="879" t="s">
        <v>3706</v>
      </c>
      <c r="D474" s="880" t="s">
        <v>40327</v>
      </c>
    </row>
    <row r="475" spans="1:4" ht="13.5" x14ac:dyDescent="0.25">
      <c r="A475" s="878" t="s">
        <v>3929</v>
      </c>
      <c r="B475" s="878" t="s">
        <v>3930</v>
      </c>
      <c r="C475" s="879" t="s">
        <v>3706</v>
      </c>
      <c r="D475" s="880" t="s">
        <v>40328</v>
      </c>
    </row>
    <row r="476" spans="1:4" ht="13.5" x14ac:dyDescent="0.25">
      <c r="A476" s="878" t="s">
        <v>3931</v>
      </c>
      <c r="B476" s="878" t="s">
        <v>3932</v>
      </c>
      <c r="C476" s="879" t="s">
        <v>3706</v>
      </c>
      <c r="D476" s="880" t="s">
        <v>40329</v>
      </c>
    </row>
    <row r="477" spans="1:4" ht="13.5" x14ac:dyDescent="0.25">
      <c r="A477" s="878" t="s">
        <v>3933</v>
      </c>
      <c r="B477" s="878" t="s">
        <v>3934</v>
      </c>
      <c r="C477" s="879" t="s">
        <v>3706</v>
      </c>
      <c r="D477" s="880" t="s">
        <v>30267</v>
      </c>
    </row>
    <row r="478" spans="1:4" ht="13.5" x14ac:dyDescent="0.25">
      <c r="A478" s="878" t="s">
        <v>3935</v>
      </c>
      <c r="B478" s="878" t="s">
        <v>3936</v>
      </c>
      <c r="C478" s="879" t="s">
        <v>3706</v>
      </c>
      <c r="D478" s="880" t="s">
        <v>10570</v>
      </c>
    </row>
    <row r="479" spans="1:4" ht="13.5" x14ac:dyDescent="0.25">
      <c r="A479" s="878" t="s">
        <v>3938</v>
      </c>
      <c r="B479" s="878" t="s">
        <v>3939</v>
      </c>
      <c r="C479" s="879" t="s">
        <v>3706</v>
      </c>
      <c r="D479" s="880" t="s">
        <v>40330</v>
      </c>
    </row>
    <row r="480" spans="1:4" ht="13.5" x14ac:dyDescent="0.25">
      <c r="A480" s="878" t="s">
        <v>3940</v>
      </c>
      <c r="B480" s="878" t="s">
        <v>3941</v>
      </c>
      <c r="C480" s="879" t="s">
        <v>3706</v>
      </c>
      <c r="D480" s="880" t="s">
        <v>40331</v>
      </c>
    </row>
    <row r="481" spans="1:4" ht="13.5" x14ac:dyDescent="0.25">
      <c r="A481" s="878" t="s">
        <v>3942</v>
      </c>
      <c r="B481" s="878" t="s">
        <v>3943</v>
      </c>
      <c r="C481" s="879" t="s">
        <v>3706</v>
      </c>
      <c r="D481" s="881" t="s">
        <v>40332</v>
      </c>
    </row>
    <row r="482" spans="1:4" ht="13.5" x14ac:dyDescent="0.25">
      <c r="A482" s="878" t="s">
        <v>3944</v>
      </c>
      <c r="B482" s="878" t="s">
        <v>3945</v>
      </c>
      <c r="C482" s="879" t="s">
        <v>3706</v>
      </c>
      <c r="D482" s="880" t="s">
        <v>40333</v>
      </c>
    </row>
    <row r="483" spans="1:4" ht="13.5" x14ac:dyDescent="0.25">
      <c r="A483" s="878" t="s">
        <v>3946</v>
      </c>
      <c r="B483" s="878" t="s">
        <v>3947</v>
      </c>
      <c r="C483" s="879" t="s">
        <v>3706</v>
      </c>
      <c r="D483" s="880" t="s">
        <v>40334</v>
      </c>
    </row>
    <row r="484" spans="1:4" ht="13.5" x14ac:dyDescent="0.25">
      <c r="A484" s="878" t="s">
        <v>3948</v>
      </c>
      <c r="B484" s="878" t="s">
        <v>3949</v>
      </c>
      <c r="C484" s="879" t="s">
        <v>3706</v>
      </c>
      <c r="D484" s="880" t="s">
        <v>40335</v>
      </c>
    </row>
    <row r="485" spans="1:4" ht="13.5" x14ac:dyDescent="0.25">
      <c r="A485" s="878" t="s">
        <v>3950</v>
      </c>
      <c r="B485" s="878" t="s">
        <v>3951</v>
      </c>
      <c r="C485" s="879" t="s">
        <v>3706</v>
      </c>
      <c r="D485" s="880" t="s">
        <v>40336</v>
      </c>
    </row>
    <row r="486" spans="1:4" ht="13.5" x14ac:dyDescent="0.25">
      <c r="A486" s="878" t="s">
        <v>3952</v>
      </c>
      <c r="B486" s="878" t="s">
        <v>3953</v>
      </c>
      <c r="C486" s="879" t="s">
        <v>3706</v>
      </c>
      <c r="D486" s="880" t="s">
        <v>3954</v>
      </c>
    </row>
    <row r="487" spans="1:4" ht="13.5" x14ac:dyDescent="0.25">
      <c r="A487" s="878" t="s">
        <v>3955</v>
      </c>
      <c r="B487" s="878" t="s">
        <v>3956</v>
      </c>
      <c r="C487" s="879" t="s">
        <v>3706</v>
      </c>
      <c r="D487" s="880" t="s">
        <v>40337</v>
      </c>
    </row>
    <row r="488" spans="1:4" ht="13.5" x14ac:dyDescent="0.25">
      <c r="A488" s="878" t="s">
        <v>3957</v>
      </c>
      <c r="B488" s="878" t="s">
        <v>3958</v>
      </c>
      <c r="C488" s="879" t="s">
        <v>3706</v>
      </c>
      <c r="D488" s="880" t="s">
        <v>40338</v>
      </c>
    </row>
    <row r="489" spans="1:4" ht="13.5" x14ac:dyDescent="0.25">
      <c r="A489" s="878" t="s">
        <v>3959</v>
      </c>
      <c r="B489" s="878" t="s">
        <v>3960</v>
      </c>
      <c r="C489" s="879" t="s">
        <v>3706</v>
      </c>
      <c r="D489" s="880" t="s">
        <v>8843</v>
      </c>
    </row>
    <row r="490" spans="1:4" ht="13.5" x14ac:dyDescent="0.25">
      <c r="A490" s="878" t="s">
        <v>3962</v>
      </c>
      <c r="B490" s="878" t="s">
        <v>3963</v>
      </c>
      <c r="C490" s="879" t="s">
        <v>3706</v>
      </c>
      <c r="D490" s="880" t="s">
        <v>40339</v>
      </c>
    </row>
    <row r="491" spans="1:4" ht="13.5" x14ac:dyDescent="0.25">
      <c r="A491" s="878" t="s">
        <v>3965</v>
      </c>
      <c r="B491" s="878" t="s">
        <v>3966</v>
      </c>
      <c r="C491" s="879" t="s">
        <v>3706</v>
      </c>
      <c r="D491" s="880" t="s">
        <v>40340</v>
      </c>
    </row>
    <row r="492" spans="1:4" ht="13.5" x14ac:dyDescent="0.25">
      <c r="A492" s="878" t="s">
        <v>3967</v>
      </c>
      <c r="B492" s="878" t="s">
        <v>3968</v>
      </c>
      <c r="C492" s="879" t="s">
        <v>3706</v>
      </c>
      <c r="D492" s="880" t="s">
        <v>30803</v>
      </c>
    </row>
    <row r="493" spans="1:4" ht="13.5" x14ac:dyDescent="0.25">
      <c r="A493" s="878" t="s">
        <v>3970</v>
      </c>
      <c r="B493" s="878" t="s">
        <v>3971</v>
      </c>
      <c r="C493" s="879" t="s">
        <v>3706</v>
      </c>
      <c r="D493" s="880" t="s">
        <v>40341</v>
      </c>
    </row>
    <row r="494" spans="1:4" ht="13.5" x14ac:dyDescent="0.25">
      <c r="A494" s="878" t="s">
        <v>3972</v>
      </c>
      <c r="B494" s="878" t="s">
        <v>3973</v>
      </c>
      <c r="C494" s="879" t="s">
        <v>3706</v>
      </c>
      <c r="D494" s="880" t="s">
        <v>40342</v>
      </c>
    </row>
    <row r="495" spans="1:4" ht="13.5" x14ac:dyDescent="0.25">
      <c r="A495" s="878" t="s">
        <v>3974</v>
      </c>
      <c r="B495" s="878" t="s">
        <v>3975</v>
      </c>
      <c r="C495" s="879" t="s">
        <v>3706</v>
      </c>
      <c r="D495" s="880" t="s">
        <v>40343</v>
      </c>
    </row>
    <row r="496" spans="1:4" ht="13.5" x14ac:dyDescent="0.25">
      <c r="A496" s="878" t="s">
        <v>3976</v>
      </c>
      <c r="B496" s="878" t="s">
        <v>3977</v>
      </c>
      <c r="C496" s="879" t="s">
        <v>3706</v>
      </c>
      <c r="D496" s="880" t="s">
        <v>40344</v>
      </c>
    </row>
    <row r="497" spans="1:4" ht="13.5" x14ac:dyDescent="0.25">
      <c r="A497" s="878" t="s">
        <v>3978</v>
      </c>
      <c r="B497" s="878" t="s">
        <v>3979</v>
      </c>
      <c r="C497" s="879" t="s">
        <v>3706</v>
      </c>
      <c r="D497" s="880" t="s">
        <v>40345</v>
      </c>
    </row>
    <row r="498" spans="1:4" ht="13.5" x14ac:dyDescent="0.25">
      <c r="A498" s="878" t="s">
        <v>3980</v>
      </c>
      <c r="B498" s="878" t="s">
        <v>3981</v>
      </c>
      <c r="C498" s="879" t="s">
        <v>3706</v>
      </c>
      <c r="D498" s="880" t="s">
        <v>40346</v>
      </c>
    </row>
    <row r="499" spans="1:4" ht="13.5" x14ac:dyDescent="0.25">
      <c r="A499" s="878" t="s">
        <v>3982</v>
      </c>
      <c r="B499" s="878" t="s">
        <v>3983</v>
      </c>
      <c r="C499" s="879" t="s">
        <v>3706</v>
      </c>
      <c r="D499" s="880" t="s">
        <v>40347</v>
      </c>
    </row>
    <row r="500" spans="1:4" ht="13.5" x14ac:dyDescent="0.25">
      <c r="A500" s="878" t="s">
        <v>3984</v>
      </c>
      <c r="B500" s="878" t="s">
        <v>3985</v>
      </c>
      <c r="C500" s="879" t="s">
        <v>3706</v>
      </c>
      <c r="D500" s="880" t="s">
        <v>30542</v>
      </c>
    </row>
    <row r="501" spans="1:4" ht="13.5" x14ac:dyDescent="0.25">
      <c r="A501" s="878" t="s">
        <v>3986</v>
      </c>
      <c r="B501" s="878" t="s">
        <v>3987</v>
      </c>
      <c r="C501" s="879" t="s">
        <v>3706</v>
      </c>
      <c r="D501" s="880" t="s">
        <v>40348</v>
      </c>
    </row>
    <row r="502" spans="1:4" ht="13.5" x14ac:dyDescent="0.25">
      <c r="A502" s="878" t="s">
        <v>3988</v>
      </c>
      <c r="B502" s="878" t="s">
        <v>3989</v>
      </c>
      <c r="C502" s="879" t="s">
        <v>3706</v>
      </c>
      <c r="D502" s="880" t="s">
        <v>40349</v>
      </c>
    </row>
    <row r="503" spans="1:4" ht="13.5" x14ac:dyDescent="0.25">
      <c r="A503" s="878" t="s">
        <v>3990</v>
      </c>
      <c r="B503" s="878" t="s">
        <v>3991</v>
      </c>
      <c r="C503" s="879" t="s">
        <v>3706</v>
      </c>
      <c r="D503" s="880" t="s">
        <v>40350</v>
      </c>
    </row>
    <row r="504" spans="1:4" ht="13.5" x14ac:dyDescent="0.25">
      <c r="A504" s="878" t="s">
        <v>3992</v>
      </c>
      <c r="B504" s="878" t="s">
        <v>3993</v>
      </c>
      <c r="C504" s="879" t="s">
        <v>3706</v>
      </c>
      <c r="D504" s="880" t="s">
        <v>40351</v>
      </c>
    </row>
    <row r="505" spans="1:4" ht="13.5" x14ac:dyDescent="0.25">
      <c r="A505" s="878" t="s">
        <v>3994</v>
      </c>
      <c r="B505" s="878" t="s">
        <v>3995</v>
      </c>
      <c r="C505" s="879" t="s">
        <v>3706</v>
      </c>
      <c r="D505" s="880" t="s">
        <v>40352</v>
      </c>
    </row>
    <row r="506" spans="1:4" ht="13.5" x14ac:dyDescent="0.25">
      <c r="A506" s="878" t="s">
        <v>3996</v>
      </c>
      <c r="B506" s="878" t="s">
        <v>3997</v>
      </c>
      <c r="C506" s="879" t="s">
        <v>3706</v>
      </c>
      <c r="D506" s="880" t="s">
        <v>40353</v>
      </c>
    </row>
    <row r="507" spans="1:4" ht="13.5" x14ac:dyDescent="0.25">
      <c r="A507" s="878" t="s">
        <v>3998</v>
      </c>
      <c r="B507" s="878" t="s">
        <v>3999</v>
      </c>
      <c r="C507" s="879" t="s">
        <v>3706</v>
      </c>
      <c r="D507" s="880" t="s">
        <v>40354</v>
      </c>
    </row>
    <row r="508" spans="1:4" ht="13.5" x14ac:dyDescent="0.25">
      <c r="A508" s="878" t="s">
        <v>4000</v>
      </c>
      <c r="B508" s="878" t="s">
        <v>4001</v>
      </c>
      <c r="C508" s="879" t="s">
        <v>3706</v>
      </c>
      <c r="D508" s="880" t="s">
        <v>30349</v>
      </c>
    </row>
    <row r="509" spans="1:4" ht="13.5" x14ac:dyDescent="0.25">
      <c r="A509" s="878" t="s">
        <v>4003</v>
      </c>
      <c r="B509" s="878" t="s">
        <v>4004</v>
      </c>
      <c r="C509" s="879" t="s">
        <v>3706</v>
      </c>
      <c r="D509" s="880" t="s">
        <v>40355</v>
      </c>
    </row>
    <row r="510" spans="1:4" ht="13.5" x14ac:dyDescent="0.25">
      <c r="A510" s="878" t="s">
        <v>4006</v>
      </c>
      <c r="B510" s="878" t="s">
        <v>4007</v>
      </c>
      <c r="C510" s="879" t="s">
        <v>3706</v>
      </c>
      <c r="D510" s="880" t="s">
        <v>40356</v>
      </c>
    </row>
    <row r="511" spans="1:4" ht="13.5" x14ac:dyDescent="0.25">
      <c r="A511" s="878" t="s">
        <v>4008</v>
      </c>
      <c r="B511" s="878" t="s">
        <v>4009</v>
      </c>
      <c r="C511" s="879" t="s">
        <v>3706</v>
      </c>
      <c r="D511" s="881" t="s">
        <v>40357</v>
      </c>
    </row>
    <row r="512" spans="1:4" ht="13.5" x14ac:dyDescent="0.25">
      <c r="A512" s="878" t="s">
        <v>4010</v>
      </c>
      <c r="B512" s="878" t="s">
        <v>4011</v>
      </c>
      <c r="C512" s="879" t="s">
        <v>3706</v>
      </c>
      <c r="D512" s="880" t="s">
        <v>30271</v>
      </c>
    </row>
    <row r="513" spans="1:4" ht="13.5" x14ac:dyDescent="0.25">
      <c r="A513" s="878" t="s">
        <v>4012</v>
      </c>
      <c r="B513" s="878" t="s">
        <v>4013</v>
      </c>
      <c r="C513" s="879" t="s">
        <v>3706</v>
      </c>
      <c r="D513" s="880" t="s">
        <v>30272</v>
      </c>
    </row>
    <row r="514" spans="1:4" ht="13.5" x14ac:dyDescent="0.25">
      <c r="A514" s="878" t="s">
        <v>4015</v>
      </c>
      <c r="B514" s="878" t="s">
        <v>4016</v>
      </c>
      <c r="C514" s="879" t="s">
        <v>3706</v>
      </c>
      <c r="D514" s="880" t="s">
        <v>4920</v>
      </c>
    </row>
    <row r="515" spans="1:4" ht="13.5" x14ac:dyDescent="0.25">
      <c r="A515" s="878" t="s">
        <v>4018</v>
      </c>
      <c r="B515" s="878" t="s">
        <v>4019</v>
      </c>
      <c r="C515" s="879" t="s">
        <v>4020</v>
      </c>
      <c r="D515" s="880" t="s">
        <v>30273</v>
      </c>
    </row>
    <row r="516" spans="1:4" ht="13.5" x14ac:dyDescent="0.25">
      <c r="A516" s="878" t="s">
        <v>4021</v>
      </c>
      <c r="B516" s="878" t="s">
        <v>4022</v>
      </c>
      <c r="C516" s="879" t="s">
        <v>4020</v>
      </c>
      <c r="D516" s="880" t="s">
        <v>40358</v>
      </c>
    </row>
    <row r="517" spans="1:4" ht="13.5" x14ac:dyDescent="0.25">
      <c r="A517" s="878" t="s">
        <v>4023</v>
      </c>
      <c r="B517" s="878" t="s">
        <v>4024</v>
      </c>
      <c r="C517" s="879" t="s">
        <v>4020</v>
      </c>
      <c r="D517" s="880" t="s">
        <v>30910</v>
      </c>
    </row>
    <row r="518" spans="1:4" ht="13.5" x14ac:dyDescent="0.25">
      <c r="A518" s="878" t="s">
        <v>4025</v>
      </c>
      <c r="B518" s="878" t="s">
        <v>4026</v>
      </c>
      <c r="C518" s="879" t="s">
        <v>4020</v>
      </c>
      <c r="D518" s="880" t="s">
        <v>30759</v>
      </c>
    </row>
    <row r="519" spans="1:4" ht="13.5" x14ac:dyDescent="0.25">
      <c r="A519" s="878" t="s">
        <v>4027</v>
      </c>
      <c r="B519" s="878" t="s">
        <v>4028</v>
      </c>
      <c r="C519" s="879" t="s">
        <v>4020</v>
      </c>
      <c r="D519" s="880" t="s">
        <v>40359</v>
      </c>
    </row>
    <row r="520" spans="1:4" ht="13.5" x14ac:dyDescent="0.25">
      <c r="A520" s="878" t="s">
        <v>4029</v>
      </c>
      <c r="B520" s="878" t="s">
        <v>4030</v>
      </c>
      <c r="C520" s="879" t="s">
        <v>4020</v>
      </c>
      <c r="D520" s="880" t="s">
        <v>30429</v>
      </c>
    </row>
    <row r="521" spans="1:4" ht="13.5" x14ac:dyDescent="0.25">
      <c r="A521" s="878" t="s">
        <v>4032</v>
      </c>
      <c r="B521" s="878" t="s">
        <v>4033</v>
      </c>
      <c r="C521" s="879" t="s">
        <v>4020</v>
      </c>
      <c r="D521" s="880" t="s">
        <v>30274</v>
      </c>
    </row>
    <row r="522" spans="1:4" ht="13.5" x14ac:dyDescent="0.25">
      <c r="A522" s="878" t="s">
        <v>4035</v>
      </c>
      <c r="B522" s="878" t="s">
        <v>4036</v>
      </c>
      <c r="C522" s="879" t="s">
        <v>4020</v>
      </c>
      <c r="D522" s="880" t="s">
        <v>30275</v>
      </c>
    </row>
    <row r="523" spans="1:4" ht="13.5" x14ac:dyDescent="0.25">
      <c r="A523" s="878" t="s">
        <v>4037</v>
      </c>
      <c r="B523" s="878" t="s">
        <v>4038</v>
      </c>
      <c r="C523" s="879" t="s">
        <v>4020</v>
      </c>
      <c r="D523" s="880" t="s">
        <v>31328</v>
      </c>
    </row>
    <row r="524" spans="1:4" ht="13.5" x14ac:dyDescent="0.25">
      <c r="A524" s="878" t="s">
        <v>4039</v>
      </c>
      <c r="B524" s="878" t="s">
        <v>4040</v>
      </c>
      <c r="C524" s="879" t="s">
        <v>4020</v>
      </c>
      <c r="D524" s="880" t="s">
        <v>31283</v>
      </c>
    </row>
    <row r="525" spans="1:4" ht="13.5" x14ac:dyDescent="0.25">
      <c r="A525" s="878" t="s">
        <v>4042</v>
      </c>
      <c r="B525" s="878" t="s">
        <v>4043</v>
      </c>
      <c r="C525" s="879" t="s">
        <v>4020</v>
      </c>
      <c r="D525" s="880" t="s">
        <v>30276</v>
      </c>
    </row>
    <row r="526" spans="1:4" ht="13.5" x14ac:dyDescent="0.25">
      <c r="A526" s="878" t="s">
        <v>4044</v>
      </c>
      <c r="B526" s="878" t="s">
        <v>4045</v>
      </c>
      <c r="C526" s="879" t="s">
        <v>4020</v>
      </c>
      <c r="D526" s="880" t="s">
        <v>11954</v>
      </c>
    </row>
    <row r="527" spans="1:4" ht="13.5" x14ac:dyDescent="0.25">
      <c r="A527" s="878" t="s">
        <v>4046</v>
      </c>
      <c r="B527" s="878" t="s">
        <v>4047</v>
      </c>
      <c r="C527" s="879" t="s">
        <v>4020</v>
      </c>
      <c r="D527" s="880" t="s">
        <v>30277</v>
      </c>
    </row>
    <row r="528" spans="1:4" ht="13.5" x14ac:dyDescent="0.25">
      <c r="A528" s="878" t="s">
        <v>4048</v>
      </c>
      <c r="B528" s="878" t="s">
        <v>4049</v>
      </c>
      <c r="C528" s="879" t="s">
        <v>4020</v>
      </c>
      <c r="D528" s="880" t="s">
        <v>30250</v>
      </c>
    </row>
    <row r="529" spans="1:4" ht="13.5" x14ac:dyDescent="0.25">
      <c r="A529" s="878" t="s">
        <v>4050</v>
      </c>
      <c r="B529" s="878" t="s">
        <v>4051</v>
      </c>
      <c r="C529" s="879" t="s">
        <v>4020</v>
      </c>
      <c r="D529" s="880" t="s">
        <v>3346</v>
      </c>
    </row>
    <row r="530" spans="1:4" ht="13.5" x14ac:dyDescent="0.25">
      <c r="A530" s="878" t="s">
        <v>4053</v>
      </c>
      <c r="B530" s="878" t="s">
        <v>4054</v>
      </c>
      <c r="C530" s="879" t="s">
        <v>4020</v>
      </c>
      <c r="D530" s="880" t="s">
        <v>40360</v>
      </c>
    </row>
    <row r="531" spans="1:4" ht="13.5" x14ac:dyDescent="0.25">
      <c r="A531" s="878" t="s">
        <v>4055</v>
      </c>
      <c r="B531" s="878" t="s">
        <v>4056</v>
      </c>
      <c r="C531" s="879" t="s">
        <v>4020</v>
      </c>
      <c r="D531" s="880" t="s">
        <v>40361</v>
      </c>
    </row>
    <row r="532" spans="1:4" ht="13.5" x14ac:dyDescent="0.25">
      <c r="A532" s="878" t="s">
        <v>4057</v>
      </c>
      <c r="B532" s="878" t="s">
        <v>4058</v>
      </c>
      <c r="C532" s="879" t="s">
        <v>4020</v>
      </c>
      <c r="D532" s="880" t="s">
        <v>40362</v>
      </c>
    </row>
    <row r="533" spans="1:4" ht="13.5" x14ac:dyDescent="0.25">
      <c r="A533" s="878" t="s">
        <v>4059</v>
      </c>
      <c r="B533" s="878" t="s">
        <v>4060</v>
      </c>
      <c r="C533" s="879" t="s">
        <v>4020</v>
      </c>
      <c r="D533" s="880" t="s">
        <v>30279</v>
      </c>
    </row>
    <row r="534" spans="1:4" ht="13.5" x14ac:dyDescent="0.25">
      <c r="A534" s="878" t="s">
        <v>4061</v>
      </c>
      <c r="B534" s="878" t="s">
        <v>4062</v>
      </c>
      <c r="C534" s="879" t="s">
        <v>4020</v>
      </c>
      <c r="D534" s="880" t="s">
        <v>30280</v>
      </c>
    </row>
    <row r="535" spans="1:4" ht="13.5" x14ac:dyDescent="0.25">
      <c r="A535" s="878" t="s">
        <v>4063</v>
      </c>
      <c r="B535" s="878" t="s">
        <v>4064</v>
      </c>
      <c r="C535" s="879" t="s">
        <v>4020</v>
      </c>
      <c r="D535" s="880" t="s">
        <v>30281</v>
      </c>
    </row>
    <row r="536" spans="1:4" ht="13.5" x14ac:dyDescent="0.25">
      <c r="A536" s="878" t="s">
        <v>4065</v>
      </c>
      <c r="B536" s="878" t="s">
        <v>4066</v>
      </c>
      <c r="C536" s="879" t="s">
        <v>4020</v>
      </c>
      <c r="D536" s="880" t="s">
        <v>40363</v>
      </c>
    </row>
    <row r="537" spans="1:4" ht="13.5" x14ac:dyDescent="0.25">
      <c r="A537" s="878" t="s">
        <v>4067</v>
      </c>
      <c r="B537" s="878" t="s">
        <v>4068</v>
      </c>
      <c r="C537" s="879" t="s">
        <v>4020</v>
      </c>
      <c r="D537" s="880" t="s">
        <v>30282</v>
      </c>
    </row>
    <row r="538" spans="1:4" ht="13.5" x14ac:dyDescent="0.25">
      <c r="A538" s="878" t="s">
        <v>4069</v>
      </c>
      <c r="B538" s="878" t="s">
        <v>4070</v>
      </c>
      <c r="C538" s="879" t="s">
        <v>4020</v>
      </c>
      <c r="D538" s="880" t="s">
        <v>3906</v>
      </c>
    </row>
    <row r="539" spans="1:4" ht="13.5" x14ac:dyDescent="0.25">
      <c r="A539" s="878" t="s">
        <v>4072</v>
      </c>
      <c r="B539" s="878" t="s">
        <v>4073</v>
      </c>
      <c r="C539" s="879" t="s">
        <v>4020</v>
      </c>
      <c r="D539" s="880" t="s">
        <v>3563</v>
      </c>
    </row>
    <row r="540" spans="1:4" ht="13.5" x14ac:dyDescent="0.25">
      <c r="A540" s="878" t="s">
        <v>4074</v>
      </c>
      <c r="B540" s="878" t="s">
        <v>4075</v>
      </c>
      <c r="C540" s="879" t="s">
        <v>4020</v>
      </c>
      <c r="D540" s="880" t="s">
        <v>40364</v>
      </c>
    </row>
    <row r="541" spans="1:4" ht="13.5" x14ac:dyDescent="0.25">
      <c r="A541" s="878" t="s">
        <v>4076</v>
      </c>
      <c r="B541" s="878" t="s">
        <v>4077</v>
      </c>
      <c r="C541" s="879" t="s">
        <v>4020</v>
      </c>
      <c r="D541" s="880" t="s">
        <v>40365</v>
      </c>
    </row>
    <row r="542" spans="1:4" ht="13.5" x14ac:dyDescent="0.25">
      <c r="A542" s="878" t="s">
        <v>4078</v>
      </c>
      <c r="B542" s="878" t="s">
        <v>4079</v>
      </c>
      <c r="C542" s="879" t="s">
        <v>4020</v>
      </c>
      <c r="D542" s="880" t="s">
        <v>40366</v>
      </c>
    </row>
    <row r="543" spans="1:4" ht="13.5" x14ac:dyDescent="0.25">
      <c r="A543" s="878" t="s">
        <v>4080</v>
      </c>
      <c r="B543" s="878" t="s">
        <v>4081</v>
      </c>
      <c r="C543" s="879" t="s">
        <v>4020</v>
      </c>
      <c r="D543" s="880" t="s">
        <v>40367</v>
      </c>
    </row>
    <row r="544" spans="1:4" ht="13.5" x14ac:dyDescent="0.25">
      <c r="A544" s="878" t="s">
        <v>4083</v>
      </c>
      <c r="B544" s="878" t="s">
        <v>4084</v>
      </c>
      <c r="C544" s="879" t="s">
        <v>4020</v>
      </c>
      <c r="D544" s="880" t="s">
        <v>3119</v>
      </c>
    </row>
    <row r="545" spans="1:4" ht="13.5" x14ac:dyDescent="0.25">
      <c r="A545" s="878" t="s">
        <v>4085</v>
      </c>
      <c r="B545" s="878" t="s">
        <v>4086</v>
      </c>
      <c r="C545" s="879" t="s">
        <v>4020</v>
      </c>
      <c r="D545" s="880" t="s">
        <v>15678</v>
      </c>
    </row>
    <row r="546" spans="1:4" ht="13.5" x14ac:dyDescent="0.25">
      <c r="A546" s="878" t="s">
        <v>4087</v>
      </c>
      <c r="B546" s="878" t="s">
        <v>4088</v>
      </c>
      <c r="C546" s="879" t="s">
        <v>4020</v>
      </c>
      <c r="D546" s="880" t="s">
        <v>30274</v>
      </c>
    </row>
    <row r="547" spans="1:4" ht="13.5" x14ac:dyDescent="0.25">
      <c r="A547" s="878" t="s">
        <v>4089</v>
      </c>
      <c r="B547" s="878" t="s">
        <v>4090</v>
      </c>
      <c r="C547" s="879" t="s">
        <v>4020</v>
      </c>
      <c r="D547" s="880" t="s">
        <v>40368</v>
      </c>
    </row>
    <row r="548" spans="1:4" ht="13.5" x14ac:dyDescent="0.25">
      <c r="A548" s="878" t="s">
        <v>4091</v>
      </c>
      <c r="B548" s="878" t="s">
        <v>4092</v>
      </c>
      <c r="C548" s="879" t="s">
        <v>4020</v>
      </c>
      <c r="D548" s="880" t="s">
        <v>40369</v>
      </c>
    </row>
    <row r="549" spans="1:4" ht="13.5" x14ac:dyDescent="0.25">
      <c r="A549" s="878" t="s">
        <v>4094</v>
      </c>
      <c r="B549" s="878" t="s">
        <v>4095</v>
      </c>
      <c r="C549" s="879" t="s">
        <v>4020</v>
      </c>
      <c r="D549" s="880" t="s">
        <v>17367</v>
      </c>
    </row>
    <row r="550" spans="1:4" ht="13.5" x14ac:dyDescent="0.25">
      <c r="A550" s="878" t="s">
        <v>4097</v>
      </c>
      <c r="B550" s="878" t="s">
        <v>4098</v>
      </c>
      <c r="C550" s="879" t="s">
        <v>4020</v>
      </c>
      <c r="D550" s="880" t="s">
        <v>40370</v>
      </c>
    </row>
    <row r="551" spans="1:4" ht="13.5" x14ac:dyDescent="0.25">
      <c r="A551" s="878" t="s">
        <v>4099</v>
      </c>
      <c r="B551" s="878" t="s">
        <v>4100</v>
      </c>
      <c r="C551" s="879" t="s">
        <v>4020</v>
      </c>
      <c r="D551" s="880" t="s">
        <v>30284</v>
      </c>
    </row>
    <row r="552" spans="1:4" ht="13.5" x14ac:dyDescent="0.25">
      <c r="A552" s="878" t="s">
        <v>4101</v>
      </c>
      <c r="B552" s="878" t="s">
        <v>4102</v>
      </c>
      <c r="C552" s="879" t="s">
        <v>4020</v>
      </c>
      <c r="D552" s="880" t="s">
        <v>9133</v>
      </c>
    </row>
    <row r="553" spans="1:4" ht="13.5" x14ac:dyDescent="0.25">
      <c r="A553" s="878" t="s">
        <v>4103</v>
      </c>
      <c r="B553" s="878" t="s">
        <v>4104</v>
      </c>
      <c r="C553" s="879" t="s">
        <v>4020</v>
      </c>
      <c r="D553" s="880" t="s">
        <v>5989</v>
      </c>
    </row>
    <row r="554" spans="1:4" ht="13.5" x14ac:dyDescent="0.25">
      <c r="A554" s="878" t="s">
        <v>4105</v>
      </c>
      <c r="B554" s="878" t="s">
        <v>4106</v>
      </c>
      <c r="C554" s="879" t="s">
        <v>4020</v>
      </c>
      <c r="D554" s="880" t="s">
        <v>30285</v>
      </c>
    </row>
    <row r="555" spans="1:4" ht="13.5" x14ac:dyDescent="0.25">
      <c r="A555" s="878" t="s">
        <v>4107</v>
      </c>
      <c r="B555" s="878" t="s">
        <v>4108</v>
      </c>
      <c r="C555" s="879" t="s">
        <v>4020</v>
      </c>
      <c r="D555" s="880" t="s">
        <v>40371</v>
      </c>
    </row>
    <row r="556" spans="1:4" ht="13.5" x14ac:dyDescent="0.25">
      <c r="A556" s="878" t="s">
        <v>4109</v>
      </c>
      <c r="B556" s="878" t="s">
        <v>4110</v>
      </c>
      <c r="C556" s="879" t="s">
        <v>4020</v>
      </c>
      <c r="D556" s="880" t="s">
        <v>4592</v>
      </c>
    </row>
    <row r="557" spans="1:4" ht="13.5" x14ac:dyDescent="0.25">
      <c r="A557" s="878" t="s">
        <v>4111</v>
      </c>
      <c r="B557" s="878" t="s">
        <v>4112</v>
      </c>
      <c r="C557" s="879" t="s">
        <v>4020</v>
      </c>
      <c r="D557" s="880" t="s">
        <v>16995</v>
      </c>
    </row>
    <row r="558" spans="1:4" ht="13.5" x14ac:dyDescent="0.25">
      <c r="A558" s="878" t="s">
        <v>4113</v>
      </c>
      <c r="B558" s="878" t="s">
        <v>4114</v>
      </c>
      <c r="C558" s="879" t="s">
        <v>4020</v>
      </c>
      <c r="D558" s="880" t="s">
        <v>30197</v>
      </c>
    </row>
    <row r="559" spans="1:4" ht="13.5" x14ac:dyDescent="0.25">
      <c r="A559" s="878" t="s">
        <v>4116</v>
      </c>
      <c r="B559" s="878" t="s">
        <v>4117</v>
      </c>
      <c r="C559" s="879" t="s">
        <v>4020</v>
      </c>
      <c r="D559" s="880" t="s">
        <v>40372</v>
      </c>
    </row>
    <row r="560" spans="1:4" ht="13.5" x14ac:dyDescent="0.25">
      <c r="A560" s="878" t="s">
        <v>4118</v>
      </c>
      <c r="B560" s="878" t="s">
        <v>4119</v>
      </c>
      <c r="C560" s="879" t="s">
        <v>4020</v>
      </c>
      <c r="D560" s="880" t="s">
        <v>30363</v>
      </c>
    </row>
    <row r="561" spans="1:4" ht="13.5" x14ac:dyDescent="0.25">
      <c r="A561" s="878" t="s">
        <v>4121</v>
      </c>
      <c r="B561" s="878" t="s">
        <v>4122</v>
      </c>
      <c r="C561" s="879" t="s">
        <v>4020</v>
      </c>
      <c r="D561" s="880" t="s">
        <v>17367</v>
      </c>
    </row>
    <row r="562" spans="1:4" ht="13.5" x14ac:dyDescent="0.25">
      <c r="A562" s="878" t="s">
        <v>4123</v>
      </c>
      <c r="B562" s="878" t="s">
        <v>4124</v>
      </c>
      <c r="C562" s="879" t="s">
        <v>4020</v>
      </c>
      <c r="D562" s="880" t="s">
        <v>30289</v>
      </c>
    </row>
    <row r="563" spans="1:4" ht="13.5" x14ac:dyDescent="0.25">
      <c r="A563" s="878" t="s">
        <v>4125</v>
      </c>
      <c r="B563" s="878" t="s">
        <v>4126</v>
      </c>
      <c r="C563" s="879" t="s">
        <v>4020</v>
      </c>
      <c r="D563" s="880" t="s">
        <v>30290</v>
      </c>
    </row>
    <row r="564" spans="1:4" ht="13.5" x14ac:dyDescent="0.25">
      <c r="A564" s="878" t="s">
        <v>4127</v>
      </c>
      <c r="B564" s="878" t="s">
        <v>4128</v>
      </c>
      <c r="C564" s="879" t="s">
        <v>4020</v>
      </c>
      <c r="D564" s="880" t="s">
        <v>30429</v>
      </c>
    </row>
    <row r="565" spans="1:4" ht="13.5" x14ac:dyDescent="0.25">
      <c r="A565" s="878" t="s">
        <v>4129</v>
      </c>
      <c r="B565" s="878" t="s">
        <v>4130</v>
      </c>
      <c r="C565" s="879" t="s">
        <v>4020</v>
      </c>
      <c r="D565" s="880" t="s">
        <v>30458</v>
      </c>
    </row>
    <row r="566" spans="1:4" ht="13.5" x14ac:dyDescent="0.25">
      <c r="A566" s="878" t="s">
        <v>4131</v>
      </c>
      <c r="B566" s="878" t="s">
        <v>4132</v>
      </c>
      <c r="C566" s="879" t="s">
        <v>4020</v>
      </c>
      <c r="D566" s="880" t="s">
        <v>30291</v>
      </c>
    </row>
    <row r="567" spans="1:4" ht="13.5" x14ac:dyDescent="0.25">
      <c r="A567" s="878" t="s">
        <v>4133</v>
      </c>
      <c r="B567" s="878" t="s">
        <v>4134</v>
      </c>
      <c r="C567" s="879" t="s">
        <v>4020</v>
      </c>
      <c r="D567" s="880" t="s">
        <v>9192</v>
      </c>
    </row>
    <row r="568" spans="1:4" ht="13.5" x14ac:dyDescent="0.25">
      <c r="A568" s="878" t="s">
        <v>4136</v>
      </c>
      <c r="B568" s="878" t="s">
        <v>4137</v>
      </c>
      <c r="C568" s="879" t="s">
        <v>4020</v>
      </c>
      <c r="D568" s="880" t="s">
        <v>30292</v>
      </c>
    </row>
    <row r="569" spans="1:4" ht="13.5" x14ac:dyDescent="0.25">
      <c r="A569" s="878" t="s">
        <v>4139</v>
      </c>
      <c r="B569" s="878" t="s">
        <v>4140</v>
      </c>
      <c r="C569" s="879" t="s">
        <v>4020</v>
      </c>
      <c r="D569" s="880" t="s">
        <v>16937</v>
      </c>
    </row>
    <row r="570" spans="1:4" ht="13.5" x14ac:dyDescent="0.25">
      <c r="A570" s="878" t="s">
        <v>4141</v>
      </c>
      <c r="B570" s="878" t="s">
        <v>4142</v>
      </c>
      <c r="C570" s="879" t="s">
        <v>4020</v>
      </c>
      <c r="D570" s="880" t="s">
        <v>40373</v>
      </c>
    </row>
    <row r="571" spans="1:4" ht="13.5" x14ac:dyDescent="0.25">
      <c r="A571" s="878" t="s">
        <v>4143</v>
      </c>
      <c r="B571" s="878" t="s">
        <v>4144</v>
      </c>
      <c r="C571" s="879" t="s">
        <v>4020</v>
      </c>
      <c r="D571" s="880" t="s">
        <v>40374</v>
      </c>
    </row>
    <row r="572" spans="1:4" ht="13.5" x14ac:dyDescent="0.25">
      <c r="A572" s="878" t="s">
        <v>4145</v>
      </c>
      <c r="B572" s="878" t="s">
        <v>4146</v>
      </c>
      <c r="C572" s="879" t="s">
        <v>4020</v>
      </c>
      <c r="D572" s="880" t="s">
        <v>40375</v>
      </c>
    </row>
    <row r="573" spans="1:4" ht="13.5" x14ac:dyDescent="0.25">
      <c r="A573" s="878" t="s">
        <v>4147</v>
      </c>
      <c r="B573" s="878" t="s">
        <v>4148</v>
      </c>
      <c r="C573" s="879" t="s">
        <v>4020</v>
      </c>
      <c r="D573" s="880" t="s">
        <v>30820</v>
      </c>
    </row>
    <row r="574" spans="1:4" ht="13.5" x14ac:dyDescent="0.25">
      <c r="A574" s="878" t="s">
        <v>4149</v>
      </c>
      <c r="B574" s="878" t="s">
        <v>4150</v>
      </c>
      <c r="C574" s="879" t="s">
        <v>4020</v>
      </c>
      <c r="D574" s="880" t="s">
        <v>30294</v>
      </c>
    </row>
    <row r="575" spans="1:4" ht="13.5" x14ac:dyDescent="0.25">
      <c r="A575" s="878" t="s">
        <v>4151</v>
      </c>
      <c r="B575" s="878" t="s">
        <v>4152</v>
      </c>
      <c r="C575" s="879" t="s">
        <v>4020</v>
      </c>
      <c r="D575" s="880" t="s">
        <v>17002</v>
      </c>
    </row>
    <row r="576" spans="1:4" ht="13.5" x14ac:dyDescent="0.25">
      <c r="A576" s="878" t="s">
        <v>4153</v>
      </c>
      <c r="B576" s="878" t="s">
        <v>4154</v>
      </c>
      <c r="C576" s="879" t="s">
        <v>4020</v>
      </c>
      <c r="D576" s="880" t="s">
        <v>40376</v>
      </c>
    </row>
    <row r="577" spans="1:4" ht="13.5" x14ac:dyDescent="0.25">
      <c r="A577" s="878" t="s">
        <v>4155</v>
      </c>
      <c r="B577" s="878" t="s">
        <v>4156</v>
      </c>
      <c r="C577" s="879" t="s">
        <v>4020</v>
      </c>
      <c r="D577" s="880" t="s">
        <v>40377</v>
      </c>
    </row>
    <row r="578" spans="1:4" ht="13.5" x14ac:dyDescent="0.25">
      <c r="A578" s="878" t="s">
        <v>4157</v>
      </c>
      <c r="B578" s="878" t="s">
        <v>4158</v>
      </c>
      <c r="C578" s="879" t="s">
        <v>4020</v>
      </c>
      <c r="D578" s="880" t="s">
        <v>4283</v>
      </c>
    </row>
    <row r="579" spans="1:4" ht="13.5" x14ac:dyDescent="0.25">
      <c r="A579" s="878" t="s">
        <v>4160</v>
      </c>
      <c r="B579" s="878" t="s">
        <v>4161</v>
      </c>
      <c r="C579" s="879" t="s">
        <v>4020</v>
      </c>
      <c r="D579" s="880" t="s">
        <v>40378</v>
      </c>
    </row>
    <row r="580" spans="1:4" ht="13.5" x14ac:dyDescent="0.25">
      <c r="A580" s="878" t="s">
        <v>4163</v>
      </c>
      <c r="B580" s="878" t="s">
        <v>4164</v>
      </c>
      <c r="C580" s="879" t="s">
        <v>4020</v>
      </c>
      <c r="D580" s="880" t="s">
        <v>30295</v>
      </c>
    </row>
    <row r="581" spans="1:4" ht="13.5" x14ac:dyDescent="0.25">
      <c r="A581" s="878" t="s">
        <v>4165</v>
      </c>
      <c r="B581" s="878" t="s">
        <v>4166</v>
      </c>
      <c r="C581" s="879" t="s">
        <v>4020</v>
      </c>
      <c r="D581" s="880" t="s">
        <v>30297</v>
      </c>
    </row>
    <row r="582" spans="1:4" ht="13.5" x14ac:dyDescent="0.25">
      <c r="A582" s="878" t="s">
        <v>4167</v>
      </c>
      <c r="B582" s="878" t="s">
        <v>4168</v>
      </c>
      <c r="C582" s="879" t="s">
        <v>4020</v>
      </c>
      <c r="D582" s="880" t="s">
        <v>30189</v>
      </c>
    </row>
    <row r="583" spans="1:4" ht="13.5" x14ac:dyDescent="0.25">
      <c r="A583" s="878" t="s">
        <v>4169</v>
      </c>
      <c r="B583" s="878" t="s">
        <v>4170</v>
      </c>
      <c r="C583" s="879" t="s">
        <v>4020</v>
      </c>
      <c r="D583" s="880" t="s">
        <v>31299</v>
      </c>
    </row>
    <row r="584" spans="1:4" ht="13.5" x14ac:dyDescent="0.25">
      <c r="A584" s="878" t="s">
        <v>4171</v>
      </c>
      <c r="B584" s="878" t="s">
        <v>4172</v>
      </c>
      <c r="C584" s="879" t="s">
        <v>4020</v>
      </c>
      <c r="D584" s="880" t="s">
        <v>30367</v>
      </c>
    </row>
    <row r="585" spans="1:4" ht="13.5" x14ac:dyDescent="0.25">
      <c r="A585" s="878" t="s">
        <v>4174</v>
      </c>
      <c r="B585" s="878" t="s">
        <v>4175</v>
      </c>
      <c r="C585" s="879" t="s">
        <v>4020</v>
      </c>
      <c r="D585" s="880" t="s">
        <v>40379</v>
      </c>
    </row>
    <row r="586" spans="1:4" ht="13.5" x14ac:dyDescent="0.25">
      <c r="A586" s="878" t="s">
        <v>4176</v>
      </c>
      <c r="B586" s="878" t="s">
        <v>4177</v>
      </c>
      <c r="C586" s="879" t="s">
        <v>4020</v>
      </c>
      <c r="D586" s="880" t="s">
        <v>40380</v>
      </c>
    </row>
    <row r="587" spans="1:4" ht="13.5" x14ac:dyDescent="0.25">
      <c r="A587" s="878" t="s">
        <v>4178</v>
      </c>
      <c r="B587" s="878" t="s">
        <v>4179</v>
      </c>
      <c r="C587" s="879" t="s">
        <v>4020</v>
      </c>
      <c r="D587" s="880" t="s">
        <v>30298</v>
      </c>
    </row>
    <row r="588" spans="1:4" ht="13.5" x14ac:dyDescent="0.25">
      <c r="A588" s="878" t="s">
        <v>4180</v>
      </c>
      <c r="B588" s="878" t="s">
        <v>4181</v>
      </c>
      <c r="C588" s="879" t="s">
        <v>4020</v>
      </c>
      <c r="D588" s="880" t="s">
        <v>30299</v>
      </c>
    </row>
    <row r="589" spans="1:4" ht="13.5" x14ac:dyDescent="0.25">
      <c r="A589" s="878" t="s">
        <v>4182</v>
      </c>
      <c r="B589" s="878" t="s">
        <v>4183</v>
      </c>
      <c r="C589" s="879" t="s">
        <v>4020</v>
      </c>
      <c r="D589" s="880" t="s">
        <v>30300</v>
      </c>
    </row>
    <row r="590" spans="1:4" ht="13.5" x14ac:dyDescent="0.25">
      <c r="A590" s="878" t="s">
        <v>4184</v>
      </c>
      <c r="B590" s="878" t="s">
        <v>4185</v>
      </c>
      <c r="C590" s="879" t="s">
        <v>4020</v>
      </c>
      <c r="D590" s="880" t="s">
        <v>30301</v>
      </c>
    </row>
    <row r="591" spans="1:4" ht="13.5" x14ac:dyDescent="0.25">
      <c r="A591" s="878" t="s">
        <v>4186</v>
      </c>
      <c r="B591" s="878" t="s">
        <v>4187</v>
      </c>
      <c r="C591" s="879" t="s">
        <v>4020</v>
      </c>
      <c r="D591" s="880" t="s">
        <v>40381</v>
      </c>
    </row>
    <row r="592" spans="1:4" ht="13.5" x14ac:dyDescent="0.25">
      <c r="A592" s="878" t="s">
        <v>4188</v>
      </c>
      <c r="B592" s="878" t="s">
        <v>4189</v>
      </c>
      <c r="C592" s="879" t="s">
        <v>4020</v>
      </c>
      <c r="D592" s="880" t="s">
        <v>40382</v>
      </c>
    </row>
    <row r="593" spans="1:4" ht="13.5" x14ac:dyDescent="0.25">
      <c r="A593" s="878" t="s">
        <v>4190</v>
      </c>
      <c r="B593" s="878" t="s">
        <v>4191</v>
      </c>
      <c r="C593" s="879" t="s">
        <v>4020</v>
      </c>
      <c r="D593" s="880" t="s">
        <v>40383</v>
      </c>
    </row>
    <row r="594" spans="1:4" ht="13.5" x14ac:dyDescent="0.25">
      <c r="A594" s="878" t="s">
        <v>4192</v>
      </c>
      <c r="B594" s="878" t="s">
        <v>4193</v>
      </c>
      <c r="C594" s="879" t="s">
        <v>4020</v>
      </c>
      <c r="D594" s="880" t="s">
        <v>40384</v>
      </c>
    </row>
    <row r="595" spans="1:4" ht="13.5" x14ac:dyDescent="0.25">
      <c r="A595" s="878" t="s">
        <v>4194</v>
      </c>
      <c r="B595" s="878" t="s">
        <v>4195</v>
      </c>
      <c r="C595" s="879" t="s">
        <v>4020</v>
      </c>
      <c r="D595" s="880" t="s">
        <v>30304</v>
      </c>
    </row>
    <row r="596" spans="1:4" ht="13.5" x14ac:dyDescent="0.25">
      <c r="A596" s="878" t="s">
        <v>4196</v>
      </c>
      <c r="B596" s="878" t="s">
        <v>4197</v>
      </c>
      <c r="C596" s="879" t="s">
        <v>4020</v>
      </c>
      <c r="D596" s="880" t="s">
        <v>5222</v>
      </c>
    </row>
    <row r="597" spans="1:4" ht="13.5" x14ac:dyDescent="0.25">
      <c r="A597" s="878" t="s">
        <v>4199</v>
      </c>
      <c r="B597" s="878" t="s">
        <v>4200</v>
      </c>
      <c r="C597" s="879" t="s">
        <v>4020</v>
      </c>
      <c r="D597" s="880" t="s">
        <v>40385</v>
      </c>
    </row>
    <row r="598" spans="1:4" ht="13.5" x14ac:dyDescent="0.25">
      <c r="A598" s="878" t="s">
        <v>4201</v>
      </c>
      <c r="B598" s="878" t="s">
        <v>4202</v>
      </c>
      <c r="C598" s="879" t="s">
        <v>4020</v>
      </c>
      <c r="D598" s="880" t="s">
        <v>30306</v>
      </c>
    </row>
    <row r="599" spans="1:4" ht="13.5" x14ac:dyDescent="0.25">
      <c r="A599" s="878" t="s">
        <v>4203</v>
      </c>
      <c r="B599" s="878" t="s">
        <v>4204</v>
      </c>
      <c r="C599" s="879" t="s">
        <v>4020</v>
      </c>
      <c r="D599" s="880" t="s">
        <v>30307</v>
      </c>
    </row>
    <row r="600" spans="1:4" ht="13.5" x14ac:dyDescent="0.25">
      <c r="A600" s="878" t="s">
        <v>4205</v>
      </c>
      <c r="B600" s="878" t="s">
        <v>4206</v>
      </c>
      <c r="C600" s="879" t="s">
        <v>4020</v>
      </c>
      <c r="D600" s="880" t="s">
        <v>30308</v>
      </c>
    </row>
    <row r="601" spans="1:4" ht="13.5" x14ac:dyDescent="0.25">
      <c r="A601" s="878" t="s">
        <v>4207</v>
      </c>
      <c r="B601" s="878" t="s">
        <v>4208</v>
      </c>
      <c r="C601" s="879" t="s">
        <v>4020</v>
      </c>
      <c r="D601" s="880" t="s">
        <v>40386</v>
      </c>
    </row>
    <row r="602" spans="1:4" ht="13.5" x14ac:dyDescent="0.25">
      <c r="A602" s="878" t="s">
        <v>4209</v>
      </c>
      <c r="B602" s="878" t="s">
        <v>4210</v>
      </c>
      <c r="C602" s="879" t="s">
        <v>4020</v>
      </c>
      <c r="D602" s="880" t="s">
        <v>30309</v>
      </c>
    </row>
    <row r="603" spans="1:4" ht="13.5" x14ac:dyDescent="0.25">
      <c r="A603" s="878" t="s">
        <v>4211</v>
      </c>
      <c r="B603" s="878" t="s">
        <v>4212</v>
      </c>
      <c r="C603" s="879" t="s">
        <v>4020</v>
      </c>
      <c r="D603" s="880" t="s">
        <v>40387</v>
      </c>
    </row>
    <row r="604" spans="1:4" ht="13.5" x14ac:dyDescent="0.25">
      <c r="A604" s="878" t="s">
        <v>4213</v>
      </c>
      <c r="B604" s="878" t="s">
        <v>4214</v>
      </c>
      <c r="C604" s="879" t="s">
        <v>4020</v>
      </c>
      <c r="D604" s="880" t="s">
        <v>15000</v>
      </c>
    </row>
    <row r="605" spans="1:4" ht="13.5" x14ac:dyDescent="0.25">
      <c r="A605" s="878" t="s">
        <v>4215</v>
      </c>
      <c r="B605" s="878" t="s">
        <v>4216</v>
      </c>
      <c r="C605" s="879" t="s">
        <v>4020</v>
      </c>
      <c r="D605" s="880" t="s">
        <v>10655</v>
      </c>
    </row>
    <row r="606" spans="1:4" ht="13.5" x14ac:dyDescent="0.25">
      <c r="A606" s="878" t="s">
        <v>4217</v>
      </c>
      <c r="B606" s="878" t="s">
        <v>4218</v>
      </c>
      <c r="C606" s="879" t="s">
        <v>4020</v>
      </c>
      <c r="D606" s="880" t="s">
        <v>30310</v>
      </c>
    </row>
    <row r="607" spans="1:4" ht="13.5" x14ac:dyDescent="0.25">
      <c r="A607" s="878" t="s">
        <v>4219</v>
      </c>
      <c r="B607" s="878" t="s">
        <v>4220</v>
      </c>
      <c r="C607" s="879" t="s">
        <v>4020</v>
      </c>
      <c r="D607" s="880" t="s">
        <v>31161</v>
      </c>
    </row>
    <row r="608" spans="1:4" ht="13.5" x14ac:dyDescent="0.25">
      <c r="A608" s="878" t="s">
        <v>4222</v>
      </c>
      <c r="B608" s="878" t="s">
        <v>4223</v>
      </c>
      <c r="C608" s="879" t="s">
        <v>4020</v>
      </c>
      <c r="D608" s="880" t="s">
        <v>40388</v>
      </c>
    </row>
    <row r="609" spans="1:4" ht="13.5" x14ac:dyDescent="0.25">
      <c r="A609" s="878" t="s">
        <v>4225</v>
      </c>
      <c r="B609" s="878" t="s">
        <v>4226</v>
      </c>
      <c r="C609" s="879" t="s">
        <v>4020</v>
      </c>
      <c r="D609" s="880" t="s">
        <v>40389</v>
      </c>
    </row>
    <row r="610" spans="1:4" ht="13.5" x14ac:dyDescent="0.25">
      <c r="A610" s="878" t="s">
        <v>4227</v>
      </c>
      <c r="B610" s="878" t="s">
        <v>4228</v>
      </c>
      <c r="C610" s="879" t="s">
        <v>4020</v>
      </c>
      <c r="D610" s="880" t="s">
        <v>40390</v>
      </c>
    </row>
    <row r="611" spans="1:4" ht="13.5" x14ac:dyDescent="0.25">
      <c r="A611" s="878" t="s">
        <v>4229</v>
      </c>
      <c r="B611" s="878" t="s">
        <v>4230</v>
      </c>
      <c r="C611" s="879" t="s">
        <v>4020</v>
      </c>
      <c r="D611" s="880" t="s">
        <v>40391</v>
      </c>
    </row>
    <row r="612" spans="1:4" ht="13.5" x14ac:dyDescent="0.25">
      <c r="A612" s="878" t="s">
        <v>4231</v>
      </c>
      <c r="B612" s="878" t="s">
        <v>4232</v>
      </c>
      <c r="C612" s="879" t="s">
        <v>4020</v>
      </c>
      <c r="D612" s="880" t="s">
        <v>4767</v>
      </c>
    </row>
    <row r="613" spans="1:4" ht="13.5" x14ac:dyDescent="0.25">
      <c r="A613" s="878" t="s">
        <v>4234</v>
      </c>
      <c r="B613" s="878" t="s">
        <v>4235</v>
      </c>
      <c r="C613" s="879" t="s">
        <v>4020</v>
      </c>
      <c r="D613" s="880" t="s">
        <v>5108</v>
      </c>
    </row>
    <row r="614" spans="1:4" ht="13.5" x14ac:dyDescent="0.25">
      <c r="A614" s="878" t="s">
        <v>4236</v>
      </c>
      <c r="B614" s="878" t="s">
        <v>4237</v>
      </c>
      <c r="C614" s="879" t="s">
        <v>4020</v>
      </c>
      <c r="D614" s="880" t="s">
        <v>31034</v>
      </c>
    </row>
    <row r="615" spans="1:4" ht="13.5" x14ac:dyDescent="0.25">
      <c r="A615" s="878" t="s">
        <v>4238</v>
      </c>
      <c r="B615" s="878" t="s">
        <v>4239</v>
      </c>
      <c r="C615" s="879" t="s">
        <v>4020</v>
      </c>
      <c r="D615" s="880" t="s">
        <v>30312</v>
      </c>
    </row>
    <row r="616" spans="1:4" ht="13.5" x14ac:dyDescent="0.25">
      <c r="A616" s="878" t="s">
        <v>4240</v>
      </c>
      <c r="B616" s="878" t="s">
        <v>4241</v>
      </c>
      <c r="C616" s="879" t="s">
        <v>4020</v>
      </c>
      <c r="D616" s="880" t="s">
        <v>4904</v>
      </c>
    </row>
    <row r="617" spans="1:4" ht="13.5" x14ac:dyDescent="0.25">
      <c r="A617" s="878" t="s">
        <v>4243</v>
      </c>
      <c r="B617" s="878" t="s">
        <v>4244</v>
      </c>
      <c r="C617" s="879" t="s">
        <v>4020</v>
      </c>
      <c r="D617" s="880" t="s">
        <v>40392</v>
      </c>
    </row>
    <row r="618" spans="1:4" ht="13.5" x14ac:dyDescent="0.25">
      <c r="A618" s="878" t="s">
        <v>4245</v>
      </c>
      <c r="B618" s="878" t="s">
        <v>4246</v>
      </c>
      <c r="C618" s="879" t="s">
        <v>4020</v>
      </c>
      <c r="D618" s="880" t="s">
        <v>14610</v>
      </c>
    </row>
    <row r="619" spans="1:4" ht="13.5" x14ac:dyDescent="0.25">
      <c r="A619" s="878" t="s">
        <v>4247</v>
      </c>
      <c r="B619" s="878" t="s">
        <v>4248</v>
      </c>
      <c r="C619" s="879" t="s">
        <v>4020</v>
      </c>
      <c r="D619" s="880" t="s">
        <v>30313</v>
      </c>
    </row>
    <row r="620" spans="1:4" ht="13.5" x14ac:dyDescent="0.25">
      <c r="A620" s="878" t="s">
        <v>4249</v>
      </c>
      <c r="B620" s="878" t="s">
        <v>4250</v>
      </c>
      <c r="C620" s="879" t="s">
        <v>4020</v>
      </c>
      <c r="D620" s="880" t="s">
        <v>30314</v>
      </c>
    </row>
    <row r="621" spans="1:4" ht="13.5" x14ac:dyDescent="0.25">
      <c r="A621" s="878" t="s">
        <v>4251</v>
      </c>
      <c r="B621" s="878" t="s">
        <v>4252</v>
      </c>
      <c r="C621" s="879" t="s">
        <v>4020</v>
      </c>
      <c r="D621" s="880" t="s">
        <v>30315</v>
      </c>
    </row>
    <row r="622" spans="1:4" ht="13.5" x14ac:dyDescent="0.25">
      <c r="A622" s="878" t="s">
        <v>4253</v>
      </c>
      <c r="B622" s="878" t="s">
        <v>4254</v>
      </c>
      <c r="C622" s="879" t="s">
        <v>4020</v>
      </c>
      <c r="D622" s="880" t="s">
        <v>40393</v>
      </c>
    </row>
    <row r="623" spans="1:4" ht="13.5" x14ac:dyDescent="0.25">
      <c r="A623" s="878" t="s">
        <v>4255</v>
      </c>
      <c r="B623" s="878" t="s">
        <v>4256</v>
      </c>
      <c r="C623" s="879" t="s">
        <v>4020</v>
      </c>
      <c r="D623" s="880" t="s">
        <v>4880</v>
      </c>
    </row>
    <row r="624" spans="1:4" ht="13.5" x14ac:dyDescent="0.25">
      <c r="A624" s="878" t="s">
        <v>4258</v>
      </c>
      <c r="B624" s="878" t="s">
        <v>4259</v>
      </c>
      <c r="C624" s="879" t="s">
        <v>4020</v>
      </c>
      <c r="D624" s="880" t="s">
        <v>4041</v>
      </c>
    </row>
    <row r="625" spans="1:4" ht="13.5" x14ac:dyDescent="0.25">
      <c r="A625" s="878" t="s">
        <v>4260</v>
      </c>
      <c r="B625" s="878" t="s">
        <v>4261</v>
      </c>
      <c r="C625" s="879" t="s">
        <v>4020</v>
      </c>
      <c r="D625" s="880" t="s">
        <v>13918</v>
      </c>
    </row>
    <row r="626" spans="1:4" ht="13.5" x14ac:dyDescent="0.25">
      <c r="A626" s="878" t="s">
        <v>4262</v>
      </c>
      <c r="B626" s="878" t="s">
        <v>4263</v>
      </c>
      <c r="C626" s="879" t="s">
        <v>4020</v>
      </c>
      <c r="D626" s="880" t="s">
        <v>30316</v>
      </c>
    </row>
    <row r="627" spans="1:4" ht="13.5" x14ac:dyDescent="0.25">
      <c r="A627" s="878" t="s">
        <v>4264</v>
      </c>
      <c r="B627" s="878" t="s">
        <v>4265</v>
      </c>
      <c r="C627" s="879" t="s">
        <v>4020</v>
      </c>
      <c r="D627" s="880" t="s">
        <v>7486</v>
      </c>
    </row>
    <row r="628" spans="1:4" ht="13.5" x14ac:dyDescent="0.25">
      <c r="A628" s="878" t="s">
        <v>4266</v>
      </c>
      <c r="B628" s="878" t="s">
        <v>4267</v>
      </c>
      <c r="C628" s="879" t="s">
        <v>4020</v>
      </c>
      <c r="D628" s="880" t="s">
        <v>30317</v>
      </c>
    </row>
    <row r="629" spans="1:4" ht="13.5" x14ac:dyDescent="0.25">
      <c r="A629" s="878" t="s">
        <v>4268</v>
      </c>
      <c r="B629" s="878" t="s">
        <v>4269</v>
      </c>
      <c r="C629" s="879" t="s">
        <v>4020</v>
      </c>
      <c r="D629" s="880" t="s">
        <v>30318</v>
      </c>
    </row>
    <row r="630" spans="1:4" ht="13.5" x14ac:dyDescent="0.25">
      <c r="A630" s="878" t="s">
        <v>4270</v>
      </c>
      <c r="B630" s="878" t="s">
        <v>4271</v>
      </c>
      <c r="C630" s="879" t="s">
        <v>4020</v>
      </c>
      <c r="D630" s="880" t="s">
        <v>4272</v>
      </c>
    </row>
    <row r="631" spans="1:4" ht="13.5" x14ac:dyDescent="0.25">
      <c r="A631" s="878" t="s">
        <v>4273</v>
      </c>
      <c r="B631" s="878" t="s">
        <v>4274</v>
      </c>
      <c r="C631" s="879" t="s">
        <v>4020</v>
      </c>
      <c r="D631" s="880" t="s">
        <v>30319</v>
      </c>
    </row>
    <row r="632" spans="1:4" ht="13.5" x14ac:dyDescent="0.25">
      <c r="A632" s="878" t="s">
        <v>4275</v>
      </c>
      <c r="B632" s="878" t="s">
        <v>4276</v>
      </c>
      <c r="C632" s="879" t="s">
        <v>4020</v>
      </c>
      <c r="D632" s="880" t="s">
        <v>9770</v>
      </c>
    </row>
    <row r="633" spans="1:4" ht="13.5" x14ac:dyDescent="0.25">
      <c r="A633" s="878" t="s">
        <v>4278</v>
      </c>
      <c r="B633" s="878" t="s">
        <v>4279</v>
      </c>
      <c r="C633" s="879" t="s">
        <v>4020</v>
      </c>
      <c r="D633" s="880" t="s">
        <v>5219</v>
      </c>
    </row>
    <row r="634" spans="1:4" ht="13.5" x14ac:dyDescent="0.25">
      <c r="A634" s="878" t="s">
        <v>4281</v>
      </c>
      <c r="B634" s="878" t="s">
        <v>4282</v>
      </c>
      <c r="C634" s="879" t="s">
        <v>4020</v>
      </c>
      <c r="D634" s="880" t="s">
        <v>5480</v>
      </c>
    </row>
    <row r="635" spans="1:4" ht="13.5" x14ac:dyDescent="0.25">
      <c r="A635" s="878" t="s">
        <v>4284</v>
      </c>
      <c r="B635" s="878" t="s">
        <v>4285</v>
      </c>
      <c r="C635" s="879" t="s">
        <v>4020</v>
      </c>
      <c r="D635" s="880" t="s">
        <v>5278</v>
      </c>
    </row>
    <row r="636" spans="1:4" ht="13.5" x14ac:dyDescent="0.25">
      <c r="A636" s="878" t="s">
        <v>4286</v>
      </c>
      <c r="B636" s="878" t="s">
        <v>4287</v>
      </c>
      <c r="C636" s="879" t="s">
        <v>4020</v>
      </c>
      <c r="D636" s="880" t="s">
        <v>5171</v>
      </c>
    </row>
    <row r="637" spans="1:4" ht="13.5" x14ac:dyDescent="0.25">
      <c r="A637" s="878" t="s">
        <v>4289</v>
      </c>
      <c r="B637" s="878" t="s">
        <v>4290</v>
      </c>
      <c r="C637" s="879" t="s">
        <v>4020</v>
      </c>
      <c r="D637" s="880" t="s">
        <v>30370</v>
      </c>
    </row>
    <row r="638" spans="1:4" ht="13.5" x14ac:dyDescent="0.25">
      <c r="A638" s="878" t="s">
        <v>4291</v>
      </c>
      <c r="B638" s="878" t="s">
        <v>4292</v>
      </c>
      <c r="C638" s="879" t="s">
        <v>4020</v>
      </c>
      <c r="D638" s="880" t="s">
        <v>40394</v>
      </c>
    </row>
    <row r="639" spans="1:4" ht="13.5" x14ac:dyDescent="0.25">
      <c r="A639" s="878" t="s">
        <v>4293</v>
      </c>
      <c r="B639" s="878" t="s">
        <v>4294</v>
      </c>
      <c r="C639" s="879" t="s">
        <v>4020</v>
      </c>
      <c r="D639" s="880" t="s">
        <v>40395</v>
      </c>
    </row>
    <row r="640" spans="1:4" ht="13.5" x14ac:dyDescent="0.25">
      <c r="A640" s="878" t="s">
        <v>4295</v>
      </c>
      <c r="B640" s="878" t="s">
        <v>4296</v>
      </c>
      <c r="C640" s="879" t="s">
        <v>4020</v>
      </c>
      <c r="D640" s="880" t="s">
        <v>30320</v>
      </c>
    </row>
    <row r="641" spans="1:4" ht="13.5" x14ac:dyDescent="0.25">
      <c r="A641" s="878" t="s">
        <v>4297</v>
      </c>
      <c r="B641" s="878" t="s">
        <v>4298</v>
      </c>
      <c r="C641" s="879" t="s">
        <v>4020</v>
      </c>
      <c r="D641" s="880" t="s">
        <v>30214</v>
      </c>
    </row>
    <row r="642" spans="1:4" ht="13.5" x14ac:dyDescent="0.25">
      <c r="A642" s="878" t="s">
        <v>4299</v>
      </c>
      <c r="B642" s="878" t="s">
        <v>4300</v>
      </c>
      <c r="C642" s="879" t="s">
        <v>4020</v>
      </c>
      <c r="D642" s="880" t="s">
        <v>14805</v>
      </c>
    </row>
    <row r="643" spans="1:4" ht="13.5" x14ac:dyDescent="0.25">
      <c r="A643" s="878" t="s">
        <v>4301</v>
      </c>
      <c r="B643" s="878" t="s">
        <v>4302</v>
      </c>
      <c r="C643" s="879" t="s">
        <v>4020</v>
      </c>
      <c r="D643" s="880" t="s">
        <v>12309</v>
      </c>
    </row>
    <row r="644" spans="1:4" ht="13.5" x14ac:dyDescent="0.25">
      <c r="A644" s="878" t="s">
        <v>4304</v>
      </c>
      <c r="B644" s="878" t="s">
        <v>4305</v>
      </c>
      <c r="C644" s="879" t="s">
        <v>4020</v>
      </c>
      <c r="D644" s="880" t="s">
        <v>40396</v>
      </c>
    </row>
    <row r="645" spans="1:4" ht="13.5" x14ac:dyDescent="0.25">
      <c r="A645" s="878" t="s">
        <v>4306</v>
      </c>
      <c r="B645" s="878" t="s">
        <v>4307</v>
      </c>
      <c r="C645" s="879" t="s">
        <v>4020</v>
      </c>
      <c r="D645" s="880" t="s">
        <v>40397</v>
      </c>
    </row>
    <row r="646" spans="1:4" ht="13.5" x14ac:dyDescent="0.25">
      <c r="A646" s="878" t="s">
        <v>4308</v>
      </c>
      <c r="B646" s="878" t="s">
        <v>4309</v>
      </c>
      <c r="C646" s="879" t="s">
        <v>4020</v>
      </c>
      <c r="D646" s="880" t="s">
        <v>40398</v>
      </c>
    </row>
    <row r="647" spans="1:4" ht="13.5" x14ac:dyDescent="0.25">
      <c r="A647" s="878" t="s">
        <v>4310</v>
      </c>
      <c r="B647" s="878" t="s">
        <v>4311</v>
      </c>
      <c r="C647" s="879" t="s">
        <v>4020</v>
      </c>
      <c r="D647" s="880" t="s">
        <v>13713</v>
      </c>
    </row>
    <row r="648" spans="1:4" ht="13.5" x14ac:dyDescent="0.25">
      <c r="A648" s="878" t="s">
        <v>4312</v>
      </c>
      <c r="B648" s="878" t="s">
        <v>4313</v>
      </c>
      <c r="C648" s="879" t="s">
        <v>4020</v>
      </c>
      <c r="D648" s="880" t="s">
        <v>31149</v>
      </c>
    </row>
    <row r="649" spans="1:4" ht="13.5" x14ac:dyDescent="0.25">
      <c r="A649" s="878" t="s">
        <v>4314</v>
      </c>
      <c r="B649" s="878" t="s">
        <v>4315</v>
      </c>
      <c r="C649" s="879" t="s">
        <v>4020</v>
      </c>
      <c r="D649" s="880" t="s">
        <v>40399</v>
      </c>
    </row>
    <row r="650" spans="1:4" ht="13.5" x14ac:dyDescent="0.25">
      <c r="A650" s="878" t="s">
        <v>4316</v>
      </c>
      <c r="B650" s="878" t="s">
        <v>4317</v>
      </c>
      <c r="C650" s="879" t="s">
        <v>4020</v>
      </c>
      <c r="D650" s="880" t="s">
        <v>30323</v>
      </c>
    </row>
    <row r="651" spans="1:4" ht="13.5" x14ac:dyDescent="0.25">
      <c r="A651" s="878" t="s">
        <v>4318</v>
      </c>
      <c r="B651" s="878" t="s">
        <v>4319</v>
      </c>
      <c r="C651" s="879" t="s">
        <v>4020</v>
      </c>
      <c r="D651" s="880" t="s">
        <v>7649</v>
      </c>
    </row>
    <row r="652" spans="1:4" ht="13.5" x14ac:dyDescent="0.25">
      <c r="A652" s="878" t="s">
        <v>4320</v>
      </c>
      <c r="B652" s="878" t="s">
        <v>4321</v>
      </c>
      <c r="C652" s="879" t="s">
        <v>4020</v>
      </c>
      <c r="D652" s="880" t="s">
        <v>40400</v>
      </c>
    </row>
    <row r="653" spans="1:4" ht="13.5" x14ac:dyDescent="0.25">
      <c r="A653" s="878" t="s">
        <v>4322</v>
      </c>
      <c r="B653" s="878" t="s">
        <v>4323</v>
      </c>
      <c r="C653" s="879" t="s">
        <v>4020</v>
      </c>
      <c r="D653" s="880" t="s">
        <v>3954</v>
      </c>
    </row>
    <row r="654" spans="1:4" ht="13.5" x14ac:dyDescent="0.25">
      <c r="A654" s="878" t="s">
        <v>4324</v>
      </c>
      <c r="B654" s="878" t="s">
        <v>4325</v>
      </c>
      <c r="C654" s="879" t="s">
        <v>4020</v>
      </c>
      <c r="D654" s="880" t="s">
        <v>4885</v>
      </c>
    </row>
    <row r="655" spans="1:4" ht="13.5" x14ac:dyDescent="0.25">
      <c r="A655" s="878" t="s">
        <v>4327</v>
      </c>
      <c r="B655" s="878" t="s">
        <v>4328</v>
      </c>
      <c r="C655" s="879" t="s">
        <v>4020</v>
      </c>
      <c r="D655" s="880" t="s">
        <v>30324</v>
      </c>
    </row>
    <row r="656" spans="1:4" ht="13.5" x14ac:dyDescent="0.25">
      <c r="A656" s="878" t="s">
        <v>4329</v>
      </c>
      <c r="B656" s="878" t="s">
        <v>4330</v>
      </c>
      <c r="C656" s="879" t="s">
        <v>4020</v>
      </c>
      <c r="D656" s="880" t="s">
        <v>30325</v>
      </c>
    </row>
    <row r="657" spans="1:4" ht="13.5" x14ac:dyDescent="0.25">
      <c r="A657" s="878" t="s">
        <v>4331</v>
      </c>
      <c r="B657" s="878" t="s">
        <v>4332</v>
      </c>
      <c r="C657" s="879" t="s">
        <v>4020</v>
      </c>
      <c r="D657" s="880" t="s">
        <v>11015</v>
      </c>
    </row>
    <row r="658" spans="1:4" ht="13.5" x14ac:dyDescent="0.25">
      <c r="A658" s="878" t="s">
        <v>4333</v>
      </c>
      <c r="B658" s="878" t="s">
        <v>4334</v>
      </c>
      <c r="C658" s="879" t="s">
        <v>4020</v>
      </c>
      <c r="D658" s="880" t="s">
        <v>4923</v>
      </c>
    </row>
    <row r="659" spans="1:4" ht="13.5" x14ac:dyDescent="0.25">
      <c r="A659" s="878" t="s">
        <v>4336</v>
      </c>
      <c r="B659" s="878" t="s">
        <v>4337</v>
      </c>
      <c r="C659" s="879" t="s">
        <v>4020</v>
      </c>
      <c r="D659" s="880" t="s">
        <v>4326</v>
      </c>
    </row>
    <row r="660" spans="1:4" ht="13.5" x14ac:dyDescent="0.25">
      <c r="A660" s="878" t="s">
        <v>4339</v>
      </c>
      <c r="B660" s="878" t="s">
        <v>4340</v>
      </c>
      <c r="C660" s="879" t="s">
        <v>4341</v>
      </c>
      <c r="D660" s="880" t="s">
        <v>40401</v>
      </c>
    </row>
    <row r="661" spans="1:4" ht="13.5" x14ac:dyDescent="0.25">
      <c r="A661" s="878" t="s">
        <v>4342</v>
      </c>
      <c r="B661" s="878" t="s">
        <v>4343</v>
      </c>
      <c r="C661" s="879" t="s">
        <v>4341</v>
      </c>
      <c r="D661" s="880" t="s">
        <v>7779</v>
      </c>
    </row>
    <row r="662" spans="1:4" ht="13.5" x14ac:dyDescent="0.25">
      <c r="A662" s="878" t="s">
        <v>4344</v>
      </c>
      <c r="B662" s="878" t="s">
        <v>4345</v>
      </c>
      <c r="C662" s="879" t="s">
        <v>4341</v>
      </c>
      <c r="D662" s="880" t="s">
        <v>17118</v>
      </c>
    </row>
    <row r="663" spans="1:4" ht="13.5" x14ac:dyDescent="0.25">
      <c r="A663" s="878" t="s">
        <v>4346</v>
      </c>
      <c r="B663" s="878" t="s">
        <v>4347</v>
      </c>
      <c r="C663" s="879" t="s">
        <v>4341</v>
      </c>
      <c r="D663" s="880" t="s">
        <v>30327</v>
      </c>
    </row>
    <row r="664" spans="1:4" ht="13.5" x14ac:dyDescent="0.25">
      <c r="A664" s="878" t="s">
        <v>4348</v>
      </c>
      <c r="B664" s="878" t="s">
        <v>4349</v>
      </c>
      <c r="C664" s="879" t="s">
        <v>4341</v>
      </c>
      <c r="D664" s="880" t="s">
        <v>40402</v>
      </c>
    </row>
    <row r="665" spans="1:4" ht="13.5" x14ac:dyDescent="0.25">
      <c r="A665" s="878" t="s">
        <v>4350</v>
      </c>
      <c r="B665" s="878" t="s">
        <v>4351</v>
      </c>
      <c r="C665" s="879" t="s">
        <v>4341</v>
      </c>
      <c r="D665" s="880" t="s">
        <v>40403</v>
      </c>
    </row>
    <row r="666" spans="1:4" ht="13.5" x14ac:dyDescent="0.25">
      <c r="A666" s="878" t="s">
        <v>4352</v>
      </c>
      <c r="B666" s="878" t="s">
        <v>4353</v>
      </c>
      <c r="C666" s="879" t="s">
        <v>4341</v>
      </c>
      <c r="D666" s="880" t="s">
        <v>4354</v>
      </c>
    </row>
    <row r="667" spans="1:4" ht="13.5" x14ac:dyDescent="0.25">
      <c r="A667" s="878" t="s">
        <v>4355</v>
      </c>
      <c r="B667" s="878" t="s">
        <v>4356</v>
      </c>
      <c r="C667" s="879" t="s">
        <v>4341</v>
      </c>
      <c r="D667" s="880" t="s">
        <v>40404</v>
      </c>
    </row>
    <row r="668" spans="1:4" ht="13.5" x14ac:dyDescent="0.25">
      <c r="A668" s="878" t="s">
        <v>4357</v>
      </c>
      <c r="B668" s="878" t="s">
        <v>4358</v>
      </c>
      <c r="C668" s="879" t="s">
        <v>4341</v>
      </c>
      <c r="D668" s="880" t="s">
        <v>40405</v>
      </c>
    </row>
    <row r="669" spans="1:4" ht="13.5" x14ac:dyDescent="0.25">
      <c r="A669" s="878" t="s">
        <v>4359</v>
      </c>
      <c r="B669" s="878" t="s">
        <v>4360</v>
      </c>
      <c r="C669" s="879" t="s">
        <v>4341</v>
      </c>
      <c r="D669" s="880" t="s">
        <v>40406</v>
      </c>
    </row>
    <row r="670" spans="1:4" ht="13.5" x14ac:dyDescent="0.25">
      <c r="A670" s="878" t="s">
        <v>4362</v>
      </c>
      <c r="B670" s="878" t="s">
        <v>4363</v>
      </c>
      <c r="C670" s="879" t="s">
        <v>4341</v>
      </c>
      <c r="D670" s="880" t="s">
        <v>5300</v>
      </c>
    </row>
    <row r="671" spans="1:4" ht="13.5" x14ac:dyDescent="0.25">
      <c r="A671" s="878" t="s">
        <v>4364</v>
      </c>
      <c r="B671" s="878" t="s">
        <v>4365</v>
      </c>
      <c r="C671" s="879" t="s">
        <v>4341</v>
      </c>
      <c r="D671" s="880" t="s">
        <v>30777</v>
      </c>
    </row>
    <row r="672" spans="1:4" ht="13.5" x14ac:dyDescent="0.25">
      <c r="A672" s="878" t="s">
        <v>4367</v>
      </c>
      <c r="B672" s="878" t="s">
        <v>4368</v>
      </c>
      <c r="C672" s="879" t="s">
        <v>4341</v>
      </c>
      <c r="D672" s="880" t="s">
        <v>11265</v>
      </c>
    </row>
    <row r="673" spans="1:4" ht="13.5" x14ac:dyDescent="0.25">
      <c r="A673" s="878" t="s">
        <v>4369</v>
      </c>
      <c r="B673" s="878" t="s">
        <v>4370</v>
      </c>
      <c r="C673" s="879" t="s">
        <v>4341</v>
      </c>
      <c r="D673" s="880" t="s">
        <v>4371</v>
      </c>
    </row>
    <row r="674" spans="1:4" ht="13.5" x14ac:dyDescent="0.25">
      <c r="A674" s="878" t="s">
        <v>4372</v>
      </c>
      <c r="B674" s="878" t="s">
        <v>4373</v>
      </c>
      <c r="C674" s="879" t="s">
        <v>4341</v>
      </c>
      <c r="D674" s="880" t="s">
        <v>10325</v>
      </c>
    </row>
    <row r="675" spans="1:4" ht="13.5" x14ac:dyDescent="0.25">
      <c r="A675" s="878" t="s">
        <v>4375</v>
      </c>
      <c r="B675" s="878" t="s">
        <v>4376</v>
      </c>
      <c r="C675" s="879" t="s">
        <v>4341</v>
      </c>
      <c r="D675" s="880" t="s">
        <v>3768</v>
      </c>
    </row>
    <row r="676" spans="1:4" ht="13.5" x14ac:dyDescent="0.25">
      <c r="A676" s="878" t="s">
        <v>4377</v>
      </c>
      <c r="B676" s="878" t="s">
        <v>4378</v>
      </c>
      <c r="C676" s="879" t="s">
        <v>4341</v>
      </c>
      <c r="D676" s="880" t="s">
        <v>40407</v>
      </c>
    </row>
    <row r="677" spans="1:4" ht="13.5" x14ac:dyDescent="0.25">
      <c r="A677" s="878" t="s">
        <v>4379</v>
      </c>
      <c r="B677" s="878" t="s">
        <v>4380</v>
      </c>
      <c r="C677" s="879" t="s">
        <v>4341</v>
      </c>
      <c r="D677" s="880" t="s">
        <v>40408</v>
      </c>
    </row>
    <row r="678" spans="1:4" ht="13.5" x14ac:dyDescent="0.25">
      <c r="A678" s="878" t="s">
        <v>4381</v>
      </c>
      <c r="B678" s="878" t="s">
        <v>4382</v>
      </c>
      <c r="C678" s="879" t="s">
        <v>4341</v>
      </c>
      <c r="D678" s="880" t="s">
        <v>30329</v>
      </c>
    </row>
    <row r="679" spans="1:4" ht="13.5" x14ac:dyDescent="0.25">
      <c r="A679" s="878" t="s">
        <v>4383</v>
      </c>
      <c r="B679" s="878" t="s">
        <v>4384</v>
      </c>
      <c r="C679" s="879" t="s">
        <v>4341</v>
      </c>
      <c r="D679" s="880" t="s">
        <v>40409</v>
      </c>
    </row>
    <row r="680" spans="1:4" ht="13.5" x14ac:dyDescent="0.25">
      <c r="A680" s="878" t="s">
        <v>4386</v>
      </c>
      <c r="B680" s="878" t="s">
        <v>4387</v>
      </c>
      <c r="C680" s="879" t="s">
        <v>4341</v>
      </c>
      <c r="D680" s="880" t="s">
        <v>40410</v>
      </c>
    </row>
    <row r="681" spans="1:4" ht="13.5" x14ac:dyDescent="0.25">
      <c r="A681" s="878" t="s">
        <v>4388</v>
      </c>
      <c r="B681" s="878" t="s">
        <v>4389</v>
      </c>
      <c r="C681" s="879" t="s">
        <v>4341</v>
      </c>
      <c r="D681" s="880" t="s">
        <v>40411</v>
      </c>
    </row>
    <row r="682" spans="1:4" ht="13.5" x14ac:dyDescent="0.25">
      <c r="A682" s="878" t="s">
        <v>4390</v>
      </c>
      <c r="B682" s="878" t="s">
        <v>4391</v>
      </c>
      <c r="C682" s="879" t="s">
        <v>4341</v>
      </c>
      <c r="D682" s="880" t="s">
        <v>40412</v>
      </c>
    </row>
    <row r="683" spans="1:4" ht="13.5" x14ac:dyDescent="0.25">
      <c r="A683" s="878" t="s">
        <v>4392</v>
      </c>
      <c r="B683" s="878" t="s">
        <v>4393</v>
      </c>
      <c r="C683" s="879" t="s">
        <v>4341</v>
      </c>
      <c r="D683" s="880" t="s">
        <v>30330</v>
      </c>
    </row>
    <row r="684" spans="1:4" ht="13.5" x14ac:dyDescent="0.25">
      <c r="A684" s="878" t="s">
        <v>4394</v>
      </c>
      <c r="B684" s="878" t="s">
        <v>4395</v>
      </c>
      <c r="C684" s="879" t="s">
        <v>4341</v>
      </c>
      <c r="D684" s="880" t="s">
        <v>14685</v>
      </c>
    </row>
    <row r="685" spans="1:4" ht="13.5" x14ac:dyDescent="0.25">
      <c r="A685" s="878" t="s">
        <v>4396</v>
      </c>
      <c r="B685" s="878" t="s">
        <v>4397</v>
      </c>
      <c r="C685" s="879" t="s">
        <v>4341</v>
      </c>
      <c r="D685" s="880" t="s">
        <v>40413</v>
      </c>
    </row>
    <row r="686" spans="1:4" ht="13.5" x14ac:dyDescent="0.25">
      <c r="A686" s="878" t="s">
        <v>4398</v>
      </c>
      <c r="B686" s="878" t="s">
        <v>4399</v>
      </c>
      <c r="C686" s="879" t="s">
        <v>4341</v>
      </c>
      <c r="D686" s="880" t="s">
        <v>30840</v>
      </c>
    </row>
    <row r="687" spans="1:4" ht="13.5" x14ac:dyDescent="0.25">
      <c r="A687" s="878" t="s">
        <v>4400</v>
      </c>
      <c r="B687" s="878" t="s">
        <v>4401</v>
      </c>
      <c r="C687" s="879" t="s">
        <v>4341</v>
      </c>
      <c r="D687" s="880" t="s">
        <v>40414</v>
      </c>
    </row>
    <row r="688" spans="1:4" ht="13.5" x14ac:dyDescent="0.25">
      <c r="A688" s="878" t="s">
        <v>4402</v>
      </c>
      <c r="B688" s="878" t="s">
        <v>4403</v>
      </c>
      <c r="C688" s="879" t="s">
        <v>4341</v>
      </c>
      <c r="D688" s="880" t="s">
        <v>31054</v>
      </c>
    </row>
    <row r="689" spans="1:4" ht="13.5" x14ac:dyDescent="0.25">
      <c r="A689" s="878" t="s">
        <v>4404</v>
      </c>
      <c r="B689" s="878" t="s">
        <v>4405</v>
      </c>
      <c r="C689" s="879" t="s">
        <v>4341</v>
      </c>
      <c r="D689" s="880" t="s">
        <v>40415</v>
      </c>
    </row>
    <row r="690" spans="1:4" ht="13.5" x14ac:dyDescent="0.25">
      <c r="A690" s="878" t="s">
        <v>4406</v>
      </c>
      <c r="B690" s="878" t="s">
        <v>4407</v>
      </c>
      <c r="C690" s="879" t="s">
        <v>4341</v>
      </c>
      <c r="D690" s="880" t="s">
        <v>15424</v>
      </c>
    </row>
    <row r="691" spans="1:4" ht="13.5" x14ac:dyDescent="0.25">
      <c r="A691" s="878" t="s">
        <v>4408</v>
      </c>
      <c r="B691" s="878" t="s">
        <v>4409</v>
      </c>
      <c r="C691" s="879" t="s">
        <v>4341</v>
      </c>
      <c r="D691" s="880" t="s">
        <v>30333</v>
      </c>
    </row>
    <row r="692" spans="1:4" ht="13.5" x14ac:dyDescent="0.25">
      <c r="A692" s="878" t="s">
        <v>4410</v>
      </c>
      <c r="B692" s="878" t="s">
        <v>4411</v>
      </c>
      <c r="C692" s="879" t="s">
        <v>4341</v>
      </c>
      <c r="D692" s="880" t="s">
        <v>40416</v>
      </c>
    </row>
    <row r="693" spans="1:4" ht="13.5" x14ac:dyDescent="0.25">
      <c r="A693" s="878" t="s">
        <v>4413</v>
      </c>
      <c r="B693" s="878" t="s">
        <v>4414</v>
      </c>
      <c r="C693" s="879" t="s">
        <v>4341</v>
      </c>
      <c r="D693" s="880" t="s">
        <v>40417</v>
      </c>
    </row>
    <row r="694" spans="1:4" ht="13.5" x14ac:dyDescent="0.25">
      <c r="A694" s="878" t="s">
        <v>4415</v>
      </c>
      <c r="B694" s="878" t="s">
        <v>4416</v>
      </c>
      <c r="C694" s="879" t="s">
        <v>4341</v>
      </c>
      <c r="D694" s="880" t="s">
        <v>8974</v>
      </c>
    </row>
    <row r="695" spans="1:4" ht="13.5" x14ac:dyDescent="0.25">
      <c r="A695" s="878" t="s">
        <v>4417</v>
      </c>
      <c r="B695" s="878" t="s">
        <v>4418</v>
      </c>
      <c r="C695" s="879" t="s">
        <v>4341</v>
      </c>
      <c r="D695" s="880" t="s">
        <v>9149</v>
      </c>
    </row>
    <row r="696" spans="1:4" ht="13.5" x14ac:dyDescent="0.25">
      <c r="A696" s="878" t="s">
        <v>4419</v>
      </c>
      <c r="B696" s="878" t="s">
        <v>4420</v>
      </c>
      <c r="C696" s="879" t="s">
        <v>4341</v>
      </c>
      <c r="D696" s="880" t="s">
        <v>40418</v>
      </c>
    </row>
    <row r="697" spans="1:4" ht="13.5" x14ac:dyDescent="0.25">
      <c r="A697" s="878" t="s">
        <v>4421</v>
      </c>
      <c r="B697" s="878" t="s">
        <v>4422</v>
      </c>
      <c r="C697" s="879" t="s">
        <v>4341</v>
      </c>
      <c r="D697" s="880" t="s">
        <v>5579</v>
      </c>
    </row>
    <row r="698" spans="1:4" ht="13.5" x14ac:dyDescent="0.25">
      <c r="A698" s="878" t="s">
        <v>4424</v>
      </c>
      <c r="B698" s="878" t="s">
        <v>4425</v>
      </c>
      <c r="C698" s="879" t="s">
        <v>4341</v>
      </c>
      <c r="D698" s="880" t="s">
        <v>30457</v>
      </c>
    </row>
    <row r="699" spans="1:4" ht="13.5" x14ac:dyDescent="0.25">
      <c r="A699" s="878" t="s">
        <v>4426</v>
      </c>
      <c r="B699" s="878" t="s">
        <v>4427</v>
      </c>
      <c r="C699" s="879" t="s">
        <v>4341</v>
      </c>
      <c r="D699" s="880" t="s">
        <v>40419</v>
      </c>
    </row>
    <row r="700" spans="1:4" ht="13.5" x14ac:dyDescent="0.25">
      <c r="A700" s="878" t="s">
        <v>4428</v>
      </c>
      <c r="B700" s="878" t="s">
        <v>4429</v>
      </c>
      <c r="C700" s="879" t="s">
        <v>4341</v>
      </c>
      <c r="D700" s="880" t="s">
        <v>40420</v>
      </c>
    </row>
    <row r="701" spans="1:4" ht="13.5" x14ac:dyDescent="0.25">
      <c r="A701" s="878" t="s">
        <v>4430</v>
      </c>
      <c r="B701" s="878" t="s">
        <v>4431</v>
      </c>
      <c r="C701" s="879" t="s">
        <v>4341</v>
      </c>
      <c r="D701" s="880" t="s">
        <v>3367</v>
      </c>
    </row>
    <row r="702" spans="1:4" ht="13.5" x14ac:dyDescent="0.25">
      <c r="A702" s="878" t="s">
        <v>4432</v>
      </c>
      <c r="B702" s="878" t="s">
        <v>4433</v>
      </c>
      <c r="C702" s="879" t="s">
        <v>4341</v>
      </c>
      <c r="D702" s="880" t="s">
        <v>30429</v>
      </c>
    </row>
    <row r="703" spans="1:4" ht="13.5" x14ac:dyDescent="0.25">
      <c r="A703" s="878" t="s">
        <v>4434</v>
      </c>
      <c r="B703" s="878" t="s">
        <v>4435</v>
      </c>
      <c r="C703" s="879" t="s">
        <v>4341</v>
      </c>
      <c r="D703" s="880" t="s">
        <v>40421</v>
      </c>
    </row>
    <row r="704" spans="1:4" ht="13.5" x14ac:dyDescent="0.25">
      <c r="A704" s="878" t="s">
        <v>4436</v>
      </c>
      <c r="B704" s="878" t="s">
        <v>4437</v>
      </c>
      <c r="C704" s="879" t="s">
        <v>4341</v>
      </c>
      <c r="D704" s="880" t="s">
        <v>16694</v>
      </c>
    </row>
    <row r="705" spans="1:4" ht="13.5" x14ac:dyDescent="0.25">
      <c r="A705" s="878" t="s">
        <v>4439</v>
      </c>
      <c r="B705" s="878" t="s">
        <v>4440</v>
      </c>
      <c r="C705" s="879" t="s">
        <v>4341</v>
      </c>
      <c r="D705" s="880" t="s">
        <v>5435</v>
      </c>
    </row>
    <row r="706" spans="1:4" ht="13.5" x14ac:dyDescent="0.25">
      <c r="A706" s="878" t="s">
        <v>4442</v>
      </c>
      <c r="B706" s="878" t="s">
        <v>4443</v>
      </c>
      <c r="C706" s="879" t="s">
        <v>4341</v>
      </c>
      <c r="D706" s="880" t="s">
        <v>40422</v>
      </c>
    </row>
    <row r="707" spans="1:4" ht="13.5" x14ac:dyDescent="0.25">
      <c r="A707" s="878" t="s">
        <v>4444</v>
      </c>
      <c r="B707" s="878" t="s">
        <v>4445</v>
      </c>
      <c r="C707" s="879" t="s">
        <v>4341</v>
      </c>
      <c r="D707" s="880" t="s">
        <v>40423</v>
      </c>
    </row>
    <row r="708" spans="1:4" ht="13.5" x14ac:dyDescent="0.25">
      <c r="A708" s="878" t="s">
        <v>4446</v>
      </c>
      <c r="B708" s="878" t="s">
        <v>4447</v>
      </c>
      <c r="C708" s="879" t="s">
        <v>4341</v>
      </c>
      <c r="D708" s="880" t="s">
        <v>17133</v>
      </c>
    </row>
    <row r="709" spans="1:4" ht="13.5" x14ac:dyDescent="0.25">
      <c r="A709" s="878" t="s">
        <v>4448</v>
      </c>
      <c r="B709" s="878" t="s">
        <v>4449</v>
      </c>
      <c r="C709" s="879" t="s">
        <v>4341</v>
      </c>
      <c r="D709" s="880" t="s">
        <v>40424</v>
      </c>
    </row>
    <row r="710" spans="1:4" ht="13.5" x14ac:dyDescent="0.25">
      <c r="A710" s="878" t="s">
        <v>4450</v>
      </c>
      <c r="B710" s="878" t="s">
        <v>4451</v>
      </c>
      <c r="C710" s="879" t="s">
        <v>4341</v>
      </c>
      <c r="D710" s="880" t="s">
        <v>4458</v>
      </c>
    </row>
    <row r="711" spans="1:4" ht="13.5" x14ac:dyDescent="0.25">
      <c r="A711" s="878" t="s">
        <v>4453</v>
      </c>
      <c r="B711" s="878" t="s">
        <v>4454</v>
      </c>
      <c r="C711" s="879" t="s">
        <v>4341</v>
      </c>
      <c r="D711" s="880" t="s">
        <v>4455</v>
      </c>
    </row>
    <row r="712" spans="1:4" ht="13.5" x14ac:dyDescent="0.25">
      <c r="A712" s="878" t="s">
        <v>4456</v>
      </c>
      <c r="B712" s="878" t="s">
        <v>4457</v>
      </c>
      <c r="C712" s="879" t="s">
        <v>4341</v>
      </c>
      <c r="D712" s="880" t="s">
        <v>16621</v>
      </c>
    </row>
    <row r="713" spans="1:4" ht="13.5" x14ac:dyDescent="0.25">
      <c r="A713" s="878" t="s">
        <v>4459</v>
      </c>
      <c r="B713" s="878" t="s">
        <v>4460</v>
      </c>
      <c r="C713" s="879" t="s">
        <v>4341</v>
      </c>
      <c r="D713" s="880" t="s">
        <v>15262</v>
      </c>
    </row>
    <row r="714" spans="1:4" ht="13.5" x14ac:dyDescent="0.25">
      <c r="A714" s="878" t="s">
        <v>4461</v>
      </c>
      <c r="B714" s="878" t="s">
        <v>4462</v>
      </c>
      <c r="C714" s="879" t="s">
        <v>4341</v>
      </c>
      <c r="D714" s="880" t="s">
        <v>40425</v>
      </c>
    </row>
    <row r="715" spans="1:4" ht="13.5" x14ac:dyDescent="0.25">
      <c r="A715" s="878" t="s">
        <v>4463</v>
      </c>
      <c r="B715" s="878" t="s">
        <v>4464</v>
      </c>
      <c r="C715" s="879" t="s">
        <v>4341</v>
      </c>
      <c r="D715" s="880" t="s">
        <v>40426</v>
      </c>
    </row>
    <row r="716" spans="1:4" ht="13.5" x14ac:dyDescent="0.25">
      <c r="A716" s="878" t="s">
        <v>4465</v>
      </c>
      <c r="B716" s="878" t="s">
        <v>4466</v>
      </c>
      <c r="C716" s="879" t="s">
        <v>4341</v>
      </c>
      <c r="D716" s="880" t="s">
        <v>30832</v>
      </c>
    </row>
    <row r="717" spans="1:4" ht="13.5" x14ac:dyDescent="0.25">
      <c r="A717" s="878" t="s">
        <v>4467</v>
      </c>
      <c r="B717" s="878" t="s">
        <v>4468</v>
      </c>
      <c r="C717" s="879" t="s">
        <v>4341</v>
      </c>
      <c r="D717" s="880" t="s">
        <v>40427</v>
      </c>
    </row>
    <row r="718" spans="1:4" ht="13.5" x14ac:dyDescent="0.25">
      <c r="A718" s="878" t="s">
        <v>4469</v>
      </c>
      <c r="B718" s="878" t="s">
        <v>4470</v>
      </c>
      <c r="C718" s="879" t="s">
        <v>4341</v>
      </c>
      <c r="D718" s="880" t="s">
        <v>30335</v>
      </c>
    </row>
    <row r="719" spans="1:4" ht="13.5" x14ac:dyDescent="0.25">
      <c r="A719" s="878" t="s">
        <v>4471</v>
      </c>
      <c r="B719" s="878" t="s">
        <v>4472</v>
      </c>
      <c r="C719" s="879" t="s">
        <v>4341</v>
      </c>
      <c r="D719" s="880" t="s">
        <v>4547</v>
      </c>
    </row>
    <row r="720" spans="1:4" ht="13.5" x14ac:dyDescent="0.25">
      <c r="A720" s="878" t="s">
        <v>4473</v>
      </c>
      <c r="B720" s="878" t="s">
        <v>4474</v>
      </c>
      <c r="C720" s="879" t="s">
        <v>4341</v>
      </c>
      <c r="D720" s="880" t="s">
        <v>8648</v>
      </c>
    </row>
    <row r="721" spans="1:4" ht="13.5" x14ac:dyDescent="0.25">
      <c r="A721" s="878" t="s">
        <v>4475</v>
      </c>
      <c r="B721" s="878" t="s">
        <v>4476</v>
      </c>
      <c r="C721" s="879" t="s">
        <v>4341</v>
      </c>
      <c r="D721" s="880" t="s">
        <v>40428</v>
      </c>
    </row>
    <row r="722" spans="1:4" ht="13.5" x14ac:dyDescent="0.25">
      <c r="A722" s="878" t="s">
        <v>4477</v>
      </c>
      <c r="B722" s="878" t="s">
        <v>4478</v>
      </c>
      <c r="C722" s="879" t="s">
        <v>4341</v>
      </c>
      <c r="D722" s="880" t="s">
        <v>30336</v>
      </c>
    </row>
    <row r="723" spans="1:4" ht="13.5" x14ac:dyDescent="0.25">
      <c r="A723" s="878" t="s">
        <v>4479</v>
      </c>
      <c r="B723" s="878" t="s">
        <v>4480</v>
      </c>
      <c r="C723" s="879" t="s">
        <v>4341</v>
      </c>
      <c r="D723" s="880" t="s">
        <v>16789</v>
      </c>
    </row>
    <row r="724" spans="1:4" ht="13.5" x14ac:dyDescent="0.25">
      <c r="A724" s="878" t="s">
        <v>4481</v>
      </c>
      <c r="B724" s="878" t="s">
        <v>4482</v>
      </c>
      <c r="C724" s="879" t="s">
        <v>4341</v>
      </c>
      <c r="D724" s="880" t="s">
        <v>7414</v>
      </c>
    </row>
    <row r="725" spans="1:4" ht="13.5" x14ac:dyDescent="0.25">
      <c r="A725" s="878" t="s">
        <v>4483</v>
      </c>
      <c r="B725" s="878" t="s">
        <v>4484</v>
      </c>
      <c r="C725" s="879" t="s">
        <v>4341</v>
      </c>
      <c r="D725" s="880" t="s">
        <v>40429</v>
      </c>
    </row>
    <row r="726" spans="1:4" ht="13.5" x14ac:dyDescent="0.25">
      <c r="A726" s="878" t="s">
        <v>4485</v>
      </c>
      <c r="B726" s="878" t="s">
        <v>4486</v>
      </c>
      <c r="C726" s="879" t="s">
        <v>4341</v>
      </c>
      <c r="D726" s="880" t="s">
        <v>40430</v>
      </c>
    </row>
    <row r="727" spans="1:4" ht="13.5" x14ac:dyDescent="0.25">
      <c r="A727" s="878" t="s">
        <v>4487</v>
      </c>
      <c r="B727" s="878" t="s">
        <v>4488</v>
      </c>
      <c r="C727" s="879" t="s">
        <v>4341</v>
      </c>
      <c r="D727" s="880" t="s">
        <v>40431</v>
      </c>
    </row>
    <row r="728" spans="1:4" ht="13.5" x14ac:dyDescent="0.25">
      <c r="A728" s="878" t="s">
        <v>4489</v>
      </c>
      <c r="B728" s="878" t="s">
        <v>4490</v>
      </c>
      <c r="C728" s="879" t="s">
        <v>4341</v>
      </c>
      <c r="D728" s="880" t="s">
        <v>40432</v>
      </c>
    </row>
    <row r="729" spans="1:4" ht="13.5" x14ac:dyDescent="0.25">
      <c r="A729" s="878" t="s">
        <v>4491</v>
      </c>
      <c r="B729" s="878" t="s">
        <v>4492</v>
      </c>
      <c r="C729" s="879" t="s">
        <v>4341</v>
      </c>
      <c r="D729" s="880" t="s">
        <v>3754</v>
      </c>
    </row>
    <row r="730" spans="1:4" ht="13.5" x14ac:dyDescent="0.25">
      <c r="A730" s="878" t="s">
        <v>4493</v>
      </c>
      <c r="B730" s="878" t="s">
        <v>4494</v>
      </c>
      <c r="C730" s="879" t="s">
        <v>4341</v>
      </c>
      <c r="D730" s="880" t="s">
        <v>40433</v>
      </c>
    </row>
    <row r="731" spans="1:4" ht="13.5" x14ac:dyDescent="0.25">
      <c r="A731" s="878" t="s">
        <v>4495</v>
      </c>
      <c r="B731" s="878" t="s">
        <v>4496</v>
      </c>
      <c r="C731" s="879" t="s">
        <v>4341</v>
      </c>
      <c r="D731" s="880" t="s">
        <v>40434</v>
      </c>
    </row>
    <row r="732" spans="1:4" ht="13.5" x14ac:dyDescent="0.25">
      <c r="A732" s="878" t="s">
        <v>4497</v>
      </c>
      <c r="B732" s="878" t="s">
        <v>4498</v>
      </c>
      <c r="C732" s="879" t="s">
        <v>4341</v>
      </c>
      <c r="D732" s="880" t="s">
        <v>15876</v>
      </c>
    </row>
    <row r="733" spans="1:4" ht="13.5" x14ac:dyDescent="0.25">
      <c r="A733" s="878" t="s">
        <v>4499</v>
      </c>
      <c r="B733" s="878" t="s">
        <v>4500</v>
      </c>
      <c r="C733" s="879" t="s">
        <v>4341</v>
      </c>
      <c r="D733" s="880" t="s">
        <v>30338</v>
      </c>
    </row>
    <row r="734" spans="1:4" ht="13.5" x14ac:dyDescent="0.25">
      <c r="A734" s="878" t="s">
        <v>4501</v>
      </c>
      <c r="B734" s="878" t="s">
        <v>4502</v>
      </c>
      <c r="C734" s="879" t="s">
        <v>4341</v>
      </c>
      <c r="D734" s="880" t="s">
        <v>30339</v>
      </c>
    </row>
    <row r="735" spans="1:4" ht="13.5" x14ac:dyDescent="0.25">
      <c r="A735" s="878" t="s">
        <v>4503</v>
      </c>
      <c r="B735" s="878" t="s">
        <v>4504</v>
      </c>
      <c r="C735" s="879" t="s">
        <v>4341</v>
      </c>
      <c r="D735" s="880" t="s">
        <v>30183</v>
      </c>
    </row>
    <row r="736" spans="1:4" ht="13.5" x14ac:dyDescent="0.25">
      <c r="A736" s="878" t="s">
        <v>4505</v>
      </c>
      <c r="B736" s="878" t="s">
        <v>4506</v>
      </c>
      <c r="C736" s="879" t="s">
        <v>4341</v>
      </c>
      <c r="D736" s="880" t="s">
        <v>30576</v>
      </c>
    </row>
    <row r="737" spans="1:4" ht="13.5" x14ac:dyDescent="0.25">
      <c r="A737" s="878" t="s">
        <v>4508</v>
      </c>
      <c r="B737" s="878" t="s">
        <v>4509</v>
      </c>
      <c r="C737" s="879" t="s">
        <v>4341</v>
      </c>
      <c r="D737" s="880" t="s">
        <v>40435</v>
      </c>
    </row>
    <row r="738" spans="1:4" ht="13.5" x14ac:dyDescent="0.25">
      <c r="A738" s="878" t="s">
        <v>4510</v>
      </c>
      <c r="B738" s="878" t="s">
        <v>4511</v>
      </c>
      <c r="C738" s="879" t="s">
        <v>4341</v>
      </c>
      <c r="D738" s="880" t="s">
        <v>40433</v>
      </c>
    </row>
    <row r="739" spans="1:4" ht="13.5" x14ac:dyDescent="0.25">
      <c r="A739" s="878" t="s">
        <v>4512</v>
      </c>
      <c r="B739" s="878" t="s">
        <v>4513</v>
      </c>
      <c r="C739" s="879" t="s">
        <v>4341</v>
      </c>
      <c r="D739" s="880" t="s">
        <v>40436</v>
      </c>
    </row>
    <row r="740" spans="1:4" ht="13.5" x14ac:dyDescent="0.25">
      <c r="A740" s="878" t="s">
        <v>4514</v>
      </c>
      <c r="B740" s="878" t="s">
        <v>4515</v>
      </c>
      <c r="C740" s="879" t="s">
        <v>4341</v>
      </c>
      <c r="D740" s="880" t="s">
        <v>40437</v>
      </c>
    </row>
    <row r="741" spans="1:4" ht="13.5" x14ac:dyDescent="0.25">
      <c r="A741" s="878" t="s">
        <v>4516</v>
      </c>
      <c r="B741" s="878" t="s">
        <v>4517</v>
      </c>
      <c r="C741" s="879" t="s">
        <v>4341</v>
      </c>
      <c r="D741" s="880" t="s">
        <v>31291</v>
      </c>
    </row>
    <row r="742" spans="1:4" ht="13.5" x14ac:dyDescent="0.25">
      <c r="A742" s="878" t="s">
        <v>4518</v>
      </c>
      <c r="B742" s="878" t="s">
        <v>4519</v>
      </c>
      <c r="C742" s="879" t="s">
        <v>4341</v>
      </c>
      <c r="D742" s="880" t="s">
        <v>40438</v>
      </c>
    </row>
    <row r="743" spans="1:4" ht="13.5" x14ac:dyDescent="0.25">
      <c r="A743" s="878" t="s">
        <v>4520</v>
      </c>
      <c r="B743" s="878" t="s">
        <v>4521</v>
      </c>
      <c r="C743" s="879" t="s">
        <v>4341</v>
      </c>
      <c r="D743" s="880" t="s">
        <v>40439</v>
      </c>
    </row>
    <row r="744" spans="1:4" ht="13.5" x14ac:dyDescent="0.25">
      <c r="A744" s="878" t="s">
        <v>4522</v>
      </c>
      <c r="B744" s="878" t="s">
        <v>4523</v>
      </c>
      <c r="C744" s="879" t="s">
        <v>4341</v>
      </c>
      <c r="D744" s="880" t="s">
        <v>40440</v>
      </c>
    </row>
    <row r="745" spans="1:4" ht="13.5" x14ac:dyDescent="0.25">
      <c r="A745" s="878" t="s">
        <v>4524</v>
      </c>
      <c r="B745" s="878" t="s">
        <v>4525</v>
      </c>
      <c r="C745" s="879" t="s">
        <v>4341</v>
      </c>
      <c r="D745" s="880" t="s">
        <v>40441</v>
      </c>
    </row>
    <row r="746" spans="1:4" ht="13.5" x14ac:dyDescent="0.25">
      <c r="A746" s="878" t="s">
        <v>4526</v>
      </c>
      <c r="B746" s="878" t="s">
        <v>4527</v>
      </c>
      <c r="C746" s="879" t="s">
        <v>4341</v>
      </c>
      <c r="D746" s="880" t="s">
        <v>5538</v>
      </c>
    </row>
    <row r="747" spans="1:4" ht="13.5" x14ac:dyDescent="0.25">
      <c r="A747" s="878" t="s">
        <v>4528</v>
      </c>
      <c r="B747" s="878" t="s">
        <v>4529</v>
      </c>
      <c r="C747" s="879" t="s">
        <v>4341</v>
      </c>
      <c r="D747" s="880" t="s">
        <v>30893</v>
      </c>
    </row>
    <row r="748" spans="1:4" ht="13.5" x14ac:dyDescent="0.25">
      <c r="A748" s="878" t="s">
        <v>4530</v>
      </c>
      <c r="B748" s="878" t="s">
        <v>4531</v>
      </c>
      <c r="C748" s="879" t="s">
        <v>4341</v>
      </c>
      <c r="D748" s="880" t="s">
        <v>4532</v>
      </c>
    </row>
    <row r="749" spans="1:4" ht="13.5" x14ac:dyDescent="0.25">
      <c r="A749" s="878" t="s">
        <v>4533</v>
      </c>
      <c r="B749" s="878" t="s">
        <v>4534</v>
      </c>
      <c r="C749" s="879" t="s">
        <v>4341</v>
      </c>
      <c r="D749" s="880" t="s">
        <v>30836</v>
      </c>
    </row>
    <row r="750" spans="1:4" ht="13.5" x14ac:dyDescent="0.25">
      <c r="A750" s="878" t="s">
        <v>4535</v>
      </c>
      <c r="B750" s="878" t="s">
        <v>4536</v>
      </c>
      <c r="C750" s="879" t="s">
        <v>4341</v>
      </c>
      <c r="D750" s="880" t="s">
        <v>40402</v>
      </c>
    </row>
    <row r="751" spans="1:4" ht="13.5" x14ac:dyDescent="0.25">
      <c r="A751" s="878" t="s">
        <v>4537</v>
      </c>
      <c r="B751" s="878" t="s">
        <v>4538</v>
      </c>
      <c r="C751" s="879" t="s">
        <v>4341</v>
      </c>
      <c r="D751" s="880" t="s">
        <v>30343</v>
      </c>
    </row>
    <row r="752" spans="1:4" ht="13.5" x14ac:dyDescent="0.25">
      <c r="A752" s="878" t="s">
        <v>4539</v>
      </c>
      <c r="B752" s="878" t="s">
        <v>4540</v>
      </c>
      <c r="C752" s="879" t="s">
        <v>4341</v>
      </c>
      <c r="D752" s="880" t="s">
        <v>30344</v>
      </c>
    </row>
    <row r="753" spans="1:4" ht="13.5" x14ac:dyDescent="0.25">
      <c r="A753" s="878" t="s">
        <v>4541</v>
      </c>
      <c r="B753" s="878" t="s">
        <v>4542</v>
      </c>
      <c r="C753" s="879" t="s">
        <v>4341</v>
      </c>
      <c r="D753" s="880" t="s">
        <v>40442</v>
      </c>
    </row>
    <row r="754" spans="1:4" ht="13.5" x14ac:dyDescent="0.25">
      <c r="A754" s="878" t="s">
        <v>4543</v>
      </c>
      <c r="B754" s="878" t="s">
        <v>4544</v>
      </c>
      <c r="C754" s="879" t="s">
        <v>4341</v>
      </c>
      <c r="D754" s="880" t="s">
        <v>30698</v>
      </c>
    </row>
    <row r="755" spans="1:4" ht="13.5" x14ac:dyDescent="0.25">
      <c r="A755" s="878" t="s">
        <v>4545</v>
      </c>
      <c r="B755" s="878" t="s">
        <v>4546</v>
      </c>
      <c r="C755" s="879" t="s">
        <v>4341</v>
      </c>
      <c r="D755" s="880" t="s">
        <v>4423</v>
      </c>
    </row>
    <row r="756" spans="1:4" ht="13.5" x14ac:dyDescent="0.25">
      <c r="A756" s="878" t="s">
        <v>4548</v>
      </c>
      <c r="B756" s="878" t="s">
        <v>4549</v>
      </c>
      <c r="C756" s="879" t="s">
        <v>4341</v>
      </c>
      <c r="D756" s="880" t="s">
        <v>40431</v>
      </c>
    </row>
    <row r="757" spans="1:4" ht="13.5" x14ac:dyDescent="0.25">
      <c r="A757" s="878" t="s">
        <v>4550</v>
      </c>
      <c r="B757" s="878" t="s">
        <v>4551</v>
      </c>
      <c r="C757" s="879" t="s">
        <v>4341</v>
      </c>
      <c r="D757" s="880" t="s">
        <v>30346</v>
      </c>
    </row>
    <row r="758" spans="1:4" ht="13.5" x14ac:dyDescent="0.25">
      <c r="A758" s="878" t="s">
        <v>4552</v>
      </c>
      <c r="B758" s="878" t="s">
        <v>4553</v>
      </c>
      <c r="C758" s="879" t="s">
        <v>4341</v>
      </c>
      <c r="D758" s="880" t="s">
        <v>40443</v>
      </c>
    </row>
    <row r="759" spans="1:4" ht="13.5" x14ac:dyDescent="0.25">
      <c r="A759" s="878" t="s">
        <v>4554</v>
      </c>
      <c r="B759" s="878" t="s">
        <v>4555</v>
      </c>
      <c r="C759" s="879" t="s">
        <v>4341</v>
      </c>
      <c r="D759" s="880" t="s">
        <v>30347</v>
      </c>
    </row>
    <row r="760" spans="1:4" ht="13.5" x14ac:dyDescent="0.25">
      <c r="A760" s="878" t="s">
        <v>4557</v>
      </c>
      <c r="B760" s="878" t="s">
        <v>4558</v>
      </c>
      <c r="C760" s="879" t="s">
        <v>4341</v>
      </c>
      <c r="D760" s="880" t="s">
        <v>5546</v>
      </c>
    </row>
    <row r="761" spans="1:4" ht="13.5" x14ac:dyDescent="0.25">
      <c r="A761" s="878" t="s">
        <v>4560</v>
      </c>
      <c r="B761" s="878" t="s">
        <v>4561</v>
      </c>
      <c r="C761" s="879" t="s">
        <v>4341</v>
      </c>
      <c r="D761" s="880" t="s">
        <v>5541</v>
      </c>
    </row>
    <row r="762" spans="1:4" ht="13.5" x14ac:dyDescent="0.25">
      <c r="A762" s="878" t="s">
        <v>4562</v>
      </c>
      <c r="B762" s="878" t="s">
        <v>4563</v>
      </c>
      <c r="C762" s="879" t="s">
        <v>4341</v>
      </c>
      <c r="D762" s="880" t="s">
        <v>40444</v>
      </c>
    </row>
    <row r="763" spans="1:4" ht="13.5" x14ac:dyDescent="0.25">
      <c r="A763" s="878" t="s">
        <v>4564</v>
      </c>
      <c r="B763" s="878" t="s">
        <v>4565</v>
      </c>
      <c r="C763" s="879" t="s">
        <v>4341</v>
      </c>
      <c r="D763" s="880" t="s">
        <v>5538</v>
      </c>
    </row>
    <row r="764" spans="1:4" ht="13.5" x14ac:dyDescent="0.25">
      <c r="A764" s="878" t="s">
        <v>4567</v>
      </c>
      <c r="B764" s="878" t="s">
        <v>4568</v>
      </c>
      <c r="C764" s="879" t="s">
        <v>4341</v>
      </c>
      <c r="D764" s="880" t="s">
        <v>17367</v>
      </c>
    </row>
    <row r="765" spans="1:4" ht="13.5" x14ac:dyDescent="0.25">
      <c r="A765" s="878" t="s">
        <v>4570</v>
      </c>
      <c r="B765" s="878" t="s">
        <v>4571</v>
      </c>
      <c r="C765" s="879" t="s">
        <v>4341</v>
      </c>
      <c r="D765" s="880" t="s">
        <v>4283</v>
      </c>
    </row>
    <row r="766" spans="1:4" ht="13.5" x14ac:dyDescent="0.25">
      <c r="A766" s="878" t="s">
        <v>4573</v>
      </c>
      <c r="B766" s="878" t="s">
        <v>4574</v>
      </c>
      <c r="C766" s="879" t="s">
        <v>4341</v>
      </c>
      <c r="D766" s="880" t="s">
        <v>5164</v>
      </c>
    </row>
    <row r="767" spans="1:4" ht="13.5" x14ac:dyDescent="0.25">
      <c r="A767" s="878" t="s">
        <v>4575</v>
      </c>
      <c r="B767" s="878" t="s">
        <v>4576</v>
      </c>
      <c r="C767" s="879" t="s">
        <v>4341</v>
      </c>
      <c r="D767" s="880" t="s">
        <v>17798</v>
      </c>
    </row>
    <row r="768" spans="1:4" ht="13.5" x14ac:dyDescent="0.25">
      <c r="A768" s="878" t="s">
        <v>4578</v>
      </c>
      <c r="B768" s="878" t="s">
        <v>4579</v>
      </c>
      <c r="C768" s="879" t="s">
        <v>4341</v>
      </c>
      <c r="D768" s="880" t="s">
        <v>31282</v>
      </c>
    </row>
    <row r="769" spans="1:4" ht="13.5" x14ac:dyDescent="0.25">
      <c r="A769" s="878" t="s">
        <v>4580</v>
      </c>
      <c r="B769" s="878" t="s">
        <v>4581</v>
      </c>
      <c r="C769" s="879" t="s">
        <v>4341</v>
      </c>
      <c r="D769" s="880" t="s">
        <v>4017</v>
      </c>
    </row>
    <row r="770" spans="1:4" ht="13.5" x14ac:dyDescent="0.25">
      <c r="A770" s="878" t="s">
        <v>4583</v>
      </c>
      <c r="B770" s="878" t="s">
        <v>4584</v>
      </c>
      <c r="C770" s="879" t="s">
        <v>4341</v>
      </c>
      <c r="D770" s="880" t="s">
        <v>4923</v>
      </c>
    </row>
    <row r="771" spans="1:4" ht="13.5" x14ac:dyDescent="0.25">
      <c r="A771" s="878" t="s">
        <v>4586</v>
      </c>
      <c r="B771" s="878" t="s">
        <v>4587</v>
      </c>
      <c r="C771" s="879" t="s">
        <v>4341</v>
      </c>
      <c r="D771" s="880" t="s">
        <v>30385</v>
      </c>
    </row>
    <row r="772" spans="1:4" ht="13.5" x14ac:dyDescent="0.25">
      <c r="A772" s="878" t="s">
        <v>4588</v>
      </c>
      <c r="B772" s="878" t="s">
        <v>4589</v>
      </c>
      <c r="C772" s="879" t="s">
        <v>4341</v>
      </c>
      <c r="D772" s="880" t="s">
        <v>40445</v>
      </c>
    </row>
    <row r="773" spans="1:4" ht="13.5" x14ac:dyDescent="0.25">
      <c r="A773" s="878" t="s">
        <v>4590</v>
      </c>
      <c r="B773" s="878" t="s">
        <v>4591</v>
      </c>
      <c r="C773" s="879" t="s">
        <v>4341</v>
      </c>
      <c r="D773" s="880" t="s">
        <v>31299</v>
      </c>
    </row>
    <row r="774" spans="1:4" ht="13.5" x14ac:dyDescent="0.25">
      <c r="A774" s="878" t="s">
        <v>4593</v>
      </c>
      <c r="B774" s="878" t="s">
        <v>4594</v>
      </c>
      <c r="C774" s="879" t="s">
        <v>4341</v>
      </c>
      <c r="D774" s="880" t="s">
        <v>4335</v>
      </c>
    </row>
    <row r="775" spans="1:4" ht="13.5" x14ac:dyDescent="0.25">
      <c r="A775" s="878" t="s">
        <v>4595</v>
      </c>
      <c r="B775" s="878" t="s">
        <v>4596</v>
      </c>
      <c r="C775" s="879" t="s">
        <v>4341</v>
      </c>
      <c r="D775" s="880" t="s">
        <v>40446</v>
      </c>
    </row>
    <row r="776" spans="1:4" ht="13.5" x14ac:dyDescent="0.25">
      <c r="A776" s="878" t="s">
        <v>4597</v>
      </c>
      <c r="B776" s="878" t="s">
        <v>4598</v>
      </c>
      <c r="C776" s="879" t="s">
        <v>4341</v>
      </c>
      <c r="D776" s="880" t="s">
        <v>40447</v>
      </c>
    </row>
    <row r="777" spans="1:4" ht="13.5" x14ac:dyDescent="0.25">
      <c r="A777" s="878" t="s">
        <v>4599</v>
      </c>
      <c r="B777" s="878" t="s">
        <v>4600</v>
      </c>
      <c r="C777" s="879" t="s">
        <v>4341</v>
      </c>
      <c r="D777" s="880" t="s">
        <v>3164</v>
      </c>
    </row>
    <row r="778" spans="1:4" ht="13.5" x14ac:dyDescent="0.25">
      <c r="A778" s="878" t="s">
        <v>4601</v>
      </c>
      <c r="B778" s="878" t="s">
        <v>4602</v>
      </c>
      <c r="C778" s="879" t="s">
        <v>4341</v>
      </c>
      <c r="D778" s="880" t="s">
        <v>4923</v>
      </c>
    </row>
    <row r="779" spans="1:4" ht="13.5" x14ac:dyDescent="0.25">
      <c r="A779" s="878" t="s">
        <v>4603</v>
      </c>
      <c r="B779" s="878" t="s">
        <v>4604</v>
      </c>
      <c r="C779" s="879" t="s">
        <v>4341</v>
      </c>
      <c r="D779" s="880" t="s">
        <v>5186</v>
      </c>
    </row>
    <row r="780" spans="1:4" ht="13.5" x14ac:dyDescent="0.25">
      <c r="A780" s="878" t="s">
        <v>4606</v>
      </c>
      <c r="B780" s="878" t="s">
        <v>4607</v>
      </c>
      <c r="C780" s="879" t="s">
        <v>4341</v>
      </c>
      <c r="D780" s="880" t="s">
        <v>40448</v>
      </c>
    </row>
    <row r="781" spans="1:4" ht="13.5" x14ac:dyDescent="0.25">
      <c r="A781" s="878" t="s">
        <v>4608</v>
      </c>
      <c r="B781" s="878" t="s">
        <v>4609</v>
      </c>
      <c r="C781" s="879" t="s">
        <v>4341</v>
      </c>
      <c r="D781" s="880" t="s">
        <v>40426</v>
      </c>
    </row>
    <row r="782" spans="1:4" ht="13.5" x14ac:dyDescent="0.25">
      <c r="A782" s="878" t="s">
        <v>4610</v>
      </c>
      <c r="B782" s="878" t="s">
        <v>4611</v>
      </c>
      <c r="C782" s="879" t="s">
        <v>4341</v>
      </c>
      <c r="D782" s="880" t="s">
        <v>4014</v>
      </c>
    </row>
    <row r="783" spans="1:4" ht="13.5" x14ac:dyDescent="0.25">
      <c r="A783" s="878" t="s">
        <v>4613</v>
      </c>
      <c r="B783" s="878" t="s">
        <v>4614</v>
      </c>
      <c r="C783" s="879" t="s">
        <v>4341</v>
      </c>
      <c r="D783" s="880" t="s">
        <v>40449</v>
      </c>
    </row>
    <row r="784" spans="1:4" ht="13.5" x14ac:dyDescent="0.25">
      <c r="A784" s="878" t="s">
        <v>4616</v>
      </c>
      <c r="B784" s="878" t="s">
        <v>4617</v>
      </c>
      <c r="C784" s="879" t="s">
        <v>4341</v>
      </c>
      <c r="D784" s="880" t="s">
        <v>4618</v>
      </c>
    </row>
    <row r="785" spans="1:4" ht="13.5" x14ac:dyDescent="0.25">
      <c r="A785" s="878" t="s">
        <v>4619</v>
      </c>
      <c r="B785" s="878" t="s">
        <v>4620</v>
      </c>
      <c r="C785" s="879" t="s">
        <v>4341</v>
      </c>
      <c r="D785" s="880" t="s">
        <v>31121</v>
      </c>
    </row>
    <row r="786" spans="1:4" ht="13.5" x14ac:dyDescent="0.25">
      <c r="A786" s="878" t="s">
        <v>4622</v>
      </c>
      <c r="B786" s="878" t="s">
        <v>4623</v>
      </c>
      <c r="C786" s="879" t="s">
        <v>4341</v>
      </c>
      <c r="D786" s="880" t="s">
        <v>4605</v>
      </c>
    </row>
    <row r="787" spans="1:4" ht="13.5" x14ac:dyDescent="0.25">
      <c r="A787" s="878" t="s">
        <v>4624</v>
      </c>
      <c r="B787" s="878" t="s">
        <v>4625</v>
      </c>
      <c r="C787" s="879" t="s">
        <v>4341</v>
      </c>
      <c r="D787" s="880" t="s">
        <v>40450</v>
      </c>
    </row>
    <row r="788" spans="1:4" ht="13.5" x14ac:dyDescent="0.25">
      <c r="A788" s="878" t="s">
        <v>4626</v>
      </c>
      <c r="B788" s="878" t="s">
        <v>4627</v>
      </c>
      <c r="C788" s="879" t="s">
        <v>4341</v>
      </c>
      <c r="D788" s="880" t="s">
        <v>4618</v>
      </c>
    </row>
    <row r="789" spans="1:4" ht="13.5" x14ac:dyDescent="0.25">
      <c r="A789" s="878" t="s">
        <v>4628</v>
      </c>
      <c r="B789" s="878" t="s">
        <v>4629</v>
      </c>
      <c r="C789" s="879" t="s">
        <v>4341</v>
      </c>
      <c r="D789" s="880" t="s">
        <v>15560</v>
      </c>
    </row>
    <row r="790" spans="1:4" ht="13.5" x14ac:dyDescent="0.25">
      <c r="A790" s="878" t="s">
        <v>4630</v>
      </c>
      <c r="B790" s="878" t="s">
        <v>4631</v>
      </c>
      <c r="C790" s="879" t="s">
        <v>4341</v>
      </c>
      <c r="D790" s="880" t="s">
        <v>4288</v>
      </c>
    </row>
    <row r="791" spans="1:4" ht="13.5" x14ac:dyDescent="0.25">
      <c r="A791" s="878" t="s">
        <v>4632</v>
      </c>
      <c r="B791" s="878" t="s">
        <v>4633</v>
      </c>
      <c r="C791" s="879" t="s">
        <v>4341</v>
      </c>
      <c r="D791" s="880" t="s">
        <v>4458</v>
      </c>
    </row>
    <row r="792" spans="1:4" ht="13.5" x14ac:dyDescent="0.25">
      <c r="A792" s="878" t="s">
        <v>4634</v>
      </c>
      <c r="B792" s="878" t="s">
        <v>4635</v>
      </c>
      <c r="C792" s="879" t="s">
        <v>4341</v>
      </c>
      <c r="D792" s="880" t="s">
        <v>4455</v>
      </c>
    </row>
    <row r="793" spans="1:4" ht="13.5" x14ac:dyDescent="0.25">
      <c r="A793" s="878" t="s">
        <v>4636</v>
      </c>
      <c r="B793" s="878" t="s">
        <v>4637</v>
      </c>
      <c r="C793" s="879" t="s">
        <v>4341</v>
      </c>
      <c r="D793" s="880" t="s">
        <v>16621</v>
      </c>
    </row>
    <row r="794" spans="1:4" ht="13.5" x14ac:dyDescent="0.25">
      <c r="A794" s="878" t="s">
        <v>4638</v>
      </c>
      <c r="B794" s="878" t="s">
        <v>4639</v>
      </c>
      <c r="C794" s="879" t="s">
        <v>4341</v>
      </c>
      <c r="D794" s="880" t="s">
        <v>3164</v>
      </c>
    </row>
    <row r="795" spans="1:4" ht="13.5" x14ac:dyDescent="0.25">
      <c r="A795" s="878" t="s">
        <v>4640</v>
      </c>
      <c r="B795" s="878" t="s">
        <v>4641</v>
      </c>
      <c r="C795" s="879" t="s">
        <v>4341</v>
      </c>
      <c r="D795" s="880" t="s">
        <v>30352</v>
      </c>
    </row>
    <row r="796" spans="1:4" ht="13.5" x14ac:dyDescent="0.25">
      <c r="A796" s="878" t="s">
        <v>4642</v>
      </c>
      <c r="B796" s="878" t="s">
        <v>4643</v>
      </c>
      <c r="C796" s="879" t="s">
        <v>4341</v>
      </c>
      <c r="D796" s="880" t="s">
        <v>17121</v>
      </c>
    </row>
    <row r="797" spans="1:4" ht="13.5" x14ac:dyDescent="0.25">
      <c r="A797" s="878" t="s">
        <v>4644</v>
      </c>
      <c r="B797" s="878" t="s">
        <v>4645</v>
      </c>
      <c r="C797" s="879" t="s">
        <v>4341</v>
      </c>
      <c r="D797" s="880" t="s">
        <v>30353</v>
      </c>
    </row>
    <row r="798" spans="1:4" ht="13.5" x14ac:dyDescent="0.25">
      <c r="A798" s="878" t="s">
        <v>4646</v>
      </c>
      <c r="B798" s="878" t="s">
        <v>4647</v>
      </c>
      <c r="C798" s="879" t="s">
        <v>4341</v>
      </c>
      <c r="D798" s="880" t="s">
        <v>9161</v>
      </c>
    </row>
    <row r="799" spans="1:4" ht="13.5" x14ac:dyDescent="0.25">
      <c r="A799" s="878" t="s">
        <v>4648</v>
      </c>
      <c r="B799" s="878" t="s">
        <v>4649</v>
      </c>
      <c r="C799" s="879" t="s">
        <v>4341</v>
      </c>
      <c r="D799" s="880" t="s">
        <v>4733</v>
      </c>
    </row>
    <row r="800" spans="1:4" ht="13.5" x14ac:dyDescent="0.25">
      <c r="A800" s="878" t="s">
        <v>4651</v>
      </c>
      <c r="B800" s="878" t="s">
        <v>4652</v>
      </c>
      <c r="C800" s="879" t="s">
        <v>4341</v>
      </c>
      <c r="D800" s="880" t="s">
        <v>5531</v>
      </c>
    </row>
    <row r="801" spans="1:4" ht="13.5" x14ac:dyDescent="0.25">
      <c r="A801" s="878" t="s">
        <v>4654</v>
      </c>
      <c r="B801" s="878" t="s">
        <v>4655</v>
      </c>
      <c r="C801" s="879" t="s">
        <v>4341</v>
      </c>
      <c r="D801" s="880" t="s">
        <v>30354</v>
      </c>
    </row>
    <row r="802" spans="1:4" ht="13.5" x14ac:dyDescent="0.25">
      <c r="A802" s="878" t="s">
        <v>4657</v>
      </c>
      <c r="B802" s="878" t="s">
        <v>4658</v>
      </c>
      <c r="C802" s="879" t="s">
        <v>4341</v>
      </c>
      <c r="D802" s="880" t="s">
        <v>31153</v>
      </c>
    </row>
    <row r="803" spans="1:4" ht="13.5" x14ac:dyDescent="0.25">
      <c r="A803" s="878" t="s">
        <v>4659</v>
      </c>
      <c r="B803" s="878" t="s">
        <v>4660</v>
      </c>
      <c r="C803" s="879" t="s">
        <v>4341</v>
      </c>
      <c r="D803" s="880" t="s">
        <v>8206</v>
      </c>
    </row>
    <row r="804" spans="1:4" ht="13.5" x14ac:dyDescent="0.25">
      <c r="A804" s="878" t="s">
        <v>4661</v>
      </c>
      <c r="B804" s="878" t="s">
        <v>4662</v>
      </c>
      <c r="C804" s="879" t="s">
        <v>4341</v>
      </c>
      <c r="D804" s="880" t="s">
        <v>30355</v>
      </c>
    </row>
    <row r="805" spans="1:4" ht="13.5" x14ac:dyDescent="0.25">
      <c r="A805" s="878" t="s">
        <v>4663</v>
      </c>
      <c r="B805" s="878" t="s">
        <v>4664</v>
      </c>
      <c r="C805" s="879" t="s">
        <v>4341</v>
      </c>
      <c r="D805" s="880" t="s">
        <v>4031</v>
      </c>
    </row>
    <row r="806" spans="1:4" ht="13.5" x14ac:dyDescent="0.25">
      <c r="A806" s="878" t="s">
        <v>4665</v>
      </c>
      <c r="B806" s="878" t="s">
        <v>4666</v>
      </c>
      <c r="C806" s="879" t="s">
        <v>4341</v>
      </c>
      <c r="D806" s="880" t="s">
        <v>4272</v>
      </c>
    </row>
    <row r="807" spans="1:4" ht="13.5" x14ac:dyDescent="0.25">
      <c r="A807" s="878" t="s">
        <v>4667</v>
      </c>
      <c r="B807" s="878" t="s">
        <v>4668</v>
      </c>
      <c r="C807" s="879" t="s">
        <v>4341</v>
      </c>
      <c r="D807" s="880" t="s">
        <v>40451</v>
      </c>
    </row>
    <row r="808" spans="1:4" ht="13.5" x14ac:dyDescent="0.25">
      <c r="A808" s="878" t="s">
        <v>4670</v>
      </c>
      <c r="B808" s="878" t="s">
        <v>4671</v>
      </c>
      <c r="C808" s="879" t="s">
        <v>4341</v>
      </c>
      <c r="D808" s="880" t="s">
        <v>40452</v>
      </c>
    </row>
    <row r="809" spans="1:4" ht="13.5" x14ac:dyDescent="0.25">
      <c r="A809" s="878" t="s">
        <v>4672</v>
      </c>
      <c r="B809" s="878" t="s">
        <v>4673</v>
      </c>
      <c r="C809" s="879" t="s">
        <v>4341</v>
      </c>
      <c r="D809" s="880" t="s">
        <v>40453</v>
      </c>
    </row>
    <row r="810" spans="1:4" ht="13.5" x14ac:dyDescent="0.25">
      <c r="A810" s="878" t="s">
        <v>4674</v>
      </c>
      <c r="B810" s="878" t="s">
        <v>4675</v>
      </c>
      <c r="C810" s="879" t="s">
        <v>4341</v>
      </c>
      <c r="D810" s="880" t="s">
        <v>4676</v>
      </c>
    </row>
    <row r="811" spans="1:4" ht="13.5" x14ac:dyDescent="0.25">
      <c r="A811" s="878" t="s">
        <v>4677</v>
      </c>
      <c r="B811" s="878" t="s">
        <v>4678</v>
      </c>
      <c r="C811" s="879" t="s">
        <v>4341</v>
      </c>
      <c r="D811" s="880" t="s">
        <v>4679</v>
      </c>
    </row>
    <row r="812" spans="1:4" ht="13.5" x14ac:dyDescent="0.25">
      <c r="A812" s="878" t="s">
        <v>4680</v>
      </c>
      <c r="B812" s="878" t="s">
        <v>4681</v>
      </c>
      <c r="C812" s="879" t="s">
        <v>4341</v>
      </c>
      <c r="D812" s="880" t="s">
        <v>4682</v>
      </c>
    </row>
    <row r="813" spans="1:4" ht="13.5" x14ac:dyDescent="0.25">
      <c r="A813" s="878" t="s">
        <v>4683</v>
      </c>
      <c r="B813" s="878" t="s">
        <v>4684</v>
      </c>
      <c r="C813" s="879" t="s">
        <v>4341</v>
      </c>
      <c r="D813" s="880" t="s">
        <v>30356</v>
      </c>
    </row>
    <row r="814" spans="1:4" ht="13.5" x14ac:dyDescent="0.25">
      <c r="A814" s="878" t="s">
        <v>4685</v>
      </c>
      <c r="B814" s="878" t="s">
        <v>4686</v>
      </c>
      <c r="C814" s="879" t="s">
        <v>4341</v>
      </c>
      <c r="D814" s="880" t="s">
        <v>4615</v>
      </c>
    </row>
    <row r="815" spans="1:4" ht="13.5" x14ac:dyDescent="0.25">
      <c r="A815" s="878" t="s">
        <v>4688</v>
      </c>
      <c r="B815" s="878" t="s">
        <v>4689</v>
      </c>
      <c r="C815" s="879" t="s">
        <v>4341</v>
      </c>
      <c r="D815" s="880" t="s">
        <v>30357</v>
      </c>
    </row>
    <row r="816" spans="1:4" ht="13.5" x14ac:dyDescent="0.25">
      <c r="A816" s="878" t="s">
        <v>4690</v>
      </c>
      <c r="B816" s="878" t="s">
        <v>4691</v>
      </c>
      <c r="C816" s="879" t="s">
        <v>4341</v>
      </c>
      <c r="D816" s="880" t="s">
        <v>40454</v>
      </c>
    </row>
    <row r="817" spans="1:4" ht="13.5" x14ac:dyDescent="0.25">
      <c r="A817" s="878" t="s">
        <v>4692</v>
      </c>
      <c r="B817" s="878" t="s">
        <v>4693</v>
      </c>
      <c r="C817" s="879" t="s">
        <v>4341</v>
      </c>
      <c r="D817" s="880" t="s">
        <v>30358</v>
      </c>
    </row>
    <row r="818" spans="1:4" ht="13.5" x14ac:dyDescent="0.25">
      <c r="A818" s="878" t="s">
        <v>4694</v>
      </c>
      <c r="B818" s="878" t="s">
        <v>4695</v>
      </c>
      <c r="C818" s="879" t="s">
        <v>4341</v>
      </c>
      <c r="D818" s="880" t="s">
        <v>7203</v>
      </c>
    </row>
    <row r="819" spans="1:4" ht="13.5" x14ac:dyDescent="0.25">
      <c r="A819" s="878" t="s">
        <v>4697</v>
      </c>
      <c r="B819" s="878" t="s">
        <v>4698</v>
      </c>
      <c r="C819" s="879" t="s">
        <v>4341</v>
      </c>
      <c r="D819" s="880" t="s">
        <v>4699</v>
      </c>
    </row>
    <row r="820" spans="1:4" ht="13.5" x14ac:dyDescent="0.25">
      <c r="A820" s="878" t="s">
        <v>4700</v>
      </c>
      <c r="B820" s="878" t="s">
        <v>4701</v>
      </c>
      <c r="C820" s="879" t="s">
        <v>4341</v>
      </c>
      <c r="D820" s="880" t="s">
        <v>4702</v>
      </c>
    </row>
    <row r="821" spans="1:4" ht="13.5" x14ac:dyDescent="0.25">
      <c r="A821" s="878" t="s">
        <v>4703</v>
      </c>
      <c r="B821" s="878" t="s">
        <v>4704</v>
      </c>
      <c r="C821" s="879" t="s">
        <v>4341</v>
      </c>
      <c r="D821" s="880" t="s">
        <v>30359</v>
      </c>
    </row>
    <row r="822" spans="1:4" ht="13.5" x14ac:dyDescent="0.25">
      <c r="A822" s="878" t="s">
        <v>4705</v>
      </c>
      <c r="B822" s="878" t="s">
        <v>4706</v>
      </c>
      <c r="C822" s="879" t="s">
        <v>4341</v>
      </c>
      <c r="D822" s="880" t="s">
        <v>30360</v>
      </c>
    </row>
    <row r="823" spans="1:4" ht="13.5" x14ac:dyDescent="0.25">
      <c r="A823" s="878" t="s">
        <v>4707</v>
      </c>
      <c r="B823" s="878" t="s">
        <v>4708</v>
      </c>
      <c r="C823" s="879" t="s">
        <v>4341</v>
      </c>
      <c r="D823" s="880" t="s">
        <v>40455</v>
      </c>
    </row>
    <row r="824" spans="1:4" ht="13.5" x14ac:dyDescent="0.25">
      <c r="A824" s="878" t="s">
        <v>4709</v>
      </c>
      <c r="B824" s="878" t="s">
        <v>4710</v>
      </c>
      <c r="C824" s="879" t="s">
        <v>4341</v>
      </c>
      <c r="D824" s="880" t="s">
        <v>4198</v>
      </c>
    </row>
    <row r="825" spans="1:4" ht="13.5" x14ac:dyDescent="0.25">
      <c r="A825" s="878" t="s">
        <v>4712</v>
      </c>
      <c r="B825" s="878" t="s">
        <v>4713</v>
      </c>
      <c r="C825" s="879" t="s">
        <v>4341</v>
      </c>
      <c r="D825" s="880" t="s">
        <v>30362</v>
      </c>
    </row>
    <row r="826" spans="1:4" ht="13.5" x14ac:dyDescent="0.25">
      <c r="A826" s="878" t="s">
        <v>4714</v>
      </c>
      <c r="B826" s="878" t="s">
        <v>4715</v>
      </c>
      <c r="C826" s="879" t="s">
        <v>4341</v>
      </c>
      <c r="D826" s="880" t="s">
        <v>30363</v>
      </c>
    </row>
    <row r="827" spans="1:4" ht="13.5" x14ac:dyDescent="0.25">
      <c r="A827" s="878" t="s">
        <v>4717</v>
      </c>
      <c r="B827" s="878" t="s">
        <v>4718</v>
      </c>
      <c r="C827" s="879" t="s">
        <v>4341</v>
      </c>
      <c r="D827" s="880" t="s">
        <v>4031</v>
      </c>
    </row>
    <row r="828" spans="1:4" ht="13.5" x14ac:dyDescent="0.25">
      <c r="A828" s="878" t="s">
        <v>4719</v>
      </c>
      <c r="B828" s="878" t="s">
        <v>4720</v>
      </c>
      <c r="C828" s="879" t="s">
        <v>4341</v>
      </c>
      <c r="D828" s="880" t="s">
        <v>4272</v>
      </c>
    </row>
    <row r="829" spans="1:4" ht="13.5" x14ac:dyDescent="0.25">
      <c r="A829" s="878" t="s">
        <v>4721</v>
      </c>
      <c r="B829" s="878" t="s">
        <v>4722</v>
      </c>
      <c r="C829" s="879" t="s">
        <v>4341</v>
      </c>
      <c r="D829" s="880" t="s">
        <v>40456</v>
      </c>
    </row>
    <row r="830" spans="1:4" ht="13.5" x14ac:dyDescent="0.25">
      <c r="A830" s="878" t="s">
        <v>4723</v>
      </c>
      <c r="B830" s="878" t="s">
        <v>4724</v>
      </c>
      <c r="C830" s="879" t="s">
        <v>4341</v>
      </c>
      <c r="D830" s="880" t="s">
        <v>5219</v>
      </c>
    </row>
    <row r="831" spans="1:4" ht="13.5" x14ac:dyDescent="0.25">
      <c r="A831" s="878" t="s">
        <v>4726</v>
      </c>
      <c r="B831" s="878" t="s">
        <v>4727</v>
      </c>
      <c r="C831" s="879" t="s">
        <v>4341</v>
      </c>
      <c r="D831" s="880" t="s">
        <v>31281</v>
      </c>
    </row>
    <row r="832" spans="1:4" ht="13.5" x14ac:dyDescent="0.25">
      <c r="A832" s="878" t="s">
        <v>4729</v>
      </c>
      <c r="B832" s="878" t="s">
        <v>4730</v>
      </c>
      <c r="C832" s="879" t="s">
        <v>4341</v>
      </c>
      <c r="D832" s="880" t="s">
        <v>40457</v>
      </c>
    </row>
    <row r="833" spans="1:4" ht="13.5" x14ac:dyDescent="0.25">
      <c r="A833" s="878" t="s">
        <v>4731</v>
      </c>
      <c r="B833" s="878" t="s">
        <v>4732</v>
      </c>
      <c r="C833" s="879" t="s">
        <v>4341</v>
      </c>
      <c r="D833" s="880" t="s">
        <v>30364</v>
      </c>
    </row>
    <row r="834" spans="1:4" ht="13.5" x14ac:dyDescent="0.25">
      <c r="A834" s="878" t="s">
        <v>4734</v>
      </c>
      <c r="B834" s="878" t="s">
        <v>4735</v>
      </c>
      <c r="C834" s="879" t="s">
        <v>4341</v>
      </c>
      <c r="D834" s="880" t="s">
        <v>10644</v>
      </c>
    </row>
    <row r="835" spans="1:4" ht="13.5" x14ac:dyDescent="0.25">
      <c r="A835" s="878" t="s">
        <v>4736</v>
      </c>
      <c r="B835" s="878" t="s">
        <v>4737</v>
      </c>
      <c r="C835" s="879" t="s">
        <v>4341</v>
      </c>
      <c r="D835" s="880" t="s">
        <v>30365</v>
      </c>
    </row>
    <row r="836" spans="1:4" ht="13.5" x14ac:dyDescent="0.25">
      <c r="A836" s="878" t="s">
        <v>4739</v>
      </c>
      <c r="B836" s="878" t="s">
        <v>4740</v>
      </c>
      <c r="C836" s="879" t="s">
        <v>4341</v>
      </c>
      <c r="D836" s="880" t="s">
        <v>16220</v>
      </c>
    </row>
    <row r="837" spans="1:4" ht="13.5" x14ac:dyDescent="0.25">
      <c r="A837" s="878" t="s">
        <v>4741</v>
      </c>
      <c r="B837" s="878" t="s">
        <v>4742</v>
      </c>
      <c r="C837" s="879" t="s">
        <v>4341</v>
      </c>
      <c r="D837" s="880" t="s">
        <v>40458</v>
      </c>
    </row>
    <row r="838" spans="1:4" ht="13.5" x14ac:dyDescent="0.25">
      <c r="A838" s="878" t="s">
        <v>4743</v>
      </c>
      <c r="B838" s="878" t="s">
        <v>4744</v>
      </c>
      <c r="C838" s="879" t="s">
        <v>4341</v>
      </c>
      <c r="D838" s="880" t="s">
        <v>30409</v>
      </c>
    </row>
    <row r="839" spans="1:4" ht="13.5" x14ac:dyDescent="0.25">
      <c r="A839" s="878" t="s">
        <v>4745</v>
      </c>
      <c r="B839" s="878" t="s">
        <v>4746</v>
      </c>
      <c r="C839" s="879" t="s">
        <v>4341</v>
      </c>
      <c r="D839" s="880" t="s">
        <v>40034</v>
      </c>
    </row>
    <row r="840" spans="1:4" ht="13.5" x14ac:dyDescent="0.25">
      <c r="A840" s="878" t="s">
        <v>4747</v>
      </c>
      <c r="B840" s="878" t="s">
        <v>4748</v>
      </c>
      <c r="C840" s="879" t="s">
        <v>4341</v>
      </c>
      <c r="D840" s="880" t="s">
        <v>12246</v>
      </c>
    </row>
    <row r="841" spans="1:4" ht="13.5" x14ac:dyDescent="0.25">
      <c r="A841" s="878" t="s">
        <v>4750</v>
      </c>
      <c r="B841" s="878" t="s">
        <v>4751</v>
      </c>
      <c r="C841" s="879" t="s">
        <v>4341</v>
      </c>
      <c r="D841" s="880" t="s">
        <v>40320</v>
      </c>
    </row>
    <row r="842" spans="1:4" ht="13.5" x14ac:dyDescent="0.25">
      <c r="A842" s="878" t="s">
        <v>4752</v>
      </c>
      <c r="B842" s="878" t="s">
        <v>4753</v>
      </c>
      <c r="C842" s="879" t="s">
        <v>4341</v>
      </c>
      <c r="D842" s="880" t="s">
        <v>40459</v>
      </c>
    </row>
    <row r="843" spans="1:4" ht="13.5" x14ac:dyDescent="0.25">
      <c r="A843" s="878" t="s">
        <v>4754</v>
      </c>
      <c r="B843" s="878" t="s">
        <v>4755</v>
      </c>
      <c r="C843" s="879" t="s">
        <v>4341</v>
      </c>
      <c r="D843" s="880" t="s">
        <v>30369</v>
      </c>
    </row>
    <row r="844" spans="1:4" ht="13.5" x14ac:dyDescent="0.25">
      <c r="A844" s="878" t="s">
        <v>4756</v>
      </c>
      <c r="B844" s="878" t="s">
        <v>4757</v>
      </c>
      <c r="C844" s="879" t="s">
        <v>4341</v>
      </c>
      <c r="D844" s="880" t="s">
        <v>17168</v>
      </c>
    </row>
    <row r="845" spans="1:4" ht="13.5" x14ac:dyDescent="0.25">
      <c r="A845" s="878" t="s">
        <v>4758</v>
      </c>
      <c r="B845" s="878" t="s">
        <v>4759</v>
      </c>
      <c r="C845" s="879" t="s">
        <v>4341</v>
      </c>
      <c r="D845" s="880" t="s">
        <v>30370</v>
      </c>
    </row>
    <row r="846" spans="1:4" ht="13.5" x14ac:dyDescent="0.25">
      <c r="A846" s="878" t="s">
        <v>4761</v>
      </c>
      <c r="B846" s="878" t="s">
        <v>4762</v>
      </c>
      <c r="C846" s="879" t="s">
        <v>4341</v>
      </c>
      <c r="D846" s="880" t="s">
        <v>40460</v>
      </c>
    </row>
    <row r="847" spans="1:4" ht="13.5" x14ac:dyDescent="0.25">
      <c r="A847" s="878" t="s">
        <v>4763</v>
      </c>
      <c r="B847" s="878" t="s">
        <v>4764</v>
      </c>
      <c r="C847" s="879" t="s">
        <v>4341</v>
      </c>
      <c r="D847" s="880" t="s">
        <v>16992</v>
      </c>
    </row>
    <row r="848" spans="1:4" ht="13.5" x14ac:dyDescent="0.25">
      <c r="A848" s="878" t="s">
        <v>4765</v>
      </c>
      <c r="B848" s="878" t="s">
        <v>4766</v>
      </c>
      <c r="C848" s="879" t="s">
        <v>4341</v>
      </c>
      <c r="D848" s="880" t="s">
        <v>4326</v>
      </c>
    </row>
    <row r="849" spans="1:4" ht="13.5" x14ac:dyDescent="0.25">
      <c r="A849" s="878" t="s">
        <v>4768</v>
      </c>
      <c r="B849" s="878" t="s">
        <v>4769</v>
      </c>
      <c r="C849" s="879" t="s">
        <v>4341</v>
      </c>
      <c r="D849" s="880" t="s">
        <v>40461</v>
      </c>
    </row>
    <row r="850" spans="1:4" ht="13.5" x14ac:dyDescent="0.25">
      <c r="A850" s="878" t="s">
        <v>4770</v>
      </c>
      <c r="B850" s="878" t="s">
        <v>4771</v>
      </c>
      <c r="C850" s="879" t="s">
        <v>4341</v>
      </c>
      <c r="D850" s="880" t="s">
        <v>40462</v>
      </c>
    </row>
    <row r="851" spans="1:4" ht="13.5" x14ac:dyDescent="0.25">
      <c r="A851" s="878" t="s">
        <v>4772</v>
      </c>
      <c r="B851" s="878" t="s">
        <v>4773</v>
      </c>
      <c r="C851" s="879" t="s">
        <v>4341</v>
      </c>
      <c r="D851" s="880" t="s">
        <v>40463</v>
      </c>
    </row>
    <row r="852" spans="1:4" ht="13.5" x14ac:dyDescent="0.25">
      <c r="A852" s="878" t="s">
        <v>4774</v>
      </c>
      <c r="B852" s="878" t="s">
        <v>4775</v>
      </c>
      <c r="C852" s="879" t="s">
        <v>4341</v>
      </c>
      <c r="D852" s="880" t="s">
        <v>3886</v>
      </c>
    </row>
    <row r="853" spans="1:4" ht="13.5" x14ac:dyDescent="0.25">
      <c r="A853" s="878" t="s">
        <v>4776</v>
      </c>
      <c r="B853" s="878" t="s">
        <v>4777</v>
      </c>
      <c r="C853" s="879" t="s">
        <v>4341</v>
      </c>
      <c r="D853" s="880" t="s">
        <v>40464</v>
      </c>
    </row>
    <row r="854" spans="1:4" ht="13.5" x14ac:dyDescent="0.25">
      <c r="A854" s="878" t="s">
        <v>4778</v>
      </c>
      <c r="B854" s="878" t="s">
        <v>4779</v>
      </c>
      <c r="C854" s="879" t="s">
        <v>4341</v>
      </c>
      <c r="D854" s="880" t="s">
        <v>30972</v>
      </c>
    </row>
    <row r="855" spans="1:4" ht="13.5" x14ac:dyDescent="0.25">
      <c r="A855" s="878" t="s">
        <v>4780</v>
      </c>
      <c r="B855" s="878" t="s">
        <v>4781</v>
      </c>
      <c r="C855" s="879" t="s">
        <v>4341</v>
      </c>
      <c r="D855" s="880" t="s">
        <v>40465</v>
      </c>
    </row>
    <row r="856" spans="1:4" ht="13.5" x14ac:dyDescent="0.25">
      <c r="A856" s="878" t="s">
        <v>4782</v>
      </c>
      <c r="B856" s="878" t="s">
        <v>4783</v>
      </c>
      <c r="C856" s="879" t="s">
        <v>4341</v>
      </c>
      <c r="D856" s="880" t="s">
        <v>40466</v>
      </c>
    </row>
    <row r="857" spans="1:4" ht="13.5" x14ac:dyDescent="0.25">
      <c r="A857" s="878" t="s">
        <v>4784</v>
      </c>
      <c r="B857" s="878" t="s">
        <v>4785</v>
      </c>
      <c r="C857" s="879" t="s">
        <v>4341</v>
      </c>
      <c r="D857" s="880" t="s">
        <v>40467</v>
      </c>
    </row>
    <row r="858" spans="1:4" ht="13.5" x14ac:dyDescent="0.25">
      <c r="A858" s="878" t="s">
        <v>4786</v>
      </c>
      <c r="B858" s="878" t="s">
        <v>4787</v>
      </c>
      <c r="C858" s="879" t="s">
        <v>4341</v>
      </c>
      <c r="D858" s="880" t="s">
        <v>40468</v>
      </c>
    </row>
    <row r="859" spans="1:4" ht="13.5" x14ac:dyDescent="0.25">
      <c r="A859" s="878" t="s">
        <v>4788</v>
      </c>
      <c r="B859" s="878" t="s">
        <v>4789</v>
      </c>
      <c r="C859" s="879" t="s">
        <v>4341</v>
      </c>
      <c r="D859" s="880" t="s">
        <v>40469</v>
      </c>
    </row>
    <row r="860" spans="1:4" ht="13.5" x14ac:dyDescent="0.25">
      <c r="A860" s="878" t="s">
        <v>4790</v>
      </c>
      <c r="B860" s="878" t="s">
        <v>4791</v>
      </c>
      <c r="C860" s="879" t="s">
        <v>4341</v>
      </c>
      <c r="D860" s="880" t="s">
        <v>40470</v>
      </c>
    </row>
    <row r="861" spans="1:4" ht="13.5" x14ac:dyDescent="0.25">
      <c r="A861" s="878" t="s">
        <v>4792</v>
      </c>
      <c r="B861" s="878" t="s">
        <v>4793</v>
      </c>
      <c r="C861" s="879" t="s">
        <v>4341</v>
      </c>
      <c r="D861" s="880" t="s">
        <v>40471</v>
      </c>
    </row>
    <row r="862" spans="1:4" ht="13.5" x14ac:dyDescent="0.25">
      <c r="A862" s="878" t="s">
        <v>4794</v>
      </c>
      <c r="B862" s="878" t="s">
        <v>4795</v>
      </c>
      <c r="C862" s="879" t="s">
        <v>4341</v>
      </c>
      <c r="D862" s="880" t="s">
        <v>40472</v>
      </c>
    </row>
    <row r="863" spans="1:4" ht="13.5" x14ac:dyDescent="0.25">
      <c r="A863" s="878" t="s">
        <v>4796</v>
      </c>
      <c r="B863" s="878" t="s">
        <v>4797</v>
      </c>
      <c r="C863" s="879" t="s">
        <v>4341</v>
      </c>
      <c r="D863" s="880" t="s">
        <v>40473</v>
      </c>
    </row>
    <row r="864" spans="1:4" ht="13.5" x14ac:dyDescent="0.25">
      <c r="A864" s="878" t="s">
        <v>4798</v>
      </c>
      <c r="B864" s="878" t="s">
        <v>4799</v>
      </c>
      <c r="C864" s="879" t="s">
        <v>4341</v>
      </c>
      <c r="D864" s="880" t="s">
        <v>40474</v>
      </c>
    </row>
    <row r="865" spans="1:4" ht="13.5" x14ac:dyDescent="0.25">
      <c r="A865" s="878" t="s">
        <v>4800</v>
      </c>
      <c r="B865" s="878" t="s">
        <v>4801</v>
      </c>
      <c r="C865" s="879" t="s">
        <v>4341</v>
      </c>
      <c r="D865" s="880" t="s">
        <v>40475</v>
      </c>
    </row>
    <row r="866" spans="1:4" ht="13.5" x14ac:dyDescent="0.25">
      <c r="A866" s="878" t="s">
        <v>4802</v>
      </c>
      <c r="B866" s="878" t="s">
        <v>4803</v>
      </c>
      <c r="C866" s="879" t="s">
        <v>4341</v>
      </c>
      <c r="D866" s="880" t="s">
        <v>40476</v>
      </c>
    </row>
    <row r="867" spans="1:4" ht="13.5" x14ac:dyDescent="0.25">
      <c r="A867" s="878" t="s">
        <v>4804</v>
      </c>
      <c r="B867" s="878" t="s">
        <v>4805</v>
      </c>
      <c r="C867" s="879" t="s">
        <v>4341</v>
      </c>
      <c r="D867" s="880" t="s">
        <v>40477</v>
      </c>
    </row>
    <row r="868" spans="1:4" ht="13.5" x14ac:dyDescent="0.25">
      <c r="A868" s="878" t="s">
        <v>4807</v>
      </c>
      <c r="B868" s="878" t="s">
        <v>4808</v>
      </c>
      <c r="C868" s="879" t="s">
        <v>4341</v>
      </c>
      <c r="D868" s="880" t="s">
        <v>12988</v>
      </c>
    </row>
    <row r="869" spans="1:4" ht="13.5" x14ac:dyDescent="0.25">
      <c r="A869" s="878" t="s">
        <v>4809</v>
      </c>
      <c r="B869" s="878" t="s">
        <v>4810</v>
      </c>
      <c r="C869" s="879" t="s">
        <v>4341</v>
      </c>
      <c r="D869" s="880" t="s">
        <v>40478</v>
      </c>
    </row>
    <row r="870" spans="1:4" ht="13.5" x14ac:dyDescent="0.25">
      <c r="A870" s="878" t="s">
        <v>4811</v>
      </c>
      <c r="B870" s="878" t="s">
        <v>4812</v>
      </c>
      <c r="C870" s="879" t="s">
        <v>4341</v>
      </c>
      <c r="D870" s="880" t="s">
        <v>40479</v>
      </c>
    </row>
    <row r="871" spans="1:4" ht="13.5" x14ac:dyDescent="0.25">
      <c r="A871" s="878" t="s">
        <v>4813</v>
      </c>
      <c r="B871" s="878" t="s">
        <v>4814</v>
      </c>
      <c r="C871" s="879" t="s">
        <v>4341</v>
      </c>
      <c r="D871" s="880" t="s">
        <v>9716</v>
      </c>
    </row>
    <row r="872" spans="1:4" ht="13.5" x14ac:dyDescent="0.25">
      <c r="A872" s="878" t="s">
        <v>4816</v>
      </c>
      <c r="B872" s="878" t="s">
        <v>4817</v>
      </c>
      <c r="C872" s="879" t="s">
        <v>4341</v>
      </c>
      <c r="D872" s="880" t="s">
        <v>30375</v>
      </c>
    </row>
    <row r="873" spans="1:4" ht="13.5" x14ac:dyDescent="0.25">
      <c r="A873" s="878" t="s">
        <v>4818</v>
      </c>
      <c r="B873" s="878" t="s">
        <v>4819</v>
      </c>
      <c r="C873" s="879" t="s">
        <v>4341</v>
      </c>
      <c r="D873" s="880" t="s">
        <v>30376</v>
      </c>
    </row>
    <row r="874" spans="1:4" ht="13.5" x14ac:dyDescent="0.25">
      <c r="A874" s="878" t="s">
        <v>4820</v>
      </c>
      <c r="B874" s="878" t="s">
        <v>4821</v>
      </c>
      <c r="C874" s="879" t="s">
        <v>4341</v>
      </c>
      <c r="D874" s="880" t="s">
        <v>30377</v>
      </c>
    </row>
    <row r="875" spans="1:4" ht="13.5" x14ac:dyDescent="0.25">
      <c r="A875" s="878" t="s">
        <v>4822</v>
      </c>
      <c r="B875" s="878" t="s">
        <v>4823</v>
      </c>
      <c r="C875" s="879" t="s">
        <v>4341</v>
      </c>
      <c r="D875" s="880" t="s">
        <v>30193</v>
      </c>
    </row>
    <row r="876" spans="1:4" ht="13.5" x14ac:dyDescent="0.25">
      <c r="A876" s="878" t="s">
        <v>4824</v>
      </c>
      <c r="B876" s="878" t="s">
        <v>4825</v>
      </c>
      <c r="C876" s="879" t="s">
        <v>4341</v>
      </c>
      <c r="D876" s="880" t="s">
        <v>30378</v>
      </c>
    </row>
    <row r="877" spans="1:4" ht="13.5" x14ac:dyDescent="0.25">
      <c r="A877" s="878" t="s">
        <v>4826</v>
      </c>
      <c r="B877" s="878" t="s">
        <v>4827</v>
      </c>
      <c r="C877" s="879" t="s">
        <v>4341</v>
      </c>
      <c r="D877" s="880" t="s">
        <v>30379</v>
      </c>
    </row>
    <row r="878" spans="1:4" ht="13.5" x14ac:dyDescent="0.25">
      <c r="A878" s="878" t="s">
        <v>4828</v>
      </c>
      <c r="B878" s="878" t="s">
        <v>4829</v>
      </c>
      <c r="C878" s="879" t="s">
        <v>4341</v>
      </c>
      <c r="D878" s="880" t="s">
        <v>30380</v>
      </c>
    </row>
    <row r="879" spans="1:4" ht="13.5" x14ac:dyDescent="0.25">
      <c r="A879" s="878" t="s">
        <v>4831</v>
      </c>
      <c r="B879" s="878" t="s">
        <v>4832</v>
      </c>
      <c r="C879" s="879" t="s">
        <v>4341</v>
      </c>
      <c r="D879" s="880" t="s">
        <v>13216</v>
      </c>
    </row>
    <row r="880" spans="1:4" ht="13.5" x14ac:dyDescent="0.25">
      <c r="A880" s="878" t="s">
        <v>4833</v>
      </c>
      <c r="B880" s="878" t="s">
        <v>4834</v>
      </c>
      <c r="C880" s="879" t="s">
        <v>4341</v>
      </c>
      <c r="D880" s="880" t="s">
        <v>30381</v>
      </c>
    </row>
    <row r="881" spans="1:4" ht="13.5" x14ac:dyDescent="0.25">
      <c r="A881" s="878" t="s">
        <v>4835</v>
      </c>
      <c r="B881" s="878" t="s">
        <v>4836</v>
      </c>
      <c r="C881" s="879" t="s">
        <v>4341</v>
      </c>
      <c r="D881" s="880" t="s">
        <v>31221</v>
      </c>
    </row>
    <row r="882" spans="1:4" ht="13.5" x14ac:dyDescent="0.25">
      <c r="A882" s="878" t="s">
        <v>4837</v>
      </c>
      <c r="B882" s="878" t="s">
        <v>4838</v>
      </c>
      <c r="C882" s="879" t="s">
        <v>4341</v>
      </c>
      <c r="D882" s="880" t="s">
        <v>17100</v>
      </c>
    </row>
    <row r="883" spans="1:4" ht="13.5" x14ac:dyDescent="0.25">
      <c r="A883" s="878" t="s">
        <v>4839</v>
      </c>
      <c r="B883" s="878" t="s">
        <v>4840</v>
      </c>
      <c r="C883" s="879" t="s">
        <v>4341</v>
      </c>
      <c r="D883" s="880" t="s">
        <v>4885</v>
      </c>
    </row>
    <row r="884" spans="1:4" ht="13.5" x14ac:dyDescent="0.25">
      <c r="A884" s="878" t="s">
        <v>4842</v>
      </c>
      <c r="B884" s="878" t="s">
        <v>4843</v>
      </c>
      <c r="C884" s="879" t="s">
        <v>4341</v>
      </c>
      <c r="D884" s="880" t="s">
        <v>31300</v>
      </c>
    </row>
    <row r="885" spans="1:4" ht="13.5" x14ac:dyDescent="0.25">
      <c r="A885" s="878" t="s">
        <v>4844</v>
      </c>
      <c r="B885" s="878" t="s">
        <v>4845</v>
      </c>
      <c r="C885" s="879" t="s">
        <v>4341</v>
      </c>
      <c r="D885" s="880" t="s">
        <v>40480</v>
      </c>
    </row>
    <row r="886" spans="1:4" ht="13.5" x14ac:dyDescent="0.25">
      <c r="A886" s="878" t="s">
        <v>4847</v>
      </c>
      <c r="B886" s="878" t="s">
        <v>4848</v>
      </c>
      <c r="C886" s="879" t="s">
        <v>4341</v>
      </c>
      <c r="D886" s="880" t="s">
        <v>40481</v>
      </c>
    </row>
    <row r="887" spans="1:4" ht="13.5" x14ac:dyDescent="0.25">
      <c r="A887" s="878" t="s">
        <v>4849</v>
      </c>
      <c r="B887" s="878" t="s">
        <v>4850</v>
      </c>
      <c r="C887" s="879" t="s">
        <v>4341</v>
      </c>
      <c r="D887" s="880" t="s">
        <v>40276</v>
      </c>
    </row>
    <row r="888" spans="1:4" ht="13.5" x14ac:dyDescent="0.25">
      <c r="A888" s="878" t="s">
        <v>4851</v>
      </c>
      <c r="B888" s="878" t="s">
        <v>4852</v>
      </c>
      <c r="C888" s="879" t="s">
        <v>4341</v>
      </c>
      <c r="D888" s="880" t="s">
        <v>40482</v>
      </c>
    </row>
    <row r="889" spans="1:4" ht="13.5" x14ac:dyDescent="0.25">
      <c r="A889" s="878" t="s">
        <v>4853</v>
      </c>
      <c r="B889" s="878" t="s">
        <v>4854</v>
      </c>
      <c r="C889" s="879" t="s">
        <v>4341</v>
      </c>
      <c r="D889" s="880" t="s">
        <v>12246</v>
      </c>
    </row>
    <row r="890" spans="1:4" ht="13.5" x14ac:dyDescent="0.25">
      <c r="A890" s="878" t="s">
        <v>4855</v>
      </c>
      <c r="B890" s="878" t="s">
        <v>4856</v>
      </c>
      <c r="C890" s="879" t="s">
        <v>4341</v>
      </c>
      <c r="D890" s="880" t="s">
        <v>3364</v>
      </c>
    </row>
    <row r="891" spans="1:4" ht="13.5" x14ac:dyDescent="0.25">
      <c r="A891" s="878" t="s">
        <v>4857</v>
      </c>
      <c r="B891" s="878" t="s">
        <v>4858</v>
      </c>
      <c r="C891" s="879" t="s">
        <v>4341</v>
      </c>
      <c r="D891" s="880" t="s">
        <v>40483</v>
      </c>
    </row>
    <row r="892" spans="1:4" ht="13.5" x14ac:dyDescent="0.25">
      <c r="A892" s="878" t="s">
        <v>4859</v>
      </c>
      <c r="B892" s="878" t="s">
        <v>4860</v>
      </c>
      <c r="C892" s="879" t="s">
        <v>4341</v>
      </c>
      <c r="D892" s="880" t="s">
        <v>40484</v>
      </c>
    </row>
    <row r="893" spans="1:4" ht="13.5" x14ac:dyDescent="0.25">
      <c r="A893" s="878" t="s">
        <v>4861</v>
      </c>
      <c r="B893" s="878" t="s">
        <v>4862</v>
      </c>
      <c r="C893" s="879" t="s">
        <v>4341</v>
      </c>
      <c r="D893" s="880" t="s">
        <v>40485</v>
      </c>
    </row>
    <row r="894" spans="1:4" ht="13.5" x14ac:dyDescent="0.25">
      <c r="A894" s="878" t="s">
        <v>4863</v>
      </c>
      <c r="B894" s="878" t="s">
        <v>4864</v>
      </c>
      <c r="C894" s="879" t="s">
        <v>4341</v>
      </c>
      <c r="D894" s="880" t="s">
        <v>40486</v>
      </c>
    </row>
    <row r="895" spans="1:4" ht="13.5" x14ac:dyDescent="0.25">
      <c r="A895" s="878" t="s">
        <v>4866</v>
      </c>
      <c r="B895" s="878" t="s">
        <v>4867</v>
      </c>
      <c r="C895" s="879" t="s">
        <v>4341</v>
      </c>
      <c r="D895" s="880" t="s">
        <v>31062</v>
      </c>
    </row>
    <row r="896" spans="1:4" ht="13.5" x14ac:dyDescent="0.25">
      <c r="A896" s="878" t="s">
        <v>4868</v>
      </c>
      <c r="B896" s="878" t="s">
        <v>4869</v>
      </c>
      <c r="C896" s="879" t="s">
        <v>4341</v>
      </c>
      <c r="D896" s="880" t="s">
        <v>40487</v>
      </c>
    </row>
    <row r="897" spans="1:4" ht="13.5" x14ac:dyDescent="0.25">
      <c r="A897" s="878" t="s">
        <v>4870</v>
      </c>
      <c r="B897" s="878" t="s">
        <v>4871</v>
      </c>
      <c r="C897" s="879" t="s">
        <v>4341</v>
      </c>
      <c r="D897" s="880" t="s">
        <v>40488</v>
      </c>
    </row>
    <row r="898" spans="1:4" ht="13.5" x14ac:dyDescent="0.25">
      <c r="A898" s="878" t="s">
        <v>4872</v>
      </c>
      <c r="B898" s="878" t="s">
        <v>4873</v>
      </c>
      <c r="C898" s="879" t="s">
        <v>4341</v>
      </c>
      <c r="D898" s="880" t="s">
        <v>5465</v>
      </c>
    </row>
    <row r="899" spans="1:4" ht="13.5" x14ac:dyDescent="0.25">
      <c r="A899" s="878" t="s">
        <v>4874</v>
      </c>
      <c r="B899" s="878" t="s">
        <v>4875</v>
      </c>
      <c r="C899" s="879" t="s">
        <v>4341</v>
      </c>
      <c r="D899" s="880" t="s">
        <v>3954</v>
      </c>
    </row>
    <row r="900" spans="1:4" ht="13.5" x14ac:dyDescent="0.25">
      <c r="A900" s="878" t="s">
        <v>4876</v>
      </c>
      <c r="B900" s="878" t="s">
        <v>4877</v>
      </c>
      <c r="C900" s="879" t="s">
        <v>4341</v>
      </c>
      <c r="D900" s="880" t="s">
        <v>5474</v>
      </c>
    </row>
    <row r="901" spans="1:4" ht="13.5" x14ac:dyDescent="0.25">
      <c r="A901" s="878" t="s">
        <v>4878</v>
      </c>
      <c r="B901" s="878" t="s">
        <v>4879</v>
      </c>
      <c r="C901" s="879" t="s">
        <v>4341</v>
      </c>
      <c r="D901" s="880" t="s">
        <v>4880</v>
      </c>
    </row>
    <row r="902" spans="1:4" ht="13.5" x14ac:dyDescent="0.25">
      <c r="A902" s="878" t="s">
        <v>4881</v>
      </c>
      <c r="B902" s="878" t="s">
        <v>4882</v>
      </c>
      <c r="C902" s="879" t="s">
        <v>4341</v>
      </c>
      <c r="D902" s="880" t="s">
        <v>40489</v>
      </c>
    </row>
    <row r="903" spans="1:4" ht="13.5" x14ac:dyDescent="0.25">
      <c r="A903" s="878" t="s">
        <v>4883</v>
      </c>
      <c r="B903" s="878" t="s">
        <v>4884</v>
      </c>
      <c r="C903" s="879" t="s">
        <v>4341</v>
      </c>
      <c r="D903" s="880" t="s">
        <v>4885</v>
      </c>
    </row>
    <row r="904" spans="1:4" ht="13.5" x14ac:dyDescent="0.25">
      <c r="A904" s="878" t="s">
        <v>4886</v>
      </c>
      <c r="B904" s="878" t="s">
        <v>4887</v>
      </c>
      <c r="C904" s="879" t="s">
        <v>4341</v>
      </c>
      <c r="D904" s="880" t="s">
        <v>30461</v>
      </c>
    </row>
    <row r="905" spans="1:4" ht="13.5" x14ac:dyDescent="0.25">
      <c r="A905" s="878" t="s">
        <v>4888</v>
      </c>
      <c r="B905" s="878" t="s">
        <v>4889</v>
      </c>
      <c r="C905" s="879" t="s">
        <v>4341</v>
      </c>
      <c r="D905" s="880" t="s">
        <v>40445</v>
      </c>
    </row>
    <row r="906" spans="1:4" ht="13.5" x14ac:dyDescent="0.25">
      <c r="A906" s="878" t="s">
        <v>4890</v>
      </c>
      <c r="B906" s="878" t="s">
        <v>4891</v>
      </c>
      <c r="C906" s="879" t="s">
        <v>4341</v>
      </c>
      <c r="D906" s="880" t="s">
        <v>11643</v>
      </c>
    </row>
    <row r="907" spans="1:4" ht="13.5" x14ac:dyDescent="0.25">
      <c r="A907" s="878" t="s">
        <v>4892</v>
      </c>
      <c r="B907" s="878" t="s">
        <v>4893</v>
      </c>
      <c r="C907" s="879" t="s">
        <v>4341</v>
      </c>
      <c r="D907" s="880" t="s">
        <v>8845</v>
      </c>
    </row>
    <row r="908" spans="1:4" ht="13.5" x14ac:dyDescent="0.25">
      <c r="A908" s="878" t="s">
        <v>4895</v>
      </c>
      <c r="B908" s="878" t="s">
        <v>4896</v>
      </c>
      <c r="C908" s="879" t="s">
        <v>4341</v>
      </c>
      <c r="D908" s="880" t="s">
        <v>30383</v>
      </c>
    </row>
    <row r="909" spans="1:4" ht="13.5" x14ac:dyDescent="0.25">
      <c r="A909" s="878" t="s">
        <v>4897</v>
      </c>
      <c r="B909" s="878" t="s">
        <v>4898</v>
      </c>
      <c r="C909" s="879" t="s">
        <v>4341</v>
      </c>
      <c r="D909" s="880" t="s">
        <v>4899</v>
      </c>
    </row>
    <row r="910" spans="1:4" ht="13.5" x14ac:dyDescent="0.25">
      <c r="A910" s="878" t="s">
        <v>4900</v>
      </c>
      <c r="B910" s="878" t="s">
        <v>4901</v>
      </c>
      <c r="C910" s="879" t="s">
        <v>4341</v>
      </c>
      <c r="D910" s="880" t="s">
        <v>30387</v>
      </c>
    </row>
    <row r="911" spans="1:4" ht="13.5" x14ac:dyDescent="0.25">
      <c r="A911" s="878" t="s">
        <v>4902</v>
      </c>
      <c r="B911" s="878" t="s">
        <v>4903</v>
      </c>
      <c r="C911" s="879" t="s">
        <v>4341</v>
      </c>
      <c r="D911" s="880" t="s">
        <v>5480</v>
      </c>
    </row>
    <row r="912" spans="1:4" ht="13.5" x14ac:dyDescent="0.25">
      <c r="A912" s="878" t="s">
        <v>4905</v>
      </c>
      <c r="B912" s="878" t="s">
        <v>4906</v>
      </c>
      <c r="C912" s="879" t="s">
        <v>4341</v>
      </c>
      <c r="D912" s="880" t="s">
        <v>30261</v>
      </c>
    </row>
    <row r="913" spans="1:4" ht="13.5" x14ac:dyDescent="0.25">
      <c r="A913" s="878" t="s">
        <v>4907</v>
      </c>
      <c r="B913" s="878" t="s">
        <v>4908</v>
      </c>
      <c r="C913" s="879" t="s">
        <v>4341</v>
      </c>
      <c r="D913" s="880" t="s">
        <v>40490</v>
      </c>
    </row>
    <row r="914" spans="1:4" ht="13.5" x14ac:dyDescent="0.25">
      <c r="A914" s="878" t="s">
        <v>4909</v>
      </c>
      <c r="B914" s="878" t="s">
        <v>4910</v>
      </c>
      <c r="C914" s="879" t="s">
        <v>4341</v>
      </c>
      <c r="D914" s="880" t="s">
        <v>31265</v>
      </c>
    </row>
    <row r="915" spans="1:4" ht="13.5" x14ac:dyDescent="0.25">
      <c r="A915" s="878" t="s">
        <v>4911</v>
      </c>
      <c r="B915" s="878" t="s">
        <v>4912</v>
      </c>
      <c r="C915" s="879" t="s">
        <v>4341</v>
      </c>
      <c r="D915" s="880" t="s">
        <v>40385</v>
      </c>
    </row>
    <row r="916" spans="1:4" ht="13.5" x14ac:dyDescent="0.25">
      <c r="A916" s="878" t="s">
        <v>4913</v>
      </c>
      <c r="B916" s="878" t="s">
        <v>4914</v>
      </c>
      <c r="C916" s="879" t="s">
        <v>4341</v>
      </c>
      <c r="D916" s="880" t="s">
        <v>31060</v>
      </c>
    </row>
    <row r="917" spans="1:4" ht="13.5" x14ac:dyDescent="0.25">
      <c r="A917" s="878" t="s">
        <v>4916</v>
      </c>
      <c r="B917" s="878" t="s">
        <v>4917</v>
      </c>
      <c r="C917" s="879" t="s">
        <v>4341</v>
      </c>
      <c r="D917" s="880" t="s">
        <v>40491</v>
      </c>
    </row>
    <row r="918" spans="1:4" ht="13.5" x14ac:dyDescent="0.25">
      <c r="A918" s="878" t="s">
        <v>4918</v>
      </c>
      <c r="B918" s="878" t="s">
        <v>4919</v>
      </c>
      <c r="C918" s="879" t="s">
        <v>4341</v>
      </c>
      <c r="D918" s="880" t="s">
        <v>30286</v>
      </c>
    </row>
    <row r="919" spans="1:4" ht="13.5" x14ac:dyDescent="0.25">
      <c r="A919" s="878" t="s">
        <v>4921</v>
      </c>
      <c r="B919" s="878" t="s">
        <v>4922</v>
      </c>
      <c r="C919" s="879" t="s">
        <v>4341</v>
      </c>
      <c r="D919" s="880" t="s">
        <v>5189</v>
      </c>
    </row>
    <row r="920" spans="1:4" ht="13.5" x14ac:dyDescent="0.25">
      <c r="A920" s="878" t="s">
        <v>4924</v>
      </c>
      <c r="B920" s="878" t="s">
        <v>4925</v>
      </c>
      <c r="C920" s="879" t="s">
        <v>4341</v>
      </c>
      <c r="D920" s="880" t="s">
        <v>5750</v>
      </c>
    </row>
    <row r="921" spans="1:4" ht="13.5" x14ac:dyDescent="0.25">
      <c r="A921" s="878" t="s">
        <v>4926</v>
      </c>
      <c r="B921" s="878" t="s">
        <v>4927</v>
      </c>
      <c r="C921" s="879" t="s">
        <v>4341</v>
      </c>
      <c r="D921" s="880" t="s">
        <v>40492</v>
      </c>
    </row>
    <row r="922" spans="1:4" ht="13.5" x14ac:dyDescent="0.25">
      <c r="A922" s="878" t="s">
        <v>4928</v>
      </c>
      <c r="B922" s="878" t="s">
        <v>4929</v>
      </c>
      <c r="C922" s="879" t="s">
        <v>4341</v>
      </c>
      <c r="D922" s="880" t="s">
        <v>30361</v>
      </c>
    </row>
    <row r="923" spans="1:4" ht="13.5" x14ac:dyDescent="0.25">
      <c r="A923" s="878" t="s">
        <v>4931</v>
      </c>
      <c r="B923" s="878" t="s">
        <v>4932</v>
      </c>
      <c r="C923" s="879" t="s">
        <v>4341</v>
      </c>
      <c r="D923" s="880" t="s">
        <v>4941</v>
      </c>
    </row>
    <row r="924" spans="1:4" ht="13.5" x14ac:dyDescent="0.25">
      <c r="A924" s="878" t="s">
        <v>4933</v>
      </c>
      <c r="B924" s="878" t="s">
        <v>4934</v>
      </c>
      <c r="C924" s="879" t="s">
        <v>4341</v>
      </c>
      <c r="D924" s="880" t="s">
        <v>30409</v>
      </c>
    </row>
    <row r="925" spans="1:4" ht="13.5" x14ac:dyDescent="0.25">
      <c r="A925" s="878" t="s">
        <v>4935</v>
      </c>
      <c r="B925" s="878" t="s">
        <v>4936</v>
      </c>
      <c r="C925" s="879" t="s">
        <v>4341</v>
      </c>
      <c r="D925" s="880" t="s">
        <v>40493</v>
      </c>
    </row>
    <row r="926" spans="1:4" ht="13.5" x14ac:dyDescent="0.25">
      <c r="A926" s="878" t="s">
        <v>4937</v>
      </c>
      <c r="B926" s="878" t="s">
        <v>4938</v>
      </c>
      <c r="C926" s="879" t="s">
        <v>4341</v>
      </c>
      <c r="D926" s="880" t="s">
        <v>30458</v>
      </c>
    </row>
    <row r="927" spans="1:4" ht="13.5" x14ac:dyDescent="0.25">
      <c r="A927" s="878" t="s">
        <v>4939</v>
      </c>
      <c r="B927" s="878" t="s">
        <v>4940</v>
      </c>
      <c r="C927" s="879" t="s">
        <v>4341</v>
      </c>
      <c r="D927" s="880" t="s">
        <v>5222</v>
      </c>
    </row>
    <row r="928" spans="1:4" ht="13.5" x14ac:dyDescent="0.25">
      <c r="A928" s="878" t="s">
        <v>4942</v>
      </c>
      <c r="B928" s="878" t="s">
        <v>4943</v>
      </c>
      <c r="C928" s="879" t="s">
        <v>4341</v>
      </c>
      <c r="D928" s="880" t="s">
        <v>17181</v>
      </c>
    </row>
    <row r="929" spans="1:4" ht="13.5" x14ac:dyDescent="0.25">
      <c r="A929" s="878" t="s">
        <v>4944</v>
      </c>
      <c r="B929" s="878" t="s">
        <v>4945</v>
      </c>
      <c r="C929" s="879" t="s">
        <v>4341</v>
      </c>
      <c r="D929" s="880" t="s">
        <v>40493</v>
      </c>
    </row>
    <row r="930" spans="1:4" ht="13.5" x14ac:dyDescent="0.25">
      <c r="A930" s="878" t="s">
        <v>4946</v>
      </c>
      <c r="B930" s="878" t="s">
        <v>4947</v>
      </c>
      <c r="C930" s="879" t="s">
        <v>4341</v>
      </c>
      <c r="D930" s="880" t="s">
        <v>30977</v>
      </c>
    </row>
    <row r="931" spans="1:4" ht="13.5" x14ac:dyDescent="0.25">
      <c r="A931" s="878" t="s">
        <v>4948</v>
      </c>
      <c r="B931" s="878" t="s">
        <v>4949</v>
      </c>
      <c r="C931" s="879" t="s">
        <v>4341</v>
      </c>
      <c r="D931" s="880" t="s">
        <v>30288</v>
      </c>
    </row>
    <row r="932" spans="1:4" ht="13.5" x14ac:dyDescent="0.25">
      <c r="A932" s="878" t="s">
        <v>4951</v>
      </c>
      <c r="B932" s="878" t="s">
        <v>4952</v>
      </c>
      <c r="C932" s="879" t="s">
        <v>4341</v>
      </c>
      <c r="D932" s="880" t="s">
        <v>40494</v>
      </c>
    </row>
    <row r="933" spans="1:4" ht="13.5" x14ac:dyDescent="0.25">
      <c r="A933" s="878" t="s">
        <v>4953</v>
      </c>
      <c r="B933" s="878" t="s">
        <v>4954</v>
      </c>
      <c r="C933" s="879" t="s">
        <v>4341</v>
      </c>
      <c r="D933" s="880" t="s">
        <v>30655</v>
      </c>
    </row>
    <row r="934" spans="1:4" ht="13.5" x14ac:dyDescent="0.25">
      <c r="A934" s="878" t="s">
        <v>4955</v>
      </c>
      <c r="B934" s="878" t="s">
        <v>4956</v>
      </c>
      <c r="C934" s="879" t="s">
        <v>4341</v>
      </c>
      <c r="D934" s="880" t="s">
        <v>30389</v>
      </c>
    </row>
    <row r="935" spans="1:4" ht="13.5" x14ac:dyDescent="0.25">
      <c r="A935" s="878" t="s">
        <v>4957</v>
      </c>
      <c r="B935" s="878" t="s">
        <v>4958</v>
      </c>
      <c r="C935" s="879" t="s">
        <v>4341</v>
      </c>
      <c r="D935" s="880" t="s">
        <v>15000</v>
      </c>
    </row>
    <row r="936" spans="1:4" ht="13.5" x14ac:dyDescent="0.25">
      <c r="A936" s="878" t="s">
        <v>4959</v>
      </c>
      <c r="B936" s="878" t="s">
        <v>4960</v>
      </c>
      <c r="C936" s="879" t="s">
        <v>4341</v>
      </c>
      <c r="D936" s="880" t="s">
        <v>30390</v>
      </c>
    </row>
    <row r="937" spans="1:4" ht="13.5" x14ac:dyDescent="0.25">
      <c r="A937" s="878" t="s">
        <v>4961</v>
      </c>
      <c r="B937" s="878" t="s">
        <v>4962</v>
      </c>
      <c r="C937" s="879" t="s">
        <v>4341</v>
      </c>
      <c r="D937" s="880" t="s">
        <v>40495</v>
      </c>
    </row>
    <row r="938" spans="1:4" ht="13.5" x14ac:dyDescent="0.25">
      <c r="A938" s="878" t="s">
        <v>4963</v>
      </c>
      <c r="B938" s="878" t="s">
        <v>4964</v>
      </c>
      <c r="C938" s="879" t="s">
        <v>4341</v>
      </c>
      <c r="D938" s="880" t="s">
        <v>30392</v>
      </c>
    </row>
    <row r="939" spans="1:4" ht="13.5" x14ac:dyDescent="0.25">
      <c r="A939" s="878" t="s">
        <v>4965</v>
      </c>
      <c r="B939" s="878" t="s">
        <v>4966</v>
      </c>
      <c r="C939" s="879" t="s">
        <v>4341</v>
      </c>
      <c r="D939" s="880" t="s">
        <v>30393</v>
      </c>
    </row>
    <row r="940" spans="1:4" ht="13.5" x14ac:dyDescent="0.25">
      <c r="A940" s="878" t="s">
        <v>4967</v>
      </c>
      <c r="B940" s="878" t="s">
        <v>4968</v>
      </c>
      <c r="C940" s="879" t="s">
        <v>4341</v>
      </c>
      <c r="D940" s="880" t="s">
        <v>30394</v>
      </c>
    </row>
    <row r="941" spans="1:4" ht="13.5" x14ac:dyDescent="0.25">
      <c r="A941" s="878" t="s">
        <v>4969</v>
      </c>
      <c r="B941" s="878" t="s">
        <v>4970</v>
      </c>
      <c r="C941" s="879" t="s">
        <v>4341</v>
      </c>
      <c r="D941" s="880" t="s">
        <v>40496</v>
      </c>
    </row>
    <row r="942" spans="1:4" ht="13.5" x14ac:dyDescent="0.25">
      <c r="A942" s="878" t="s">
        <v>4971</v>
      </c>
      <c r="B942" s="878" t="s">
        <v>4972</v>
      </c>
      <c r="C942" s="879" t="s">
        <v>4341</v>
      </c>
      <c r="D942" s="880" t="s">
        <v>4973</v>
      </c>
    </row>
    <row r="943" spans="1:4" ht="13.5" x14ac:dyDescent="0.25">
      <c r="A943" s="878" t="s">
        <v>4974</v>
      </c>
      <c r="B943" s="878" t="s">
        <v>4975</v>
      </c>
      <c r="C943" s="879" t="s">
        <v>4341</v>
      </c>
      <c r="D943" s="880" t="s">
        <v>4976</v>
      </c>
    </row>
    <row r="944" spans="1:4" ht="13.5" x14ac:dyDescent="0.25">
      <c r="A944" s="878" t="s">
        <v>4977</v>
      </c>
      <c r="B944" s="878" t="s">
        <v>4978</v>
      </c>
      <c r="C944" s="879" t="s">
        <v>4341</v>
      </c>
      <c r="D944" s="880" t="s">
        <v>4979</v>
      </c>
    </row>
    <row r="945" spans="1:4" ht="13.5" x14ac:dyDescent="0.25">
      <c r="A945" s="878" t="s">
        <v>4980</v>
      </c>
      <c r="B945" s="878" t="s">
        <v>4981</v>
      </c>
      <c r="C945" s="879" t="s">
        <v>4341</v>
      </c>
      <c r="D945" s="880" t="s">
        <v>40497</v>
      </c>
    </row>
    <row r="946" spans="1:4" ht="13.5" x14ac:dyDescent="0.25">
      <c r="A946" s="878" t="s">
        <v>4983</v>
      </c>
      <c r="B946" s="878" t="s">
        <v>4984</v>
      </c>
      <c r="C946" s="879" t="s">
        <v>4341</v>
      </c>
      <c r="D946" s="880" t="s">
        <v>7037</v>
      </c>
    </row>
    <row r="947" spans="1:4" ht="13.5" x14ac:dyDescent="0.25">
      <c r="A947" s="878" t="s">
        <v>4985</v>
      </c>
      <c r="B947" s="878" t="s">
        <v>4986</v>
      </c>
      <c r="C947" s="879" t="s">
        <v>4341</v>
      </c>
      <c r="D947" s="880" t="s">
        <v>17302</v>
      </c>
    </row>
    <row r="948" spans="1:4" ht="13.5" x14ac:dyDescent="0.25">
      <c r="A948" s="878" t="s">
        <v>4987</v>
      </c>
      <c r="B948" s="878" t="s">
        <v>4988</v>
      </c>
      <c r="C948" s="879" t="s">
        <v>4341</v>
      </c>
      <c r="D948" s="880" t="s">
        <v>30395</v>
      </c>
    </row>
    <row r="949" spans="1:4" ht="13.5" x14ac:dyDescent="0.25">
      <c r="A949" s="878" t="s">
        <v>4989</v>
      </c>
      <c r="B949" s="878" t="s">
        <v>4990</v>
      </c>
      <c r="C949" s="879" t="s">
        <v>4341</v>
      </c>
      <c r="D949" s="880" t="s">
        <v>40498</v>
      </c>
    </row>
    <row r="950" spans="1:4" ht="13.5" x14ac:dyDescent="0.25">
      <c r="A950" s="878" t="s">
        <v>4992</v>
      </c>
      <c r="B950" s="878" t="s">
        <v>4993</v>
      </c>
      <c r="C950" s="879" t="s">
        <v>4341</v>
      </c>
      <c r="D950" s="880" t="s">
        <v>40499</v>
      </c>
    </row>
    <row r="951" spans="1:4" ht="13.5" x14ac:dyDescent="0.25">
      <c r="A951" s="878" t="s">
        <v>4994</v>
      </c>
      <c r="B951" s="878" t="s">
        <v>4995</v>
      </c>
      <c r="C951" s="879" t="s">
        <v>4341</v>
      </c>
      <c r="D951" s="880" t="s">
        <v>4280</v>
      </c>
    </row>
    <row r="952" spans="1:4" ht="13.5" x14ac:dyDescent="0.25">
      <c r="A952" s="878" t="s">
        <v>4996</v>
      </c>
      <c r="B952" s="878" t="s">
        <v>4997</v>
      </c>
      <c r="C952" s="879" t="s">
        <v>4341</v>
      </c>
      <c r="D952" s="880" t="s">
        <v>5060</v>
      </c>
    </row>
    <row r="953" spans="1:4" ht="13.5" x14ac:dyDescent="0.25">
      <c r="A953" s="878" t="s">
        <v>4998</v>
      </c>
      <c r="B953" s="878" t="s">
        <v>4999</v>
      </c>
      <c r="C953" s="879" t="s">
        <v>4341</v>
      </c>
      <c r="D953" s="880" t="s">
        <v>30288</v>
      </c>
    </row>
    <row r="954" spans="1:4" ht="13.5" x14ac:dyDescent="0.25">
      <c r="A954" s="878" t="s">
        <v>5000</v>
      </c>
      <c r="B954" s="878" t="s">
        <v>5001</v>
      </c>
      <c r="C954" s="879" t="s">
        <v>4341</v>
      </c>
      <c r="D954" s="880" t="s">
        <v>30640</v>
      </c>
    </row>
    <row r="955" spans="1:4" ht="13.5" x14ac:dyDescent="0.25">
      <c r="A955" s="878" t="s">
        <v>5002</v>
      </c>
      <c r="B955" s="878" t="s">
        <v>5003</v>
      </c>
      <c r="C955" s="879" t="s">
        <v>4341</v>
      </c>
      <c r="D955" s="880" t="s">
        <v>30655</v>
      </c>
    </row>
    <row r="956" spans="1:4" ht="13.5" x14ac:dyDescent="0.25">
      <c r="A956" s="878" t="s">
        <v>5004</v>
      </c>
      <c r="B956" s="878" t="s">
        <v>5005</v>
      </c>
      <c r="C956" s="879" t="s">
        <v>4341</v>
      </c>
      <c r="D956" s="880" t="s">
        <v>40155</v>
      </c>
    </row>
    <row r="957" spans="1:4" ht="13.5" x14ac:dyDescent="0.25">
      <c r="A957" s="878" t="s">
        <v>5006</v>
      </c>
      <c r="B957" s="878" t="s">
        <v>5007</v>
      </c>
      <c r="C957" s="879" t="s">
        <v>4341</v>
      </c>
      <c r="D957" s="880" t="s">
        <v>30288</v>
      </c>
    </row>
    <row r="958" spans="1:4" ht="13.5" x14ac:dyDescent="0.25">
      <c r="A958" s="878" t="s">
        <v>5008</v>
      </c>
      <c r="B958" s="878" t="s">
        <v>5009</v>
      </c>
      <c r="C958" s="879" t="s">
        <v>4341</v>
      </c>
      <c r="D958" s="880" t="s">
        <v>30363</v>
      </c>
    </row>
    <row r="959" spans="1:4" ht="13.5" x14ac:dyDescent="0.25">
      <c r="A959" s="878" t="s">
        <v>5010</v>
      </c>
      <c r="B959" s="878" t="s">
        <v>5011</v>
      </c>
      <c r="C959" s="879" t="s">
        <v>4341</v>
      </c>
      <c r="D959" s="880" t="s">
        <v>40500</v>
      </c>
    </row>
    <row r="960" spans="1:4" ht="13.5" x14ac:dyDescent="0.25">
      <c r="A960" s="878" t="s">
        <v>5012</v>
      </c>
      <c r="B960" s="878" t="s">
        <v>5013</v>
      </c>
      <c r="C960" s="879" t="s">
        <v>4341</v>
      </c>
      <c r="D960" s="880" t="s">
        <v>30659</v>
      </c>
    </row>
    <row r="961" spans="1:4" ht="13.5" x14ac:dyDescent="0.25">
      <c r="A961" s="878" t="s">
        <v>5014</v>
      </c>
      <c r="B961" s="878" t="s">
        <v>5015</v>
      </c>
      <c r="C961" s="879" t="s">
        <v>4341</v>
      </c>
      <c r="D961" s="880" t="s">
        <v>40501</v>
      </c>
    </row>
    <row r="962" spans="1:4" ht="13.5" x14ac:dyDescent="0.25">
      <c r="A962" s="878" t="s">
        <v>5017</v>
      </c>
      <c r="B962" s="878" t="s">
        <v>5018</v>
      </c>
      <c r="C962" s="879" t="s">
        <v>4341</v>
      </c>
      <c r="D962" s="880" t="s">
        <v>40502</v>
      </c>
    </row>
    <row r="963" spans="1:4" ht="13.5" x14ac:dyDescent="0.25">
      <c r="A963" s="878" t="s">
        <v>5019</v>
      </c>
      <c r="B963" s="878" t="s">
        <v>5020</v>
      </c>
      <c r="C963" s="879" t="s">
        <v>4341</v>
      </c>
      <c r="D963" s="880" t="s">
        <v>40503</v>
      </c>
    </row>
    <row r="964" spans="1:4" ht="13.5" x14ac:dyDescent="0.25">
      <c r="A964" s="878" t="s">
        <v>5021</v>
      </c>
      <c r="B964" s="878" t="s">
        <v>5022</v>
      </c>
      <c r="C964" s="879" t="s">
        <v>4341</v>
      </c>
      <c r="D964" s="880" t="s">
        <v>8248</v>
      </c>
    </row>
    <row r="965" spans="1:4" ht="13.5" x14ac:dyDescent="0.25">
      <c r="A965" s="878" t="s">
        <v>5023</v>
      </c>
      <c r="B965" s="878" t="s">
        <v>5024</v>
      </c>
      <c r="C965" s="879" t="s">
        <v>4341</v>
      </c>
      <c r="D965" s="880" t="s">
        <v>5444</v>
      </c>
    </row>
    <row r="966" spans="1:4" ht="13.5" x14ac:dyDescent="0.25">
      <c r="A966" s="878" t="s">
        <v>5025</v>
      </c>
      <c r="B966" s="878" t="s">
        <v>5026</v>
      </c>
      <c r="C966" s="879" t="s">
        <v>4341</v>
      </c>
      <c r="D966" s="880" t="s">
        <v>40504</v>
      </c>
    </row>
    <row r="967" spans="1:4" ht="13.5" x14ac:dyDescent="0.25">
      <c r="A967" s="878" t="s">
        <v>5027</v>
      </c>
      <c r="B967" s="878" t="s">
        <v>5028</v>
      </c>
      <c r="C967" s="879" t="s">
        <v>4341</v>
      </c>
      <c r="D967" s="880" t="s">
        <v>40505</v>
      </c>
    </row>
    <row r="968" spans="1:4" ht="13.5" x14ac:dyDescent="0.25">
      <c r="A968" s="878" t="s">
        <v>5029</v>
      </c>
      <c r="B968" s="878" t="s">
        <v>5030</v>
      </c>
      <c r="C968" s="879" t="s">
        <v>4341</v>
      </c>
      <c r="D968" s="880" t="s">
        <v>8168</v>
      </c>
    </row>
    <row r="969" spans="1:4" ht="13.5" x14ac:dyDescent="0.25">
      <c r="A969" s="878" t="s">
        <v>5031</v>
      </c>
      <c r="B969" s="878" t="s">
        <v>5032</v>
      </c>
      <c r="C969" s="879" t="s">
        <v>4341</v>
      </c>
      <c r="D969" s="880" t="s">
        <v>30397</v>
      </c>
    </row>
    <row r="970" spans="1:4" ht="13.5" x14ac:dyDescent="0.25">
      <c r="A970" s="878" t="s">
        <v>5033</v>
      </c>
      <c r="B970" s="878" t="s">
        <v>5034</v>
      </c>
      <c r="C970" s="879" t="s">
        <v>4341</v>
      </c>
      <c r="D970" s="880" t="s">
        <v>30398</v>
      </c>
    </row>
    <row r="971" spans="1:4" ht="13.5" x14ac:dyDescent="0.25">
      <c r="A971" s="878" t="s">
        <v>5035</v>
      </c>
      <c r="B971" s="878" t="s">
        <v>5036</v>
      </c>
      <c r="C971" s="879" t="s">
        <v>4341</v>
      </c>
      <c r="D971" s="880" t="s">
        <v>30399</v>
      </c>
    </row>
    <row r="972" spans="1:4" ht="13.5" x14ac:dyDescent="0.25">
      <c r="A972" s="878" t="s">
        <v>5038</v>
      </c>
      <c r="B972" s="878" t="s">
        <v>5039</v>
      </c>
      <c r="C972" s="879" t="s">
        <v>4341</v>
      </c>
      <c r="D972" s="880" t="s">
        <v>30400</v>
      </c>
    </row>
    <row r="973" spans="1:4" ht="13.5" x14ac:dyDescent="0.25">
      <c r="A973" s="878" t="s">
        <v>5040</v>
      </c>
      <c r="B973" s="878" t="s">
        <v>5041</v>
      </c>
      <c r="C973" s="879" t="s">
        <v>4341</v>
      </c>
      <c r="D973" s="880" t="s">
        <v>40506</v>
      </c>
    </row>
    <row r="974" spans="1:4" ht="13.5" x14ac:dyDescent="0.25">
      <c r="A974" s="878" t="s">
        <v>5042</v>
      </c>
      <c r="B974" s="878" t="s">
        <v>5043</v>
      </c>
      <c r="C974" s="879" t="s">
        <v>4341</v>
      </c>
      <c r="D974" s="880" t="s">
        <v>4283</v>
      </c>
    </row>
    <row r="975" spans="1:4" ht="13.5" x14ac:dyDescent="0.25">
      <c r="A975" s="878" t="s">
        <v>5044</v>
      </c>
      <c r="B975" s="878" t="s">
        <v>5045</v>
      </c>
      <c r="C975" s="879" t="s">
        <v>4341</v>
      </c>
      <c r="D975" s="880" t="s">
        <v>5046</v>
      </c>
    </row>
    <row r="976" spans="1:4" ht="13.5" x14ac:dyDescent="0.25">
      <c r="A976" s="878" t="s">
        <v>5047</v>
      </c>
      <c r="B976" s="878" t="s">
        <v>5048</v>
      </c>
      <c r="C976" s="879" t="s">
        <v>4341</v>
      </c>
      <c r="D976" s="880" t="s">
        <v>17798</v>
      </c>
    </row>
    <row r="977" spans="1:4" ht="13.5" x14ac:dyDescent="0.25">
      <c r="A977" s="878" t="s">
        <v>5049</v>
      </c>
      <c r="B977" s="878" t="s">
        <v>5050</v>
      </c>
      <c r="C977" s="879" t="s">
        <v>4341</v>
      </c>
      <c r="D977" s="880" t="s">
        <v>30303</v>
      </c>
    </row>
    <row r="978" spans="1:4" ht="13.5" x14ac:dyDescent="0.25">
      <c r="A978" s="878" t="s">
        <v>5051</v>
      </c>
      <c r="B978" s="878" t="s">
        <v>5052</v>
      </c>
      <c r="C978" s="879" t="s">
        <v>4341</v>
      </c>
      <c r="D978" s="880" t="s">
        <v>4280</v>
      </c>
    </row>
    <row r="979" spans="1:4" ht="13.5" x14ac:dyDescent="0.25">
      <c r="A979" s="878" t="s">
        <v>5053</v>
      </c>
      <c r="B979" s="878" t="s">
        <v>5054</v>
      </c>
      <c r="C979" s="879" t="s">
        <v>4341</v>
      </c>
      <c r="D979" s="880" t="s">
        <v>5055</v>
      </c>
    </row>
    <row r="980" spans="1:4" ht="13.5" x14ac:dyDescent="0.25">
      <c r="A980" s="878" t="s">
        <v>5056</v>
      </c>
      <c r="B980" s="878" t="s">
        <v>5057</v>
      </c>
      <c r="C980" s="879" t="s">
        <v>4341</v>
      </c>
      <c r="D980" s="880" t="s">
        <v>3164</v>
      </c>
    </row>
    <row r="981" spans="1:4" ht="13.5" x14ac:dyDescent="0.25">
      <c r="A981" s="878" t="s">
        <v>5058</v>
      </c>
      <c r="B981" s="878" t="s">
        <v>5059</v>
      </c>
      <c r="C981" s="879" t="s">
        <v>4341</v>
      </c>
      <c r="D981" s="880" t="s">
        <v>40507</v>
      </c>
    </row>
    <row r="982" spans="1:4" ht="13.5" x14ac:dyDescent="0.25">
      <c r="A982" s="878" t="s">
        <v>5061</v>
      </c>
      <c r="B982" s="878" t="s">
        <v>5062</v>
      </c>
      <c r="C982" s="879" t="s">
        <v>4341</v>
      </c>
      <c r="D982" s="880" t="s">
        <v>30328</v>
      </c>
    </row>
    <row r="983" spans="1:4" ht="13.5" x14ac:dyDescent="0.25">
      <c r="A983" s="878" t="s">
        <v>5063</v>
      </c>
      <c r="B983" s="878" t="s">
        <v>5064</v>
      </c>
      <c r="C983" s="879" t="s">
        <v>4341</v>
      </c>
      <c r="D983" s="880" t="s">
        <v>5111</v>
      </c>
    </row>
    <row r="984" spans="1:4" ht="13.5" x14ac:dyDescent="0.25">
      <c r="A984" s="878" t="s">
        <v>5065</v>
      </c>
      <c r="B984" s="878" t="s">
        <v>5066</v>
      </c>
      <c r="C984" s="879" t="s">
        <v>4341</v>
      </c>
      <c r="D984" s="880" t="s">
        <v>16577</v>
      </c>
    </row>
    <row r="985" spans="1:4" ht="13.5" x14ac:dyDescent="0.25">
      <c r="A985" s="878" t="s">
        <v>5068</v>
      </c>
      <c r="B985" s="878" t="s">
        <v>5069</v>
      </c>
      <c r="C985" s="879" t="s">
        <v>4341</v>
      </c>
      <c r="D985" s="880" t="s">
        <v>40508</v>
      </c>
    </row>
    <row r="986" spans="1:4" ht="13.5" x14ac:dyDescent="0.25">
      <c r="A986" s="878" t="s">
        <v>5070</v>
      </c>
      <c r="B986" s="878" t="s">
        <v>5071</v>
      </c>
      <c r="C986" s="879" t="s">
        <v>4341</v>
      </c>
      <c r="D986" s="880" t="s">
        <v>4930</v>
      </c>
    </row>
    <row r="987" spans="1:4" ht="13.5" x14ac:dyDescent="0.25">
      <c r="A987" s="878" t="s">
        <v>5072</v>
      </c>
      <c r="B987" s="878" t="s">
        <v>5073</v>
      </c>
      <c r="C987" s="879" t="s">
        <v>4341</v>
      </c>
      <c r="D987" s="880" t="s">
        <v>40509</v>
      </c>
    </row>
    <row r="988" spans="1:4" ht="13.5" x14ac:dyDescent="0.25">
      <c r="A988" s="878" t="s">
        <v>5074</v>
      </c>
      <c r="B988" s="878" t="s">
        <v>5075</v>
      </c>
      <c r="C988" s="879" t="s">
        <v>4341</v>
      </c>
      <c r="D988" s="880" t="s">
        <v>30401</v>
      </c>
    </row>
    <row r="989" spans="1:4" ht="13.5" x14ac:dyDescent="0.25">
      <c r="A989" s="878" t="s">
        <v>5077</v>
      </c>
      <c r="B989" s="878" t="s">
        <v>5078</v>
      </c>
      <c r="C989" s="879" t="s">
        <v>4341</v>
      </c>
      <c r="D989" s="880" t="s">
        <v>30402</v>
      </c>
    </row>
    <row r="990" spans="1:4" ht="13.5" x14ac:dyDescent="0.25">
      <c r="A990" s="878" t="s">
        <v>5080</v>
      </c>
      <c r="B990" s="878" t="s">
        <v>5081</v>
      </c>
      <c r="C990" s="879" t="s">
        <v>4341</v>
      </c>
      <c r="D990" s="880" t="s">
        <v>16869</v>
      </c>
    </row>
    <row r="991" spans="1:4" ht="13.5" x14ac:dyDescent="0.25">
      <c r="A991" s="878" t="s">
        <v>5082</v>
      </c>
      <c r="B991" s="878" t="s">
        <v>5083</v>
      </c>
      <c r="C991" s="879" t="s">
        <v>4341</v>
      </c>
      <c r="D991" s="880" t="s">
        <v>30403</v>
      </c>
    </row>
    <row r="992" spans="1:4" ht="13.5" x14ac:dyDescent="0.25">
      <c r="A992" s="878" t="s">
        <v>5084</v>
      </c>
      <c r="B992" s="878" t="s">
        <v>5085</v>
      </c>
      <c r="C992" s="879" t="s">
        <v>4341</v>
      </c>
      <c r="D992" s="880" t="s">
        <v>5351</v>
      </c>
    </row>
    <row r="993" spans="1:4" ht="13.5" x14ac:dyDescent="0.25">
      <c r="A993" s="878" t="s">
        <v>5086</v>
      </c>
      <c r="B993" s="878" t="s">
        <v>5087</v>
      </c>
      <c r="C993" s="879" t="s">
        <v>4341</v>
      </c>
      <c r="D993" s="880" t="s">
        <v>5037</v>
      </c>
    </row>
    <row r="994" spans="1:4" ht="13.5" x14ac:dyDescent="0.25">
      <c r="A994" s="878" t="s">
        <v>5088</v>
      </c>
      <c r="B994" s="878" t="s">
        <v>5089</v>
      </c>
      <c r="C994" s="879" t="s">
        <v>4341</v>
      </c>
      <c r="D994" s="880" t="s">
        <v>30404</v>
      </c>
    </row>
    <row r="995" spans="1:4" ht="13.5" x14ac:dyDescent="0.25">
      <c r="A995" s="878" t="s">
        <v>5090</v>
      </c>
      <c r="B995" s="878" t="s">
        <v>5091</v>
      </c>
      <c r="C995" s="879" t="s">
        <v>4341</v>
      </c>
      <c r="D995" s="880" t="s">
        <v>14459</v>
      </c>
    </row>
    <row r="996" spans="1:4" ht="13.5" x14ac:dyDescent="0.25">
      <c r="A996" s="878" t="s">
        <v>5092</v>
      </c>
      <c r="B996" s="878" t="s">
        <v>5093</v>
      </c>
      <c r="C996" s="879" t="s">
        <v>4341</v>
      </c>
      <c r="D996" s="880" t="s">
        <v>9820</v>
      </c>
    </row>
    <row r="997" spans="1:4" ht="13.5" x14ac:dyDescent="0.25">
      <c r="A997" s="878" t="s">
        <v>5094</v>
      </c>
      <c r="B997" s="878" t="s">
        <v>5095</v>
      </c>
      <c r="C997" s="879" t="s">
        <v>4341</v>
      </c>
      <c r="D997" s="880" t="s">
        <v>5432</v>
      </c>
    </row>
    <row r="998" spans="1:4" ht="13.5" x14ac:dyDescent="0.25">
      <c r="A998" s="878" t="s">
        <v>5096</v>
      </c>
      <c r="B998" s="878" t="s">
        <v>5097</v>
      </c>
      <c r="C998" s="879" t="s">
        <v>4341</v>
      </c>
      <c r="D998" s="880" t="s">
        <v>31029</v>
      </c>
    </row>
    <row r="999" spans="1:4" ht="13.5" x14ac:dyDescent="0.25">
      <c r="A999" s="878" t="s">
        <v>5098</v>
      </c>
      <c r="B999" s="878" t="s">
        <v>5099</v>
      </c>
      <c r="C999" s="879" t="s">
        <v>4341</v>
      </c>
      <c r="D999" s="880" t="s">
        <v>11070</v>
      </c>
    </row>
    <row r="1000" spans="1:4" ht="13.5" x14ac:dyDescent="0.25">
      <c r="A1000" s="878" t="s">
        <v>5100</v>
      </c>
      <c r="B1000" s="878" t="s">
        <v>5101</v>
      </c>
      <c r="C1000" s="879" t="s">
        <v>4341</v>
      </c>
      <c r="D1000" s="880" t="s">
        <v>30405</v>
      </c>
    </row>
    <row r="1001" spans="1:4" ht="13.5" x14ac:dyDescent="0.25">
      <c r="A1001" s="878" t="s">
        <v>5102</v>
      </c>
      <c r="B1001" s="878" t="s">
        <v>5103</v>
      </c>
      <c r="C1001" s="879" t="s">
        <v>4341</v>
      </c>
      <c r="D1001" s="880" t="s">
        <v>30406</v>
      </c>
    </row>
    <row r="1002" spans="1:4" ht="13.5" x14ac:dyDescent="0.25">
      <c r="A1002" s="878" t="s">
        <v>5104</v>
      </c>
      <c r="B1002" s="878" t="s">
        <v>5105</v>
      </c>
      <c r="C1002" s="879" t="s">
        <v>4341</v>
      </c>
      <c r="D1002" s="880" t="s">
        <v>40510</v>
      </c>
    </row>
    <row r="1003" spans="1:4" ht="13.5" x14ac:dyDescent="0.25">
      <c r="A1003" s="878" t="s">
        <v>5106</v>
      </c>
      <c r="B1003" s="878" t="s">
        <v>5107</v>
      </c>
      <c r="C1003" s="879" t="s">
        <v>4341</v>
      </c>
      <c r="D1003" s="880" t="s">
        <v>3800</v>
      </c>
    </row>
    <row r="1004" spans="1:4" ht="13.5" x14ac:dyDescent="0.25">
      <c r="A1004" s="878" t="s">
        <v>5109</v>
      </c>
      <c r="B1004" s="878" t="s">
        <v>5110</v>
      </c>
      <c r="C1004" s="879" t="s">
        <v>4341</v>
      </c>
      <c r="D1004" s="880" t="s">
        <v>40511</v>
      </c>
    </row>
    <row r="1005" spans="1:4" ht="13.5" x14ac:dyDescent="0.25">
      <c r="A1005" s="878" t="s">
        <v>5112</v>
      </c>
      <c r="B1005" s="878" t="s">
        <v>5113</v>
      </c>
      <c r="C1005" s="879" t="s">
        <v>4341</v>
      </c>
      <c r="D1005" s="880" t="s">
        <v>15433</v>
      </c>
    </row>
    <row r="1006" spans="1:4" ht="13.5" x14ac:dyDescent="0.25">
      <c r="A1006" s="878" t="s">
        <v>5114</v>
      </c>
      <c r="B1006" s="878" t="s">
        <v>5115</v>
      </c>
      <c r="C1006" s="879" t="s">
        <v>4341</v>
      </c>
      <c r="D1006" s="880" t="s">
        <v>8841</v>
      </c>
    </row>
    <row r="1007" spans="1:4" ht="13.5" x14ac:dyDescent="0.25">
      <c r="A1007" s="878" t="s">
        <v>5116</v>
      </c>
      <c r="B1007" s="878" t="s">
        <v>5117</v>
      </c>
      <c r="C1007" s="879" t="s">
        <v>4341</v>
      </c>
      <c r="D1007" s="880" t="s">
        <v>40417</v>
      </c>
    </row>
    <row r="1008" spans="1:4" ht="13.5" x14ac:dyDescent="0.25">
      <c r="A1008" s="878" t="s">
        <v>5118</v>
      </c>
      <c r="B1008" s="878" t="s">
        <v>5119</v>
      </c>
      <c r="C1008" s="879" t="s">
        <v>4341</v>
      </c>
      <c r="D1008" s="880" t="s">
        <v>30407</v>
      </c>
    </row>
    <row r="1009" spans="1:4" ht="13.5" x14ac:dyDescent="0.25">
      <c r="A1009" s="878" t="s">
        <v>5120</v>
      </c>
      <c r="B1009" s="878" t="s">
        <v>5121</v>
      </c>
      <c r="C1009" s="879" t="s">
        <v>4341</v>
      </c>
      <c r="D1009" s="880" t="s">
        <v>30367</v>
      </c>
    </row>
    <row r="1010" spans="1:4" ht="13.5" x14ac:dyDescent="0.25">
      <c r="A1010" s="878" t="s">
        <v>5122</v>
      </c>
      <c r="B1010" s="878" t="s">
        <v>5123</v>
      </c>
      <c r="C1010" s="879" t="s">
        <v>4341</v>
      </c>
      <c r="D1010" s="880" t="s">
        <v>30408</v>
      </c>
    </row>
    <row r="1011" spans="1:4" ht="13.5" x14ac:dyDescent="0.25">
      <c r="A1011" s="878" t="s">
        <v>5124</v>
      </c>
      <c r="B1011" s="878" t="s">
        <v>5125</v>
      </c>
      <c r="C1011" s="879" t="s">
        <v>4341</v>
      </c>
      <c r="D1011" s="880" t="s">
        <v>40443</v>
      </c>
    </row>
    <row r="1012" spans="1:4" ht="13.5" x14ac:dyDescent="0.25">
      <c r="A1012" s="878" t="s">
        <v>5126</v>
      </c>
      <c r="B1012" s="878" t="s">
        <v>5127</v>
      </c>
      <c r="C1012" s="879" t="s">
        <v>4341</v>
      </c>
      <c r="D1012" s="880" t="s">
        <v>16608</v>
      </c>
    </row>
    <row r="1013" spans="1:4" ht="13.5" x14ac:dyDescent="0.25">
      <c r="A1013" s="878" t="s">
        <v>5129</v>
      </c>
      <c r="B1013" s="878" t="s">
        <v>5130</v>
      </c>
      <c r="C1013" s="879" t="s">
        <v>4341</v>
      </c>
      <c r="D1013" s="880" t="s">
        <v>4585</v>
      </c>
    </row>
    <row r="1014" spans="1:4" ht="13.5" x14ac:dyDescent="0.25">
      <c r="A1014" s="878" t="s">
        <v>5131</v>
      </c>
      <c r="B1014" s="878" t="s">
        <v>5132</v>
      </c>
      <c r="C1014" s="879" t="s">
        <v>4341</v>
      </c>
      <c r="D1014" s="880" t="s">
        <v>3164</v>
      </c>
    </row>
    <row r="1015" spans="1:4" ht="13.5" x14ac:dyDescent="0.25">
      <c r="A1015" s="878" t="s">
        <v>5133</v>
      </c>
      <c r="B1015" s="878" t="s">
        <v>5134</v>
      </c>
      <c r="C1015" s="879" t="s">
        <v>4341</v>
      </c>
      <c r="D1015" s="880" t="s">
        <v>40512</v>
      </c>
    </row>
    <row r="1016" spans="1:4" ht="13.5" x14ac:dyDescent="0.25">
      <c r="A1016" s="878" t="s">
        <v>5135</v>
      </c>
      <c r="B1016" s="878" t="s">
        <v>5136</v>
      </c>
      <c r="C1016" s="879" t="s">
        <v>4341</v>
      </c>
      <c r="D1016" s="880" t="s">
        <v>15262</v>
      </c>
    </row>
    <row r="1017" spans="1:4" ht="13.5" x14ac:dyDescent="0.25">
      <c r="A1017" s="878" t="s">
        <v>5137</v>
      </c>
      <c r="B1017" s="878" t="s">
        <v>5138</v>
      </c>
      <c r="C1017" s="879" t="s">
        <v>4341</v>
      </c>
      <c r="D1017" s="880" t="s">
        <v>5351</v>
      </c>
    </row>
    <row r="1018" spans="1:4" ht="13.5" x14ac:dyDescent="0.25">
      <c r="A1018" s="878" t="s">
        <v>5139</v>
      </c>
      <c r="B1018" s="878" t="s">
        <v>5140</v>
      </c>
      <c r="C1018" s="879" t="s">
        <v>4341</v>
      </c>
      <c r="D1018" s="880" t="s">
        <v>5037</v>
      </c>
    </row>
    <row r="1019" spans="1:4" ht="13.5" x14ac:dyDescent="0.25">
      <c r="A1019" s="878" t="s">
        <v>5141</v>
      </c>
      <c r="B1019" s="878" t="s">
        <v>5142</v>
      </c>
      <c r="C1019" s="879" t="s">
        <v>4341</v>
      </c>
      <c r="D1019" s="880" t="s">
        <v>30342</v>
      </c>
    </row>
    <row r="1020" spans="1:4" ht="13.5" x14ac:dyDescent="0.25">
      <c r="A1020" s="878" t="s">
        <v>5143</v>
      </c>
      <c r="B1020" s="878" t="s">
        <v>5144</v>
      </c>
      <c r="C1020" s="879" t="s">
        <v>4341</v>
      </c>
      <c r="D1020" s="880" t="s">
        <v>40513</v>
      </c>
    </row>
    <row r="1021" spans="1:4" ht="13.5" x14ac:dyDescent="0.25">
      <c r="A1021" s="878" t="s">
        <v>5145</v>
      </c>
      <c r="B1021" s="878" t="s">
        <v>5146</v>
      </c>
      <c r="C1021" s="879" t="s">
        <v>4341</v>
      </c>
      <c r="D1021" s="880" t="s">
        <v>9209</v>
      </c>
    </row>
    <row r="1022" spans="1:4" ht="13.5" x14ac:dyDescent="0.25">
      <c r="A1022" s="878" t="s">
        <v>5147</v>
      </c>
      <c r="B1022" s="878" t="s">
        <v>5148</v>
      </c>
      <c r="C1022" s="879" t="s">
        <v>4341</v>
      </c>
      <c r="D1022" s="880" t="s">
        <v>3570</v>
      </c>
    </row>
    <row r="1023" spans="1:4" ht="13.5" x14ac:dyDescent="0.25">
      <c r="A1023" s="878" t="s">
        <v>5149</v>
      </c>
      <c r="B1023" s="878" t="s">
        <v>5150</v>
      </c>
      <c r="C1023" s="879" t="s">
        <v>4341</v>
      </c>
      <c r="D1023" s="880" t="s">
        <v>40514</v>
      </c>
    </row>
    <row r="1024" spans="1:4" ht="13.5" x14ac:dyDescent="0.25">
      <c r="A1024" s="878" t="s">
        <v>5152</v>
      </c>
      <c r="B1024" s="878" t="s">
        <v>5153</v>
      </c>
      <c r="C1024" s="879" t="s">
        <v>4341</v>
      </c>
      <c r="D1024" s="880" t="s">
        <v>40515</v>
      </c>
    </row>
    <row r="1025" spans="1:4" ht="13.5" x14ac:dyDescent="0.25">
      <c r="A1025" s="878" t="s">
        <v>5155</v>
      </c>
      <c r="B1025" s="878" t="s">
        <v>5156</v>
      </c>
      <c r="C1025" s="879" t="s">
        <v>4341</v>
      </c>
      <c r="D1025" s="880" t="s">
        <v>40516</v>
      </c>
    </row>
    <row r="1026" spans="1:4" ht="13.5" x14ac:dyDescent="0.25">
      <c r="A1026" s="878" t="s">
        <v>5157</v>
      </c>
      <c r="B1026" s="878" t="s">
        <v>5158</v>
      </c>
      <c r="C1026" s="879" t="s">
        <v>4341</v>
      </c>
      <c r="D1026" s="880" t="s">
        <v>5055</v>
      </c>
    </row>
    <row r="1027" spans="1:4" ht="13.5" x14ac:dyDescent="0.25">
      <c r="A1027" s="878" t="s">
        <v>5160</v>
      </c>
      <c r="B1027" s="878" t="s">
        <v>5161</v>
      </c>
      <c r="C1027" s="879" t="s">
        <v>4341</v>
      </c>
      <c r="D1027" s="880" t="s">
        <v>64</v>
      </c>
    </row>
    <row r="1028" spans="1:4" ht="13.5" x14ac:dyDescent="0.25">
      <c r="A1028" s="878" t="s">
        <v>5162</v>
      </c>
      <c r="B1028" s="878" t="s">
        <v>5163</v>
      </c>
      <c r="C1028" s="879" t="s">
        <v>4341</v>
      </c>
      <c r="D1028" s="880" t="s">
        <v>5164</v>
      </c>
    </row>
    <row r="1029" spans="1:4" ht="13.5" x14ac:dyDescent="0.25">
      <c r="A1029" s="878" t="s">
        <v>5165</v>
      </c>
      <c r="B1029" s="878" t="s">
        <v>5166</v>
      </c>
      <c r="C1029" s="879" t="s">
        <v>4341</v>
      </c>
      <c r="D1029" s="880" t="s">
        <v>40517</v>
      </c>
    </row>
    <row r="1030" spans="1:4" ht="13.5" x14ac:dyDescent="0.25">
      <c r="A1030" s="878" t="s">
        <v>5167</v>
      </c>
      <c r="B1030" s="878" t="s">
        <v>5168</v>
      </c>
      <c r="C1030" s="879" t="s">
        <v>4341</v>
      </c>
      <c r="D1030" s="880" t="s">
        <v>3800</v>
      </c>
    </row>
    <row r="1031" spans="1:4" ht="13.5" x14ac:dyDescent="0.25">
      <c r="A1031" s="878" t="s">
        <v>5169</v>
      </c>
      <c r="B1031" s="878" t="s">
        <v>5170</v>
      </c>
      <c r="C1031" s="879" t="s">
        <v>4341</v>
      </c>
      <c r="D1031" s="880" t="s">
        <v>4711</v>
      </c>
    </row>
    <row r="1032" spans="1:4" ht="13.5" x14ac:dyDescent="0.25">
      <c r="A1032" s="878" t="s">
        <v>5172</v>
      </c>
      <c r="B1032" s="878" t="s">
        <v>5173</v>
      </c>
      <c r="C1032" s="879" t="s">
        <v>4341</v>
      </c>
      <c r="D1032" s="880" t="s">
        <v>30409</v>
      </c>
    </row>
    <row r="1033" spans="1:4" ht="13.5" x14ac:dyDescent="0.25">
      <c r="A1033" s="878" t="s">
        <v>5174</v>
      </c>
      <c r="B1033" s="878" t="s">
        <v>5175</v>
      </c>
      <c r="C1033" s="879" t="s">
        <v>4341</v>
      </c>
      <c r="D1033" s="880" t="s">
        <v>30410</v>
      </c>
    </row>
    <row r="1034" spans="1:4" ht="13.5" x14ac:dyDescent="0.25">
      <c r="A1034" s="878" t="s">
        <v>5176</v>
      </c>
      <c r="B1034" s="878" t="s">
        <v>5177</v>
      </c>
      <c r="C1034" s="879" t="s">
        <v>4341</v>
      </c>
      <c r="D1034" s="880" t="s">
        <v>10644</v>
      </c>
    </row>
    <row r="1035" spans="1:4" ht="13.5" x14ac:dyDescent="0.25">
      <c r="A1035" s="878" t="s">
        <v>5178</v>
      </c>
      <c r="B1035" s="878" t="s">
        <v>5179</v>
      </c>
      <c r="C1035" s="879" t="s">
        <v>4341</v>
      </c>
      <c r="D1035" s="880" t="s">
        <v>17147</v>
      </c>
    </row>
    <row r="1036" spans="1:4" ht="13.5" x14ac:dyDescent="0.25">
      <c r="A1036" s="878" t="s">
        <v>5180</v>
      </c>
      <c r="B1036" s="878" t="s">
        <v>5181</v>
      </c>
      <c r="C1036" s="879" t="s">
        <v>4341</v>
      </c>
      <c r="D1036" s="880" t="s">
        <v>30411</v>
      </c>
    </row>
    <row r="1037" spans="1:4" ht="13.5" x14ac:dyDescent="0.25">
      <c r="A1037" s="878" t="s">
        <v>5182</v>
      </c>
      <c r="B1037" s="878" t="s">
        <v>5183</v>
      </c>
      <c r="C1037" s="879" t="s">
        <v>4341</v>
      </c>
      <c r="D1037" s="880" t="s">
        <v>40436</v>
      </c>
    </row>
    <row r="1038" spans="1:4" ht="13.5" x14ac:dyDescent="0.25">
      <c r="A1038" s="878" t="s">
        <v>5184</v>
      </c>
      <c r="B1038" s="878" t="s">
        <v>5185</v>
      </c>
      <c r="C1038" s="879" t="s">
        <v>4341</v>
      </c>
      <c r="D1038" s="880" t="s">
        <v>40518</v>
      </c>
    </row>
    <row r="1039" spans="1:4" ht="13.5" x14ac:dyDescent="0.25">
      <c r="A1039" s="878" t="s">
        <v>5187</v>
      </c>
      <c r="B1039" s="878" t="s">
        <v>5188</v>
      </c>
      <c r="C1039" s="879" t="s">
        <v>4341</v>
      </c>
      <c r="D1039" s="880" t="s">
        <v>5189</v>
      </c>
    </row>
    <row r="1040" spans="1:4" ht="13.5" x14ac:dyDescent="0.25">
      <c r="A1040" s="878" t="s">
        <v>5190</v>
      </c>
      <c r="B1040" s="878" t="s">
        <v>5191</v>
      </c>
      <c r="C1040" s="879" t="s">
        <v>4341</v>
      </c>
      <c r="D1040" s="880" t="s">
        <v>40519</v>
      </c>
    </row>
    <row r="1041" spans="1:4" ht="13.5" x14ac:dyDescent="0.25">
      <c r="A1041" s="878" t="s">
        <v>5193</v>
      </c>
      <c r="B1041" s="878" t="s">
        <v>5194</v>
      </c>
      <c r="C1041" s="879" t="s">
        <v>4341</v>
      </c>
      <c r="D1041" s="880" t="s">
        <v>3164</v>
      </c>
    </row>
    <row r="1042" spans="1:4" ht="13.5" x14ac:dyDescent="0.25">
      <c r="A1042" s="878" t="s">
        <v>5195</v>
      </c>
      <c r="B1042" s="878" t="s">
        <v>5196</v>
      </c>
      <c r="C1042" s="879" t="s">
        <v>4341</v>
      </c>
      <c r="D1042" s="880" t="s">
        <v>4224</v>
      </c>
    </row>
    <row r="1043" spans="1:4" ht="13.5" x14ac:dyDescent="0.25">
      <c r="A1043" s="878" t="s">
        <v>5198</v>
      </c>
      <c r="B1043" s="878" t="s">
        <v>5199</v>
      </c>
      <c r="C1043" s="879" t="s">
        <v>4341</v>
      </c>
      <c r="D1043" s="880" t="s">
        <v>5200</v>
      </c>
    </row>
    <row r="1044" spans="1:4" ht="13.5" x14ac:dyDescent="0.25">
      <c r="A1044" s="878" t="s">
        <v>5201</v>
      </c>
      <c r="B1044" s="878" t="s">
        <v>5202</v>
      </c>
      <c r="C1044" s="879" t="s">
        <v>4341</v>
      </c>
      <c r="D1044" s="880" t="s">
        <v>17628</v>
      </c>
    </row>
    <row r="1045" spans="1:4" ht="13.5" x14ac:dyDescent="0.25">
      <c r="A1045" s="878" t="s">
        <v>5203</v>
      </c>
      <c r="B1045" s="878" t="s">
        <v>5204</v>
      </c>
      <c r="C1045" s="879" t="s">
        <v>4341</v>
      </c>
      <c r="D1045" s="880" t="s">
        <v>30586</v>
      </c>
    </row>
    <row r="1046" spans="1:4" ht="13.5" x14ac:dyDescent="0.25">
      <c r="A1046" s="878" t="s">
        <v>5205</v>
      </c>
      <c r="B1046" s="878" t="s">
        <v>5206</v>
      </c>
      <c r="C1046" s="879" t="s">
        <v>4341</v>
      </c>
      <c r="D1046" s="880" t="s">
        <v>40520</v>
      </c>
    </row>
    <row r="1047" spans="1:4" ht="13.5" x14ac:dyDescent="0.25">
      <c r="A1047" s="878" t="s">
        <v>5207</v>
      </c>
      <c r="B1047" s="878" t="s">
        <v>5208</v>
      </c>
      <c r="C1047" s="879" t="s">
        <v>4341</v>
      </c>
      <c r="D1047" s="880" t="s">
        <v>4566</v>
      </c>
    </row>
    <row r="1048" spans="1:4" ht="13.5" x14ac:dyDescent="0.25">
      <c r="A1048" s="878" t="s">
        <v>5209</v>
      </c>
      <c r="B1048" s="878" t="s">
        <v>5210</v>
      </c>
      <c r="C1048" s="879" t="s">
        <v>4341</v>
      </c>
      <c r="D1048" s="880" t="s">
        <v>40521</v>
      </c>
    </row>
    <row r="1049" spans="1:4" ht="13.5" x14ac:dyDescent="0.25">
      <c r="A1049" s="878" t="s">
        <v>5211</v>
      </c>
      <c r="B1049" s="878" t="s">
        <v>5212</v>
      </c>
      <c r="C1049" s="879" t="s">
        <v>4341</v>
      </c>
      <c r="D1049" s="880" t="s">
        <v>40522</v>
      </c>
    </row>
    <row r="1050" spans="1:4" ht="13.5" x14ac:dyDescent="0.25">
      <c r="A1050" s="878" t="s">
        <v>5214</v>
      </c>
      <c r="B1050" s="878" t="s">
        <v>5215</v>
      </c>
      <c r="C1050" s="879" t="s">
        <v>4341</v>
      </c>
      <c r="D1050" s="880" t="s">
        <v>5216</v>
      </c>
    </row>
    <row r="1051" spans="1:4" ht="13.5" x14ac:dyDescent="0.25">
      <c r="A1051" s="878" t="s">
        <v>5217</v>
      </c>
      <c r="B1051" s="878" t="s">
        <v>5218</v>
      </c>
      <c r="C1051" s="879" t="s">
        <v>4341</v>
      </c>
      <c r="D1051" s="880" t="s">
        <v>5219</v>
      </c>
    </row>
    <row r="1052" spans="1:4" ht="13.5" x14ac:dyDescent="0.25">
      <c r="A1052" s="878" t="s">
        <v>5220</v>
      </c>
      <c r="B1052" s="878" t="s">
        <v>5221</v>
      </c>
      <c r="C1052" s="879" t="s">
        <v>4341</v>
      </c>
      <c r="D1052" s="880" t="s">
        <v>5222</v>
      </c>
    </row>
    <row r="1053" spans="1:4" ht="13.5" x14ac:dyDescent="0.25">
      <c r="A1053" s="878" t="s">
        <v>5223</v>
      </c>
      <c r="B1053" s="878" t="s">
        <v>5224</v>
      </c>
      <c r="C1053" s="879" t="s">
        <v>4341</v>
      </c>
      <c r="D1053" s="880" t="s">
        <v>5225</v>
      </c>
    </row>
    <row r="1054" spans="1:4" ht="13.5" x14ac:dyDescent="0.25">
      <c r="A1054" s="878" t="s">
        <v>5226</v>
      </c>
      <c r="B1054" s="878" t="s">
        <v>5227</v>
      </c>
      <c r="C1054" s="879" t="s">
        <v>4341</v>
      </c>
      <c r="D1054" s="880" t="s">
        <v>40523</v>
      </c>
    </row>
    <row r="1055" spans="1:4" ht="13.5" x14ac:dyDescent="0.25">
      <c r="A1055" s="878" t="s">
        <v>5228</v>
      </c>
      <c r="B1055" s="878" t="s">
        <v>5229</v>
      </c>
      <c r="C1055" s="879" t="s">
        <v>4341</v>
      </c>
      <c r="D1055" s="880" t="s">
        <v>40101</v>
      </c>
    </row>
    <row r="1056" spans="1:4" ht="13.5" x14ac:dyDescent="0.25">
      <c r="A1056" s="878" t="s">
        <v>5230</v>
      </c>
      <c r="B1056" s="878" t="s">
        <v>5231</v>
      </c>
      <c r="C1056" s="879" t="s">
        <v>4341</v>
      </c>
      <c r="D1056" s="880" t="s">
        <v>40524</v>
      </c>
    </row>
    <row r="1057" spans="1:4" ht="13.5" x14ac:dyDescent="0.25">
      <c r="A1057" s="878" t="s">
        <v>5233</v>
      </c>
      <c r="B1057" s="878" t="s">
        <v>5234</v>
      </c>
      <c r="C1057" s="879" t="s">
        <v>4341</v>
      </c>
      <c r="D1057" s="880" t="s">
        <v>40525</v>
      </c>
    </row>
    <row r="1058" spans="1:4" ht="13.5" x14ac:dyDescent="0.25">
      <c r="A1058" s="878" t="s">
        <v>5236</v>
      </c>
      <c r="B1058" s="878" t="s">
        <v>5237</v>
      </c>
      <c r="C1058" s="879" t="s">
        <v>4341</v>
      </c>
      <c r="D1058" s="880" t="s">
        <v>40526</v>
      </c>
    </row>
    <row r="1059" spans="1:4" ht="13.5" x14ac:dyDescent="0.25">
      <c r="A1059" s="878" t="s">
        <v>5239</v>
      </c>
      <c r="B1059" s="878" t="s">
        <v>5240</v>
      </c>
      <c r="C1059" s="879" t="s">
        <v>4341</v>
      </c>
      <c r="D1059" s="880" t="s">
        <v>40527</v>
      </c>
    </row>
    <row r="1060" spans="1:4" ht="13.5" x14ac:dyDescent="0.25">
      <c r="A1060" s="878" t="s">
        <v>5241</v>
      </c>
      <c r="B1060" s="878" t="s">
        <v>5242</v>
      </c>
      <c r="C1060" s="879" t="s">
        <v>4341</v>
      </c>
      <c r="D1060" s="880" t="s">
        <v>5391</v>
      </c>
    </row>
    <row r="1061" spans="1:4" ht="13.5" x14ac:dyDescent="0.25">
      <c r="A1061" s="878" t="s">
        <v>5243</v>
      </c>
      <c r="B1061" s="878" t="s">
        <v>5244</v>
      </c>
      <c r="C1061" s="879" t="s">
        <v>4341</v>
      </c>
      <c r="D1061" s="880" t="s">
        <v>5245</v>
      </c>
    </row>
    <row r="1062" spans="1:4" ht="13.5" x14ac:dyDescent="0.25">
      <c r="A1062" s="878" t="s">
        <v>5246</v>
      </c>
      <c r="B1062" s="878" t="s">
        <v>5247</v>
      </c>
      <c r="C1062" s="879" t="s">
        <v>4341</v>
      </c>
      <c r="D1062" s="880" t="s">
        <v>4338</v>
      </c>
    </row>
    <row r="1063" spans="1:4" ht="13.5" x14ac:dyDescent="0.25">
      <c r="A1063" s="878" t="s">
        <v>5248</v>
      </c>
      <c r="B1063" s="878" t="s">
        <v>5249</v>
      </c>
      <c r="C1063" s="879" t="s">
        <v>4341</v>
      </c>
      <c r="D1063" s="880" t="s">
        <v>40528</v>
      </c>
    </row>
    <row r="1064" spans="1:4" ht="13.5" x14ac:dyDescent="0.25">
      <c r="A1064" s="878" t="s">
        <v>5250</v>
      </c>
      <c r="B1064" s="878" t="s">
        <v>5251</v>
      </c>
      <c r="C1064" s="879" t="s">
        <v>4341</v>
      </c>
      <c r="D1064" s="880" t="s">
        <v>3102</v>
      </c>
    </row>
    <row r="1065" spans="1:4" ht="13.5" x14ac:dyDescent="0.25">
      <c r="A1065" s="878" t="s">
        <v>5252</v>
      </c>
      <c r="B1065" s="878" t="s">
        <v>5253</v>
      </c>
      <c r="C1065" s="879" t="s">
        <v>4341</v>
      </c>
      <c r="D1065" s="880" t="s">
        <v>4283</v>
      </c>
    </row>
    <row r="1066" spans="1:4" ht="13.5" x14ac:dyDescent="0.25">
      <c r="A1066" s="878" t="s">
        <v>5254</v>
      </c>
      <c r="B1066" s="878" t="s">
        <v>5255</v>
      </c>
      <c r="C1066" s="879" t="s">
        <v>4341</v>
      </c>
      <c r="D1066" s="880" t="s">
        <v>40511</v>
      </c>
    </row>
    <row r="1067" spans="1:4" ht="13.5" x14ac:dyDescent="0.25">
      <c r="A1067" s="878" t="s">
        <v>5256</v>
      </c>
      <c r="B1067" s="878" t="s">
        <v>5257</v>
      </c>
      <c r="C1067" s="879" t="s">
        <v>4341</v>
      </c>
      <c r="D1067" s="880" t="s">
        <v>30380</v>
      </c>
    </row>
    <row r="1068" spans="1:4" ht="13.5" x14ac:dyDescent="0.25">
      <c r="A1068" s="878" t="s">
        <v>5258</v>
      </c>
      <c r="B1068" s="878" t="s">
        <v>5259</v>
      </c>
      <c r="C1068" s="879" t="s">
        <v>4341</v>
      </c>
      <c r="D1068" s="880" t="s">
        <v>17095</v>
      </c>
    </row>
    <row r="1069" spans="1:4" ht="13.5" x14ac:dyDescent="0.25">
      <c r="A1069" s="878" t="s">
        <v>5260</v>
      </c>
      <c r="B1069" s="878" t="s">
        <v>5261</v>
      </c>
      <c r="C1069" s="879" t="s">
        <v>4341</v>
      </c>
      <c r="D1069" s="880" t="s">
        <v>4767</v>
      </c>
    </row>
    <row r="1070" spans="1:4" ht="13.5" x14ac:dyDescent="0.25">
      <c r="A1070" s="878" t="s">
        <v>5262</v>
      </c>
      <c r="B1070" s="878" t="s">
        <v>5263</v>
      </c>
      <c r="C1070" s="879" t="s">
        <v>4341</v>
      </c>
      <c r="D1070" s="880" t="s">
        <v>17085</v>
      </c>
    </row>
    <row r="1071" spans="1:4" ht="13.5" x14ac:dyDescent="0.25">
      <c r="A1071" s="878" t="s">
        <v>5264</v>
      </c>
      <c r="B1071" s="878" t="s">
        <v>5265</v>
      </c>
      <c r="C1071" s="879" t="s">
        <v>4341</v>
      </c>
      <c r="D1071" s="880" t="s">
        <v>30414</v>
      </c>
    </row>
    <row r="1072" spans="1:4" ht="13.5" x14ac:dyDescent="0.25">
      <c r="A1072" s="878" t="s">
        <v>5266</v>
      </c>
      <c r="B1072" s="878" t="s">
        <v>5267</v>
      </c>
      <c r="C1072" s="879" t="s">
        <v>4341</v>
      </c>
      <c r="D1072" s="880" t="s">
        <v>30415</v>
      </c>
    </row>
    <row r="1073" spans="1:4" ht="13.5" x14ac:dyDescent="0.25">
      <c r="A1073" s="878" t="s">
        <v>5268</v>
      </c>
      <c r="B1073" s="878" t="s">
        <v>5269</v>
      </c>
      <c r="C1073" s="879" t="s">
        <v>4341</v>
      </c>
      <c r="D1073" s="880" t="s">
        <v>30416</v>
      </c>
    </row>
    <row r="1074" spans="1:4" ht="13.5" x14ac:dyDescent="0.25">
      <c r="A1074" s="878" t="s">
        <v>5270</v>
      </c>
      <c r="B1074" s="878" t="s">
        <v>5271</v>
      </c>
      <c r="C1074" s="879" t="s">
        <v>4341</v>
      </c>
      <c r="D1074" s="880" t="s">
        <v>40529</v>
      </c>
    </row>
    <row r="1075" spans="1:4" ht="13.5" x14ac:dyDescent="0.25">
      <c r="A1075" s="878" t="s">
        <v>5272</v>
      </c>
      <c r="B1075" s="878" t="s">
        <v>5273</v>
      </c>
      <c r="C1075" s="879" t="s">
        <v>4341</v>
      </c>
      <c r="D1075" s="880" t="s">
        <v>5460</v>
      </c>
    </row>
    <row r="1076" spans="1:4" ht="13.5" x14ac:dyDescent="0.25">
      <c r="A1076" s="878" t="s">
        <v>5274</v>
      </c>
      <c r="B1076" s="878" t="s">
        <v>5275</v>
      </c>
      <c r="C1076" s="879" t="s">
        <v>4341</v>
      </c>
      <c r="D1076" s="880" t="s">
        <v>3954</v>
      </c>
    </row>
    <row r="1077" spans="1:4" ht="13.5" x14ac:dyDescent="0.25">
      <c r="A1077" s="878" t="s">
        <v>5276</v>
      </c>
      <c r="B1077" s="878" t="s">
        <v>5277</v>
      </c>
      <c r="C1077" s="879" t="s">
        <v>4341</v>
      </c>
      <c r="D1077" s="880" t="s">
        <v>4198</v>
      </c>
    </row>
    <row r="1078" spans="1:4" ht="13.5" x14ac:dyDescent="0.25">
      <c r="A1078" s="878" t="s">
        <v>5279</v>
      </c>
      <c r="B1078" s="878" t="s">
        <v>5280</v>
      </c>
      <c r="C1078" s="879" t="s">
        <v>4341</v>
      </c>
      <c r="D1078" s="880" t="s">
        <v>40530</v>
      </c>
    </row>
    <row r="1079" spans="1:4" ht="13.5" x14ac:dyDescent="0.25">
      <c r="A1079" s="878" t="s">
        <v>5281</v>
      </c>
      <c r="B1079" s="878" t="s">
        <v>5282</v>
      </c>
      <c r="C1079" s="879" t="s">
        <v>4341</v>
      </c>
      <c r="D1079" s="880" t="s">
        <v>5192</v>
      </c>
    </row>
    <row r="1080" spans="1:4" ht="13.5" x14ac:dyDescent="0.25">
      <c r="A1080" s="878" t="s">
        <v>5283</v>
      </c>
      <c r="B1080" s="878" t="s">
        <v>5284</v>
      </c>
      <c r="C1080" s="879" t="s">
        <v>4341</v>
      </c>
      <c r="D1080" s="880" t="s">
        <v>40531</v>
      </c>
    </row>
    <row r="1081" spans="1:4" ht="13.5" x14ac:dyDescent="0.25">
      <c r="A1081" s="878" t="s">
        <v>5285</v>
      </c>
      <c r="B1081" s="878" t="s">
        <v>5286</v>
      </c>
      <c r="C1081" s="879" t="s">
        <v>4341</v>
      </c>
      <c r="D1081" s="880" t="s">
        <v>40369</v>
      </c>
    </row>
    <row r="1082" spans="1:4" ht="13.5" x14ac:dyDescent="0.25">
      <c r="A1082" s="878" t="s">
        <v>5287</v>
      </c>
      <c r="B1082" s="878" t="s">
        <v>5288</v>
      </c>
      <c r="C1082" s="879" t="s">
        <v>4341</v>
      </c>
      <c r="D1082" s="880" t="s">
        <v>30959</v>
      </c>
    </row>
    <row r="1083" spans="1:4" ht="13.5" x14ac:dyDescent="0.25">
      <c r="A1083" s="878" t="s">
        <v>5289</v>
      </c>
      <c r="B1083" s="878" t="s">
        <v>5290</v>
      </c>
      <c r="C1083" s="879" t="s">
        <v>4341</v>
      </c>
      <c r="D1083" s="880" t="s">
        <v>30420</v>
      </c>
    </row>
    <row r="1084" spans="1:4" ht="13.5" x14ac:dyDescent="0.25">
      <c r="A1084" s="878" t="s">
        <v>5291</v>
      </c>
      <c r="B1084" s="878" t="s">
        <v>5292</v>
      </c>
      <c r="C1084" s="879" t="s">
        <v>4341</v>
      </c>
      <c r="D1084" s="880" t="s">
        <v>8658</v>
      </c>
    </row>
    <row r="1085" spans="1:4" ht="13.5" x14ac:dyDescent="0.25">
      <c r="A1085" s="878" t="s">
        <v>5293</v>
      </c>
      <c r="B1085" s="878" t="s">
        <v>5294</v>
      </c>
      <c r="C1085" s="879" t="s">
        <v>4341</v>
      </c>
      <c r="D1085" s="880" t="s">
        <v>30421</v>
      </c>
    </row>
    <row r="1086" spans="1:4" ht="13.5" x14ac:dyDescent="0.25">
      <c r="A1086" s="878" t="s">
        <v>5296</v>
      </c>
      <c r="B1086" s="878" t="s">
        <v>5297</v>
      </c>
      <c r="C1086" s="879" t="s">
        <v>4341</v>
      </c>
      <c r="D1086" s="880" t="s">
        <v>40532</v>
      </c>
    </row>
    <row r="1087" spans="1:4" ht="13.5" x14ac:dyDescent="0.25">
      <c r="A1087" s="878" t="s">
        <v>5298</v>
      </c>
      <c r="B1087" s="878" t="s">
        <v>5299</v>
      </c>
      <c r="C1087" s="879" t="s">
        <v>4341</v>
      </c>
      <c r="D1087" s="880" t="s">
        <v>4031</v>
      </c>
    </row>
    <row r="1088" spans="1:4" ht="13.5" x14ac:dyDescent="0.25">
      <c r="A1088" s="878" t="s">
        <v>5301</v>
      </c>
      <c r="B1088" s="878" t="s">
        <v>5302</v>
      </c>
      <c r="C1088" s="879" t="s">
        <v>4341</v>
      </c>
      <c r="D1088" s="880" t="s">
        <v>4272</v>
      </c>
    </row>
    <row r="1089" spans="1:4" ht="13.5" x14ac:dyDescent="0.25">
      <c r="A1089" s="878" t="s">
        <v>5303</v>
      </c>
      <c r="B1089" s="878" t="s">
        <v>5304</v>
      </c>
      <c r="C1089" s="879" t="s">
        <v>4341</v>
      </c>
      <c r="D1089" s="880" t="s">
        <v>5346</v>
      </c>
    </row>
    <row r="1090" spans="1:4" ht="13.5" x14ac:dyDescent="0.25">
      <c r="A1090" s="878" t="s">
        <v>5305</v>
      </c>
      <c r="B1090" s="878" t="s">
        <v>5306</v>
      </c>
      <c r="C1090" s="879" t="s">
        <v>4341</v>
      </c>
      <c r="D1090" s="880" t="s">
        <v>4198</v>
      </c>
    </row>
    <row r="1091" spans="1:4" ht="13.5" x14ac:dyDescent="0.25">
      <c r="A1091" s="878" t="s">
        <v>5307</v>
      </c>
      <c r="B1091" s="878" t="s">
        <v>5308</v>
      </c>
      <c r="C1091" s="879" t="s">
        <v>4341</v>
      </c>
      <c r="D1091" s="880" t="s">
        <v>30423</v>
      </c>
    </row>
    <row r="1092" spans="1:4" ht="13.5" x14ac:dyDescent="0.25">
      <c r="A1092" s="878" t="s">
        <v>5309</v>
      </c>
      <c r="B1092" s="878" t="s">
        <v>5310</v>
      </c>
      <c r="C1092" s="879" t="s">
        <v>4341</v>
      </c>
      <c r="D1092" s="880" t="s">
        <v>30424</v>
      </c>
    </row>
    <row r="1093" spans="1:4" ht="13.5" x14ac:dyDescent="0.25">
      <c r="A1093" s="878" t="s">
        <v>5311</v>
      </c>
      <c r="B1093" s="878" t="s">
        <v>5312</v>
      </c>
      <c r="C1093" s="879" t="s">
        <v>4341</v>
      </c>
      <c r="D1093" s="880" t="s">
        <v>30425</v>
      </c>
    </row>
    <row r="1094" spans="1:4" ht="13.5" x14ac:dyDescent="0.25">
      <c r="A1094" s="878" t="s">
        <v>5313</v>
      </c>
      <c r="B1094" s="878" t="s">
        <v>5314</v>
      </c>
      <c r="C1094" s="879" t="s">
        <v>4341</v>
      </c>
      <c r="D1094" s="880" t="s">
        <v>40533</v>
      </c>
    </row>
    <row r="1095" spans="1:4" ht="13.5" x14ac:dyDescent="0.25">
      <c r="A1095" s="878" t="s">
        <v>5315</v>
      </c>
      <c r="B1095" s="878" t="s">
        <v>5316</v>
      </c>
      <c r="C1095" s="879" t="s">
        <v>4341</v>
      </c>
      <c r="D1095" s="880" t="s">
        <v>8043</v>
      </c>
    </row>
    <row r="1096" spans="1:4" ht="13.5" x14ac:dyDescent="0.25">
      <c r="A1096" s="878" t="s">
        <v>5318</v>
      </c>
      <c r="B1096" s="878" t="s">
        <v>5319</v>
      </c>
      <c r="C1096" s="879" t="s">
        <v>4341</v>
      </c>
      <c r="D1096" s="880" t="s">
        <v>30427</v>
      </c>
    </row>
    <row r="1097" spans="1:4" ht="13.5" x14ac:dyDescent="0.25">
      <c r="A1097" s="878" t="s">
        <v>5320</v>
      </c>
      <c r="B1097" s="878" t="s">
        <v>5321</v>
      </c>
      <c r="C1097" s="879" t="s">
        <v>4341</v>
      </c>
      <c r="D1097" s="880" t="s">
        <v>16662</v>
      </c>
    </row>
    <row r="1098" spans="1:4" ht="13.5" x14ac:dyDescent="0.25">
      <c r="A1098" s="878" t="s">
        <v>5323</v>
      </c>
      <c r="B1098" s="878" t="s">
        <v>5324</v>
      </c>
      <c r="C1098" s="879" t="s">
        <v>4341</v>
      </c>
      <c r="D1098" s="880" t="s">
        <v>30417</v>
      </c>
    </row>
    <row r="1099" spans="1:4" ht="13.5" x14ac:dyDescent="0.25">
      <c r="A1099" s="878" t="s">
        <v>5325</v>
      </c>
      <c r="B1099" s="878" t="s">
        <v>5326</v>
      </c>
      <c r="C1099" s="879" t="s">
        <v>4341</v>
      </c>
      <c r="D1099" s="880" t="s">
        <v>30428</v>
      </c>
    </row>
    <row r="1100" spans="1:4" ht="13.5" x14ac:dyDescent="0.25">
      <c r="A1100" s="878" t="s">
        <v>5327</v>
      </c>
      <c r="B1100" s="878" t="s">
        <v>5328</v>
      </c>
      <c r="C1100" s="879" t="s">
        <v>4341</v>
      </c>
      <c r="D1100" s="880" t="s">
        <v>40417</v>
      </c>
    </row>
    <row r="1101" spans="1:4" ht="13.5" x14ac:dyDescent="0.25">
      <c r="A1101" s="878" t="s">
        <v>5329</v>
      </c>
      <c r="B1101" s="878" t="s">
        <v>5330</v>
      </c>
      <c r="C1101" s="879" t="s">
        <v>4341</v>
      </c>
      <c r="D1101" s="880" t="s">
        <v>40534</v>
      </c>
    </row>
    <row r="1102" spans="1:4" ht="13.5" x14ac:dyDescent="0.25">
      <c r="A1102" s="878" t="s">
        <v>5331</v>
      </c>
      <c r="B1102" s="878" t="s">
        <v>5332</v>
      </c>
      <c r="C1102" s="879" t="s">
        <v>4341</v>
      </c>
      <c r="D1102" s="880" t="s">
        <v>17807</v>
      </c>
    </row>
    <row r="1103" spans="1:4" ht="13.5" x14ac:dyDescent="0.25">
      <c r="A1103" s="878" t="s">
        <v>5334</v>
      </c>
      <c r="B1103" s="878" t="s">
        <v>5335</v>
      </c>
      <c r="C1103" s="879" t="s">
        <v>4341</v>
      </c>
      <c r="D1103" s="880" t="s">
        <v>4696</v>
      </c>
    </row>
    <row r="1104" spans="1:4" ht="13.5" x14ac:dyDescent="0.25">
      <c r="A1104" s="878" t="s">
        <v>5337</v>
      </c>
      <c r="B1104" s="878" t="s">
        <v>5338</v>
      </c>
      <c r="C1104" s="879" t="s">
        <v>4341</v>
      </c>
      <c r="D1104" s="880" t="s">
        <v>30893</v>
      </c>
    </row>
    <row r="1105" spans="1:4" ht="13.5" x14ac:dyDescent="0.25">
      <c r="A1105" s="878" t="s">
        <v>5339</v>
      </c>
      <c r="B1105" s="878" t="s">
        <v>5340</v>
      </c>
      <c r="C1105" s="879" t="s">
        <v>4341</v>
      </c>
      <c r="D1105" s="880" t="s">
        <v>30429</v>
      </c>
    </row>
    <row r="1106" spans="1:4" ht="13.5" x14ac:dyDescent="0.25">
      <c r="A1106" s="878" t="s">
        <v>5342</v>
      </c>
      <c r="B1106" s="878" t="s">
        <v>5343</v>
      </c>
      <c r="C1106" s="879" t="s">
        <v>4341</v>
      </c>
      <c r="D1106" s="880" t="s">
        <v>5164</v>
      </c>
    </row>
    <row r="1107" spans="1:4" ht="13.5" x14ac:dyDescent="0.25">
      <c r="A1107" s="878" t="s">
        <v>5344</v>
      </c>
      <c r="B1107" s="878" t="s">
        <v>5345</v>
      </c>
      <c r="C1107" s="879" t="s">
        <v>4341</v>
      </c>
      <c r="D1107" s="880" t="s">
        <v>4031</v>
      </c>
    </row>
    <row r="1108" spans="1:4" ht="13.5" x14ac:dyDescent="0.25">
      <c r="A1108" s="878" t="s">
        <v>5347</v>
      </c>
      <c r="B1108" s="878" t="s">
        <v>5348</v>
      </c>
      <c r="C1108" s="879" t="s">
        <v>4341</v>
      </c>
      <c r="D1108" s="880" t="s">
        <v>6009</v>
      </c>
    </row>
    <row r="1109" spans="1:4" ht="13.5" x14ac:dyDescent="0.25">
      <c r="A1109" s="878" t="s">
        <v>5349</v>
      </c>
      <c r="B1109" s="878" t="s">
        <v>5350</v>
      </c>
      <c r="C1109" s="879" t="s">
        <v>4341</v>
      </c>
      <c r="D1109" s="880" t="s">
        <v>30430</v>
      </c>
    </row>
    <row r="1110" spans="1:4" ht="13.5" x14ac:dyDescent="0.25">
      <c r="A1110" s="878" t="s">
        <v>5352</v>
      </c>
      <c r="B1110" s="878" t="s">
        <v>5353</v>
      </c>
      <c r="C1110" s="879" t="s">
        <v>4341</v>
      </c>
      <c r="D1110" s="880" t="s">
        <v>4438</v>
      </c>
    </row>
    <row r="1111" spans="1:4" ht="13.5" x14ac:dyDescent="0.25">
      <c r="A1111" s="878" t="s">
        <v>5354</v>
      </c>
      <c r="B1111" s="878" t="s">
        <v>5355</v>
      </c>
      <c r="C1111" s="879" t="s">
        <v>4341</v>
      </c>
      <c r="D1111" s="880" t="s">
        <v>5235</v>
      </c>
    </row>
    <row r="1112" spans="1:4" ht="13.5" x14ac:dyDescent="0.25">
      <c r="A1112" s="878" t="s">
        <v>5356</v>
      </c>
      <c r="B1112" s="878" t="s">
        <v>5357</v>
      </c>
      <c r="C1112" s="879" t="s">
        <v>4341</v>
      </c>
      <c r="D1112" s="880" t="s">
        <v>40535</v>
      </c>
    </row>
    <row r="1113" spans="1:4" ht="13.5" x14ac:dyDescent="0.25">
      <c r="A1113" s="878" t="s">
        <v>5358</v>
      </c>
      <c r="B1113" s="878" t="s">
        <v>5359</v>
      </c>
      <c r="C1113" s="879" t="s">
        <v>4341</v>
      </c>
      <c r="D1113" s="880" t="s">
        <v>30431</v>
      </c>
    </row>
    <row r="1114" spans="1:4" ht="13.5" x14ac:dyDescent="0.25">
      <c r="A1114" s="878" t="s">
        <v>5360</v>
      </c>
      <c r="B1114" s="878" t="s">
        <v>5361</v>
      </c>
      <c r="C1114" s="879" t="s">
        <v>4341</v>
      </c>
      <c r="D1114" s="880" t="s">
        <v>4221</v>
      </c>
    </row>
    <row r="1115" spans="1:4" ht="13.5" x14ac:dyDescent="0.25">
      <c r="A1115" s="878" t="s">
        <v>5362</v>
      </c>
      <c r="B1115" s="878" t="s">
        <v>5363</v>
      </c>
      <c r="C1115" s="879" t="s">
        <v>4341</v>
      </c>
      <c r="D1115" s="880" t="s">
        <v>15470</v>
      </c>
    </row>
    <row r="1116" spans="1:4" ht="13.5" x14ac:dyDescent="0.25">
      <c r="A1116" s="878" t="s">
        <v>5364</v>
      </c>
      <c r="B1116" s="878" t="s">
        <v>5365</v>
      </c>
      <c r="C1116" s="879" t="s">
        <v>4341</v>
      </c>
      <c r="D1116" s="881" t="s">
        <v>40536</v>
      </c>
    </row>
    <row r="1117" spans="1:4" ht="13.5" x14ac:dyDescent="0.25">
      <c r="A1117" s="878" t="s">
        <v>5366</v>
      </c>
      <c r="B1117" s="878" t="s">
        <v>5367</v>
      </c>
      <c r="C1117" s="879" t="s">
        <v>4341</v>
      </c>
      <c r="D1117" s="880" t="s">
        <v>5368</v>
      </c>
    </row>
    <row r="1118" spans="1:4" ht="13.5" x14ac:dyDescent="0.25">
      <c r="A1118" s="878" t="s">
        <v>5369</v>
      </c>
      <c r="B1118" s="878" t="s">
        <v>5370</v>
      </c>
      <c r="C1118" s="879" t="s">
        <v>4341</v>
      </c>
      <c r="D1118" s="880" t="s">
        <v>5371</v>
      </c>
    </row>
    <row r="1119" spans="1:4" ht="13.5" x14ac:dyDescent="0.25">
      <c r="A1119" s="878" t="s">
        <v>5372</v>
      </c>
      <c r="B1119" s="878" t="s">
        <v>5373</v>
      </c>
      <c r="C1119" s="879" t="s">
        <v>4341</v>
      </c>
      <c r="D1119" s="880" t="s">
        <v>5374</v>
      </c>
    </row>
    <row r="1120" spans="1:4" ht="13.5" x14ac:dyDescent="0.25">
      <c r="A1120" s="878" t="s">
        <v>5375</v>
      </c>
      <c r="B1120" s="878" t="s">
        <v>5376</v>
      </c>
      <c r="C1120" s="879" t="s">
        <v>4341</v>
      </c>
      <c r="D1120" s="880" t="s">
        <v>40537</v>
      </c>
    </row>
    <row r="1121" spans="1:4" ht="13.5" x14ac:dyDescent="0.25">
      <c r="A1121" s="878" t="s">
        <v>5377</v>
      </c>
      <c r="B1121" s="878" t="s">
        <v>5378</v>
      </c>
      <c r="C1121" s="879" t="s">
        <v>4341</v>
      </c>
      <c r="D1121" s="880" t="s">
        <v>4615</v>
      </c>
    </row>
    <row r="1122" spans="1:4" ht="13.5" x14ac:dyDescent="0.25">
      <c r="A1122" s="878" t="s">
        <v>5379</v>
      </c>
      <c r="B1122" s="878" t="s">
        <v>5380</v>
      </c>
      <c r="C1122" s="879" t="s">
        <v>4341</v>
      </c>
      <c r="D1122" s="880" t="s">
        <v>4899</v>
      </c>
    </row>
    <row r="1123" spans="1:4" ht="13.5" x14ac:dyDescent="0.25">
      <c r="A1123" s="878" t="s">
        <v>5381</v>
      </c>
      <c r="B1123" s="878" t="s">
        <v>5382</v>
      </c>
      <c r="C1123" s="879" t="s">
        <v>4341</v>
      </c>
      <c r="D1123" s="880" t="s">
        <v>5383</v>
      </c>
    </row>
    <row r="1124" spans="1:4" ht="13.5" x14ac:dyDescent="0.25">
      <c r="A1124" s="878" t="s">
        <v>5384</v>
      </c>
      <c r="B1124" s="878" t="s">
        <v>5385</v>
      </c>
      <c r="C1124" s="879" t="s">
        <v>4341</v>
      </c>
      <c r="D1124" s="880" t="s">
        <v>40538</v>
      </c>
    </row>
    <row r="1125" spans="1:4" ht="13.5" x14ac:dyDescent="0.25">
      <c r="A1125" s="878" t="s">
        <v>5386</v>
      </c>
      <c r="B1125" s="878" t="s">
        <v>5387</v>
      </c>
      <c r="C1125" s="879" t="s">
        <v>4341</v>
      </c>
      <c r="D1125" s="880" t="s">
        <v>30418</v>
      </c>
    </row>
    <row r="1126" spans="1:4" ht="13.5" x14ac:dyDescent="0.25">
      <c r="A1126" s="878" t="s">
        <v>5389</v>
      </c>
      <c r="B1126" s="878" t="s">
        <v>5390</v>
      </c>
      <c r="C1126" s="879" t="s">
        <v>4341</v>
      </c>
      <c r="D1126" s="880" t="s">
        <v>4767</v>
      </c>
    </row>
    <row r="1127" spans="1:4" ht="13.5" x14ac:dyDescent="0.25">
      <c r="A1127" s="878" t="s">
        <v>5392</v>
      </c>
      <c r="B1127" s="878" t="s">
        <v>5393</v>
      </c>
      <c r="C1127" s="879" t="s">
        <v>4341</v>
      </c>
      <c r="D1127" s="880" t="s">
        <v>5394</v>
      </c>
    </row>
    <row r="1128" spans="1:4" ht="13.5" x14ac:dyDescent="0.25">
      <c r="A1128" s="878" t="s">
        <v>5395</v>
      </c>
      <c r="B1128" s="878" t="s">
        <v>5396</v>
      </c>
      <c r="C1128" s="879" t="s">
        <v>4341</v>
      </c>
      <c r="D1128" s="880" t="s">
        <v>5397</v>
      </c>
    </row>
    <row r="1129" spans="1:4" ht="13.5" x14ac:dyDescent="0.25">
      <c r="A1129" s="878" t="s">
        <v>5398</v>
      </c>
      <c r="B1129" s="878" t="s">
        <v>5399</v>
      </c>
      <c r="C1129" s="879" t="s">
        <v>4341</v>
      </c>
      <c r="D1129" s="880" t="s">
        <v>5400</v>
      </c>
    </row>
    <row r="1130" spans="1:4" ht="13.5" x14ac:dyDescent="0.25">
      <c r="A1130" s="878" t="s">
        <v>5401</v>
      </c>
      <c r="B1130" s="878" t="s">
        <v>5402</v>
      </c>
      <c r="C1130" s="879" t="s">
        <v>4341</v>
      </c>
      <c r="D1130" s="880" t="s">
        <v>5403</v>
      </c>
    </row>
    <row r="1131" spans="1:4" ht="13.5" x14ac:dyDescent="0.25">
      <c r="A1131" s="878" t="s">
        <v>5404</v>
      </c>
      <c r="B1131" s="878" t="s">
        <v>5405</v>
      </c>
      <c r="C1131" s="879" t="s">
        <v>4341</v>
      </c>
      <c r="D1131" s="880" t="s">
        <v>40539</v>
      </c>
    </row>
    <row r="1132" spans="1:4" ht="13.5" x14ac:dyDescent="0.25">
      <c r="A1132" s="878" t="s">
        <v>5406</v>
      </c>
      <c r="B1132" s="878" t="s">
        <v>5407</v>
      </c>
      <c r="C1132" s="879" t="s">
        <v>4341</v>
      </c>
      <c r="D1132" s="880" t="s">
        <v>10961</v>
      </c>
    </row>
    <row r="1133" spans="1:4" ht="13.5" x14ac:dyDescent="0.25">
      <c r="A1133" s="878" t="s">
        <v>5409</v>
      </c>
      <c r="B1133" s="878" t="s">
        <v>5410</v>
      </c>
      <c r="C1133" s="879" t="s">
        <v>4341</v>
      </c>
      <c r="D1133" s="880" t="s">
        <v>30432</v>
      </c>
    </row>
    <row r="1134" spans="1:4" ht="13.5" x14ac:dyDescent="0.25">
      <c r="A1134" s="878" t="s">
        <v>5411</v>
      </c>
      <c r="B1134" s="878" t="s">
        <v>5412</v>
      </c>
      <c r="C1134" s="879" t="s">
        <v>4341</v>
      </c>
      <c r="D1134" s="880" t="s">
        <v>30433</v>
      </c>
    </row>
    <row r="1135" spans="1:4" ht="13.5" x14ac:dyDescent="0.25">
      <c r="A1135" s="878" t="s">
        <v>5413</v>
      </c>
      <c r="B1135" s="878" t="s">
        <v>5414</v>
      </c>
      <c r="C1135" s="879" t="s">
        <v>4341</v>
      </c>
      <c r="D1135" s="880" t="s">
        <v>40540</v>
      </c>
    </row>
    <row r="1136" spans="1:4" ht="13.5" x14ac:dyDescent="0.25">
      <c r="A1136" s="878" t="s">
        <v>5415</v>
      </c>
      <c r="B1136" s="878" t="s">
        <v>5416</v>
      </c>
      <c r="C1136" s="879" t="s">
        <v>4341</v>
      </c>
      <c r="D1136" s="880" t="s">
        <v>30435</v>
      </c>
    </row>
    <row r="1137" spans="1:4" ht="13.5" x14ac:dyDescent="0.25">
      <c r="A1137" s="878" t="s">
        <v>5417</v>
      </c>
      <c r="B1137" s="878" t="s">
        <v>5418</v>
      </c>
      <c r="C1137" s="879" t="s">
        <v>4341</v>
      </c>
      <c r="D1137" s="880" t="s">
        <v>30436</v>
      </c>
    </row>
    <row r="1138" spans="1:4" ht="13.5" x14ac:dyDescent="0.25">
      <c r="A1138" s="878" t="s">
        <v>5419</v>
      </c>
      <c r="B1138" s="878" t="s">
        <v>5420</v>
      </c>
      <c r="C1138" s="879" t="s">
        <v>4341</v>
      </c>
      <c r="D1138" s="880" t="s">
        <v>18011</v>
      </c>
    </row>
    <row r="1139" spans="1:4" ht="13.5" x14ac:dyDescent="0.25">
      <c r="A1139" s="878" t="s">
        <v>5421</v>
      </c>
      <c r="B1139" s="878" t="s">
        <v>5422</v>
      </c>
      <c r="C1139" s="879" t="s">
        <v>4341</v>
      </c>
      <c r="D1139" s="880" t="s">
        <v>40541</v>
      </c>
    </row>
    <row r="1140" spans="1:4" ht="13.5" x14ac:dyDescent="0.25">
      <c r="A1140" s="878" t="s">
        <v>5424</v>
      </c>
      <c r="B1140" s="878" t="s">
        <v>5425</v>
      </c>
      <c r="C1140" s="879" t="s">
        <v>4341</v>
      </c>
      <c r="D1140" s="880" t="s">
        <v>4272</v>
      </c>
    </row>
    <row r="1141" spans="1:4" ht="13.5" x14ac:dyDescent="0.25">
      <c r="A1141" s="878" t="s">
        <v>5426</v>
      </c>
      <c r="B1141" s="878" t="s">
        <v>5427</v>
      </c>
      <c r="C1141" s="879" t="s">
        <v>4341</v>
      </c>
      <c r="D1141" s="880" t="s">
        <v>64</v>
      </c>
    </row>
    <row r="1142" spans="1:4" ht="13.5" x14ac:dyDescent="0.25">
      <c r="A1142" s="878" t="s">
        <v>5428</v>
      </c>
      <c r="B1142" s="878" t="s">
        <v>5429</v>
      </c>
      <c r="C1142" s="879" t="s">
        <v>4341</v>
      </c>
      <c r="D1142" s="880" t="s">
        <v>5200</v>
      </c>
    </row>
    <row r="1143" spans="1:4" ht="13.5" x14ac:dyDescent="0.25">
      <c r="A1143" s="878" t="s">
        <v>5430</v>
      </c>
      <c r="B1143" s="878" t="s">
        <v>5431</v>
      </c>
      <c r="C1143" s="879" t="s">
        <v>4341</v>
      </c>
      <c r="D1143" s="880" t="s">
        <v>30437</v>
      </c>
    </row>
    <row r="1144" spans="1:4" ht="13.5" x14ac:dyDescent="0.25">
      <c r="A1144" s="878" t="s">
        <v>5433</v>
      </c>
      <c r="B1144" s="878" t="s">
        <v>5434</v>
      </c>
      <c r="C1144" s="879" t="s">
        <v>4341</v>
      </c>
      <c r="D1144" s="880" t="s">
        <v>30438</v>
      </c>
    </row>
    <row r="1145" spans="1:4" ht="13.5" x14ac:dyDescent="0.25">
      <c r="A1145" s="878" t="s">
        <v>5436</v>
      </c>
      <c r="B1145" s="878" t="s">
        <v>5437</v>
      </c>
      <c r="C1145" s="879" t="s">
        <v>4341</v>
      </c>
      <c r="D1145" s="880" t="s">
        <v>14750</v>
      </c>
    </row>
    <row r="1146" spans="1:4" ht="13.5" x14ac:dyDescent="0.25">
      <c r="A1146" s="878" t="s">
        <v>5438</v>
      </c>
      <c r="B1146" s="878" t="s">
        <v>5439</v>
      </c>
      <c r="C1146" s="879" t="s">
        <v>4341</v>
      </c>
      <c r="D1146" s="880" t="s">
        <v>40532</v>
      </c>
    </row>
    <row r="1147" spans="1:4" ht="13.5" x14ac:dyDescent="0.25">
      <c r="A1147" s="878" t="s">
        <v>5440</v>
      </c>
      <c r="B1147" s="878" t="s">
        <v>5441</v>
      </c>
      <c r="C1147" s="879" t="s">
        <v>4341</v>
      </c>
      <c r="D1147" s="880" t="s">
        <v>4572</v>
      </c>
    </row>
    <row r="1148" spans="1:4" ht="13.5" x14ac:dyDescent="0.25">
      <c r="A1148" s="878" t="s">
        <v>5442</v>
      </c>
      <c r="B1148" s="878" t="s">
        <v>5443</v>
      </c>
      <c r="C1148" s="879" t="s">
        <v>4341</v>
      </c>
      <c r="D1148" s="880" t="s">
        <v>31161</v>
      </c>
    </row>
    <row r="1149" spans="1:4" ht="13.5" x14ac:dyDescent="0.25">
      <c r="A1149" s="878" t="s">
        <v>5445</v>
      </c>
      <c r="B1149" s="878" t="s">
        <v>5446</v>
      </c>
      <c r="C1149" s="879" t="s">
        <v>4341</v>
      </c>
      <c r="D1149" s="880" t="s">
        <v>4233</v>
      </c>
    </row>
    <row r="1150" spans="1:4" ht="13.5" x14ac:dyDescent="0.25">
      <c r="A1150" s="878" t="s">
        <v>5447</v>
      </c>
      <c r="B1150" s="878" t="s">
        <v>5448</v>
      </c>
      <c r="C1150" s="879" t="s">
        <v>4341</v>
      </c>
      <c r="D1150" s="880" t="s">
        <v>16992</v>
      </c>
    </row>
    <row r="1151" spans="1:4" ht="13.5" x14ac:dyDescent="0.25">
      <c r="A1151" s="878" t="s">
        <v>5449</v>
      </c>
      <c r="B1151" s="878" t="s">
        <v>5450</v>
      </c>
      <c r="C1151" s="879" t="s">
        <v>4341</v>
      </c>
      <c r="D1151" s="880" t="s">
        <v>4288</v>
      </c>
    </row>
    <row r="1152" spans="1:4" ht="13.5" x14ac:dyDescent="0.25">
      <c r="A1152" s="878" t="s">
        <v>5451</v>
      </c>
      <c r="B1152" s="878" t="s">
        <v>5452</v>
      </c>
      <c r="C1152" s="879" t="s">
        <v>4341</v>
      </c>
      <c r="D1152" s="880" t="s">
        <v>4335</v>
      </c>
    </row>
    <row r="1153" spans="1:4" ht="13.5" x14ac:dyDescent="0.25">
      <c r="A1153" s="878" t="s">
        <v>5453</v>
      </c>
      <c r="B1153" s="878" t="s">
        <v>5454</v>
      </c>
      <c r="C1153" s="879" t="s">
        <v>4341</v>
      </c>
      <c r="D1153" s="880" t="s">
        <v>30287</v>
      </c>
    </row>
    <row r="1154" spans="1:4" ht="13.5" x14ac:dyDescent="0.25">
      <c r="A1154" s="878" t="s">
        <v>5456</v>
      </c>
      <c r="B1154" s="878" t="s">
        <v>5457</v>
      </c>
      <c r="C1154" s="879" t="s">
        <v>4341</v>
      </c>
      <c r="D1154" s="880" t="s">
        <v>40542</v>
      </c>
    </row>
    <row r="1155" spans="1:4" ht="13.5" x14ac:dyDescent="0.25">
      <c r="A1155" s="878" t="s">
        <v>5458</v>
      </c>
      <c r="B1155" s="878" t="s">
        <v>5459</v>
      </c>
      <c r="C1155" s="879" t="s">
        <v>4341</v>
      </c>
      <c r="D1155" s="880" t="s">
        <v>4283</v>
      </c>
    </row>
    <row r="1156" spans="1:4" ht="13.5" x14ac:dyDescent="0.25">
      <c r="A1156" s="878" t="s">
        <v>5461</v>
      </c>
      <c r="B1156" s="878" t="s">
        <v>5462</v>
      </c>
      <c r="C1156" s="879" t="s">
        <v>4341</v>
      </c>
      <c r="D1156" s="880" t="s">
        <v>3954</v>
      </c>
    </row>
    <row r="1157" spans="1:4" ht="13.5" x14ac:dyDescent="0.25">
      <c r="A1157" s="878" t="s">
        <v>5463</v>
      </c>
      <c r="B1157" s="878" t="s">
        <v>5464</v>
      </c>
      <c r="C1157" s="879" t="s">
        <v>4341</v>
      </c>
      <c r="D1157" s="880" t="s">
        <v>4159</v>
      </c>
    </row>
    <row r="1158" spans="1:4" ht="13.5" x14ac:dyDescent="0.25">
      <c r="A1158" s="878" t="s">
        <v>5466</v>
      </c>
      <c r="B1158" s="878" t="s">
        <v>5467</v>
      </c>
      <c r="C1158" s="879" t="s">
        <v>4341</v>
      </c>
      <c r="D1158" s="880" t="s">
        <v>30303</v>
      </c>
    </row>
    <row r="1159" spans="1:4" ht="13.5" x14ac:dyDescent="0.25">
      <c r="A1159" s="878" t="s">
        <v>5468</v>
      </c>
      <c r="B1159" s="878" t="s">
        <v>5469</v>
      </c>
      <c r="C1159" s="879" t="s">
        <v>4341</v>
      </c>
      <c r="D1159" s="880" t="s">
        <v>4159</v>
      </c>
    </row>
    <row r="1160" spans="1:4" ht="13.5" x14ac:dyDescent="0.25">
      <c r="A1160" s="878" t="s">
        <v>5470</v>
      </c>
      <c r="B1160" s="878" t="s">
        <v>5471</v>
      </c>
      <c r="C1160" s="879" t="s">
        <v>4341</v>
      </c>
      <c r="D1160" s="880" t="s">
        <v>3954</v>
      </c>
    </row>
    <row r="1161" spans="1:4" ht="13.5" x14ac:dyDescent="0.25">
      <c r="A1161" s="878" t="s">
        <v>5472</v>
      </c>
      <c r="B1161" s="878" t="s">
        <v>5473</v>
      </c>
      <c r="C1161" s="879" t="s">
        <v>4341</v>
      </c>
      <c r="D1161" s="880" t="s">
        <v>4096</v>
      </c>
    </row>
    <row r="1162" spans="1:4" ht="13.5" x14ac:dyDescent="0.25">
      <c r="A1162" s="878" t="s">
        <v>5475</v>
      </c>
      <c r="B1162" s="878" t="s">
        <v>5476</v>
      </c>
      <c r="C1162" s="879" t="s">
        <v>4341</v>
      </c>
      <c r="D1162" s="880" t="s">
        <v>5477</v>
      </c>
    </row>
    <row r="1163" spans="1:4" ht="13.5" x14ac:dyDescent="0.25">
      <c r="A1163" s="878" t="s">
        <v>5478</v>
      </c>
      <c r="B1163" s="878" t="s">
        <v>5479</v>
      </c>
      <c r="C1163" s="879" t="s">
        <v>4341</v>
      </c>
      <c r="D1163" s="880" t="s">
        <v>4288</v>
      </c>
    </row>
    <row r="1164" spans="1:4" ht="13.5" x14ac:dyDescent="0.25">
      <c r="A1164" s="878" t="s">
        <v>5481</v>
      </c>
      <c r="B1164" s="878" t="s">
        <v>5482</v>
      </c>
      <c r="C1164" s="879" t="s">
        <v>4341</v>
      </c>
      <c r="D1164" s="880" t="s">
        <v>5164</v>
      </c>
    </row>
    <row r="1165" spans="1:4" ht="13.5" x14ac:dyDescent="0.25">
      <c r="A1165" s="878" t="s">
        <v>5483</v>
      </c>
      <c r="B1165" s="878" t="s">
        <v>5484</v>
      </c>
      <c r="C1165" s="879" t="s">
        <v>4341</v>
      </c>
      <c r="D1165" s="880" t="s">
        <v>4198</v>
      </c>
    </row>
    <row r="1166" spans="1:4" ht="13.5" x14ac:dyDescent="0.25">
      <c r="A1166" s="878" t="s">
        <v>5485</v>
      </c>
      <c r="B1166" s="878" t="s">
        <v>5486</v>
      </c>
      <c r="C1166" s="879" t="s">
        <v>4341</v>
      </c>
      <c r="D1166" s="880" t="s">
        <v>30303</v>
      </c>
    </row>
    <row r="1167" spans="1:4" ht="13.5" x14ac:dyDescent="0.25">
      <c r="A1167" s="878" t="s">
        <v>5487</v>
      </c>
      <c r="B1167" s="878" t="s">
        <v>5488</v>
      </c>
      <c r="C1167" s="879" t="s">
        <v>4341</v>
      </c>
      <c r="D1167" s="880" t="s">
        <v>30288</v>
      </c>
    </row>
    <row r="1168" spans="1:4" ht="13.5" x14ac:dyDescent="0.25">
      <c r="A1168" s="878" t="s">
        <v>5489</v>
      </c>
      <c r="B1168" s="878" t="s">
        <v>5490</v>
      </c>
      <c r="C1168" s="879" t="s">
        <v>4341</v>
      </c>
      <c r="D1168" s="880" t="s">
        <v>4923</v>
      </c>
    </row>
    <row r="1169" spans="1:4" ht="13.5" x14ac:dyDescent="0.25">
      <c r="A1169" s="878" t="s">
        <v>5491</v>
      </c>
      <c r="B1169" s="878" t="s">
        <v>5492</v>
      </c>
      <c r="C1169" s="879" t="s">
        <v>4341</v>
      </c>
      <c r="D1169" s="880" t="s">
        <v>5455</v>
      </c>
    </row>
    <row r="1170" spans="1:4" ht="13.5" x14ac:dyDescent="0.25">
      <c r="A1170" s="878" t="s">
        <v>5493</v>
      </c>
      <c r="B1170" s="878" t="s">
        <v>5494</v>
      </c>
      <c r="C1170" s="879" t="s">
        <v>4341</v>
      </c>
      <c r="D1170" s="880" t="s">
        <v>30667</v>
      </c>
    </row>
    <row r="1171" spans="1:4" ht="13.5" x14ac:dyDescent="0.25">
      <c r="A1171" s="878" t="s">
        <v>5495</v>
      </c>
      <c r="B1171" s="878" t="s">
        <v>5496</v>
      </c>
      <c r="C1171" s="879" t="s">
        <v>4341</v>
      </c>
      <c r="D1171" s="880" t="s">
        <v>3847</v>
      </c>
    </row>
    <row r="1172" spans="1:4" ht="13.5" x14ac:dyDescent="0.25">
      <c r="A1172" s="878" t="s">
        <v>5497</v>
      </c>
      <c r="B1172" s="878" t="s">
        <v>5498</v>
      </c>
      <c r="C1172" s="879" t="s">
        <v>4341</v>
      </c>
      <c r="D1172" s="880" t="s">
        <v>30889</v>
      </c>
    </row>
    <row r="1173" spans="1:4" ht="13.5" x14ac:dyDescent="0.25">
      <c r="A1173" s="878" t="s">
        <v>5499</v>
      </c>
      <c r="B1173" s="878" t="s">
        <v>5500</v>
      </c>
      <c r="C1173" s="879" t="s">
        <v>4341</v>
      </c>
      <c r="D1173" s="880" t="s">
        <v>40427</v>
      </c>
    </row>
    <row r="1174" spans="1:4" ht="13.5" x14ac:dyDescent="0.25">
      <c r="A1174" s="878" t="s">
        <v>5501</v>
      </c>
      <c r="B1174" s="878" t="s">
        <v>5502</v>
      </c>
      <c r="C1174" s="879" t="s">
        <v>4341</v>
      </c>
      <c r="D1174" s="880" t="s">
        <v>30408</v>
      </c>
    </row>
    <row r="1175" spans="1:4" ht="13.5" x14ac:dyDescent="0.25">
      <c r="A1175" s="878" t="s">
        <v>5503</v>
      </c>
      <c r="B1175" s="878" t="s">
        <v>5504</v>
      </c>
      <c r="C1175" s="879" t="s">
        <v>4341</v>
      </c>
      <c r="D1175" s="880" t="s">
        <v>4572</v>
      </c>
    </row>
    <row r="1176" spans="1:4" ht="13.5" x14ac:dyDescent="0.25">
      <c r="A1176" s="878" t="s">
        <v>5505</v>
      </c>
      <c r="B1176" s="878" t="s">
        <v>5506</v>
      </c>
      <c r="C1176" s="879" t="s">
        <v>4341</v>
      </c>
      <c r="D1176" s="880" t="s">
        <v>40543</v>
      </c>
    </row>
    <row r="1177" spans="1:4" ht="13.5" x14ac:dyDescent="0.25">
      <c r="A1177" s="878" t="s">
        <v>5507</v>
      </c>
      <c r="B1177" s="878" t="s">
        <v>5508</v>
      </c>
      <c r="C1177" s="879" t="s">
        <v>4341</v>
      </c>
      <c r="D1177" s="880" t="s">
        <v>40445</v>
      </c>
    </row>
    <row r="1178" spans="1:4" ht="13.5" x14ac:dyDescent="0.25">
      <c r="A1178" s="878" t="s">
        <v>5509</v>
      </c>
      <c r="B1178" s="878" t="s">
        <v>5510</v>
      </c>
      <c r="C1178" s="879" t="s">
        <v>4341</v>
      </c>
      <c r="D1178" s="880" t="s">
        <v>30441</v>
      </c>
    </row>
    <row r="1179" spans="1:4" ht="13.5" x14ac:dyDescent="0.25">
      <c r="A1179" s="878" t="s">
        <v>5511</v>
      </c>
      <c r="B1179" s="878" t="s">
        <v>5512</v>
      </c>
      <c r="C1179" s="879" t="s">
        <v>4341</v>
      </c>
      <c r="D1179" s="880" t="s">
        <v>30442</v>
      </c>
    </row>
    <row r="1180" spans="1:4" ht="13.5" x14ac:dyDescent="0.25">
      <c r="A1180" s="878" t="s">
        <v>5513</v>
      </c>
      <c r="B1180" s="878" t="s">
        <v>5514</v>
      </c>
      <c r="C1180" s="879" t="s">
        <v>4341</v>
      </c>
      <c r="D1180" s="880" t="s">
        <v>30443</v>
      </c>
    </row>
    <row r="1181" spans="1:4" ht="13.5" x14ac:dyDescent="0.25">
      <c r="A1181" s="878" t="s">
        <v>5515</v>
      </c>
      <c r="B1181" s="878" t="s">
        <v>5516</v>
      </c>
      <c r="C1181" s="879" t="s">
        <v>4341</v>
      </c>
      <c r="D1181" s="880" t="s">
        <v>5517</v>
      </c>
    </row>
    <row r="1182" spans="1:4" ht="13.5" x14ac:dyDescent="0.25">
      <c r="A1182" s="878" t="s">
        <v>5518</v>
      </c>
      <c r="B1182" s="878" t="s">
        <v>5519</v>
      </c>
      <c r="C1182" s="879" t="s">
        <v>4341</v>
      </c>
      <c r="D1182" s="880" t="s">
        <v>6101</v>
      </c>
    </row>
    <row r="1183" spans="1:4" ht="13.5" x14ac:dyDescent="0.25">
      <c r="A1183" s="878" t="s">
        <v>5520</v>
      </c>
      <c r="B1183" s="878" t="s">
        <v>5521</v>
      </c>
      <c r="C1183" s="879" t="s">
        <v>4341</v>
      </c>
      <c r="D1183" s="880" t="s">
        <v>10770</v>
      </c>
    </row>
    <row r="1184" spans="1:4" ht="13.5" x14ac:dyDescent="0.25">
      <c r="A1184" s="878" t="s">
        <v>5523</v>
      </c>
      <c r="B1184" s="878" t="s">
        <v>5524</v>
      </c>
      <c r="C1184" s="879" t="s">
        <v>4341</v>
      </c>
      <c r="D1184" s="880" t="s">
        <v>30444</v>
      </c>
    </row>
    <row r="1185" spans="1:4" ht="13.5" x14ac:dyDescent="0.25">
      <c r="A1185" s="878" t="s">
        <v>5525</v>
      </c>
      <c r="B1185" s="878" t="s">
        <v>5526</v>
      </c>
      <c r="C1185" s="879" t="s">
        <v>4341</v>
      </c>
      <c r="D1185" s="880" t="s">
        <v>40454</v>
      </c>
    </row>
    <row r="1186" spans="1:4" ht="13.5" x14ac:dyDescent="0.25">
      <c r="A1186" s="878" t="s">
        <v>5527</v>
      </c>
      <c r="B1186" s="878" t="s">
        <v>5528</v>
      </c>
      <c r="C1186" s="879" t="s">
        <v>4341</v>
      </c>
      <c r="D1186" s="880" t="s">
        <v>30445</v>
      </c>
    </row>
    <row r="1187" spans="1:4" ht="13.5" x14ac:dyDescent="0.25">
      <c r="A1187" s="878" t="s">
        <v>5529</v>
      </c>
      <c r="B1187" s="878" t="s">
        <v>5530</v>
      </c>
      <c r="C1187" s="879" t="s">
        <v>4341</v>
      </c>
      <c r="D1187" s="880" t="s">
        <v>13216</v>
      </c>
    </row>
    <row r="1188" spans="1:4" ht="13.5" x14ac:dyDescent="0.25">
      <c r="A1188" s="878" t="s">
        <v>5532</v>
      </c>
      <c r="B1188" s="878" t="s">
        <v>5533</v>
      </c>
      <c r="C1188" s="879" t="s">
        <v>4341</v>
      </c>
      <c r="D1188" s="880" t="s">
        <v>30446</v>
      </c>
    </row>
    <row r="1189" spans="1:4" ht="13.5" x14ac:dyDescent="0.25">
      <c r="A1189" s="878" t="s">
        <v>5534</v>
      </c>
      <c r="B1189" s="878" t="s">
        <v>5535</v>
      </c>
      <c r="C1189" s="879" t="s">
        <v>4341</v>
      </c>
      <c r="D1189" s="880" t="s">
        <v>40454</v>
      </c>
    </row>
    <row r="1190" spans="1:4" ht="13.5" x14ac:dyDescent="0.25">
      <c r="A1190" s="878" t="s">
        <v>5536</v>
      </c>
      <c r="B1190" s="878" t="s">
        <v>5537</v>
      </c>
      <c r="C1190" s="879" t="s">
        <v>4341</v>
      </c>
      <c r="D1190" s="880" t="s">
        <v>15120</v>
      </c>
    </row>
    <row r="1191" spans="1:4" ht="13.5" x14ac:dyDescent="0.25">
      <c r="A1191" s="878" t="s">
        <v>5539</v>
      </c>
      <c r="B1191" s="878" t="s">
        <v>5540</v>
      </c>
      <c r="C1191" s="879" t="s">
        <v>4341</v>
      </c>
      <c r="D1191" s="880" t="s">
        <v>30363</v>
      </c>
    </row>
    <row r="1192" spans="1:4" ht="13.5" x14ac:dyDescent="0.25">
      <c r="A1192" s="878" t="s">
        <v>5542</v>
      </c>
      <c r="B1192" s="878" t="s">
        <v>5543</v>
      </c>
      <c r="C1192" s="879" t="s">
        <v>4341</v>
      </c>
      <c r="D1192" s="880" t="s">
        <v>40544</v>
      </c>
    </row>
    <row r="1193" spans="1:4" ht="13.5" x14ac:dyDescent="0.25">
      <c r="A1193" s="878" t="s">
        <v>5544</v>
      </c>
      <c r="B1193" s="878" t="s">
        <v>5545</v>
      </c>
      <c r="C1193" s="879" t="s">
        <v>4341</v>
      </c>
      <c r="D1193" s="880" t="s">
        <v>15758</v>
      </c>
    </row>
    <row r="1194" spans="1:4" ht="13.5" x14ac:dyDescent="0.25">
      <c r="A1194" s="878" t="s">
        <v>5547</v>
      </c>
      <c r="B1194" s="878" t="s">
        <v>5548</v>
      </c>
      <c r="C1194" s="879" t="s">
        <v>4341</v>
      </c>
      <c r="D1194" s="880" t="s">
        <v>40545</v>
      </c>
    </row>
    <row r="1195" spans="1:4" ht="13.5" x14ac:dyDescent="0.25">
      <c r="A1195" s="878" t="s">
        <v>5549</v>
      </c>
      <c r="B1195" s="878" t="s">
        <v>5550</v>
      </c>
      <c r="C1195" s="879" t="s">
        <v>4341</v>
      </c>
      <c r="D1195" s="880" t="s">
        <v>40546</v>
      </c>
    </row>
    <row r="1196" spans="1:4" ht="13.5" x14ac:dyDescent="0.25">
      <c r="A1196" s="878" t="s">
        <v>5551</v>
      </c>
      <c r="B1196" s="878" t="s">
        <v>5552</v>
      </c>
      <c r="C1196" s="879" t="s">
        <v>4341</v>
      </c>
      <c r="D1196" s="880" t="s">
        <v>31348</v>
      </c>
    </row>
    <row r="1197" spans="1:4" ht="13.5" x14ac:dyDescent="0.25">
      <c r="A1197" s="878" t="s">
        <v>5554</v>
      </c>
      <c r="B1197" s="878" t="s">
        <v>5555</v>
      </c>
      <c r="C1197" s="879" t="s">
        <v>4341</v>
      </c>
      <c r="D1197" s="880" t="s">
        <v>40429</v>
      </c>
    </row>
    <row r="1198" spans="1:4" ht="13.5" x14ac:dyDescent="0.25">
      <c r="A1198" s="878" t="s">
        <v>5556</v>
      </c>
      <c r="B1198" s="878" t="s">
        <v>5557</v>
      </c>
      <c r="C1198" s="879" t="s">
        <v>4341</v>
      </c>
      <c r="D1198" s="880" t="s">
        <v>8797</v>
      </c>
    </row>
    <row r="1199" spans="1:4" ht="13.5" x14ac:dyDescent="0.25">
      <c r="A1199" s="878" t="s">
        <v>5558</v>
      </c>
      <c r="B1199" s="878" t="s">
        <v>5559</v>
      </c>
      <c r="C1199" s="879" t="s">
        <v>4341</v>
      </c>
      <c r="D1199" s="880" t="s">
        <v>40547</v>
      </c>
    </row>
    <row r="1200" spans="1:4" ht="13.5" x14ac:dyDescent="0.25">
      <c r="A1200" s="878" t="s">
        <v>5560</v>
      </c>
      <c r="B1200" s="878" t="s">
        <v>5561</v>
      </c>
      <c r="C1200" s="879" t="s">
        <v>4341</v>
      </c>
      <c r="D1200" s="880" t="s">
        <v>40548</v>
      </c>
    </row>
    <row r="1201" spans="1:4" ht="13.5" x14ac:dyDescent="0.25">
      <c r="A1201" s="878" t="s">
        <v>5562</v>
      </c>
      <c r="B1201" s="878" t="s">
        <v>5563</v>
      </c>
      <c r="C1201" s="879" t="s">
        <v>4341</v>
      </c>
      <c r="D1201" s="880" t="s">
        <v>40429</v>
      </c>
    </row>
    <row r="1202" spans="1:4" ht="13.5" x14ac:dyDescent="0.25">
      <c r="A1202" s="878" t="s">
        <v>5564</v>
      </c>
      <c r="B1202" s="878" t="s">
        <v>5565</v>
      </c>
      <c r="C1202" s="879" t="s">
        <v>4341</v>
      </c>
      <c r="D1202" s="880" t="s">
        <v>40549</v>
      </c>
    </row>
    <row r="1203" spans="1:4" ht="13.5" x14ac:dyDescent="0.25">
      <c r="A1203" s="878" t="s">
        <v>5566</v>
      </c>
      <c r="B1203" s="878" t="s">
        <v>5567</v>
      </c>
      <c r="C1203" s="879" t="s">
        <v>4341</v>
      </c>
      <c r="D1203" s="880" t="s">
        <v>40550</v>
      </c>
    </row>
    <row r="1204" spans="1:4" ht="13.5" x14ac:dyDescent="0.25">
      <c r="A1204" s="878" t="s">
        <v>5568</v>
      </c>
      <c r="B1204" s="878" t="s">
        <v>5569</v>
      </c>
      <c r="C1204" s="879" t="s">
        <v>4341</v>
      </c>
      <c r="D1204" s="880" t="s">
        <v>11858</v>
      </c>
    </row>
    <row r="1205" spans="1:4" ht="13.5" x14ac:dyDescent="0.25">
      <c r="A1205" s="878" t="s">
        <v>5571</v>
      </c>
      <c r="B1205" s="878" t="s">
        <v>5572</v>
      </c>
      <c r="C1205" s="879" t="s">
        <v>4341</v>
      </c>
      <c r="D1205" s="880" t="s">
        <v>40409</v>
      </c>
    </row>
    <row r="1206" spans="1:4" ht="13.5" x14ac:dyDescent="0.25">
      <c r="A1206" s="878" t="s">
        <v>5573</v>
      </c>
      <c r="B1206" s="878" t="s">
        <v>5574</v>
      </c>
      <c r="C1206" s="879" t="s">
        <v>4341</v>
      </c>
      <c r="D1206" s="880" t="s">
        <v>30447</v>
      </c>
    </row>
    <row r="1207" spans="1:4" ht="13.5" x14ac:dyDescent="0.25">
      <c r="A1207" s="878" t="s">
        <v>5575</v>
      </c>
      <c r="B1207" s="878" t="s">
        <v>5576</v>
      </c>
      <c r="C1207" s="879" t="s">
        <v>4341</v>
      </c>
      <c r="D1207" s="880" t="s">
        <v>17045</v>
      </c>
    </row>
    <row r="1208" spans="1:4" ht="13.5" x14ac:dyDescent="0.25">
      <c r="A1208" s="878" t="s">
        <v>5577</v>
      </c>
      <c r="B1208" s="878" t="s">
        <v>5578</v>
      </c>
      <c r="C1208" s="879" t="s">
        <v>4341</v>
      </c>
      <c r="D1208" s="880" t="s">
        <v>30367</v>
      </c>
    </row>
    <row r="1209" spans="1:4" ht="13.5" x14ac:dyDescent="0.25">
      <c r="A1209" s="878" t="s">
        <v>5580</v>
      </c>
      <c r="B1209" s="878" t="s">
        <v>5581</v>
      </c>
      <c r="C1209" s="879" t="s">
        <v>4341</v>
      </c>
      <c r="D1209" s="880" t="s">
        <v>30448</v>
      </c>
    </row>
    <row r="1210" spans="1:4" ht="13.5" x14ac:dyDescent="0.25">
      <c r="A1210" s="878" t="s">
        <v>5582</v>
      </c>
      <c r="B1210" s="878" t="s">
        <v>5583</v>
      </c>
      <c r="C1210" s="879" t="s">
        <v>4341</v>
      </c>
      <c r="D1210" s="880" t="s">
        <v>31029</v>
      </c>
    </row>
    <row r="1211" spans="1:4" ht="13.5" x14ac:dyDescent="0.25">
      <c r="A1211" s="878" t="s">
        <v>5584</v>
      </c>
      <c r="B1211" s="878" t="s">
        <v>5585</v>
      </c>
      <c r="C1211" s="879" t="s">
        <v>4341</v>
      </c>
      <c r="D1211" s="880" t="s">
        <v>40551</v>
      </c>
    </row>
    <row r="1212" spans="1:4" ht="13.5" x14ac:dyDescent="0.25">
      <c r="A1212" s="878" t="s">
        <v>5586</v>
      </c>
      <c r="B1212" s="878" t="s">
        <v>5587</v>
      </c>
      <c r="C1212" s="879" t="s">
        <v>4341</v>
      </c>
      <c r="D1212" s="880" t="s">
        <v>40552</v>
      </c>
    </row>
    <row r="1213" spans="1:4" ht="13.5" x14ac:dyDescent="0.25">
      <c r="A1213" s="878" t="s">
        <v>5588</v>
      </c>
      <c r="B1213" s="878" t="s">
        <v>5589</v>
      </c>
      <c r="C1213" s="879" t="s">
        <v>4341</v>
      </c>
      <c r="D1213" s="880" t="s">
        <v>30457</v>
      </c>
    </row>
    <row r="1214" spans="1:4" ht="13.5" x14ac:dyDescent="0.25">
      <c r="A1214" s="878" t="s">
        <v>5590</v>
      </c>
      <c r="B1214" s="878" t="s">
        <v>5591</v>
      </c>
      <c r="C1214" s="879" t="s">
        <v>4341</v>
      </c>
      <c r="D1214" s="880" t="s">
        <v>40553</v>
      </c>
    </row>
    <row r="1215" spans="1:4" ht="13.5" x14ac:dyDescent="0.25">
      <c r="A1215" s="878" t="s">
        <v>5593</v>
      </c>
      <c r="B1215" s="878" t="s">
        <v>5594</v>
      </c>
      <c r="C1215" s="879" t="s">
        <v>4341</v>
      </c>
      <c r="D1215" s="880" t="s">
        <v>40409</v>
      </c>
    </row>
    <row r="1216" spans="1:4" ht="13.5" x14ac:dyDescent="0.25">
      <c r="A1216" s="878" t="s">
        <v>5595</v>
      </c>
      <c r="B1216" s="878" t="s">
        <v>5596</v>
      </c>
      <c r="C1216" s="879" t="s">
        <v>4341</v>
      </c>
      <c r="D1216" s="880" t="s">
        <v>40554</v>
      </c>
    </row>
    <row r="1217" spans="1:4" ht="13.5" x14ac:dyDescent="0.25">
      <c r="A1217" s="878" t="s">
        <v>5597</v>
      </c>
      <c r="B1217" s="878" t="s">
        <v>5598</v>
      </c>
      <c r="C1217" s="879" t="s">
        <v>4341</v>
      </c>
      <c r="D1217" s="880" t="s">
        <v>30493</v>
      </c>
    </row>
    <row r="1218" spans="1:4" ht="13.5" x14ac:dyDescent="0.25">
      <c r="A1218" s="878" t="s">
        <v>5599</v>
      </c>
      <c r="B1218" s="878" t="s">
        <v>5600</v>
      </c>
      <c r="C1218" s="879" t="s">
        <v>4341</v>
      </c>
      <c r="D1218" s="880" t="s">
        <v>40498</v>
      </c>
    </row>
    <row r="1219" spans="1:4" ht="13.5" x14ac:dyDescent="0.25">
      <c r="A1219" s="878" t="s">
        <v>5601</v>
      </c>
      <c r="B1219" s="878" t="s">
        <v>5602</v>
      </c>
      <c r="C1219" s="879" t="s">
        <v>4341</v>
      </c>
      <c r="D1219" s="880" t="s">
        <v>30451</v>
      </c>
    </row>
    <row r="1220" spans="1:4" ht="13.5" x14ac:dyDescent="0.25">
      <c r="A1220" s="878" t="s">
        <v>5603</v>
      </c>
      <c r="B1220" s="878" t="s">
        <v>5604</v>
      </c>
      <c r="C1220" s="879" t="s">
        <v>4341</v>
      </c>
      <c r="D1220" s="880" t="s">
        <v>4976</v>
      </c>
    </row>
    <row r="1221" spans="1:4" ht="13.5" x14ac:dyDescent="0.25">
      <c r="A1221" s="878" t="s">
        <v>5605</v>
      </c>
      <c r="B1221" s="878" t="s">
        <v>5606</v>
      </c>
      <c r="C1221" s="879" t="s">
        <v>4341</v>
      </c>
      <c r="D1221" s="880" t="s">
        <v>4979</v>
      </c>
    </row>
    <row r="1222" spans="1:4" ht="13.5" x14ac:dyDescent="0.25">
      <c r="A1222" s="878" t="s">
        <v>5608</v>
      </c>
      <c r="B1222" s="878" t="s">
        <v>5609</v>
      </c>
      <c r="C1222" s="879" t="s">
        <v>4341</v>
      </c>
      <c r="D1222" s="880" t="s">
        <v>11073</v>
      </c>
    </row>
    <row r="1223" spans="1:4" ht="13.5" x14ac:dyDescent="0.25">
      <c r="A1223" s="878" t="s">
        <v>5610</v>
      </c>
      <c r="B1223" s="878" t="s">
        <v>5611</v>
      </c>
      <c r="C1223" s="879" t="s">
        <v>4341</v>
      </c>
      <c r="D1223" s="880" t="s">
        <v>31378</v>
      </c>
    </row>
    <row r="1224" spans="1:4" ht="13.5" x14ac:dyDescent="0.25">
      <c r="A1224" s="878" t="s">
        <v>5612</v>
      </c>
      <c r="B1224" s="878" t="s">
        <v>5613</v>
      </c>
      <c r="C1224" s="879" t="s">
        <v>4341</v>
      </c>
      <c r="D1224" s="880" t="s">
        <v>9161</v>
      </c>
    </row>
    <row r="1225" spans="1:4" ht="13.5" x14ac:dyDescent="0.25">
      <c r="A1225" s="878" t="s">
        <v>5614</v>
      </c>
      <c r="B1225" s="878" t="s">
        <v>5615</v>
      </c>
      <c r="C1225" s="879" t="s">
        <v>4341</v>
      </c>
      <c r="D1225" s="880" t="s">
        <v>40555</v>
      </c>
    </row>
    <row r="1226" spans="1:4" ht="13.5" x14ac:dyDescent="0.25">
      <c r="A1226" s="878" t="s">
        <v>5616</v>
      </c>
      <c r="B1226" s="878" t="s">
        <v>5617</v>
      </c>
      <c r="C1226" s="879" t="s">
        <v>4341</v>
      </c>
      <c r="D1226" s="880" t="s">
        <v>40556</v>
      </c>
    </row>
    <row r="1227" spans="1:4" ht="13.5" x14ac:dyDescent="0.25">
      <c r="A1227" s="878" t="s">
        <v>5619</v>
      </c>
      <c r="B1227" s="878" t="s">
        <v>5620</v>
      </c>
      <c r="C1227" s="879" t="s">
        <v>4341</v>
      </c>
      <c r="D1227" s="880" t="s">
        <v>40557</v>
      </c>
    </row>
    <row r="1228" spans="1:4" ht="13.5" x14ac:dyDescent="0.25">
      <c r="A1228" s="878" t="s">
        <v>5621</v>
      </c>
      <c r="B1228" s="878" t="s">
        <v>5622</v>
      </c>
      <c r="C1228" s="879" t="s">
        <v>4341</v>
      </c>
      <c r="D1228" s="880" t="s">
        <v>3954</v>
      </c>
    </row>
    <row r="1229" spans="1:4" ht="13.5" x14ac:dyDescent="0.25">
      <c r="A1229" s="878" t="s">
        <v>5623</v>
      </c>
      <c r="B1229" s="878" t="s">
        <v>5624</v>
      </c>
      <c r="C1229" s="879" t="s">
        <v>4341</v>
      </c>
      <c r="D1229" s="880" t="s">
        <v>64</v>
      </c>
    </row>
    <row r="1230" spans="1:4" ht="13.5" x14ac:dyDescent="0.25">
      <c r="A1230" s="878" t="s">
        <v>5625</v>
      </c>
      <c r="B1230" s="878" t="s">
        <v>5626</v>
      </c>
      <c r="C1230" s="879" t="s">
        <v>4341</v>
      </c>
      <c r="D1230" s="880" t="s">
        <v>5046</v>
      </c>
    </row>
    <row r="1231" spans="1:4" ht="13.5" x14ac:dyDescent="0.25">
      <c r="A1231" s="878" t="s">
        <v>5627</v>
      </c>
      <c r="B1231" s="878" t="s">
        <v>5628</v>
      </c>
      <c r="C1231" s="879" t="s">
        <v>4341</v>
      </c>
      <c r="D1231" s="880" t="s">
        <v>40558</v>
      </c>
    </row>
    <row r="1232" spans="1:4" ht="13.5" x14ac:dyDescent="0.25">
      <c r="A1232" s="878" t="s">
        <v>5629</v>
      </c>
      <c r="B1232" s="878" t="s">
        <v>5630</v>
      </c>
      <c r="C1232" s="879" t="s">
        <v>4341</v>
      </c>
      <c r="D1232" s="880" t="s">
        <v>17628</v>
      </c>
    </row>
    <row r="1233" spans="1:4" ht="13.5" x14ac:dyDescent="0.25">
      <c r="A1233" s="878" t="s">
        <v>5631</v>
      </c>
      <c r="B1233" s="878" t="s">
        <v>5632</v>
      </c>
      <c r="C1233" s="879" t="s">
        <v>4341</v>
      </c>
      <c r="D1233" s="880" t="s">
        <v>5200</v>
      </c>
    </row>
    <row r="1234" spans="1:4" ht="13.5" x14ac:dyDescent="0.25">
      <c r="A1234" s="878" t="s">
        <v>5633</v>
      </c>
      <c r="B1234" s="878" t="s">
        <v>5634</v>
      </c>
      <c r="C1234" s="879" t="s">
        <v>4341</v>
      </c>
      <c r="D1234" s="880" t="s">
        <v>4335</v>
      </c>
    </row>
    <row r="1235" spans="1:4" ht="13.5" x14ac:dyDescent="0.25">
      <c r="A1235" s="878" t="s">
        <v>5635</v>
      </c>
      <c r="B1235" s="878" t="s">
        <v>5636</v>
      </c>
      <c r="C1235" s="879" t="s">
        <v>4341</v>
      </c>
      <c r="D1235" s="880" t="s">
        <v>40546</v>
      </c>
    </row>
    <row r="1236" spans="1:4" ht="13.5" x14ac:dyDescent="0.25">
      <c r="A1236" s="878" t="s">
        <v>5637</v>
      </c>
      <c r="B1236" s="878" t="s">
        <v>5638</v>
      </c>
      <c r="C1236" s="879" t="s">
        <v>4341</v>
      </c>
      <c r="D1236" s="880" t="s">
        <v>30454</v>
      </c>
    </row>
    <row r="1237" spans="1:4" ht="13.5" x14ac:dyDescent="0.25">
      <c r="A1237" s="878" t="s">
        <v>5639</v>
      </c>
      <c r="B1237" s="878" t="s">
        <v>5640</v>
      </c>
      <c r="C1237" s="879" t="s">
        <v>4341</v>
      </c>
      <c r="D1237" s="880" t="s">
        <v>30455</v>
      </c>
    </row>
    <row r="1238" spans="1:4" ht="13.5" x14ac:dyDescent="0.25">
      <c r="A1238" s="878" t="s">
        <v>5641</v>
      </c>
      <c r="B1238" s="878" t="s">
        <v>5642</v>
      </c>
      <c r="C1238" s="879" t="s">
        <v>4341</v>
      </c>
      <c r="D1238" s="880" t="s">
        <v>5643</v>
      </c>
    </row>
    <row r="1239" spans="1:4" ht="13.5" x14ac:dyDescent="0.25">
      <c r="A1239" s="878" t="s">
        <v>5644</v>
      </c>
      <c r="B1239" s="878" t="s">
        <v>5645</v>
      </c>
      <c r="C1239" s="879" t="s">
        <v>4341</v>
      </c>
      <c r="D1239" s="880" t="s">
        <v>40559</v>
      </c>
    </row>
    <row r="1240" spans="1:4" ht="13.5" x14ac:dyDescent="0.25">
      <c r="A1240" s="878" t="s">
        <v>5646</v>
      </c>
      <c r="B1240" s="878" t="s">
        <v>5647</v>
      </c>
      <c r="C1240" s="879" t="s">
        <v>4341</v>
      </c>
      <c r="D1240" s="880" t="s">
        <v>5648</v>
      </c>
    </row>
    <row r="1241" spans="1:4" ht="13.5" x14ac:dyDescent="0.25">
      <c r="A1241" s="878" t="s">
        <v>5649</v>
      </c>
      <c r="B1241" s="878" t="s">
        <v>5650</v>
      </c>
      <c r="C1241" s="879" t="s">
        <v>4341</v>
      </c>
      <c r="D1241" s="880" t="s">
        <v>5651</v>
      </c>
    </row>
    <row r="1242" spans="1:4" ht="13.5" x14ac:dyDescent="0.25">
      <c r="A1242" s="878" t="s">
        <v>5652</v>
      </c>
      <c r="B1242" s="878" t="s">
        <v>5653</v>
      </c>
      <c r="C1242" s="879" t="s">
        <v>4341</v>
      </c>
      <c r="D1242" s="880" t="s">
        <v>5654</v>
      </c>
    </row>
    <row r="1243" spans="1:4" ht="13.5" x14ac:dyDescent="0.25">
      <c r="A1243" s="878" t="s">
        <v>5655</v>
      </c>
      <c r="B1243" s="878" t="s">
        <v>5656</v>
      </c>
      <c r="C1243" s="879" t="s">
        <v>4341</v>
      </c>
      <c r="D1243" s="880" t="s">
        <v>40560</v>
      </c>
    </row>
    <row r="1244" spans="1:4" ht="13.5" x14ac:dyDescent="0.25">
      <c r="A1244" s="878" t="s">
        <v>5657</v>
      </c>
      <c r="B1244" s="878" t="s">
        <v>5658</v>
      </c>
      <c r="C1244" s="879" t="s">
        <v>4341</v>
      </c>
      <c r="D1244" s="880" t="s">
        <v>4577</v>
      </c>
    </row>
    <row r="1245" spans="1:4" ht="13.5" x14ac:dyDescent="0.25">
      <c r="A1245" s="878" t="s">
        <v>5659</v>
      </c>
      <c r="B1245" s="878" t="s">
        <v>5660</v>
      </c>
      <c r="C1245" s="879" t="s">
        <v>4341</v>
      </c>
      <c r="D1245" s="880" t="s">
        <v>5164</v>
      </c>
    </row>
    <row r="1246" spans="1:4" ht="13.5" x14ac:dyDescent="0.25">
      <c r="A1246" s="878" t="s">
        <v>5661</v>
      </c>
      <c r="B1246" s="878" t="s">
        <v>5662</v>
      </c>
      <c r="C1246" s="879" t="s">
        <v>4341</v>
      </c>
      <c r="D1246" s="880" t="s">
        <v>4280</v>
      </c>
    </row>
    <row r="1247" spans="1:4" ht="13.5" x14ac:dyDescent="0.25">
      <c r="A1247" s="878" t="s">
        <v>5663</v>
      </c>
      <c r="B1247" s="878" t="s">
        <v>5664</v>
      </c>
      <c r="C1247" s="879" t="s">
        <v>4341</v>
      </c>
      <c r="D1247" s="880" t="s">
        <v>5192</v>
      </c>
    </row>
    <row r="1248" spans="1:4" ht="13.5" x14ac:dyDescent="0.25">
      <c r="A1248" s="878" t="s">
        <v>5665</v>
      </c>
      <c r="B1248" s="878" t="s">
        <v>5666</v>
      </c>
      <c r="C1248" s="879" t="s">
        <v>4341</v>
      </c>
      <c r="D1248" s="880" t="s">
        <v>12699</v>
      </c>
    </row>
    <row r="1249" spans="1:4" ht="13.5" x14ac:dyDescent="0.25">
      <c r="A1249" s="878" t="s">
        <v>5667</v>
      </c>
      <c r="B1249" s="878" t="s">
        <v>5668</v>
      </c>
      <c r="C1249" s="879" t="s">
        <v>4341</v>
      </c>
      <c r="D1249" s="880" t="s">
        <v>5669</v>
      </c>
    </row>
    <row r="1250" spans="1:4" ht="13.5" x14ac:dyDescent="0.25">
      <c r="A1250" s="878" t="s">
        <v>5670</v>
      </c>
      <c r="B1250" s="878" t="s">
        <v>5671</v>
      </c>
      <c r="C1250" s="879" t="s">
        <v>4341</v>
      </c>
      <c r="D1250" s="880" t="s">
        <v>5108</v>
      </c>
    </row>
    <row r="1251" spans="1:4" ht="13.5" x14ac:dyDescent="0.25">
      <c r="A1251" s="878" t="s">
        <v>5672</v>
      </c>
      <c r="B1251" s="878" t="s">
        <v>5673</v>
      </c>
      <c r="C1251" s="879" t="s">
        <v>4341</v>
      </c>
      <c r="D1251" s="880" t="s">
        <v>40561</v>
      </c>
    </row>
    <row r="1252" spans="1:4" ht="13.5" x14ac:dyDescent="0.25">
      <c r="A1252" s="878" t="s">
        <v>5674</v>
      </c>
      <c r="B1252" s="878" t="s">
        <v>5675</v>
      </c>
      <c r="C1252" s="879" t="s">
        <v>4341</v>
      </c>
      <c r="D1252" s="880" t="s">
        <v>40562</v>
      </c>
    </row>
    <row r="1253" spans="1:4" ht="13.5" x14ac:dyDescent="0.25">
      <c r="A1253" s="878" t="s">
        <v>5676</v>
      </c>
      <c r="B1253" s="878" t="s">
        <v>5677</v>
      </c>
      <c r="C1253" s="879" t="s">
        <v>4341</v>
      </c>
      <c r="D1253" s="880" t="s">
        <v>31187</v>
      </c>
    </row>
    <row r="1254" spans="1:4" ht="13.5" x14ac:dyDescent="0.25">
      <c r="A1254" s="878" t="s">
        <v>5678</v>
      </c>
      <c r="B1254" s="878" t="s">
        <v>5679</v>
      </c>
      <c r="C1254" s="879" t="s">
        <v>4341</v>
      </c>
      <c r="D1254" s="880" t="s">
        <v>31187</v>
      </c>
    </row>
    <row r="1255" spans="1:4" ht="13.5" x14ac:dyDescent="0.25">
      <c r="A1255" s="878" t="s">
        <v>5680</v>
      </c>
      <c r="B1255" s="878" t="s">
        <v>5681</v>
      </c>
      <c r="C1255" s="879" t="s">
        <v>4341</v>
      </c>
      <c r="D1255" s="880" t="s">
        <v>3164</v>
      </c>
    </row>
    <row r="1256" spans="1:4" ht="13.5" x14ac:dyDescent="0.25">
      <c r="A1256" s="878" t="s">
        <v>5682</v>
      </c>
      <c r="B1256" s="878" t="s">
        <v>5683</v>
      </c>
      <c r="C1256" s="879" t="s">
        <v>4341</v>
      </c>
      <c r="D1256" s="880" t="s">
        <v>4904</v>
      </c>
    </row>
    <row r="1257" spans="1:4" ht="13.5" x14ac:dyDescent="0.25">
      <c r="A1257" s="878" t="s">
        <v>5684</v>
      </c>
      <c r="B1257" s="878" t="s">
        <v>5685</v>
      </c>
      <c r="C1257" s="879" t="s">
        <v>4341</v>
      </c>
      <c r="D1257" s="880" t="s">
        <v>40495</v>
      </c>
    </row>
    <row r="1258" spans="1:4" ht="13.5" x14ac:dyDescent="0.25">
      <c r="A1258" s="878" t="s">
        <v>5686</v>
      </c>
      <c r="B1258" s="878" t="s">
        <v>5687</v>
      </c>
      <c r="C1258" s="879" t="s">
        <v>4341</v>
      </c>
      <c r="D1258" s="880" t="s">
        <v>40563</v>
      </c>
    </row>
    <row r="1259" spans="1:4" ht="13.5" x14ac:dyDescent="0.25">
      <c r="A1259" s="878" t="s">
        <v>5688</v>
      </c>
      <c r="B1259" s="878" t="s">
        <v>5689</v>
      </c>
      <c r="C1259" s="879" t="s">
        <v>4341</v>
      </c>
      <c r="D1259" s="880" t="s">
        <v>4115</v>
      </c>
    </row>
    <row r="1260" spans="1:4" ht="13.5" x14ac:dyDescent="0.25">
      <c r="A1260" s="878" t="s">
        <v>5690</v>
      </c>
      <c r="B1260" s="878" t="s">
        <v>5691</v>
      </c>
      <c r="C1260" s="879" t="s">
        <v>4341</v>
      </c>
      <c r="D1260" s="880" t="s">
        <v>4115</v>
      </c>
    </row>
    <row r="1261" spans="1:4" ht="13.5" x14ac:dyDescent="0.25">
      <c r="A1261" s="878" t="s">
        <v>5692</v>
      </c>
      <c r="B1261" s="878" t="s">
        <v>5693</v>
      </c>
      <c r="C1261" s="879" t="s">
        <v>4341</v>
      </c>
      <c r="D1261" s="880" t="s">
        <v>40454</v>
      </c>
    </row>
    <row r="1262" spans="1:4" ht="13.5" x14ac:dyDescent="0.25">
      <c r="A1262" s="878" t="s">
        <v>5694</v>
      </c>
      <c r="B1262" s="878" t="s">
        <v>5695</v>
      </c>
      <c r="C1262" s="879" t="s">
        <v>4341</v>
      </c>
      <c r="D1262" s="880" t="s">
        <v>3380</v>
      </c>
    </row>
    <row r="1263" spans="1:4" ht="13.5" x14ac:dyDescent="0.25">
      <c r="A1263" s="878" t="s">
        <v>5696</v>
      </c>
      <c r="B1263" s="878" t="s">
        <v>5697</v>
      </c>
      <c r="C1263" s="879" t="s">
        <v>4341</v>
      </c>
      <c r="D1263" s="880" t="s">
        <v>40564</v>
      </c>
    </row>
    <row r="1264" spans="1:4" ht="13.5" x14ac:dyDescent="0.25">
      <c r="A1264" s="878" t="s">
        <v>5698</v>
      </c>
      <c r="B1264" s="878" t="s">
        <v>5699</v>
      </c>
      <c r="C1264" s="879" t="s">
        <v>4341</v>
      </c>
      <c r="D1264" s="880" t="s">
        <v>4572</v>
      </c>
    </row>
    <row r="1265" spans="1:4" ht="13.5" x14ac:dyDescent="0.25">
      <c r="A1265" s="878" t="s">
        <v>5700</v>
      </c>
      <c r="B1265" s="878" t="s">
        <v>5701</v>
      </c>
      <c r="C1265" s="879" t="s">
        <v>4341</v>
      </c>
      <c r="D1265" s="880" t="s">
        <v>5702</v>
      </c>
    </row>
    <row r="1266" spans="1:4" ht="13.5" x14ac:dyDescent="0.25">
      <c r="A1266" s="878" t="s">
        <v>5703</v>
      </c>
      <c r="B1266" s="878" t="s">
        <v>5704</v>
      </c>
      <c r="C1266" s="879" t="s">
        <v>4341</v>
      </c>
      <c r="D1266" s="880" t="s">
        <v>5702</v>
      </c>
    </row>
    <row r="1267" spans="1:4" ht="13.5" x14ac:dyDescent="0.25">
      <c r="A1267" s="878" t="s">
        <v>5705</v>
      </c>
      <c r="B1267" s="878" t="s">
        <v>5706</v>
      </c>
      <c r="C1267" s="879" t="s">
        <v>4341</v>
      </c>
      <c r="D1267" s="880" t="s">
        <v>40532</v>
      </c>
    </row>
    <row r="1268" spans="1:4" ht="13.5" x14ac:dyDescent="0.25">
      <c r="A1268" s="878" t="s">
        <v>5707</v>
      </c>
      <c r="B1268" s="878" t="s">
        <v>5708</v>
      </c>
      <c r="C1268" s="879" t="s">
        <v>4341</v>
      </c>
      <c r="D1268" s="880" t="s">
        <v>5245</v>
      </c>
    </row>
    <row r="1269" spans="1:4" ht="13.5" x14ac:dyDescent="0.25">
      <c r="A1269" s="878" t="s">
        <v>5709</v>
      </c>
      <c r="B1269" s="878" t="s">
        <v>5710</v>
      </c>
      <c r="C1269" s="879" t="s">
        <v>4341</v>
      </c>
      <c r="D1269" s="880" t="s">
        <v>4572</v>
      </c>
    </row>
    <row r="1270" spans="1:4" ht="13.5" x14ac:dyDescent="0.25">
      <c r="A1270" s="878" t="s">
        <v>5711</v>
      </c>
      <c r="B1270" s="878" t="s">
        <v>5712</v>
      </c>
      <c r="C1270" s="879" t="s">
        <v>4341</v>
      </c>
      <c r="D1270" s="880" t="s">
        <v>40430</v>
      </c>
    </row>
    <row r="1271" spans="1:4" ht="13.5" x14ac:dyDescent="0.25">
      <c r="A1271" s="878" t="s">
        <v>5713</v>
      </c>
      <c r="B1271" s="878" t="s">
        <v>5714</v>
      </c>
      <c r="C1271" s="879" t="s">
        <v>4341</v>
      </c>
      <c r="D1271" s="880" t="s">
        <v>40479</v>
      </c>
    </row>
    <row r="1272" spans="1:4" ht="13.5" x14ac:dyDescent="0.25">
      <c r="A1272" s="878" t="s">
        <v>5715</v>
      </c>
      <c r="B1272" s="878" t="s">
        <v>5716</v>
      </c>
      <c r="C1272" s="879" t="s">
        <v>4341</v>
      </c>
      <c r="D1272" s="880" t="s">
        <v>4605</v>
      </c>
    </row>
    <row r="1273" spans="1:4" ht="13.5" x14ac:dyDescent="0.25">
      <c r="A1273" s="878" t="s">
        <v>5717</v>
      </c>
      <c r="B1273" s="878" t="s">
        <v>5718</v>
      </c>
      <c r="C1273" s="879" t="s">
        <v>4341</v>
      </c>
      <c r="D1273" s="880" t="s">
        <v>40437</v>
      </c>
    </row>
    <row r="1274" spans="1:4" ht="13.5" x14ac:dyDescent="0.25">
      <c r="A1274" s="878" t="s">
        <v>5720</v>
      </c>
      <c r="B1274" s="878" t="s">
        <v>5721</v>
      </c>
      <c r="C1274" s="879" t="s">
        <v>4341</v>
      </c>
      <c r="D1274" s="880" t="s">
        <v>5722</v>
      </c>
    </row>
    <row r="1275" spans="1:4" ht="13.5" x14ac:dyDescent="0.25">
      <c r="A1275" s="878" t="s">
        <v>5723</v>
      </c>
      <c r="B1275" s="878" t="s">
        <v>5724</v>
      </c>
      <c r="C1275" s="879" t="s">
        <v>4341</v>
      </c>
      <c r="D1275" s="880" t="s">
        <v>5725</v>
      </c>
    </row>
    <row r="1276" spans="1:4" ht="13.5" x14ac:dyDescent="0.25">
      <c r="A1276" s="878" t="s">
        <v>5726</v>
      </c>
      <c r="B1276" s="878" t="s">
        <v>5727</v>
      </c>
      <c r="C1276" s="879" t="s">
        <v>4341</v>
      </c>
      <c r="D1276" s="880" t="s">
        <v>5222</v>
      </c>
    </row>
    <row r="1277" spans="1:4" ht="13.5" x14ac:dyDescent="0.25">
      <c r="A1277" s="878" t="s">
        <v>5728</v>
      </c>
      <c r="B1277" s="878" t="s">
        <v>5729</v>
      </c>
      <c r="C1277" s="879" t="s">
        <v>4341</v>
      </c>
      <c r="D1277" s="880" t="s">
        <v>5730</v>
      </c>
    </row>
    <row r="1278" spans="1:4" ht="13.5" x14ac:dyDescent="0.25">
      <c r="A1278" s="878" t="s">
        <v>5731</v>
      </c>
      <c r="B1278" s="878" t="s">
        <v>5732</v>
      </c>
      <c r="C1278" s="879" t="s">
        <v>4341</v>
      </c>
      <c r="D1278" s="880" t="s">
        <v>40547</v>
      </c>
    </row>
    <row r="1279" spans="1:4" ht="13.5" x14ac:dyDescent="0.25">
      <c r="A1279" s="878" t="s">
        <v>5733</v>
      </c>
      <c r="B1279" s="878" t="s">
        <v>5734</v>
      </c>
      <c r="C1279" s="879" t="s">
        <v>4341</v>
      </c>
      <c r="D1279" s="880" t="s">
        <v>40565</v>
      </c>
    </row>
    <row r="1280" spans="1:4" ht="13.5" x14ac:dyDescent="0.25">
      <c r="A1280" s="878" t="s">
        <v>5735</v>
      </c>
      <c r="B1280" s="878" t="s">
        <v>5736</v>
      </c>
      <c r="C1280" s="879" t="s">
        <v>4341</v>
      </c>
      <c r="D1280" s="880" t="s">
        <v>40566</v>
      </c>
    </row>
    <row r="1281" spans="1:4" ht="13.5" x14ac:dyDescent="0.25">
      <c r="A1281" s="878" t="s">
        <v>5737</v>
      </c>
      <c r="B1281" s="878" t="s">
        <v>5738</v>
      </c>
      <c r="C1281" s="879" t="s">
        <v>4341</v>
      </c>
      <c r="D1281" s="880" t="s">
        <v>40567</v>
      </c>
    </row>
    <row r="1282" spans="1:4" ht="13.5" x14ac:dyDescent="0.25">
      <c r="A1282" s="878" t="s">
        <v>5739</v>
      </c>
      <c r="B1282" s="878" t="s">
        <v>5740</v>
      </c>
      <c r="C1282" s="879" t="s">
        <v>4341</v>
      </c>
      <c r="D1282" s="880" t="s">
        <v>5741</v>
      </c>
    </row>
    <row r="1283" spans="1:4" ht="13.5" x14ac:dyDescent="0.25">
      <c r="A1283" s="878" t="s">
        <v>5742</v>
      </c>
      <c r="B1283" s="878" t="s">
        <v>5743</v>
      </c>
      <c r="C1283" s="879" t="s">
        <v>4341</v>
      </c>
      <c r="D1283" s="880" t="s">
        <v>3374</v>
      </c>
    </row>
    <row r="1284" spans="1:4" ht="13.5" x14ac:dyDescent="0.25">
      <c r="A1284" s="878" t="s">
        <v>5744</v>
      </c>
      <c r="B1284" s="878" t="s">
        <v>5745</v>
      </c>
      <c r="C1284" s="879" t="s">
        <v>4341</v>
      </c>
      <c r="D1284" s="880" t="s">
        <v>40460</v>
      </c>
    </row>
    <row r="1285" spans="1:4" ht="13.5" x14ac:dyDescent="0.25">
      <c r="A1285" s="878" t="s">
        <v>5746</v>
      </c>
      <c r="B1285" s="878" t="s">
        <v>5747</v>
      </c>
      <c r="C1285" s="879" t="s">
        <v>4341</v>
      </c>
      <c r="D1285" s="880" t="s">
        <v>4885</v>
      </c>
    </row>
    <row r="1286" spans="1:4" ht="13.5" x14ac:dyDescent="0.25">
      <c r="A1286" s="878" t="s">
        <v>5748</v>
      </c>
      <c r="B1286" s="878" t="s">
        <v>5749</v>
      </c>
      <c r="C1286" s="879" t="s">
        <v>4341</v>
      </c>
      <c r="D1286" s="880" t="s">
        <v>5750</v>
      </c>
    </row>
    <row r="1287" spans="1:4" ht="13.5" x14ac:dyDescent="0.25">
      <c r="A1287" s="878" t="s">
        <v>5751</v>
      </c>
      <c r="B1287" s="878" t="s">
        <v>5752</v>
      </c>
      <c r="C1287" s="879" t="s">
        <v>4341</v>
      </c>
      <c r="D1287" s="880" t="s">
        <v>5750</v>
      </c>
    </row>
    <row r="1288" spans="1:4" ht="13.5" x14ac:dyDescent="0.25">
      <c r="A1288" s="878" t="s">
        <v>5753</v>
      </c>
      <c r="B1288" s="878" t="s">
        <v>5754</v>
      </c>
      <c r="C1288" s="879" t="s">
        <v>4341</v>
      </c>
      <c r="D1288" s="880" t="s">
        <v>3954</v>
      </c>
    </row>
    <row r="1289" spans="1:4" ht="13.5" x14ac:dyDescent="0.25">
      <c r="A1289" s="878" t="s">
        <v>5755</v>
      </c>
      <c r="B1289" s="878" t="s">
        <v>5756</v>
      </c>
      <c r="C1289" s="879" t="s">
        <v>4341</v>
      </c>
      <c r="D1289" s="880" t="s">
        <v>5164</v>
      </c>
    </row>
    <row r="1290" spans="1:4" ht="13.5" x14ac:dyDescent="0.25">
      <c r="A1290" s="878" t="s">
        <v>5757</v>
      </c>
      <c r="B1290" s="878" t="s">
        <v>5758</v>
      </c>
      <c r="C1290" s="879" t="s">
        <v>4341</v>
      </c>
      <c r="D1290" s="880" t="s">
        <v>5046</v>
      </c>
    </row>
    <row r="1291" spans="1:4" ht="13.5" x14ac:dyDescent="0.25">
      <c r="A1291" s="878" t="s">
        <v>5759</v>
      </c>
      <c r="B1291" s="878" t="s">
        <v>5760</v>
      </c>
      <c r="C1291" s="879" t="s">
        <v>4341</v>
      </c>
      <c r="D1291" s="880" t="s">
        <v>4904</v>
      </c>
    </row>
    <row r="1292" spans="1:4" ht="13.5" x14ac:dyDescent="0.25">
      <c r="A1292" s="878" t="s">
        <v>5761</v>
      </c>
      <c r="B1292" s="878" t="s">
        <v>5762</v>
      </c>
      <c r="C1292" s="879" t="s">
        <v>4341</v>
      </c>
      <c r="D1292" s="881" t="s">
        <v>5055</v>
      </c>
    </row>
    <row r="1293" spans="1:4" ht="13.5" x14ac:dyDescent="0.25">
      <c r="A1293" s="878" t="s">
        <v>5763</v>
      </c>
      <c r="B1293" s="878" t="s">
        <v>5764</v>
      </c>
      <c r="C1293" s="879" t="s">
        <v>4341</v>
      </c>
      <c r="D1293" s="881" t="s">
        <v>5159</v>
      </c>
    </row>
    <row r="1294" spans="1:4" ht="13.5" x14ac:dyDescent="0.25">
      <c r="A1294" s="878" t="s">
        <v>5765</v>
      </c>
      <c r="B1294" s="878" t="s">
        <v>5766</v>
      </c>
      <c r="C1294" s="879" t="s">
        <v>4341</v>
      </c>
      <c r="D1294" s="881" t="s">
        <v>4585</v>
      </c>
    </row>
    <row r="1295" spans="1:4" ht="13.5" x14ac:dyDescent="0.25">
      <c r="A1295" s="878" t="s">
        <v>5767</v>
      </c>
      <c r="B1295" s="878" t="s">
        <v>5768</v>
      </c>
      <c r="C1295" s="879" t="s">
        <v>4341</v>
      </c>
      <c r="D1295" s="881" t="s">
        <v>5702</v>
      </c>
    </row>
    <row r="1296" spans="1:4" ht="13.5" x14ac:dyDescent="0.25">
      <c r="A1296" s="878" t="s">
        <v>29982</v>
      </c>
      <c r="B1296" s="878" t="s">
        <v>29983</v>
      </c>
      <c r="C1296" s="879" t="s">
        <v>4341</v>
      </c>
      <c r="D1296" s="881" t="s">
        <v>4242</v>
      </c>
    </row>
    <row r="1297" spans="1:4" ht="13.5" x14ac:dyDescent="0.25">
      <c r="A1297" s="878" t="s">
        <v>5769</v>
      </c>
      <c r="B1297" s="878" t="s">
        <v>5770</v>
      </c>
      <c r="C1297" s="879" t="s">
        <v>226</v>
      </c>
      <c r="D1297" s="881" t="s">
        <v>40568</v>
      </c>
    </row>
    <row r="1298" spans="1:4" ht="13.5" x14ac:dyDescent="0.25">
      <c r="A1298" s="878" t="s">
        <v>5771</v>
      </c>
      <c r="B1298" s="878" t="s">
        <v>5772</v>
      </c>
      <c r="C1298" s="879" t="s">
        <v>226</v>
      </c>
      <c r="D1298" s="881" t="s">
        <v>40569</v>
      </c>
    </row>
    <row r="1299" spans="1:4" ht="13.5" x14ac:dyDescent="0.25">
      <c r="A1299" s="878" t="s">
        <v>5773</v>
      </c>
      <c r="B1299" s="878" t="s">
        <v>5774</v>
      </c>
      <c r="C1299" s="879" t="s">
        <v>226</v>
      </c>
      <c r="D1299" s="881" t="s">
        <v>40570</v>
      </c>
    </row>
    <row r="1300" spans="1:4" ht="13.5" x14ac:dyDescent="0.25">
      <c r="A1300" s="878" t="s">
        <v>5775</v>
      </c>
      <c r="B1300" s="878" t="s">
        <v>5776</v>
      </c>
      <c r="C1300" s="879" t="s">
        <v>226</v>
      </c>
      <c r="D1300" s="881" t="s">
        <v>40571</v>
      </c>
    </row>
    <row r="1301" spans="1:4" ht="13.5" x14ac:dyDescent="0.25">
      <c r="A1301" s="878" t="s">
        <v>5777</v>
      </c>
      <c r="B1301" s="878" t="s">
        <v>5778</v>
      </c>
      <c r="C1301" s="879" t="s">
        <v>227</v>
      </c>
      <c r="D1301" s="881" t="s">
        <v>30463</v>
      </c>
    </row>
    <row r="1302" spans="1:4" ht="13.5" x14ac:dyDescent="0.25">
      <c r="A1302" s="878" t="s">
        <v>5779</v>
      </c>
      <c r="B1302" s="878" t="s">
        <v>5780</v>
      </c>
      <c r="C1302" s="879" t="s">
        <v>227</v>
      </c>
      <c r="D1302" s="880" t="s">
        <v>30464</v>
      </c>
    </row>
    <row r="1303" spans="1:4" ht="13.5" x14ac:dyDescent="0.25">
      <c r="A1303" s="878" t="s">
        <v>5781</v>
      </c>
      <c r="B1303" s="878" t="s">
        <v>5782</v>
      </c>
      <c r="C1303" s="879" t="s">
        <v>227</v>
      </c>
      <c r="D1303" s="881" t="s">
        <v>30465</v>
      </c>
    </row>
    <row r="1304" spans="1:4" ht="13.5" x14ac:dyDescent="0.25">
      <c r="A1304" s="878" t="s">
        <v>5783</v>
      </c>
      <c r="B1304" s="878" t="s">
        <v>5784</v>
      </c>
      <c r="C1304" s="879" t="s">
        <v>227</v>
      </c>
      <c r="D1304" s="881" t="s">
        <v>30466</v>
      </c>
    </row>
    <row r="1305" spans="1:4" ht="13.5" x14ac:dyDescent="0.25">
      <c r="A1305" s="878" t="s">
        <v>5785</v>
      </c>
      <c r="B1305" s="878" t="s">
        <v>5786</v>
      </c>
      <c r="C1305" s="879" t="s">
        <v>227</v>
      </c>
      <c r="D1305" s="881" t="s">
        <v>13783</v>
      </c>
    </row>
    <row r="1306" spans="1:4" ht="13.5" x14ac:dyDescent="0.25">
      <c r="A1306" s="878" t="s">
        <v>5787</v>
      </c>
      <c r="B1306" s="878" t="s">
        <v>5788</v>
      </c>
      <c r="C1306" s="879" t="s">
        <v>227</v>
      </c>
      <c r="D1306" s="881" t="s">
        <v>11000</v>
      </c>
    </row>
    <row r="1307" spans="1:4" ht="13.5" x14ac:dyDescent="0.25">
      <c r="A1307" s="878" t="s">
        <v>5789</v>
      </c>
      <c r="B1307" s="878" t="s">
        <v>5790</v>
      </c>
      <c r="C1307" s="879" t="s">
        <v>226</v>
      </c>
      <c r="D1307" s="881" t="s">
        <v>40572</v>
      </c>
    </row>
    <row r="1308" spans="1:4" ht="13.5" x14ac:dyDescent="0.25">
      <c r="A1308" s="878" t="s">
        <v>5791</v>
      </c>
      <c r="B1308" s="878" t="s">
        <v>5792</v>
      </c>
      <c r="C1308" s="879" t="s">
        <v>226</v>
      </c>
      <c r="D1308" s="881" t="s">
        <v>40573</v>
      </c>
    </row>
    <row r="1309" spans="1:4" ht="13.5" x14ac:dyDescent="0.25">
      <c r="A1309" s="878" t="s">
        <v>5793</v>
      </c>
      <c r="B1309" s="878" t="s">
        <v>5794</v>
      </c>
      <c r="C1309" s="879" t="s">
        <v>226</v>
      </c>
      <c r="D1309" s="881" t="s">
        <v>40574</v>
      </c>
    </row>
    <row r="1310" spans="1:4" ht="13.5" x14ac:dyDescent="0.25">
      <c r="A1310" s="878" t="s">
        <v>5795</v>
      </c>
      <c r="B1310" s="878" t="s">
        <v>5796</v>
      </c>
      <c r="C1310" s="879" t="s">
        <v>226</v>
      </c>
      <c r="D1310" s="881" t="s">
        <v>40575</v>
      </c>
    </row>
    <row r="1311" spans="1:4" ht="13.5" x14ac:dyDescent="0.25">
      <c r="A1311" s="878" t="s">
        <v>5797</v>
      </c>
      <c r="B1311" s="878" t="s">
        <v>5798</v>
      </c>
      <c r="C1311" s="879" t="s">
        <v>226</v>
      </c>
      <c r="D1311" s="881" t="s">
        <v>40576</v>
      </c>
    </row>
    <row r="1312" spans="1:4" ht="13.5" x14ac:dyDescent="0.25">
      <c r="A1312" s="878" t="s">
        <v>5799</v>
      </c>
      <c r="B1312" s="878" t="s">
        <v>5800</v>
      </c>
      <c r="C1312" s="879" t="s">
        <v>226</v>
      </c>
      <c r="D1312" s="880" t="s">
        <v>40577</v>
      </c>
    </row>
    <row r="1313" spans="1:4" ht="13.5" x14ac:dyDescent="0.25">
      <c r="A1313" s="878" t="s">
        <v>5801</v>
      </c>
      <c r="B1313" s="878" t="s">
        <v>5802</v>
      </c>
      <c r="C1313" s="879" t="s">
        <v>226</v>
      </c>
      <c r="D1313" s="880" t="s">
        <v>40578</v>
      </c>
    </row>
    <row r="1314" spans="1:4" ht="13.5" x14ac:dyDescent="0.25">
      <c r="A1314" s="878" t="s">
        <v>5803</v>
      </c>
      <c r="B1314" s="878" t="s">
        <v>5804</v>
      </c>
      <c r="C1314" s="879" t="s">
        <v>226</v>
      </c>
      <c r="D1314" s="880" t="s">
        <v>40579</v>
      </c>
    </row>
    <row r="1315" spans="1:4" ht="13.5" x14ac:dyDescent="0.25">
      <c r="A1315" s="878" t="s">
        <v>5805</v>
      </c>
      <c r="B1315" s="878" t="s">
        <v>5806</v>
      </c>
      <c r="C1315" s="879" t="s">
        <v>226</v>
      </c>
      <c r="D1315" s="880" t="s">
        <v>40580</v>
      </c>
    </row>
    <row r="1316" spans="1:4" ht="13.5" x14ac:dyDescent="0.25">
      <c r="A1316" s="878" t="s">
        <v>5807</v>
      </c>
      <c r="B1316" s="878" t="s">
        <v>5808</v>
      </c>
      <c r="C1316" s="879" t="s">
        <v>226</v>
      </c>
      <c r="D1316" s="880" t="s">
        <v>40581</v>
      </c>
    </row>
    <row r="1317" spans="1:4" ht="13.5" x14ac:dyDescent="0.25">
      <c r="A1317" s="878" t="s">
        <v>5809</v>
      </c>
      <c r="B1317" s="878" t="s">
        <v>5810</v>
      </c>
      <c r="C1317" s="879" t="s">
        <v>226</v>
      </c>
      <c r="D1317" s="880" t="s">
        <v>40582</v>
      </c>
    </row>
    <row r="1318" spans="1:4" ht="13.5" x14ac:dyDescent="0.25">
      <c r="A1318" s="878" t="s">
        <v>5811</v>
      </c>
      <c r="B1318" s="878" t="s">
        <v>5812</v>
      </c>
      <c r="C1318" s="879" t="s">
        <v>226</v>
      </c>
      <c r="D1318" s="880" t="s">
        <v>40583</v>
      </c>
    </row>
    <row r="1319" spans="1:4" ht="13.5" x14ac:dyDescent="0.25">
      <c r="A1319" s="878" t="s">
        <v>5813</v>
      </c>
      <c r="B1319" s="878" t="s">
        <v>5814</v>
      </c>
      <c r="C1319" s="879" t="s">
        <v>226</v>
      </c>
      <c r="D1319" s="880" t="s">
        <v>40584</v>
      </c>
    </row>
    <row r="1320" spans="1:4" ht="13.5" x14ac:dyDescent="0.25">
      <c r="A1320" s="878" t="s">
        <v>5815</v>
      </c>
      <c r="B1320" s="878" t="s">
        <v>5816</v>
      </c>
      <c r="C1320" s="879" t="s">
        <v>226</v>
      </c>
      <c r="D1320" s="880" t="s">
        <v>40585</v>
      </c>
    </row>
    <row r="1321" spans="1:4" ht="13.5" x14ac:dyDescent="0.25">
      <c r="A1321" s="878" t="s">
        <v>5817</v>
      </c>
      <c r="B1321" s="878" t="s">
        <v>5818</v>
      </c>
      <c r="C1321" s="879" t="s">
        <v>226</v>
      </c>
      <c r="D1321" s="880" t="s">
        <v>40586</v>
      </c>
    </row>
    <row r="1322" spans="1:4" ht="13.5" x14ac:dyDescent="0.25">
      <c r="A1322" s="878" t="s">
        <v>5819</v>
      </c>
      <c r="B1322" s="878" t="s">
        <v>5820</v>
      </c>
      <c r="C1322" s="879" t="s">
        <v>226</v>
      </c>
      <c r="D1322" s="880" t="s">
        <v>40587</v>
      </c>
    </row>
    <row r="1323" spans="1:4" ht="13.5" x14ac:dyDescent="0.25">
      <c r="A1323" s="878" t="s">
        <v>5821</v>
      </c>
      <c r="B1323" s="878" t="s">
        <v>5822</v>
      </c>
      <c r="C1323" s="879" t="s">
        <v>226</v>
      </c>
      <c r="D1323" s="880" t="s">
        <v>40588</v>
      </c>
    </row>
    <row r="1324" spans="1:4" ht="13.5" x14ac:dyDescent="0.25">
      <c r="A1324" s="878" t="s">
        <v>5823</v>
      </c>
      <c r="B1324" s="878" t="s">
        <v>5824</v>
      </c>
      <c r="C1324" s="879" t="s">
        <v>226</v>
      </c>
      <c r="D1324" s="880" t="s">
        <v>40589</v>
      </c>
    </row>
    <row r="1325" spans="1:4" ht="13.5" x14ac:dyDescent="0.25">
      <c r="A1325" s="878" t="s">
        <v>5825</v>
      </c>
      <c r="B1325" s="878" t="s">
        <v>5826</v>
      </c>
      <c r="C1325" s="879" t="s">
        <v>226</v>
      </c>
      <c r="D1325" s="880" t="s">
        <v>40590</v>
      </c>
    </row>
    <row r="1326" spans="1:4" ht="13.5" x14ac:dyDescent="0.25">
      <c r="A1326" s="878" t="s">
        <v>5827</v>
      </c>
      <c r="B1326" s="878" t="s">
        <v>5828</v>
      </c>
      <c r="C1326" s="879" t="s">
        <v>226</v>
      </c>
      <c r="D1326" s="880" t="s">
        <v>40591</v>
      </c>
    </row>
    <row r="1327" spans="1:4" ht="13.5" x14ac:dyDescent="0.25">
      <c r="A1327" s="878" t="s">
        <v>5829</v>
      </c>
      <c r="B1327" s="878" t="s">
        <v>5830</v>
      </c>
      <c r="C1327" s="879" t="s">
        <v>227</v>
      </c>
      <c r="D1327" s="880" t="s">
        <v>8625</v>
      </c>
    </row>
    <row r="1328" spans="1:4" ht="13.5" x14ac:dyDescent="0.25">
      <c r="A1328" s="878" t="s">
        <v>5831</v>
      </c>
      <c r="B1328" s="878" t="s">
        <v>5832</v>
      </c>
      <c r="C1328" s="879" t="s">
        <v>227</v>
      </c>
      <c r="D1328" s="880" t="s">
        <v>30467</v>
      </c>
    </row>
    <row r="1329" spans="1:4" ht="13.5" x14ac:dyDescent="0.25">
      <c r="A1329" s="878" t="s">
        <v>5834</v>
      </c>
      <c r="B1329" s="878" t="s">
        <v>5835</v>
      </c>
      <c r="C1329" s="879" t="s">
        <v>227</v>
      </c>
      <c r="D1329" s="880" t="s">
        <v>30468</v>
      </c>
    </row>
    <row r="1330" spans="1:4" ht="13.5" x14ac:dyDescent="0.25">
      <c r="A1330" s="878" t="s">
        <v>5837</v>
      </c>
      <c r="B1330" s="878" t="s">
        <v>5838</v>
      </c>
      <c r="C1330" s="879" t="s">
        <v>227</v>
      </c>
      <c r="D1330" s="880" t="s">
        <v>8625</v>
      </c>
    </row>
    <row r="1331" spans="1:4" ht="13.5" x14ac:dyDescent="0.25">
      <c r="A1331" s="878" t="s">
        <v>5839</v>
      </c>
      <c r="B1331" s="878" t="s">
        <v>5840</v>
      </c>
      <c r="C1331" s="879" t="s">
        <v>227</v>
      </c>
      <c r="D1331" s="880" t="s">
        <v>11900</v>
      </c>
    </row>
    <row r="1332" spans="1:4" ht="13.5" x14ac:dyDescent="0.25">
      <c r="A1332" s="878" t="s">
        <v>5841</v>
      </c>
      <c r="B1332" s="878" t="s">
        <v>5842</v>
      </c>
      <c r="C1332" s="879" t="s">
        <v>227</v>
      </c>
      <c r="D1332" s="880" t="s">
        <v>30469</v>
      </c>
    </row>
    <row r="1333" spans="1:4" ht="13.5" x14ac:dyDescent="0.25">
      <c r="A1333" s="878" t="s">
        <v>5843</v>
      </c>
      <c r="B1333" s="878" t="s">
        <v>5844</v>
      </c>
      <c r="C1333" s="879" t="s">
        <v>227</v>
      </c>
      <c r="D1333" s="880" t="s">
        <v>30257</v>
      </c>
    </row>
    <row r="1334" spans="1:4" ht="13.5" x14ac:dyDescent="0.25">
      <c r="A1334" s="878" t="s">
        <v>5845</v>
      </c>
      <c r="B1334" s="878" t="s">
        <v>5846</v>
      </c>
      <c r="C1334" s="879" t="s">
        <v>227</v>
      </c>
      <c r="D1334" s="880" t="s">
        <v>30470</v>
      </c>
    </row>
    <row r="1335" spans="1:4" ht="13.5" x14ac:dyDescent="0.25">
      <c r="A1335" s="878" t="s">
        <v>5847</v>
      </c>
      <c r="B1335" s="878" t="s">
        <v>5848</v>
      </c>
      <c r="C1335" s="879" t="s">
        <v>227</v>
      </c>
      <c r="D1335" s="880" t="s">
        <v>30468</v>
      </c>
    </row>
    <row r="1336" spans="1:4" ht="13.5" x14ac:dyDescent="0.25">
      <c r="A1336" s="878" t="s">
        <v>5849</v>
      </c>
      <c r="B1336" s="878" t="s">
        <v>5850</v>
      </c>
      <c r="C1336" s="879" t="s">
        <v>227</v>
      </c>
      <c r="D1336" s="880" t="s">
        <v>30471</v>
      </c>
    </row>
    <row r="1337" spans="1:4" ht="13.5" x14ac:dyDescent="0.25">
      <c r="A1337" s="878" t="s">
        <v>5852</v>
      </c>
      <c r="B1337" s="878" t="s">
        <v>5853</v>
      </c>
      <c r="C1337" s="879" t="s">
        <v>227</v>
      </c>
      <c r="D1337" s="880" t="s">
        <v>30472</v>
      </c>
    </row>
    <row r="1338" spans="1:4" ht="13.5" x14ac:dyDescent="0.25">
      <c r="A1338" s="878" t="s">
        <v>5854</v>
      </c>
      <c r="B1338" s="878" t="s">
        <v>5855</v>
      </c>
      <c r="C1338" s="879" t="s">
        <v>227</v>
      </c>
      <c r="D1338" s="880" t="s">
        <v>30401</v>
      </c>
    </row>
    <row r="1339" spans="1:4" ht="13.5" x14ac:dyDescent="0.25">
      <c r="A1339" s="878" t="s">
        <v>5856</v>
      </c>
      <c r="B1339" s="878" t="s">
        <v>5857</v>
      </c>
      <c r="C1339" s="879" t="s">
        <v>227</v>
      </c>
      <c r="D1339" s="880" t="s">
        <v>30473</v>
      </c>
    </row>
    <row r="1340" spans="1:4" ht="13.5" x14ac:dyDescent="0.25">
      <c r="A1340" s="878" t="s">
        <v>5858</v>
      </c>
      <c r="B1340" s="878" t="s">
        <v>5859</v>
      </c>
      <c r="C1340" s="879" t="s">
        <v>227</v>
      </c>
      <c r="D1340" s="880" t="s">
        <v>11785</v>
      </c>
    </row>
    <row r="1341" spans="1:4" ht="13.5" x14ac:dyDescent="0.25">
      <c r="A1341" s="878" t="s">
        <v>5861</v>
      </c>
      <c r="B1341" s="878" t="s">
        <v>5862</v>
      </c>
      <c r="C1341" s="879" t="s">
        <v>227</v>
      </c>
      <c r="D1341" s="880" t="s">
        <v>30474</v>
      </c>
    </row>
    <row r="1342" spans="1:4" ht="13.5" x14ac:dyDescent="0.25">
      <c r="A1342" s="878" t="s">
        <v>5863</v>
      </c>
      <c r="B1342" s="878" t="s">
        <v>5864</v>
      </c>
      <c r="C1342" s="879" t="s">
        <v>227</v>
      </c>
      <c r="D1342" s="880" t="s">
        <v>8550</v>
      </c>
    </row>
    <row r="1343" spans="1:4" ht="13.5" x14ac:dyDescent="0.25">
      <c r="A1343" s="878" t="s">
        <v>5865</v>
      </c>
      <c r="B1343" s="878" t="s">
        <v>5866</v>
      </c>
      <c r="C1343" s="879" t="s">
        <v>227</v>
      </c>
      <c r="D1343" s="880" t="s">
        <v>12228</v>
      </c>
    </row>
    <row r="1344" spans="1:4" ht="13.5" x14ac:dyDescent="0.25">
      <c r="A1344" s="878" t="s">
        <v>5867</v>
      </c>
      <c r="B1344" s="878" t="s">
        <v>5868</v>
      </c>
      <c r="C1344" s="879" t="s">
        <v>227</v>
      </c>
      <c r="D1344" s="880" t="s">
        <v>14371</v>
      </c>
    </row>
    <row r="1345" spans="1:4" ht="13.5" x14ac:dyDescent="0.25">
      <c r="A1345" s="878" t="s">
        <v>5870</v>
      </c>
      <c r="B1345" s="878" t="s">
        <v>5871</v>
      </c>
      <c r="C1345" s="879" t="s">
        <v>227</v>
      </c>
      <c r="D1345" s="880" t="s">
        <v>30467</v>
      </c>
    </row>
    <row r="1346" spans="1:4" ht="13.5" x14ac:dyDescent="0.25">
      <c r="A1346" s="878" t="s">
        <v>5872</v>
      </c>
      <c r="B1346" s="878" t="s">
        <v>5873</v>
      </c>
      <c r="C1346" s="879" t="s">
        <v>227</v>
      </c>
      <c r="D1346" s="880" t="s">
        <v>40592</v>
      </c>
    </row>
    <row r="1347" spans="1:4" ht="13.5" x14ac:dyDescent="0.25">
      <c r="A1347" s="878" t="s">
        <v>5874</v>
      </c>
      <c r="B1347" s="878" t="s">
        <v>5875</v>
      </c>
      <c r="C1347" s="879" t="s">
        <v>227</v>
      </c>
      <c r="D1347" s="880" t="s">
        <v>40593</v>
      </c>
    </row>
    <row r="1348" spans="1:4" ht="13.5" x14ac:dyDescent="0.25">
      <c r="A1348" s="878" t="s">
        <v>5876</v>
      </c>
      <c r="B1348" s="878" t="s">
        <v>5877</v>
      </c>
      <c r="C1348" s="879" t="s">
        <v>227</v>
      </c>
      <c r="D1348" s="880" t="s">
        <v>30182</v>
      </c>
    </row>
    <row r="1349" spans="1:4" ht="13.5" x14ac:dyDescent="0.25">
      <c r="A1349" s="878" t="s">
        <v>5878</v>
      </c>
      <c r="B1349" s="878" t="s">
        <v>5879</v>
      </c>
      <c r="C1349" s="879" t="s">
        <v>227</v>
      </c>
      <c r="D1349" s="880" t="s">
        <v>40594</v>
      </c>
    </row>
    <row r="1350" spans="1:4" ht="13.5" x14ac:dyDescent="0.25">
      <c r="A1350" s="878" t="s">
        <v>5880</v>
      </c>
      <c r="B1350" s="878" t="s">
        <v>5881</v>
      </c>
      <c r="C1350" s="879" t="s">
        <v>227</v>
      </c>
      <c r="D1350" s="880" t="s">
        <v>40595</v>
      </c>
    </row>
    <row r="1351" spans="1:4" ht="13.5" x14ac:dyDescent="0.25">
      <c r="A1351" s="878" t="s">
        <v>5882</v>
      </c>
      <c r="B1351" s="878" t="s">
        <v>5883</v>
      </c>
      <c r="C1351" s="879" t="s">
        <v>227</v>
      </c>
      <c r="D1351" s="880" t="s">
        <v>40596</v>
      </c>
    </row>
    <row r="1352" spans="1:4" ht="13.5" x14ac:dyDescent="0.25">
      <c r="A1352" s="878" t="s">
        <v>5884</v>
      </c>
      <c r="B1352" s="878" t="s">
        <v>5885</v>
      </c>
      <c r="C1352" s="879" t="s">
        <v>158</v>
      </c>
      <c r="D1352" s="880" t="s">
        <v>40597</v>
      </c>
    </row>
    <row r="1353" spans="1:4" ht="13.5" x14ac:dyDescent="0.25">
      <c r="A1353" s="878" t="s">
        <v>5886</v>
      </c>
      <c r="B1353" s="878" t="s">
        <v>5887</v>
      </c>
      <c r="C1353" s="879" t="s">
        <v>227</v>
      </c>
      <c r="D1353" s="880" t="s">
        <v>11630</v>
      </c>
    </row>
    <row r="1354" spans="1:4" ht="13.5" x14ac:dyDescent="0.25">
      <c r="A1354" s="878" t="s">
        <v>5889</v>
      </c>
      <c r="B1354" s="878" t="s">
        <v>5890</v>
      </c>
      <c r="C1354" s="879" t="s">
        <v>226</v>
      </c>
      <c r="D1354" s="880" t="s">
        <v>40598</v>
      </c>
    </row>
    <row r="1355" spans="1:4" ht="13.5" x14ac:dyDescent="0.25">
      <c r="A1355" s="878" t="s">
        <v>5891</v>
      </c>
      <c r="B1355" s="878" t="s">
        <v>5892</v>
      </c>
      <c r="C1355" s="879" t="s">
        <v>227</v>
      </c>
      <c r="D1355" s="880" t="s">
        <v>30182</v>
      </c>
    </row>
    <row r="1356" spans="1:4" ht="13.5" x14ac:dyDescent="0.25">
      <c r="A1356" s="878" t="s">
        <v>5893</v>
      </c>
      <c r="B1356" s="878" t="s">
        <v>5894</v>
      </c>
      <c r="C1356" s="879" t="s">
        <v>227</v>
      </c>
      <c r="D1356" s="880" t="s">
        <v>40594</v>
      </c>
    </row>
    <row r="1357" spans="1:4" ht="13.5" x14ac:dyDescent="0.25">
      <c r="A1357" s="878" t="s">
        <v>5895</v>
      </c>
      <c r="B1357" s="878" t="s">
        <v>5896</v>
      </c>
      <c r="C1357" s="879" t="s">
        <v>227</v>
      </c>
      <c r="D1357" s="880" t="s">
        <v>30182</v>
      </c>
    </row>
    <row r="1358" spans="1:4" ht="13.5" x14ac:dyDescent="0.25">
      <c r="A1358" s="878" t="s">
        <v>5897</v>
      </c>
      <c r="B1358" s="878" t="s">
        <v>5898</v>
      </c>
      <c r="C1358" s="879" t="s">
        <v>227</v>
      </c>
      <c r="D1358" s="880" t="s">
        <v>40594</v>
      </c>
    </row>
    <row r="1359" spans="1:4" ht="13.5" x14ac:dyDescent="0.25">
      <c r="A1359" s="878" t="s">
        <v>5899</v>
      </c>
      <c r="B1359" s="878" t="s">
        <v>5900</v>
      </c>
      <c r="C1359" s="879" t="s">
        <v>227</v>
      </c>
      <c r="D1359" s="880" t="s">
        <v>40595</v>
      </c>
    </row>
    <row r="1360" spans="1:4" ht="13.5" x14ac:dyDescent="0.25">
      <c r="A1360" s="878" t="s">
        <v>5901</v>
      </c>
      <c r="B1360" s="878" t="s">
        <v>5902</v>
      </c>
      <c r="C1360" s="879" t="s">
        <v>227</v>
      </c>
      <c r="D1360" s="880" t="s">
        <v>40596</v>
      </c>
    </row>
    <row r="1361" spans="1:4" ht="13.5" x14ac:dyDescent="0.25">
      <c r="A1361" s="878" t="s">
        <v>5903</v>
      </c>
      <c r="B1361" s="878" t="s">
        <v>5904</v>
      </c>
      <c r="C1361" s="879" t="s">
        <v>227</v>
      </c>
      <c r="D1361" s="880" t="s">
        <v>40595</v>
      </c>
    </row>
    <row r="1362" spans="1:4" ht="13.5" x14ac:dyDescent="0.25">
      <c r="A1362" s="878" t="s">
        <v>5905</v>
      </c>
      <c r="B1362" s="878" t="s">
        <v>5906</v>
      </c>
      <c r="C1362" s="879" t="s">
        <v>227</v>
      </c>
      <c r="D1362" s="880" t="s">
        <v>40596</v>
      </c>
    </row>
    <row r="1363" spans="1:4" ht="13.5" x14ac:dyDescent="0.25">
      <c r="A1363" s="878" t="s">
        <v>5907</v>
      </c>
      <c r="B1363" s="878" t="s">
        <v>5908</v>
      </c>
      <c r="C1363" s="879" t="s">
        <v>227</v>
      </c>
      <c r="D1363" s="880" t="s">
        <v>40599</v>
      </c>
    </row>
    <row r="1364" spans="1:4" ht="13.5" x14ac:dyDescent="0.25">
      <c r="A1364" s="878" t="s">
        <v>5909</v>
      </c>
      <c r="B1364" s="878" t="s">
        <v>5910</v>
      </c>
      <c r="C1364" s="879" t="s">
        <v>227</v>
      </c>
      <c r="D1364" s="880" t="s">
        <v>40600</v>
      </c>
    </row>
    <row r="1365" spans="1:4" ht="13.5" x14ac:dyDescent="0.25">
      <c r="A1365" s="878" t="s">
        <v>5911</v>
      </c>
      <c r="B1365" s="878" t="s">
        <v>5912</v>
      </c>
      <c r="C1365" s="879" t="s">
        <v>227</v>
      </c>
      <c r="D1365" s="880" t="s">
        <v>40601</v>
      </c>
    </row>
    <row r="1366" spans="1:4" ht="13.5" x14ac:dyDescent="0.25">
      <c r="A1366" s="878" t="s">
        <v>5913</v>
      </c>
      <c r="B1366" s="878" t="s">
        <v>5914</v>
      </c>
      <c r="C1366" s="879" t="s">
        <v>227</v>
      </c>
      <c r="D1366" s="880" t="s">
        <v>40602</v>
      </c>
    </row>
    <row r="1367" spans="1:4" ht="13.5" x14ac:dyDescent="0.25">
      <c r="A1367" s="878" t="s">
        <v>5915</v>
      </c>
      <c r="B1367" s="878" t="s">
        <v>5916</v>
      </c>
      <c r="C1367" s="879" t="s">
        <v>227</v>
      </c>
      <c r="D1367" s="880" t="s">
        <v>40603</v>
      </c>
    </row>
    <row r="1368" spans="1:4" ht="13.5" x14ac:dyDescent="0.25">
      <c r="A1368" s="878" t="s">
        <v>5917</v>
      </c>
      <c r="B1368" s="878" t="s">
        <v>5918</v>
      </c>
      <c r="C1368" s="879" t="s">
        <v>158</v>
      </c>
      <c r="D1368" s="880" t="s">
        <v>40604</v>
      </c>
    </row>
    <row r="1369" spans="1:4" ht="13.5" x14ac:dyDescent="0.25">
      <c r="A1369" s="878" t="s">
        <v>5919</v>
      </c>
      <c r="B1369" s="878" t="s">
        <v>5920</v>
      </c>
      <c r="C1369" s="879" t="s">
        <v>158</v>
      </c>
      <c r="D1369" s="880" t="s">
        <v>40605</v>
      </c>
    </row>
    <row r="1370" spans="1:4" ht="13.5" x14ac:dyDescent="0.25">
      <c r="A1370" s="878" t="s">
        <v>5921</v>
      </c>
      <c r="B1370" s="878" t="s">
        <v>5922</v>
      </c>
      <c r="C1370" s="879" t="s">
        <v>158</v>
      </c>
      <c r="D1370" s="880" t="s">
        <v>40606</v>
      </c>
    </row>
    <row r="1371" spans="1:4" ht="13.5" x14ac:dyDescent="0.25">
      <c r="A1371" s="878" t="s">
        <v>5923</v>
      </c>
      <c r="B1371" s="878" t="s">
        <v>5924</v>
      </c>
      <c r="C1371" s="879" t="s">
        <v>158</v>
      </c>
      <c r="D1371" s="880" t="s">
        <v>40041</v>
      </c>
    </row>
    <row r="1372" spans="1:4" ht="13.5" x14ac:dyDescent="0.25">
      <c r="A1372" s="878" t="s">
        <v>5925</v>
      </c>
      <c r="B1372" s="878" t="s">
        <v>5926</v>
      </c>
      <c r="C1372" s="879" t="s">
        <v>158</v>
      </c>
      <c r="D1372" s="880" t="s">
        <v>40607</v>
      </c>
    </row>
    <row r="1373" spans="1:4" ht="13.5" x14ac:dyDescent="0.25">
      <c r="A1373" s="878" t="s">
        <v>5927</v>
      </c>
      <c r="B1373" s="878" t="s">
        <v>5928</v>
      </c>
      <c r="C1373" s="879" t="s">
        <v>158</v>
      </c>
      <c r="D1373" s="880" t="s">
        <v>40608</v>
      </c>
    </row>
    <row r="1374" spans="1:4" ht="13.5" x14ac:dyDescent="0.25">
      <c r="A1374" s="878" t="s">
        <v>5929</v>
      </c>
      <c r="B1374" s="878" t="s">
        <v>5930</v>
      </c>
      <c r="C1374" s="879" t="s">
        <v>158</v>
      </c>
      <c r="D1374" s="880" t="s">
        <v>40162</v>
      </c>
    </row>
    <row r="1375" spans="1:4" ht="13.5" x14ac:dyDescent="0.25">
      <c r="A1375" s="878" t="s">
        <v>5931</v>
      </c>
      <c r="B1375" s="878" t="s">
        <v>5932</v>
      </c>
      <c r="C1375" s="879" t="s">
        <v>158</v>
      </c>
      <c r="D1375" s="880" t="s">
        <v>40609</v>
      </c>
    </row>
    <row r="1376" spans="1:4" ht="13.5" x14ac:dyDescent="0.25">
      <c r="A1376" s="878" t="s">
        <v>5933</v>
      </c>
      <c r="B1376" s="878" t="s">
        <v>5934</v>
      </c>
      <c r="C1376" s="879" t="s">
        <v>227</v>
      </c>
      <c r="D1376" s="880" t="s">
        <v>40610</v>
      </c>
    </row>
    <row r="1377" spans="1:4" ht="13.5" x14ac:dyDescent="0.25">
      <c r="A1377" s="878" t="s">
        <v>5935</v>
      </c>
      <c r="B1377" s="878" t="s">
        <v>5936</v>
      </c>
      <c r="C1377" s="879" t="s">
        <v>227</v>
      </c>
      <c r="D1377" s="880" t="s">
        <v>40611</v>
      </c>
    </row>
    <row r="1378" spans="1:4" ht="13.5" x14ac:dyDescent="0.25">
      <c r="A1378" s="878" t="s">
        <v>5938</v>
      </c>
      <c r="B1378" s="878" t="s">
        <v>5939</v>
      </c>
      <c r="C1378" s="879" t="s">
        <v>227</v>
      </c>
      <c r="D1378" s="880" t="s">
        <v>40612</v>
      </c>
    </row>
    <row r="1379" spans="1:4" ht="13.5" x14ac:dyDescent="0.25">
      <c r="A1379" s="878" t="s">
        <v>5940</v>
      </c>
      <c r="B1379" s="878" t="s">
        <v>5941</v>
      </c>
      <c r="C1379" s="879" t="s">
        <v>227</v>
      </c>
      <c r="D1379" s="880" t="s">
        <v>13971</v>
      </c>
    </row>
    <row r="1380" spans="1:4" ht="13.5" x14ac:dyDescent="0.25">
      <c r="A1380" s="878" t="s">
        <v>5942</v>
      </c>
      <c r="B1380" s="878" t="s">
        <v>5943</v>
      </c>
      <c r="C1380" s="879" t="s">
        <v>158</v>
      </c>
      <c r="D1380" s="880" t="s">
        <v>31230</v>
      </c>
    </row>
    <row r="1381" spans="1:4" ht="13.5" x14ac:dyDescent="0.25">
      <c r="A1381" s="878" t="s">
        <v>5944</v>
      </c>
      <c r="B1381" s="878" t="s">
        <v>5945</v>
      </c>
      <c r="C1381" s="879" t="s">
        <v>158</v>
      </c>
      <c r="D1381" s="880" t="s">
        <v>30678</v>
      </c>
    </row>
    <row r="1382" spans="1:4" ht="13.5" x14ac:dyDescent="0.25">
      <c r="A1382" s="878" t="s">
        <v>5946</v>
      </c>
      <c r="B1382" s="878" t="s">
        <v>5947</v>
      </c>
      <c r="C1382" s="879" t="s">
        <v>158</v>
      </c>
      <c r="D1382" s="880" t="s">
        <v>8445</v>
      </c>
    </row>
    <row r="1383" spans="1:4" ht="13.5" x14ac:dyDescent="0.25">
      <c r="A1383" s="878" t="s">
        <v>5948</v>
      </c>
      <c r="B1383" s="878" t="s">
        <v>5949</v>
      </c>
      <c r="C1383" s="879" t="s">
        <v>158</v>
      </c>
      <c r="D1383" s="880" t="s">
        <v>30945</v>
      </c>
    </row>
    <row r="1384" spans="1:4" ht="13.5" x14ac:dyDescent="0.25">
      <c r="A1384" s="878" t="s">
        <v>5950</v>
      </c>
      <c r="B1384" s="878" t="s">
        <v>5951</v>
      </c>
      <c r="C1384" s="879" t="s">
        <v>158</v>
      </c>
      <c r="D1384" s="880" t="s">
        <v>40613</v>
      </c>
    </row>
    <row r="1385" spans="1:4" ht="13.5" x14ac:dyDescent="0.25">
      <c r="A1385" s="878" t="s">
        <v>5952</v>
      </c>
      <c r="B1385" s="878" t="s">
        <v>5953</v>
      </c>
      <c r="C1385" s="879" t="s">
        <v>158</v>
      </c>
      <c r="D1385" s="880" t="s">
        <v>40614</v>
      </c>
    </row>
    <row r="1386" spans="1:4" ht="13.5" x14ac:dyDescent="0.25">
      <c r="A1386" s="878" t="s">
        <v>5954</v>
      </c>
      <c r="B1386" s="878" t="s">
        <v>5955</v>
      </c>
      <c r="C1386" s="879" t="s">
        <v>227</v>
      </c>
      <c r="D1386" s="880" t="s">
        <v>40615</v>
      </c>
    </row>
    <row r="1387" spans="1:4" ht="13.5" x14ac:dyDescent="0.25">
      <c r="A1387" s="878" t="s">
        <v>5956</v>
      </c>
      <c r="B1387" s="878" t="s">
        <v>5957</v>
      </c>
      <c r="C1387" s="879" t="s">
        <v>226</v>
      </c>
      <c r="D1387" s="880" t="s">
        <v>40616</v>
      </c>
    </row>
    <row r="1388" spans="1:4" ht="13.5" x14ac:dyDescent="0.25">
      <c r="A1388" s="878" t="s">
        <v>5959</v>
      </c>
      <c r="B1388" s="878" t="s">
        <v>5960</v>
      </c>
      <c r="C1388" s="879" t="s">
        <v>226</v>
      </c>
      <c r="D1388" s="880" t="s">
        <v>40617</v>
      </c>
    </row>
    <row r="1389" spans="1:4" ht="13.5" x14ac:dyDescent="0.25">
      <c r="A1389" s="878" t="s">
        <v>5961</v>
      </c>
      <c r="B1389" s="878" t="s">
        <v>5962</v>
      </c>
      <c r="C1389" s="879" t="s">
        <v>226</v>
      </c>
      <c r="D1389" s="880" t="s">
        <v>40618</v>
      </c>
    </row>
    <row r="1390" spans="1:4" ht="13.5" x14ac:dyDescent="0.25">
      <c r="A1390" s="878" t="s">
        <v>5963</v>
      </c>
      <c r="B1390" s="878" t="s">
        <v>5964</v>
      </c>
      <c r="C1390" s="879" t="s">
        <v>226</v>
      </c>
      <c r="D1390" s="880" t="s">
        <v>40619</v>
      </c>
    </row>
    <row r="1391" spans="1:4" ht="13.5" x14ac:dyDescent="0.25">
      <c r="A1391" s="878" t="s">
        <v>5965</v>
      </c>
      <c r="B1391" s="878" t="s">
        <v>5966</v>
      </c>
      <c r="C1391" s="879" t="s">
        <v>227</v>
      </c>
      <c r="D1391" s="880" t="s">
        <v>40620</v>
      </c>
    </row>
    <row r="1392" spans="1:4" ht="13.5" x14ac:dyDescent="0.25">
      <c r="A1392" s="878" t="s">
        <v>5967</v>
      </c>
      <c r="B1392" s="878" t="s">
        <v>5968</v>
      </c>
      <c r="C1392" s="879" t="s">
        <v>227</v>
      </c>
      <c r="D1392" s="881" t="s">
        <v>11927</v>
      </c>
    </row>
    <row r="1393" spans="1:4" ht="13.5" x14ac:dyDescent="0.25">
      <c r="A1393" s="878" t="s">
        <v>5969</v>
      </c>
      <c r="B1393" s="878" t="s">
        <v>5970</v>
      </c>
      <c r="C1393" s="879" t="s">
        <v>227</v>
      </c>
      <c r="D1393" s="881" t="s">
        <v>40621</v>
      </c>
    </row>
    <row r="1394" spans="1:4" ht="13.5" x14ac:dyDescent="0.25">
      <c r="A1394" s="878" t="s">
        <v>5971</v>
      </c>
      <c r="B1394" s="878" t="s">
        <v>5972</v>
      </c>
      <c r="C1394" s="879" t="s">
        <v>227</v>
      </c>
      <c r="D1394" s="881" t="s">
        <v>40622</v>
      </c>
    </row>
    <row r="1395" spans="1:4" ht="13.5" x14ac:dyDescent="0.25">
      <c r="A1395" s="878" t="s">
        <v>5973</v>
      </c>
      <c r="B1395" s="878" t="s">
        <v>5974</v>
      </c>
      <c r="C1395" s="879" t="s">
        <v>227</v>
      </c>
      <c r="D1395" s="881" t="s">
        <v>40623</v>
      </c>
    </row>
    <row r="1396" spans="1:4" ht="13.5" x14ac:dyDescent="0.25">
      <c r="A1396" s="878" t="s">
        <v>5975</v>
      </c>
      <c r="B1396" s="878" t="s">
        <v>5976</v>
      </c>
      <c r="C1396" s="879" t="s">
        <v>227</v>
      </c>
      <c r="D1396" s="880" t="s">
        <v>40160</v>
      </c>
    </row>
    <row r="1397" spans="1:4" ht="13.5" x14ac:dyDescent="0.25">
      <c r="A1397" s="878" t="s">
        <v>5977</v>
      </c>
      <c r="B1397" s="878" t="s">
        <v>5978</v>
      </c>
      <c r="C1397" s="879" t="s">
        <v>227</v>
      </c>
      <c r="D1397" s="881" t="s">
        <v>40624</v>
      </c>
    </row>
    <row r="1398" spans="1:4" ht="13.5" x14ac:dyDescent="0.25">
      <c r="A1398" s="878" t="s">
        <v>5979</v>
      </c>
      <c r="B1398" s="878" t="s">
        <v>5980</v>
      </c>
      <c r="C1398" s="879" t="s">
        <v>227</v>
      </c>
      <c r="D1398" s="881" t="s">
        <v>40428</v>
      </c>
    </row>
    <row r="1399" spans="1:4" ht="13.5" x14ac:dyDescent="0.25">
      <c r="A1399" s="878" t="s">
        <v>5981</v>
      </c>
      <c r="B1399" s="878" t="s">
        <v>5982</v>
      </c>
      <c r="C1399" s="879" t="s">
        <v>227</v>
      </c>
      <c r="D1399" s="881" t="s">
        <v>40625</v>
      </c>
    </row>
    <row r="1400" spans="1:4" ht="13.5" x14ac:dyDescent="0.25">
      <c r="A1400" s="878" t="s">
        <v>5983</v>
      </c>
      <c r="B1400" s="878" t="s">
        <v>5984</v>
      </c>
      <c r="C1400" s="879" t="s">
        <v>227</v>
      </c>
      <c r="D1400" s="881" t="s">
        <v>40626</v>
      </c>
    </row>
    <row r="1401" spans="1:4" ht="13.5" x14ac:dyDescent="0.25">
      <c r="A1401" s="878" t="s">
        <v>5985</v>
      </c>
      <c r="B1401" s="878" t="s">
        <v>5986</v>
      </c>
      <c r="C1401" s="879" t="s">
        <v>227</v>
      </c>
      <c r="D1401" s="880" t="s">
        <v>31137</v>
      </c>
    </row>
    <row r="1402" spans="1:4" ht="13.5" x14ac:dyDescent="0.25">
      <c r="A1402" s="878" t="s">
        <v>5987</v>
      </c>
      <c r="B1402" s="878" t="s">
        <v>5988</v>
      </c>
      <c r="C1402" s="879" t="s">
        <v>227</v>
      </c>
      <c r="D1402" s="880" t="s">
        <v>40627</v>
      </c>
    </row>
    <row r="1403" spans="1:4" ht="13.5" x14ac:dyDescent="0.25">
      <c r="A1403" s="878" t="s">
        <v>5990</v>
      </c>
      <c r="B1403" s="878" t="s">
        <v>5991</v>
      </c>
      <c r="C1403" s="879" t="s">
        <v>227</v>
      </c>
      <c r="D1403" s="881" t="s">
        <v>14631</v>
      </c>
    </row>
    <row r="1404" spans="1:4" ht="13.5" x14ac:dyDescent="0.25">
      <c r="A1404" s="878" t="s">
        <v>5992</v>
      </c>
      <c r="B1404" s="878" t="s">
        <v>5993</v>
      </c>
      <c r="C1404" s="879" t="s">
        <v>227</v>
      </c>
      <c r="D1404" s="881" t="s">
        <v>40628</v>
      </c>
    </row>
    <row r="1405" spans="1:4" ht="13.5" x14ac:dyDescent="0.25">
      <c r="A1405" s="878" t="s">
        <v>5994</v>
      </c>
      <c r="B1405" s="878" t="s">
        <v>5995</v>
      </c>
      <c r="C1405" s="879" t="s">
        <v>226</v>
      </c>
      <c r="D1405" s="881" t="s">
        <v>40629</v>
      </c>
    </row>
    <row r="1406" spans="1:4" ht="13.5" x14ac:dyDescent="0.25">
      <c r="A1406" s="878" t="s">
        <v>5996</v>
      </c>
      <c r="B1406" s="878" t="s">
        <v>5997</v>
      </c>
      <c r="C1406" s="879" t="s">
        <v>226</v>
      </c>
      <c r="D1406" s="881" t="s">
        <v>40630</v>
      </c>
    </row>
    <row r="1407" spans="1:4" ht="13.5" x14ac:dyDescent="0.25">
      <c r="A1407" s="878" t="s">
        <v>5998</v>
      </c>
      <c r="B1407" s="878" t="s">
        <v>5999</v>
      </c>
      <c r="C1407" s="879" t="s">
        <v>226</v>
      </c>
      <c r="D1407" s="881" t="s">
        <v>40631</v>
      </c>
    </row>
    <row r="1408" spans="1:4" ht="13.5" x14ac:dyDescent="0.25">
      <c r="A1408" s="878" t="s">
        <v>6000</v>
      </c>
      <c r="B1408" s="878" t="s">
        <v>6001</v>
      </c>
      <c r="C1408" s="879" t="s">
        <v>226</v>
      </c>
      <c r="D1408" s="881" t="s">
        <v>40632</v>
      </c>
    </row>
    <row r="1409" spans="1:4" ht="13.5" x14ac:dyDescent="0.25">
      <c r="A1409" s="878" t="s">
        <v>6002</v>
      </c>
      <c r="B1409" s="878" t="s">
        <v>6003</v>
      </c>
      <c r="C1409" s="879" t="s">
        <v>226</v>
      </c>
      <c r="D1409" s="881" t="s">
        <v>40633</v>
      </c>
    </row>
    <row r="1410" spans="1:4" ht="13.5" x14ac:dyDescent="0.25">
      <c r="A1410" s="878" t="s">
        <v>6004</v>
      </c>
      <c r="B1410" s="878" t="s">
        <v>6005</v>
      </c>
      <c r="C1410" s="879" t="s">
        <v>226</v>
      </c>
      <c r="D1410" s="881" t="s">
        <v>40634</v>
      </c>
    </row>
    <row r="1411" spans="1:4" ht="13.5" x14ac:dyDescent="0.25">
      <c r="A1411" s="878" t="s">
        <v>6006</v>
      </c>
      <c r="B1411" s="878" t="s">
        <v>6007</v>
      </c>
      <c r="C1411" s="879" t="s">
        <v>6008</v>
      </c>
      <c r="D1411" s="881" t="s">
        <v>40635</v>
      </c>
    </row>
    <row r="1412" spans="1:4" ht="13.5" x14ac:dyDescent="0.25">
      <c r="A1412" s="878" t="s">
        <v>6010</v>
      </c>
      <c r="B1412" s="878" t="s">
        <v>6011</v>
      </c>
      <c r="C1412" s="879" t="s">
        <v>226</v>
      </c>
      <c r="D1412" s="881" t="s">
        <v>40636</v>
      </c>
    </row>
    <row r="1413" spans="1:4" ht="13.5" x14ac:dyDescent="0.25">
      <c r="A1413" s="878" t="s">
        <v>6012</v>
      </c>
      <c r="B1413" s="878" t="s">
        <v>6013</v>
      </c>
      <c r="C1413" s="879" t="s">
        <v>226</v>
      </c>
      <c r="D1413" s="881" t="s">
        <v>40637</v>
      </c>
    </row>
    <row r="1414" spans="1:4" ht="13.5" x14ac:dyDescent="0.25">
      <c r="A1414" s="878" t="s">
        <v>6014</v>
      </c>
      <c r="B1414" s="878" t="s">
        <v>6015</v>
      </c>
      <c r="C1414" s="879" t="s">
        <v>226</v>
      </c>
      <c r="D1414" s="881" t="s">
        <v>40638</v>
      </c>
    </row>
    <row r="1415" spans="1:4" ht="13.5" x14ac:dyDescent="0.25">
      <c r="A1415" s="878" t="s">
        <v>6016</v>
      </c>
      <c r="B1415" s="878" t="s">
        <v>6017</v>
      </c>
      <c r="C1415" s="879" t="s">
        <v>226</v>
      </c>
      <c r="D1415" s="881" t="s">
        <v>40639</v>
      </c>
    </row>
    <row r="1416" spans="1:4" ht="13.5" x14ac:dyDescent="0.25">
      <c r="A1416" s="878" t="s">
        <v>6018</v>
      </c>
      <c r="B1416" s="878" t="s">
        <v>6019</v>
      </c>
      <c r="C1416" s="879" t="s">
        <v>226</v>
      </c>
      <c r="D1416" s="881" t="s">
        <v>40629</v>
      </c>
    </row>
    <row r="1417" spans="1:4" ht="13.5" x14ac:dyDescent="0.25">
      <c r="A1417" s="878" t="s">
        <v>6020</v>
      </c>
      <c r="B1417" s="878" t="s">
        <v>6021</v>
      </c>
      <c r="C1417" s="879" t="s">
        <v>226</v>
      </c>
      <c r="D1417" s="881" t="s">
        <v>40640</v>
      </c>
    </row>
    <row r="1418" spans="1:4" ht="13.5" x14ac:dyDescent="0.25">
      <c r="A1418" s="878" t="s">
        <v>6022</v>
      </c>
      <c r="B1418" s="878" t="s">
        <v>6023</v>
      </c>
      <c r="C1418" s="879" t="s">
        <v>226</v>
      </c>
      <c r="D1418" s="881" t="s">
        <v>40641</v>
      </c>
    </row>
    <row r="1419" spans="1:4" ht="13.5" x14ac:dyDescent="0.25">
      <c r="A1419" s="878" t="s">
        <v>6024</v>
      </c>
      <c r="B1419" s="878" t="s">
        <v>6025</v>
      </c>
      <c r="C1419" s="879" t="s">
        <v>226</v>
      </c>
      <c r="D1419" s="881" t="s">
        <v>40642</v>
      </c>
    </row>
    <row r="1420" spans="1:4" ht="13.5" x14ac:dyDescent="0.25">
      <c r="A1420" s="878" t="s">
        <v>6026</v>
      </c>
      <c r="B1420" s="878" t="s">
        <v>6027</v>
      </c>
      <c r="C1420" s="879" t="s">
        <v>226</v>
      </c>
      <c r="D1420" s="881" t="s">
        <v>40643</v>
      </c>
    </row>
    <row r="1421" spans="1:4" ht="13.5" x14ac:dyDescent="0.25">
      <c r="A1421" s="878" t="s">
        <v>6028</v>
      </c>
      <c r="B1421" s="878" t="s">
        <v>6029</v>
      </c>
      <c r="C1421" s="879" t="s">
        <v>226</v>
      </c>
      <c r="D1421" s="881" t="s">
        <v>40644</v>
      </c>
    </row>
    <row r="1422" spans="1:4" ht="13.5" x14ac:dyDescent="0.25">
      <c r="A1422" s="878" t="s">
        <v>6030</v>
      </c>
      <c r="B1422" s="878" t="s">
        <v>6031</v>
      </c>
      <c r="C1422" s="879" t="s">
        <v>226</v>
      </c>
      <c r="D1422" s="881" t="s">
        <v>40645</v>
      </c>
    </row>
    <row r="1423" spans="1:4" ht="13.5" x14ac:dyDescent="0.25">
      <c r="A1423" s="878" t="s">
        <v>6032</v>
      </c>
      <c r="B1423" s="878" t="s">
        <v>6033</v>
      </c>
      <c r="C1423" s="879" t="s">
        <v>226</v>
      </c>
      <c r="D1423" s="881" t="s">
        <v>40646</v>
      </c>
    </row>
    <row r="1424" spans="1:4" ht="13.5" x14ac:dyDescent="0.25">
      <c r="A1424" s="878" t="s">
        <v>6034</v>
      </c>
      <c r="B1424" s="878" t="s">
        <v>6035</v>
      </c>
      <c r="C1424" s="879" t="s">
        <v>226</v>
      </c>
      <c r="D1424" s="881" t="s">
        <v>40647</v>
      </c>
    </row>
    <row r="1425" spans="1:4" ht="13.5" x14ac:dyDescent="0.25">
      <c r="A1425" s="878" t="s">
        <v>6036</v>
      </c>
      <c r="B1425" s="878" t="s">
        <v>6037</v>
      </c>
      <c r="C1425" s="879" t="s">
        <v>226</v>
      </c>
      <c r="D1425" s="881" t="s">
        <v>40648</v>
      </c>
    </row>
    <row r="1426" spans="1:4" ht="13.5" x14ac:dyDescent="0.25">
      <c r="A1426" s="878" t="s">
        <v>6038</v>
      </c>
      <c r="B1426" s="878" t="s">
        <v>6039</v>
      </c>
      <c r="C1426" s="879" t="s">
        <v>226</v>
      </c>
      <c r="D1426" s="881" t="s">
        <v>40649</v>
      </c>
    </row>
    <row r="1427" spans="1:4" ht="13.5" x14ac:dyDescent="0.25">
      <c r="A1427" s="878" t="s">
        <v>6040</v>
      </c>
      <c r="B1427" s="878" t="s">
        <v>6041</v>
      </c>
      <c r="C1427" s="879" t="s">
        <v>226</v>
      </c>
      <c r="D1427" s="881" t="s">
        <v>40650</v>
      </c>
    </row>
    <row r="1428" spans="1:4" ht="13.5" x14ac:dyDescent="0.25">
      <c r="A1428" s="878" t="s">
        <v>6042</v>
      </c>
      <c r="B1428" s="878" t="s">
        <v>6043</v>
      </c>
      <c r="C1428" s="879" t="s">
        <v>226</v>
      </c>
      <c r="D1428" s="881" t="s">
        <v>40651</v>
      </c>
    </row>
    <row r="1429" spans="1:4" ht="13.5" x14ac:dyDescent="0.25">
      <c r="A1429" s="878" t="s">
        <v>6044</v>
      </c>
      <c r="B1429" s="878" t="s">
        <v>6045</v>
      </c>
      <c r="C1429" s="879" t="s">
        <v>226</v>
      </c>
      <c r="D1429" s="881" t="s">
        <v>40652</v>
      </c>
    </row>
    <row r="1430" spans="1:4" ht="13.5" x14ac:dyDescent="0.25">
      <c r="A1430" s="878" t="s">
        <v>6046</v>
      </c>
      <c r="B1430" s="878" t="s">
        <v>6047</v>
      </c>
      <c r="C1430" s="879" t="s">
        <v>226</v>
      </c>
      <c r="D1430" s="881" t="s">
        <v>40653</v>
      </c>
    </row>
    <row r="1431" spans="1:4" ht="13.5" x14ac:dyDescent="0.25">
      <c r="A1431" s="878" t="s">
        <v>6048</v>
      </c>
      <c r="B1431" s="878" t="s">
        <v>6049</v>
      </c>
      <c r="C1431" s="879" t="s">
        <v>226</v>
      </c>
      <c r="D1431" s="880" t="s">
        <v>40654</v>
      </c>
    </row>
    <row r="1432" spans="1:4" ht="13.5" x14ac:dyDescent="0.25">
      <c r="A1432" s="878" t="s">
        <v>6050</v>
      </c>
      <c r="B1432" s="878" t="s">
        <v>6051</v>
      </c>
      <c r="C1432" s="879" t="s">
        <v>226</v>
      </c>
      <c r="D1432" s="880" t="s">
        <v>40655</v>
      </c>
    </row>
    <row r="1433" spans="1:4" ht="13.5" x14ac:dyDescent="0.25">
      <c r="A1433" s="878" t="s">
        <v>6052</v>
      </c>
      <c r="B1433" s="878" t="s">
        <v>6053</v>
      </c>
      <c r="C1433" s="879" t="s">
        <v>226</v>
      </c>
      <c r="D1433" s="880" t="s">
        <v>40656</v>
      </c>
    </row>
    <row r="1434" spans="1:4" ht="13.5" x14ac:dyDescent="0.25">
      <c r="A1434" s="878" t="s">
        <v>6054</v>
      </c>
      <c r="B1434" s="878" t="s">
        <v>6055</v>
      </c>
      <c r="C1434" s="879" t="s">
        <v>226</v>
      </c>
      <c r="D1434" s="880" t="s">
        <v>40657</v>
      </c>
    </row>
    <row r="1435" spans="1:4" ht="13.5" x14ac:dyDescent="0.25">
      <c r="A1435" s="878" t="s">
        <v>6056</v>
      </c>
      <c r="B1435" s="878" t="s">
        <v>6057</v>
      </c>
      <c r="C1435" s="879" t="s">
        <v>226</v>
      </c>
      <c r="D1435" s="880" t="s">
        <v>40658</v>
      </c>
    </row>
    <row r="1436" spans="1:4" ht="13.5" x14ac:dyDescent="0.25">
      <c r="A1436" s="878" t="s">
        <v>6058</v>
      </c>
      <c r="B1436" s="878" t="s">
        <v>6059</v>
      </c>
      <c r="C1436" s="879" t="s">
        <v>226</v>
      </c>
      <c r="D1436" s="880" t="s">
        <v>40659</v>
      </c>
    </row>
    <row r="1437" spans="1:4" ht="13.5" x14ac:dyDescent="0.25">
      <c r="A1437" s="878" t="s">
        <v>6060</v>
      </c>
      <c r="B1437" s="878" t="s">
        <v>6061</v>
      </c>
      <c r="C1437" s="879" t="s">
        <v>226</v>
      </c>
      <c r="D1437" s="880" t="s">
        <v>40660</v>
      </c>
    </row>
    <row r="1438" spans="1:4" ht="13.5" x14ac:dyDescent="0.25">
      <c r="A1438" s="878" t="s">
        <v>6062</v>
      </c>
      <c r="B1438" s="878" t="s">
        <v>6063</v>
      </c>
      <c r="C1438" s="879" t="s">
        <v>226</v>
      </c>
      <c r="D1438" s="880" t="s">
        <v>40661</v>
      </c>
    </row>
    <row r="1439" spans="1:4" ht="13.5" x14ac:dyDescent="0.25">
      <c r="A1439" s="878" t="s">
        <v>6064</v>
      </c>
      <c r="B1439" s="878" t="s">
        <v>6065</v>
      </c>
      <c r="C1439" s="879" t="s">
        <v>226</v>
      </c>
      <c r="D1439" s="880" t="s">
        <v>40662</v>
      </c>
    </row>
    <row r="1440" spans="1:4" ht="13.5" x14ac:dyDescent="0.25">
      <c r="A1440" s="878" t="s">
        <v>6066</v>
      </c>
      <c r="B1440" s="878" t="s">
        <v>6067</v>
      </c>
      <c r="C1440" s="879" t="s">
        <v>226</v>
      </c>
      <c r="D1440" s="880" t="s">
        <v>40663</v>
      </c>
    </row>
    <row r="1441" spans="1:4" ht="13.5" x14ac:dyDescent="0.25">
      <c r="A1441" s="878" t="s">
        <v>6068</v>
      </c>
      <c r="B1441" s="878" t="s">
        <v>6069</v>
      </c>
      <c r="C1441" s="879" t="s">
        <v>226</v>
      </c>
      <c r="D1441" s="880" t="s">
        <v>40664</v>
      </c>
    </row>
    <row r="1442" spans="1:4" ht="13.5" x14ac:dyDescent="0.25">
      <c r="A1442" s="878" t="s">
        <v>6070</v>
      </c>
      <c r="B1442" s="878" t="s">
        <v>6071</v>
      </c>
      <c r="C1442" s="879" t="s">
        <v>226</v>
      </c>
      <c r="D1442" s="880" t="s">
        <v>40665</v>
      </c>
    </row>
    <row r="1443" spans="1:4" ht="13.5" x14ac:dyDescent="0.25">
      <c r="A1443" s="878" t="s">
        <v>6072</v>
      </c>
      <c r="B1443" s="878" t="s">
        <v>6073</v>
      </c>
      <c r="C1443" s="879" t="s">
        <v>226</v>
      </c>
      <c r="D1443" s="880" t="s">
        <v>40666</v>
      </c>
    </row>
    <row r="1444" spans="1:4" ht="13.5" x14ac:dyDescent="0.25">
      <c r="A1444" s="878" t="s">
        <v>6074</v>
      </c>
      <c r="B1444" s="878" t="s">
        <v>6075</v>
      </c>
      <c r="C1444" s="879" t="s">
        <v>226</v>
      </c>
      <c r="D1444" s="880" t="s">
        <v>40667</v>
      </c>
    </row>
    <row r="1445" spans="1:4" ht="13.5" x14ac:dyDescent="0.25">
      <c r="A1445" s="878" t="s">
        <v>6076</v>
      </c>
      <c r="B1445" s="878" t="s">
        <v>6077</v>
      </c>
      <c r="C1445" s="879" t="s">
        <v>226</v>
      </c>
      <c r="D1445" s="880" t="s">
        <v>40668</v>
      </c>
    </row>
    <row r="1446" spans="1:4" ht="13.5" x14ac:dyDescent="0.25">
      <c r="A1446" s="878" t="s">
        <v>6078</v>
      </c>
      <c r="B1446" s="878" t="s">
        <v>6079</v>
      </c>
      <c r="C1446" s="879" t="s">
        <v>6008</v>
      </c>
      <c r="D1446" s="880" t="s">
        <v>40669</v>
      </c>
    </row>
    <row r="1447" spans="1:4" ht="13.5" x14ac:dyDescent="0.25">
      <c r="A1447" s="878" t="s">
        <v>6081</v>
      </c>
      <c r="B1447" s="878" t="s">
        <v>6082</v>
      </c>
      <c r="C1447" s="879" t="s">
        <v>6008</v>
      </c>
      <c r="D1447" s="880" t="s">
        <v>3836</v>
      </c>
    </row>
    <row r="1448" spans="1:4" ht="13.5" x14ac:dyDescent="0.25">
      <c r="A1448" s="878" t="s">
        <v>6083</v>
      </c>
      <c r="B1448" s="878" t="s">
        <v>6084</v>
      </c>
      <c r="C1448" s="879" t="s">
        <v>227</v>
      </c>
      <c r="D1448" s="880" t="s">
        <v>30467</v>
      </c>
    </row>
    <row r="1449" spans="1:4" ht="13.5" x14ac:dyDescent="0.25">
      <c r="A1449" s="878" t="s">
        <v>6085</v>
      </c>
      <c r="B1449" s="878" t="s">
        <v>6086</v>
      </c>
      <c r="C1449" s="879" t="s">
        <v>6008</v>
      </c>
      <c r="D1449" s="880" t="s">
        <v>30716</v>
      </c>
    </row>
    <row r="1450" spans="1:4" ht="13.5" x14ac:dyDescent="0.25">
      <c r="A1450" s="878" t="s">
        <v>6087</v>
      </c>
      <c r="B1450" s="878" t="s">
        <v>6088</v>
      </c>
      <c r="C1450" s="879" t="s">
        <v>227</v>
      </c>
      <c r="D1450" s="880" t="s">
        <v>30479</v>
      </c>
    </row>
    <row r="1451" spans="1:4" ht="13.5" x14ac:dyDescent="0.25">
      <c r="A1451" s="878" t="s">
        <v>29984</v>
      </c>
      <c r="B1451" s="878" t="s">
        <v>29985</v>
      </c>
      <c r="C1451" s="879" t="s">
        <v>4341</v>
      </c>
      <c r="D1451" s="880" t="s">
        <v>40670</v>
      </c>
    </row>
    <row r="1452" spans="1:4" ht="13.5" x14ac:dyDescent="0.25">
      <c r="A1452" s="878" t="s">
        <v>29986</v>
      </c>
      <c r="B1452" s="878" t="s">
        <v>29987</v>
      </c>
      <c r="C1452" s="879" t="s">
        <v>226</v>
      </c>
      <c r="D1452" s="880" t="s">
        <v>30848</v>
      </c>
    </row>
    <row r="1453" spans="1:4" ht="13.5" x14ac:dyDescent="0.25">
      <c r="A1453" s="878" t="s">
        <v>29988</v>
      </c>
      <c r="B1453" s="878" t="s">
        <v>29989</v>
      </c>
      <c r="C1453" s="879" t="s">
        <v>226</v>
      </c>
      <c r="D1453" s="880" t="s">
        <v>30481</v>
      </c>
    </row>
    <row r="1454" spans="1:4" ht="13.5" x14ac:dyDescent="0.25">
      <c r="A1454" s="878" t="s">
        <v>29990</v>
      </c>
      <c r="B1454" s="878" t="s">
        <v>29991</v>
      </c>
      <c r="C1454" s="879" t="s">
        <v>159</v>
      </c>
      <c r="D1454" s="880" t="s">
        <v>30482</v>
      </c>
    </row>
    <row r="1455" spans="1:4" ht="13.5" x14ac:dyDescent="0.25">
      <c r="A1455" s="878" t="s">
        <v>29992</v>
      </c>
      <c r="B1455" s="878" t="s">
        <v>29993</v>
      </c>
      <c r="C1455" s="879" t="s">
        <v>226</v>
      </c>
      <c r="D1455" s="880" t="s">
        <v>30483</v>
      </c>
    </row>
    <row r="1456" spans="1:4" ht="13.5" x14ac:dyDescent="0.25">
      <c r="A1456" s="878" t="s">
        <v>6089</v>
      </c>
      <c r="B1456" s="878" t="s">
        <v>6090</v>
      </c>
      <c r="C1456" s="879" t="s">
        <v>158</v>
      </c>
      <c r="D1456" s="880" t="s">
        <v>17504</v>
      </c>
    </row>
    <row r="1457" spans="1:4" ht="13.5" x14ac:dyDescent="0.25">
      <c r="A1457" s="878" t="s">
        <v>6091</v>
      </c>
      <c r="B1457" s="878" t="s">
        <v>6092</v>
      </c>
      <c r="C1457" s="879" t="s">
        <v>158</v>
      </c>
      <c r="D1457" s="880" t="s">
        <v>40671</v>
      </c>
    </row>
    <row r="1458" spans="1:4" ht="13.5" x14ac:dyDescent="0.25">
      <c r="A1458" s="878" t="s">
        <v>6093</v>
      </c>
      <c r="B1458" s="878" t="s">
        <v>6094</v>
      </c>
      <c r="C1458" s="879" t="s">
        <v>158</v>
      </c>
      <c r="D1458" s="880" t="s">
        <v>30300</v>
      </c>
    </row>
    <row r="1459" spans="1:4" ht="13.5" x14ac:dyDescent="0.25">
      <c r="A1459" s="878" t="s">
        <v>6095</v>
      </c>
      <c r="B1459" s="878" t="s">
        <v>6096</v>
      </c>
      <c r="C1459" s="879" t="s">
        <v>158</v>
      </c>
      <c r="D1459" s="880" t="s">
        <v>40672</v>
      </c>
    </row>
    <row r="1460" spans="1:4" ht="13.5" x14ac:dyDescent="0.25">
      <c r="A1460" s="878" t="s">
        <v>6097</v>
      </c>
      <c r="B1460" s="878" t="s">
        <v>6098</v>
      </c>
      <c r="C1460" s="879" t="s">
        <v>158</v>
      </c>
      <c r="D1460" s="880" t="s">
        <v>30639</v>
      </c>
    </row>
    <row r="1461" spans="1:4" ht="13.5" x14ac:dyDescent="0.25">
      <c r="A1461" s="878" t="s">
        <v>6099</v>
      </c>
      <c r="B1461" s="878" t="s">
        <v>6100</v>
      </c>
      <c r="C1461" s="879" t="s">
        <v>158</v>
      </c>
      <c r="D1461" s="880" t="s">
        <v>40673</v>
      </c>
    </row>
    <row r="1462" spans="1:4" ht="13.5" x14ac:dyDescent="0.25">
      <c r="A1462" s="878" t="s">
        <v>6102</v>
      </c>
      <c r="B1462" s="878" t="s">
        <v>6103</v>
      </c>
      <c r="C1462" s="879" t="s">
        <v>158</v>
      </c>
      <c r="D1462" s="880" t="s">
        <v>40674</v>
      </c>
    </row>
    <row r="1463" spans="1:4" ht="13.5" x14ac:dyDescent="0.25">
      <c r="A1463" s="878" t="s">
        <v>6104</v>
      </c>
      <c r="B1463" s="878" t="s">
        <v>6105</v>
      </c>
      <c r="C1463" s="879" t="s">
        <v>158</v>
      </c>
      <c r="D1463" s="880" t="s">
        <v>40675</v>
      </c>
    </row>
    <row r="1464" spans="1:4" ht="13.5" x14ac:dyDescent="0.25">
      <c r="A1464" s="878" t="s">
        <v>6106</v>
      </c>
      <c r="B1464" s="878" t="s">
        <v>6107</v>
      </c>
      <c r="C1464" s="879" t="s">
        <v>158</v>
      </c>
      <c r="D1464" s="880" t="s">
        <v>40676</v>
      </c>
    </row>
    <row r="1465" spans="1:4" ht="13.5" x14ac:dyDescent="0.25">
      <c r="A1465" s="878" t="s">
        <v>6108</v>
      </c>
      <c r="B1465" s="878" t="s">
        <v>6109</v>
      </c>
      <c r="C1465" s="879" t="s">
        <v>158</v>
      </c>
      <c r="D1465" s="880" t="s">
        <v>40677</v>
      </c>
    </row>
    <row r="1466" spans="1:4" ht="13.5" x14ac:dyDescent="0.25">
      <c r="A1466" s="878" t="s">
        <v>6110</v>
      </c>
      <c r="B1466" s="878" t="s">
        <v>6111</v>
      </c>
      <c r="C1466" s="879" t="s">
        <v>158</v>
      </c>
      <c r="D1466" s="880" t="s">
        <v>40678</v>
      </c>
    </row>
    <row r="1467" spans="1:4" ht="13.5" x14ac:dyDescent="0.25">
      <c r="A1467" s="878" t="s">
        <v>6112</v>
      </c>
      <c r="B1467" s="878" t="s">
        <v>6113</v>
      </c>
      <c r="C1467" s="879" t="s">
        <v>158</v>
      </c>
      <c r="D1467" s="880" t="s">
        <v>40679</v>
      </c>
    </row>
    <row r="1468" spans="1:4" ht="13.5" x14ac:dyDescent="0.25">
      <c r="A1468" s="878" t="s">
        <v>6114</v>
      </c>
      <c r="B1468" s="878" t="s">
        <v>6115</v>
      </c>
      <c r="C1468" s="879" t="s">
        <v>158</v>
      </c>
      <c r="D1468" s="880" t="s">
        <v>40680</v>
      </c>
    </row>
    <row r="1469" spans="1:4" ht="13.5" x14ac:dyDescent="0.25">
      <c r="A1469" s="878" t="s">
        <v>6116</v>
      </c>
      <c r="B1469" s="878" t="s">
        <v>6117</v>
      </c>
      <c r="C1469" s="879" t="s">
        <v>158</v>
      </c>
      <c r="D1469" s="880" t="s">
        <v>40681</v>
      </c>
    </row>
    <row r="1470" spans="1:4" ht="13.5" x14ac:dyDescent="0.25">
      <c r="A1470" s="878" t="s">
        <v>6118</v>
      </c>
      <c r="B1470" s="878" t="s">
        <v>6119</v>
      </c>
      <c r="C1470" s="879" t="s">
        <v>158</v>
      </c>
      <c r="D1470" s="880" t="s">
        <v>40682</v>
      </c>
    </row>
    <row r="1471" spans="1:4" ht="13.5" x14ac:dyDescent="0.25">
      <c r="A1471" s="878" t="s">
        <v>6120</v>
      </c>
      <c r="B1471" s="878" t="s">
        <v>6121</v>
      </c>
      <c r="C1471" s="879" t="s">
        <v>158</v>
      </c>
      <c r="D1471" s="880" t="s">
        <v>31314</v>
      </c>
    </row>
    <row r="1472" spans="1:4" ht="13.5" x14ac:dyDescent="0.25">
      <c r="A1472" s="878" t="s">
        <v>6122</v>
      </c>
      <c r="B1472" s="878" t="s">
        <v>6123</v>
      </c>
      <c r="C1472" s="879" t="s">
        <v>158</v>
      </c>
      <c r="D1472" s="880" t="s">
        <v>40683</v>
      </c>
    </row>
    <row r="1473" spans="1:4" ht="13.5" x14ac:dyDescent="0.25">
      <c r="A1473" s="878" t="s">
        <v>6124</v>
      </c>
      <c r="B1473" s="878" t="s">
        <v>6125</v>
      </c>
      <c r="C1473" s="879" t="s">
        <v>158</v>
      </c>
      <c r="D1473" s="880" t="s">
        <v>40684</v>
      </c>
    </row>
    <row r="1474" spans="1:4" ht="13.5" x14ac:dyDescent="0.25">
      <c r="A1474" s="878" t="s">
        <v>6126</v>
      </c>
      <c r="B1474" s="878" t="s">
        <v>6127</v>
      </c>
      <c r="C1474" s="879" t="s">
        <v>158</v>
      </c>
      <c r="D1474" s="880" t="s">
        <v>40685</v>
      </c>
    </row>
    <row r="1475" spans="1:4" ht="13.5" x14ac:dyDescent="0.25">
      <c r="A1475" s="878" t="s">
        <v>6128</v>
      </c>
      <c r="B1475" s="878" t="s">
        <v>6129</v>
      </c>
      <c r="C1475" s="879" t="s">
        <v>158</v>
      </c>
      <c r="D1475" s="880" t="s">
        <v>40686</v>
      </c>
    </row>
    <row r="1476" spans="1:4" ht="13.5" x14ac:dyDescent="0.25">
      <c r="A1476" s="878" t="s">
        <v>6130</v>
      </c>
      <c r="B1476" s="878" t="s">
        <v>6131</v>
      </c>
      <c r="C1476" s="879" t="s">
        <v>158</v>
      </c>
      <c r="D1476" s="880" t="s">
        <v>40687</v>
      </c>
    </row>
    <row r="1477" spans="1:4" ht="13.5" x14ac:dyDescent="0.25">
      <c r="A1477" s="878" t="s">
        <v>6132</v>
      </c>
      <c r="B1477" s="878" t="s">
        <v>6133</v>
      </c>
      <c r="C1477" s="879" t="s">
        <v>158</v>
      </c>
      <c r="D1477" s="880" t="s">
        <v>40688</v>
      </c>
    </row>
    <row r="1478" spans="1:4" ht="13.5" x14ac:dyDescent="0.25">
      <c r="A1478" s="878" t="s">
        <v>6134</v>
      </c>
      <c r="B1478" s="878" t="s">
        <v>6135</v>
      </c>
      <c r="C1478" s="879" t="s">
        <v>158</v>
      </c>
      <c r="D1478" s="880" t="s">
        <v>30245</v>
      </c>
    </row>
    <row r="1479" spans="1:4" ht="13.5" x14ac:dyDescent="0.25">
      <c r="A1479" s="878" t="s">
        <v>6137</v>
      </c>
      <c r="B1479" s="878" t="s">
        <v>6138</v>
      </c>
      <c r="C1479" s="879" t="s">
        <v>158</v>
      </c>
      <c r="D1479" s="880" t="s">
        <v>40689</v>
      </c>
    </row>
    <row r="1480" spans="1:4" ht="13.5" x14ac:dyDescent="0.25">
      <c r="A1480" s="878" t="s">
        <v>6139</v>
      </c>
      <c r="B1480" s="878" t="s">
        <v>6140</v>
      </c>
      <c r="C1480" s="879" t="s">
        <v>158</v>
      </c>
      <c r="D1480" s="880" t="s">
        <v>40690</v>
      </c>
    </row>
    <row r="1481" spans="1:4" ht="13.5" x14ac:dyDescent="0.25">
      <c r="A1481" s="878" t="s">
        <v>6141</v>
      </c>
      <c r="B1481" s="878" t="s">
        <v>6142</v>
      </c>
      <c r="C1481" s="879" t="s">
        <v>158</v>
      </c>
      <c r="D1481" s="881" t="s">
        <v>40691</v>
      </c>
    </row>
    <row r="1482" spans="1:4" ht="13.5" x14ac:dyDescent="0.25">
      <c r="A1482" s="878" t="s">
        <v>6143</v>
      </c>
      <c r="B1482" s="878" t="s">
        <v>6144</v>
      </c>
      <c r="C1482" s="879" t="s">
        <v>158</v>
      </c>
      <c r="D1482" s="881" t="s">
        <v>31126</v>
      </c>
    </row>
    <row r="1483" spans="1:4" ht="13.5" x14ac:dyDescent="0.25">
      <c r="A1483" s="878" t="s">
        <v>6145</v>
      </c>
      <c r="B1483" s="878" t="s">
        <v>6146</v>
      </c>
      <c r="C1483" s="879" t="s">
        <v>158</v>
      </c>
      <c r="D1483" s="881" t="s">
        <v>40692</v>
      </c>
    </row>
    <row r="1484" spans="1:4" ht="13.5" x14ac:dyDescent="0.25">
      <c r="A1484" s="878" t="s">
        <v>6147</v>
      </c>
      <c r="B1484" s="878" t="s">
        <v>6148</v>
      </c>
      <c r="C1484" s="879" t="s">
        <v>158</v>
      </c>
      <c r="D1484" s="880" t="s">
        <v>40693</v>
      </c>
    </row>
    <row r="1485" spans="1:4" ht="13.5" x14ac:dyDescent="0.25">
      <c r="A1485" s="878" t="s">
        <v>6149</v>
      </c>
      <c r="B1485" s="878" t="s">
        <v>6150</v>
      </c>
      <c r="C1485" s="879" t="s">
        <v>158</v>
      </c>
      <c r="D1485" s="880" t="s">
        <v>40694</v>
      </c>
    </row>
    <row r="1486" spans="1:4" ht="13.5" x14ac:dyDescent="0.25">
      <c r="A1486" s="878" t="s">
        <v>6151</v>
      </c>
      <c r="B1486" s="878" t="s">
        <v>6152</v>
      </c>
      <c r="C1486" s="879" t="s">
        <v>158</v>
      </c>
      <c r="D1486" s="880" t="s">
        <v>11038</v>
      </c>
    </row>
    <row r="1487" spans="1:4" ht="13.5" x14ac:dyDescent="0.25">
      <c r="A1487" s="878" t="s">
        <v>6153</v>
      </c>
      <c r="B1487" s="878" t="s">
        <v>6154</v>
      </c>
      <c r="C1487" s="879" t="s">
        <v>158</v>
      </c>
      <c r="D1487" s="880" t="s">
        <v>40695</v>
      </c>
    </row>
    <row r="1488" spans="1:4" ht="13.5" x14ac:dyDescent="0.25">
      <c r="A1488" s="878" t="s">
        <v>6155</v>
      </c>
      <c r="B1488" s="878" t="s">
        <v>6156</v>
      </c>
      <c r="C1488" s="879" t="s">
        <v>158</v>
      </c>
      <c r="D1488" s="880" t="s">
        <v>30486</v>
      </c>
    </row>
    <row r="1489" spans="1:4" ht="13.5" x14ac:dyDescent="0.25">
      <c r="A1489" s="878" t="s">
        <v>6157</v>
      </c>
      <c r="B1489" s="878" t="s">
        <v>6158</v>
      </c>
      <c r="C1489" s="879" t="s">
        <v>226</v>
      </c>
      <c r="D1489" s="880" t="s">
        <v>15333</v>
      </c>
    </row>
    <row r="1490" spans="1:4" ht="13.5" x14ac:dyDescent="0.25">
      <c r="A1490" s="878" t="s">
        <v>6160</v>
      </c>
      <c r="B1490" s="878" t="s">
        <v>6161</v>
      </c>
      <c r="C1490" s="879" t="s">
        <v>226</v>
      </c>
      <c r="D1490" s="880" t="s">
        <v>40696</v>
      </c>
    </row>
    <row r="1491" spans="1:4" ht="13.5" x14ac:dyDescent="0.25">
      <c r="A1491" s="878" t="s">
        <v>6162</v>
      </c>
      <c r="B1491" s="878" t="s">
        <v>6163</v>
      </c>
      <c r="C1491" s="879" t="s">
        <v>226</v>
      </c>
      <c r="D1491" s="880" t="s">
        <v>40697</v>
      </c>
    </row>
    <row r="1492" spans="1:4" ht="13.5" x14ac:dyDescent="0.25">
      <c r="A1492" s="878" t="s">
        <v>6164</v>
      </c>
      <c r="B1492" s="878" t="s">
        <v>6165</v>
      </c>
      <c r="C1492" s="879" t="s">
        <v>227</v>
      </c>
      <c r="D1492" s="880" t="s">
        <v>30487</v>
      </c>
    </row>
    <row r="1493" spans="1:4" ht="13.5" x14ac:dyDescent="0.25">
      <c r="A1493" s="878" t="s">
        <v>6166</v>
      </c>
      <c r="B1493" s="878" t="s">
        <v>6167</v>
      </c>
      <c r="C1493" s="879" t="s">
        <v>227</v>
      </c>
      <c r="D1493" s="880" t="s">
        <v>12983</v>
      </c>
    </row>
    <row r="1494" spans="1:4" ht="13.5" x14ac:dyDescent="0.25">
      <c r="A1494" s="878" t="s">
        <v>6168</v>
      </c>
      <c r="B1494" s="878" t="s">
        <v>6169</v>
      </c>
      <c r="C1494" s="879" t="s">
        <v>227</v>
      </c>
      <c r="D1494" s="880" t="s">
        <v>6159</v>
      </c>
    </row>
    <row r="1495" spans="1:4" ht="13.5" x14ac:dyDescent="0.25">
      <c r="A1495" s="878" t="s">
        <v>6170</v>
      </c>
      <c r="B1495" s="878" t="s">
        <v>6171</v>
      </c>
      <c r="C1495" s="879" t="s">
        <v>159</v>
      </c>
      <c r="D1495" s="880" t="s">
        <v>31069</v>
      </c>
    </row>
    <row r="1496" spans="1:4" ht="13.5" x14ac:dyDescent="0.25">
      <c r="A1496" s="878" t="s">
        <v>6172</v>
      </c>
      <c r="B1496" s="878" t="s">
        <v>6173</v>
      </c>
      <c r="C1496" s="879" t="s">
        <v>159</v>
      </c>
      <c r="D1496" s="880" t="s">
        <v>40698</v>
      </c>
    </row>
    <row r="1497" spans="1:4" ht="13.5" x14ac:dyDescent="0.25">
      <c r="A1497" s="878" t="s">
        <v>6174</v>
      </c>
      <c r="B1497" s="878" t="s">
        <v>6175</v>
      </c>
      <c r="C1497" s="879" t="s">
        <v>159</v>
      </c>
      <c r="D1497" s="880" t="s">
        <v>30488</v>
      </c>
    </row>
    <row r="1498" spans="1:4" ht="13.5" x14ac:dyDescent="0.25">
      <c r="A1498" s="878" t="s">
        <v>6176</v>
      </c>
      <c r="B1498" s="878" t="s">
        <v>6177</v>
      </c>
      <c r="C1498" s="879" t="s">
        <v>159</v>
      </c>
      <c r="D1498" s="880" t="s">
        <v>30489</v>
      </c>
    </row>
    <row r="1499" spans="1:4" ht="13.5" x14ac:dyDescent="0.25">
      <c r="A1499" s="878" t="s">
        <v>6178</v>
      </c>
      <c r="B1499" s="878" t="s">
        <v>6179</v>
      </c>
      <c r="C1499" s="879" t="s">
        <v>158</v>
      </c>
      <c r="D1499" s="880" t="s">
        <v>16021</v>
      </c>
    </row>
    <row r="1500" spans="1:4" ht="13.5" x14ac:dyDescent="0.25">
      <c r="A1500" s="878" t="s">
        <v>6180</v>
      </c>
      <c r="B1500" s="878" t="s">
        <v>6181</v>
      </c>
      <c r="C1500" s="879" t="s">
        <v>158</v>
      </c>
      <c r="D1500" s="880" t="s">
        <v>11057</v>
      </c>
    </row>
    <row r="1501" spans="1:4" ht="13.5" x14ac:dyDescent="0.25">
      <c r="A1501" s="878" t="s">
        <v>6182</v>
      </c>
      <c r="B1501" s="878" t="s">
        <v>6183</v>
      </c>
      <c r="C1501" s="879" t="s">
        <v>226</v>
      </c>
      <c r="D1501" s="880" t="s">
        <v>12255</v>
      </c>
    </row>
    <row r="1502" spans="1:4" ht="13.5" x14ac:dyDescent="0.25">
      <c r="A1502" s="878" t="s">
        <v>6184</v>
      </c>
      <c r="B1502" s="878" t="s">
        <v>6185</v>
      </c>
      <c r="C1502" s="879" t="s">
        <v>226</v>
      </c>
      <c r="D1502" s="880" t="s">
        <v>40699</v>
      </c>
    </row>
    <row r="1503" spans="1:4" ht="13.5" x14ac:dyDescent="0.25">
      <c r="A1503" s="878" t="s">
        <v>6186</v>
      </c>
      <c r="B1503" s="878" t="s">
        <v>6187</v>
      </c>
      <c r="C1503" s="879" t="s">
        <v>226</v>
      </c>
      <c r="D1503" s="880" t="s">
        <v>30360</v>
      </c>
    </row>
    <row r="1504" spans="1:4" ht="13.5" x14ac:dyDescent="0.25">
      <c r="A1504" s="878" t="s">
        <v>6188</v>
      </c>
      <c r="B1504" s="878" t="s">
        <v>6189</v>
      </c>
      <c r="C1504" s="879" t="s">
        <v>227</v>
      </c>
      <c r="D1504" s="880" t="s">
        <v>13958</v>
      </c>
    </row>
    <row r="1505" spans="1:4" ht="13.5" x14ac:dyDescent="0.25">
      <c r="A1505" s="878" t="s">
        <v>6190</v>
      </c>
      <c r="B1505" s="878" t="s">
        <v>6191</v>
      </c>
      <c r="C1505" s="879" t="s">
        <v>159</v>
      </c>
      <c r="D1505" s="880" t="s">
        <v>40700</v>
      </c>
    </row>
    <row r="1506" spans="1:4" ht="13.5" x14ac:dyDescent="0.25">
      <c r="A1506" s="878" t="s">
        <v>6192</v>
      </c>
      <c r="B1506" s="878" t="s">
        <v>6193</v>
      </c>
      <c r="C1506" s="879" t="s">
        <v>159</v>
      </c>
      <c r="D1506" s="880" t="s">
        <v>40701</v>
      </c>
    </row>
    <row r="1507" spans="1:4" ht="13.5" x14ac:dyDescent="0.25">
      <c r="A1507" s="878" t="s">
        <v>6194</v>
      </c>
      <c r="B1507" s="878" t="s">
        <v>6195</v>
      </c>
      <c r="C1507" s="879" t="s">
        <v>159</v>
      </c>
      <c r="D1507" s="880" t="s">
        <v>40702</v>
      </c>
    </row>
    <row r="1508" spans="1:4" ht="13.5" x14ac:dyDescent="0.25">
      <c r="A1508" s="878" t="s">
        <v>6196</v>
      </c>
      <c r="B1508" s="878" t="s">
        <v>6197</v>
      </c>
      <c r="C1508" s="879" t="s">
        <v>159</v>
      </c>
      <c r="D1508" s="880" t="s">
        <v>40703</v>
      </c>
    </row>
    <row r="1509" spans="1:4" ht="13.5" x14ac:dyDescent="0.25">
      <c r="A1509" s="878" t="s">
        <v>6198</v>
      </c>
      <c r="B1509" s="878" t="s">
        <v>6199</v>
      </c>
      <c r="C1509" s="879" t="s">
        <v>159</v>
      </c>
      <c r="D1509" s="880" t="s">
        <v>40704</v>
      </c>
    </row>
    <row r="1510" spans="1:4" ht="13.5" x14ac:dyDescent="0.25">
      <c r="A1510" s="878" t="s">
        <v>6200</v>
      </c>
      <c r="B1510" s="878" t="s">
        <v>6201</v>
      </c>
      <c r="C1510" s="879" t="s">
        <v>159</v>
      </c>
      <c r="D1510" s="880" t="s">
        <v>40705</v>
      </c>
    </row>
    <row r="1511" spans="1:4" ht="13.5" x14ac:dyDescent="0.25">
      <c r="A1511" s="878" t="s">
        <v>6202</v>
      </c>
      <c r="B1511" s="878" t="s">
        <v>6203</v>
      </c>
      <c r="C1511" s="879" t="s">
        <v>159</v>
      </c>
      <c r="D1511" s="880" t="s">
        <v>40706</v>
      </c>
    </row>
    <row r="1512" spans="1:4" ht="13.5" x14ac:dyDescent="0.25">
      <c r="A1512" s="878" t="s">
        <v>6204</v>
      </c>
      <c r="B1512" s="878" t="s">
        <v>6205</v>
      </c>
      <c r="C1512" s="879" t="s">
        <v>159</v>
      </c>
      <c r="D1512" s="880" t="s">
        <v>40707</v>
      </c>
    </row>
    <row r="1513" spans="1:4" ht="13.5" x14ac:dyDescent="0.25">
      <c r="A1513" s="878" t="s">
        <v>6206</v>
      </c>
      <c r="B1513" s="878" t="s">
        <v>6207</v>
      </c>
      <c r="C1513" s="879" t="s">
        <v>159</v>
      </c>
      <c r="D1513" s="880" t="s">
        <v>40708</v>
      </c>
    </row>
    <row r="1514" spans="1:4" ht="13.5" x14ac:dyDescent="0.25">
      <c r="A1514" s="878" t="s">
        <v>6208</v>
      </c>
      <c r="B1514" s="878" t="s">
        <v>6209</v>
      </c>
      <c r="C1514" s="879" t="s">
        <v>159</v>
      </c>
      <c r="D1514" s="880" t="s">
        <v>40709</v>
      </c>
    </row>
    <row r="1515" spans="1:4" ht="13.5" x14ac:dyDescent="0.25">
      <c r="A1515" s="878" t="s">
        <v>6210</v>
      </c>
      <c r="B1515" s="878" t="s">
        <v>6211</v>
      </c>
      <c r="C1515" s="879" t="s">
        <v>159</v>
      </c>
      <c r="D1515" s="880" t="s">
        <v>40710</v>
      </c>
    </row>
    <row r="1516" spans="1:4" ht="13.5" x14ac:dyDescent="0.25">
      <c r="A1516" s="878" t="s">
        <v>6212</v>
      </c>
      <c r="B1516" s="878" t="s">
        <v>6213</v>
      </c>
      <c r="C1516" s="879" t="s">
        <v>159</v>
      </c>
      <c r="D1516" s="880" t="s">
        <v>40711</v>
      </c>
    </row>
    <row r="1517" spans="1:4" ht="13.5" x14ac:dyDescent="0.25">
      <c r="A1517" s="878" t="s">
        <v>6214</v>
      </c>
      <c r="B1517" s="878" t="s">
        <v>6215</v>
      </c>
      <c r="C1517" s="879" t="s">
        <v>227</v>
      </c>
      <c r="D1517" s="880" t="s">
        <v>40712</v>
      </c>
    </row>
    <row r="1518" spans="1:4" ht="13.5" x14ac:dyDescent="0.25">
      <c r="A1518" s="878" t="s">
        <v>6216</v>
      </c>
      <c r="B1518" s="878" t="s">
        <v>6217</v>
      </c>
      <c r="C1518" s="879" t="s">
        <v>227</v>
      </c>
      <c r="D1518" s="880" t="s">
        <v>40713</v>
      </c>
    </row>
    <row r="1519" spans="1:4" ht="13.5" x14ac:dyDescent="0.25">
      <c r="A1519" s="878" t="s">
        <v>6218</v>
      </c>
      <c r="B1519" s="878" t="s">
        <v>6219</v>
      </c>
      <c r="C1519" s="879" t="s">
        <v>227</v>
      </c>
      <c r="D1519" s="880" t="s">
        <v>40714</v>
      </c>
    </row>
    <row r="1520" spans="1:4" ht="13.5" x14ac:dyDescent="0.25">
      <c r="A1520" s="878" t="s">
        <v>6220</v>
      </c>
      <c r="B1520" s="878" t="s">
        <v>6221</v>
      </c>
      <c r="C1520" s="879" t="s">
        <v>159</v>
      </c>
      <c r="D1520" s="880" t="s">
        <v>40715</v>
      </c>
    </row>
    <row r="1521" spans="1:4" ht="13.5" x14ac:dyDescent="0.25">
      <c r="A1521" s="878" t="s">
        <v>6222</v>
      </c>
      <c r="B1521" s="878" t="s">
        <v>6223</v>
      </c>
      <c r="C1521" s="879" t="s">
        <v>227</v>
      </c>
      <c r="D1521" s="880" t="s">
        <v>30961</v>
      </c>
    </row>
    <row r="1522" spans="1:4" ht="13.5" x14ac:dyDescent="0.25">
      <c r="A1522" s="878" t="s">
        <v>6224</v>
      </c>
      <c r="B1522" s="878" t="s">
        <v>6225</v>
      </c>
      <c r="C1522" s="879" t="s">
        <v>227</v>
      </c>
      <c r="D1522" s="880" t="s">
        <v>40716</v>
      </c>
    </row>
    <row r="1523" spans="1:4" ht="13.5" x14ac:dyDescent="0.25">
      <c r="A1523" s="878" t="s">
        <v>6226</v>
      </c>
      <c r="B1523" s="878" t="s">
        <v>6227</v>
      </c>
      <c r="C1523" s="879" t="s">
        <v>227</v>
      </c>
      <c r="D1523" s="880" t="s">
        <v>40717</v>
      </c>
    </row>
    <row r="1524" spans="1:4" ht="13.5" x14ac:dyDescent="0.25">
      <c r="A1524" s="878" t="s">
        <v>6228</v>
      </c>
      <c r="B1524" s="878" t="s">
        <v>6229</v>
      </c>
      <c r="C1524" s="879" t="s">
        <v>227</v>
      </c>
      <c r="D1524" s="880" t="s">
        <v>40718</v>
      </c>
    </row>
    <row r="1525" spans="1:4" ht="13.5" x14ac:dyDescent="0.25">
      <c r="A1525" s="878" t="s">
        <v>6230</v>
      </c>
      <c r="B1525" s="878" t="s">
        <v>6231</v>
      </c>
      <c r="C1525" s="879" t="s">
        <v>227</v>
      </c>
      <c r="D1525" s="880" t="s">
        <v>40719</v>
      </c>
    </row>
    <row r="1526" spans="1:4" ht="13.5" x14ac:dyDescent="0.25">
      <c r="A1526" s="878" t="s">
        <v>6232</v>
      </c>
      <c r="B1526" s="878" t="s">
        <v>6233</v>
      </c>
      <c r="C1526" s="879" t="s">
        <v>227</v>
      </c>
      <c r="D1526" s="880" t="s">
        <v>40720</v>
      </c>
    </row>
    <row r="1527" spans="1:4" ht="13.5" x14ac:dyDescent="0.25">
      <c r="A1527" s="878" t="s">
        <v>6234</v>
      </c>
      <c r="B1527" s="878" t="s">
        <v>6235</v>
      </c>
      <c r="C1527" s="879" t="s">
        <v>227</v>
      </c>
      <c r="D1527" s="880" t="s">
        <v>12163</v>
      </c>
    </row>
    <row r="1528" spans="1:4" ht="13.5" x14ac:dyDescent="0.25">
      <c r="A1528" s="878" t="s">
        <v>6236</v>
      </c>
      <c r="B1528" s="878" t="s">
        <v>6237</v>
      </c>
      <c r="C1528" s="879" t="s">
        <v>227</v>
      </c>
      <c r="D1528" s="880" t="s">
        <v>40721</v>
      </c>
    </row>
    <row r="1529" spans="1:4" ht="13.5" x14ac:dyDescent="0.25">
      <c r="A1529" s="878" t="s">
        <v>6238</v>
      </c>
      <c r="B1529" s="878" t="s">
        <v>6239</v>
      </c>
      <c r="C1529" s="879" t="s">
        <v>227</v>
      </c>
      <c r="D1529" s="880" t="s">
        <v>40722</v>
      </c>
    </row>
    <row r="1530" spans="1:4" ht="13.5" x14ac:dyDescent="0.25">
      <c r="A1530" s="878" t="s">
        <v>6240</v>
      </c>
      <c r="B1530" s="878" t="s">
        <v>6241</v>
      </c>
      <c r="C1530" s="879" t="s">
        <v>227</v>
      </c>
      <c r="D1530" s="880" t="s">
        <v>40723</v>
      </c>
    </row>
    <row r="1531" spans="1:4" ht="13.5" x14ac:dyDescent="0.25">
      <c r="A1531" s="878" t="s">
        <v>6242</v>
      </c>
      <c r="B1531" s="878" t="s">
        <v>6243</v>
      </c>
      <c r="C1531" s="879" t="s">
        <v>227</v>
      </c>
      <c r="D1531" s="880" t="s">
        <v>40724</v>
      </c>
    </row>
    <row r="1532" spans="1:4" ht="13.5" x14ac:dyDescent="0.25">
      <c r="A1532" s="878" t="s">
        <v>6244</v>
      </c>
      <c r="B1532" s="878" t="s">
        <v>6245</v>
      </c>
      <c r="C1532" s="879" t="s">
        <v>227</v>
      </c>
      <c r="D1532" s="880" t="s">
        <v>40725</v>
      </c>
    </row>
    <row r="1533" spans="1:4" ht="13.5" x14ac:dyDescent="0.25">
      <c r="A1533" s="878" t="s">
        <v>6246</v>
      </c>
      <c r="B1533" s="878" t="s">
        <v>6247</v>
      </c>
      <c r="C1533" s="879" t="s">
        <v>227</v>
      </c>
      <c r="D1533" s="880" t="s">
        <v>40726</v>
      </c>
    </row>
    <row r="1534" spans="1:4" ht="13.5" x14ac:dyDescent="0.25">
      <c r="A1534" s="878" t="s">
        <v>6248</v>
      </c>
      <c r="B1534" s="878" t="s">
        <v>6249</v>
      </c>
      <c r="C1534" s="879" t="s">
        <v>227</v>
      </c>
      <c r="D1534" s="880" t="s">
        <v>40727</v>
      </c>
    </row>
    <row r="1535" spans="1:4" ht="13.5" x14ac:dyDescent="0.25">
      <c r="A1535" s="878" t="s">
        <v>6250</v>
      </c>
      <c r="B1535" s="878" t="s">
        <v>6251</v>
      </c>
      <c r="C1535" s="879" t="s">
        <v>227</v>
      </c>
      <c r="D1535" s="880" t="s">
        <v>40728</v>
      </c>
    </row>
    <row r="1536" spans="1:4" ht="13.5" x14ac:dyDescent="0.25">
      <c r="A1536" s="878" t="s">
        <v>6252</v>
      </c>
      <c r="B1536" s="878" t="s">
        <v>6253</v>
      </c>
      <c r="C1536" s="879" t="s">
        <v>227</v>
      </c>
      <c r="D1536" s="880" t="s">
        <v>40729</v>
      </c>
    </row>
    <row r="1537" spans="1:4" ht="13.5" x14ac:dyDescent="0.25">
      <c r="A1537" s="878" t="s">
        <v>6254</v>
      </c>
      <c r="B1537" s="878" t="s">
        <v>6255</v>
      </c>
      <c r="C1537" s="879" t="s">
        <v>227</v>
      </c>
      <c r="D1537" s="880" t="s">
        <v>40730</v>
      </c>
    </row>
    <row r="1538" spans="1:4" ht="13.5" x14ac:dyDescent="0.25">
      <c r="A1538" s="878" t="s">
        <v>6256</v>
      </c>
      <c r="B1538" s="878" t="s">
        <v>6257</v>
      </c>
      <c r="C1538" s="879" t="s">
        <v>227</v>
      </c>
      <c r="D1538" s="880" t="s">
        <v>40731</v>
      </c>
    </row>
    <row r="1539" spans="1:4" ht="13.5" x14ac:dyDescent="0.25">
      <c r="A1539" s="878" t="s">
        <v>6258</v>
      </c>
      <c r="B1539" s="878" t="s">
        <v>6259</v>
      </c>
      <c r="C1539" s="879" t="s">
        <v>227</v>
      </c>
      <c r="D1539" s="880" t="s">
        <v>40732</v>
      </c>
    </row>
    <row r="1540" spans="1:4" ht="13.5" x14ac:dyDescent="0.25">
      <c r="A1540" s="878" t="s">
        <v>6260</v>
      </c>
      <c r="B1540" s="878" t="s">
        <v>6261</v>
      </c>
      <c r="C1540" s="879" t="s">
        <v>227</v>
      </c>
      <c r="D1540" s="880" t="s">
        <v>40733</v>
      </c>
    </row>
    <row r="1541" spans="1:4" ht="13.5" x14ac:dyDescent="0.25">
      <c r="A1541" s="878" t="s">
        <v>6262</v>
      </c>
      <c r="B1541" s="878" t="s">
        <v>6263</v>
      </c>
      <c r="C1541" s="879" t="s">
        <v>227</v>
      </c>
      <c r="D1541" s="880" t="s">
        <v>40734</v>
      </c>
    </row>
    <row r="1542" spans="1:4" ht="13.5" x14ac:dyDescent="0.25">
      <c r="A1542" s="878" t="s">
        <v>6264</v>
      </c>
      <c r="B1542" s="878" t="s">
        <v>6265</v>
      </c>
      <c r="C1542" s="879" t="s">
        <v>227</v>
      </c>
      <c r="D1542" s="880" t="s">
        <v>40735</v>
      </c>
    </row>
    <row r="1543" spans="1:4" ht="13.5" x14ac:dyDescent="0.25">
      <c r="A1543" s="878" t="s">
        <v>6266</v>
      </c>
      <c r="B1543" s="878" t="s">
        <v>6267</v>
      </c>
      <c r="C1543" s="879" t="s">
        <v>227</v>
      </c>
      <c r="D1543" s="880" t="s">
        <v>40736</v>
      </c>
    </row>
    <row r="1544" spans="1:4" ht="13.5" x14ac:dyDescent="0.25">
      <c r="A1544" s="878" t="s">
        <v>6268</v>
      </c>
      <c r="B1544" s="878" t="s">
        <v>6269</v>
      </c>
      <c r="C1544" s="879" t="s">
        <v>227</v>
      </c>
      <c r="D1544" s="880" t="s">
        <v>40737</v>
      </c>
    </row>
    <row r="1545" spans="1:4" ht="13.5" x14ac:dyDescent="0.25">
      <c r="A1545" s="878" t="s">
        <v>6270</v>
      </c>
      <c r="B1545" s="878" t="s">
        <v>6271</v>
      </c>
      <c r="C1545" s="879" t="s">
        <v>227</v>
      </c>
      <c r="D1545" s="880" t="s">
        <v>40738</v>
      </c>
    </row>
    <row r="1546" spans="1:4" ht="13.5" x14ac:dyDescent="0.25">
      <c r="A1546" s="878" t="s">
        <v>6272</v>
      </c>
      <c r="B1546" s="878" t="s">
        <v>6273</v>
      </c>
      <c r="C1546" s="879" t="s">
        <v>227</v>
      </c>
      <c r="D1546" s="880" t="s">
        <v>40739</v>
      </c>
    </row>
    <row r="1547" spans="1:4" ht="13.5" x14ac:dyDescent="0.25">
      <c r="A1547" s="878" t="s">
        <v>6274</v>
      </c>
      <c r="B1547" s="878" t="s">
        <v>6275</v>
      </c>
      <c r="C1547" s="879" t="s">
        <v>227</v>
      </c>
      <c r="D1547" s="880" t="s">
        <v>40740</v>
      </c>
    </row>
    <row r="1548" spans="1:4" ht="13.5" x14ac:dyDescent="0.25">
      <c r="A1548" s="878" t="s">
        <v>6276</v>
      </c>
      <c r="B1548" s="878" t="s">
        <v>6277</v>
      </c>
      <c r="C1548" s="879" t="s">
        <v>227</v>
      </c>
      <c r="D1548" s="880" t="s">
        <v>40741</v>
      </c>
    </row>
    <row r="1549" spans="1:4" ht="13.5" x14ac:dyDescent="0.25">
      <c r="A1549" s="878" t="s">
        <v>6278</v>
      </c>
      <c r="B1549" s="878" t="s">
        <v>6279</v>
      </c>
      <c r="C1549" s="879" t="s">
        <v>227</v>
      </c>
      <c r="D1549" s="880" t="s">
        <v>40742</v>
      </c>
    </row>
    <row r="1550" spans="1:4" ht="13.5" x14ac:dyDescent="0.25">
      <c r="A1550" s="878" t="s">
        <v>6280</v>
      </c>
      <c r="B1550" s="878" t="s">
        <v>6281</v>
      </c>
      <c r="C1550" s="879" t="s">
        <v>227</v>
      </c>
      <c r="D1550" s="880" t="s">
        <v>30340</v>
      </c>
    </row>
    <row r="1551" spans="1:4" ht="13.5" x14ac:dyDescent="0.25">
      <c r="A1551" s="878" t="s">
        <v>6282</v>
      </c>
      <c r="B1551" s="878" t="s">
        <v>6283</v>
      </c>
      <c r="C1551" s="879" t="s">
        <v>227</v>
      </c>
      <c r="D1551" s="880" t="s">
        <v>40743</v>
      </c>
    </row>
    <row r="1552" spans="1:4" ht="13.5" x14ac:dyDescent="0.25">
      <c r="A1552" s="878" t="s">
        <v>6284</v>
      </c>
      <c r="B1552" s="878" t="s">
        <v>6285</v>
      </c>
      <c r="C1552" s="879" t="s">
        <v>227</v>
      </c>
      <c r="D1552" s="880" t="s">
        <v>14963</v>
      </c>
    </row>
    <row r="1553" spans="1:4" ht="13.5" x14ac:dyDescent="0.25">
      <c r="A1553" s="878" t="s">
        <v>6286</v>
      </c>
      <c r="B1553" s="878" t="s">
        <v>6287</v>
      </c>
      <c r="C1553" s="879" t="s">
        <v>158</v>
      </c>
      <c r="D1553" s="880" t="s">
        <v>40744</v>
      </c>
    </row>
    <row r="1554" spans="1:4" ht="13.5" x14ac:dyDescent="0.25">
      <c r="A1554" s="878" t="s">
        <v>6288</v>
      </c>
      <c r="B1554" s="878" t="s">
        <v>6289</v>
      </c>
      <c r="C1554" s="879" t="s">
        <v>158</v>
      </c>
      <c r="D1554" s="880" t="s">
        <v>31133</v>
      </c>
    </row>
    <row r="1555" spans="1:4" ht="13.5" x14ac:dyDescent="0.25">
      <c r="A1555" s="878" t="s">
        <v>6290</v>
      </c>
      <c r="B1555" s="878" t="s">
        <v>6291</v>
      </c>
      <c r="C1555" s="879" t="s">
        <v>158</v>
      </c>
      <c r="D1555" s="880" t="s">
        <v>40745</v>
      </c>
    </row>
    <row r="1556" spans="1:4" ht="13.5" x14ac:dyDescent="0.25">
      <c r="A1556" s="878" t="s">
        <v>6292</v>
      </c>
      <c r="B1556" s="878" t="s">
        <v>6293</v>
      </c>
      <c r="C1556" s="879" t="s">
        <v>158</v>
      </c>
      <c r="D1556" s="880" t="s">
        <v>40746</v>
      </c>
    </row>
    <row r="1557" spans="1:4" ht="13.5" x14ac:dyDescent="0.25">
      <c r="A1557" s="878" t="s">
        <v>6294</v>
      </c>
      <c r="B1557" s="878" t="s">
        <v>6295</v>
      </c>
      <c r="C1557" s="879" t="s">
        <v>158</v>
      </c>
      <c r="D1557" s="880" t="s">
        <v>30952</v>
      </c>
    </row>
    <row r="1558" spans="1:4" ht="13.5" x14ac:dyDescent="0.25">
      <c r="A1558" s="878" t="s">
        <v>6296</v>
      </c>
      <c r="B1558" s="878" t="s">
        <v>6297</v>
      </c>
      <c r="C1558" s="879" t="s">
        <v>158</v>
      </c>
      <c r="D1558" s="880" t="s">
        <v>40747</v>
      </c>
    </row>
    <row r="1559" spans="1:4" ht="13.5" x14ac:dyDescent="0.25">
      <c r="A1559" s="878" t="s">
        <v>6298</v>
      </c>
      <c r="B1559" s="878" t="s">
        <v>6299</v>
      </c>
      <c r="C1559" s="879" t="s">
        <v>158</v>
      </c>
      <c r="D1559" s="880" t="s">
        <v>40748</v>
      </c>
    </row>
    <row r="1560" spans="1:4" ht="13.5" x14ac:dyDescent="0.25">
      <c r="A1560" s="878" t="s">
        <v>6300</v>
      </c>
      <c r="B1560" s="878" t="s">
        <v>6301</v>
      </c>
      <c r="C1560" s="879" t="s">
        <v>158</v>
      </c>
      <c r="D1560" s="880" t="s">
        <v>40285</v>
      </c>
    </row>
    <row r="1561" spans="1:4" ht="13.5" x14ac:dyDescent="0.25">
      <c r="A1561" s="878" t="s">
        <v>6302</v>
      </c>
      <c r="B1561" s="878" t="s">
        <v>6303</v>
      </c>
      <c r="C1561" s="879" t="s">
        <v>158</v>
      </c>
      <c r="D1561" s="880" t="s">
        <v>40749</v>
      </c>
    </row>
    <row r="1562" spans="1:4" ht="13.5" x14ac:dyDescent="0.25">
      <c r="A1562" s="878" t="s">
        <v>6304</v>
      </c>
      <c r="B1562" s="878" t="s">
        <v>6305</v>
      </c>
      <c r="C1562" s="879" t="s">
        <v>158</v>
      </c>
      <c r="D1562" s="880" t="s">
        <v>40750</v>
      </c>
    </row>
    <row r="1563" spans="1:4" ht="13.5" x14ac:dyDescent="0.25">
      <c r="A1563" s="878" t="s">
        <v>6306</v>
      </c>
      <c r="B1563" s="878" t="s">
        <v>6307</v>
      </c>
      <c r="C1563" s="879" t="s">
        <v>158</v>
      </c>
      <c r="D1563" s="880" t="s">
        <v>40751</v>
      </c>
    </row>
    <row r="1564" spans="1:4" ht="13.5" x14ac:dyDescent="0.25">
      <c r="A1564" s="878" t="s">
        <v>6308</v>
      </c>
      <c r="B1564" s="878" t="s">
        <v>6309</v>
      </c>
      <c r="C1564" s="879" t="s">
        <v>158</v>
      </c>
      <c r="D1564" s="880" t="s">
        <v>40752</v>
      </c>
    </row>
    <row r="1565" spans="1:4" ht="13.5" x14ac:dyDescent="0.25">
      <c r="A1565" s="878" t="s">
        <v>6310</v>
      </c>
      <c r="B1565" s="878" t="s">
        <v>6311</v>
      </c>
      <c r="C1565" s="879" t="s">
        <v>158</v>
      </c>
      <c r="D1565" s="880" t="s">
        <v>40753</v>
      </c>
    </row>
    <row r="1566" spans="1:4" ht="13.5" x14ac:dyDescent="0.25">
      <c r="A1566" s="878" t="s">
        <v>6312</v>
      </c>
      <c r="B1566" s="878" t="s">
        <v>6313</v>
      </c>
      <c r="C1566" s="879" t="s">
        <v>158</v>
      </c>
      <c r="D1566" s="880" t="s">
        <v>40754</v>
      </c>
    </row>
    <row r="1567" spans="1:4" ht="13.5" x14ac:dyDescent="0.25">
      <c r="A1567" s="878" t="s">
        <v>6314</v>
      </c>
      <c r="B1567" s="878" t="s">
        <v>6315</v>
      </c>
      <c r="C1567" s="879" t="s">
        <v>158</v>
      </c>
      <c r="D1567" s="880" t="s">
        <v>40755</v>
      </c>
    </row>
    <row r="1568" spans="1:4" ht="13.5" x14ac:dyDescent="0.25">
      <c r="A1568" s="878" t="s">
        <v>6316</v>
      </c>
      <c r="B1568" s="878" t="s">
        <v>6317</v>
      </c>
      <c r="C1568" s="879" t="s">
        <v>158</v>
      </c>
      <c r="D1568" s="880" t="s">
        <v>40756</v>
      </c>
    </row>
    <row r="1569" spans="1:4" ht="13.5" x14ac:dyDescent="0.25">
      <c r="A1569" s="878" t="s">
        <v>6318</v>
      </c>
      <c r="B1569" s="878" t="s">
        <v>6319</v>
      </c>
      <c r="C1569" s="879" t="s">
        <v>158</v>
      </c>
      <c r="D1569" s="880" t="s">
        <v>40757</v>
      </c>
    </row>
    <row r="1570" spans="1:4" ht="13.5" x14ac:dyDescent="0.25">
      <c r="A1570" s="878" t="s">
        <v>6320</v>
      </c>
      <c r="B1570" s="878" t="s">
        <v>6321</v>
      </c>
      <c r="C1570" s="879" t="s">
        <v>158</v>
      </c>
      <c r="D1570" s="880" t="s">
        <v>40758</v>
      </c>
    </row>
    <row r="1571" spans="1:4" ht="13.5" x14ac:dyDescent="0.25">
      <c r="A1571" s="878" t="s">
        <v>6322</v>
      </c>
      <c r="B1571" s="878" t="s">
        <v>6323</v>
      </c>
      <c r="C1571" s="879" t="s">
        <v>158</v>
      </c>
      <c r="D1571" s="880" t="s">
        <v>40759</v>
      </c>
    </row>
    <row r="1572" spans="1:4" ht="13.5" x14ac:dyDescent="0.25">
      <c r="A1572" s="878" t="s">
        <v>6324</v>
      </c>
      <c r="B1572" s="878" t="s">
        <v>6325</v>
      </c>
      <c r="C1572" s="879" t="s">
        <v>158</v>
      </c>
      <c r="D1572" s="880" t="s">
        <v>40760</v>
      </c>
    </row>
    <row r="1573" spans="1:4" ht="13.5" x14ac:dyDescent="0.25">
      <c r="A1573" s="878" t="s">
        <v>6326</v>
      </c>
      <c r="B1573" s="878" t="s">
        <v>6327</v>
      </c>
      <c r="C1573" s="879" t="s">
        <v>226</v>
      </c>
      <c r="D1573" s="880" t="s">
        <v>30557</v>
      </c>
    </row>
    <row r="1574" spans="1:4" ht="13.5" x14ac:dyDescent="0.25">
      <c r="A1574" s="878" t="s">
        <v>6328</v>
      </c>
      <c r="B1574" s="878" t="s">
        <v>6329</v>
      </c>
      <c r="C1574" s="879" t="s">
        <v>227</v>
      </c>
      <c r="D1574" s="880" t="s">
        <v>40761</v>
      </c>
    </row>
    <row r="1575" spans="1:4" ht="13.5" x14ac:dyDescent="0.25">
      <c r="A1575" s="878" t="s">
        <v>6330</v>
      </c>
      <c r="B1575" s="878" t="s">
        <v>6331</v>
      </c>
      <c r="C1575" s="879" t="s">
        <v>227</v>
      </c>
      <c r="D1575" s="881" t="s">
        <v>40762</v>
      </c>
    </row>
    <row r="1576" spans="1:4" ht="13.5" x14ac:dyDescent="0.25">
      <c r="A1576" s="878" t="s">
        <v>6332</v>
      </c>
      <c r="B1576" s="878" t="s">
        <v>6333</v>
      </c>
      <c r="C1576" s="879" t="s">
        <v>227</v>
      </c>
      <c r="D1576" s="880" t="s">
        <v>40763</v>
      </c>
    </row>
    <row r="1577" spans="1:4" ht="13.5" x14ac:dyDescent="0.25">
      <c r="A1577" s="878" t="s">
        <v>6334</v>
      </c>
      <c r="B1577" s="878" t="s">
        <v>6335</v>
      </c>
      <c r="C1577" s="879" t="s">
        <v>227</v>
      </c>
      <c r="D1577" s="881" t="s">
        <v>40764</v>
      </c>
    </row>
    <row r="1578" spans="1:4" ht="13.5" x14ac:dyDescent="0.25">
      <c r="A1578" s="878" t="s">
        <v>6336</v>
      </c>
      <c r="B1578" s="878" t="s">
        <v>6337</v>
      </c>
      <c r="C1578" s="879" t="s">
        <v>227</v>
      </c>
      <c r="D1578" s="881" t="s">
        <v>31157</v>
      </c>
    </row>
    <row r="1579" spans="1:4" ht="13.5" x14ac:dyDescent="0.25">
      <c r="A1579" s="878" t="s">
        <v>6338</v>
      </c>
      <c r="B1579" s="878" t="s">
        <v>6339</v>
      </c>
      <c r="C1579" s="879" t="s">
        <v>6008</v>
      </c>
      <c r="D1579" s="881" t="s">
        <v>13976</v>
      </c>
    </row>
    <row r="1580" spans="1:4" ht="13.5" x14ac:dyDescent="0.25">
      <c r="A1580" s="878" t="s">
        <v>6340</v>
      </c>
      <c r="B1580" s="878" t="s">
        <v>6341</v>
      </c>
      <c r="C1580" s="879" t="s">
        <v>6008</v>
      </c>
      <c r="D1580" s="881" t="s">
        <v>40765</v>
      </c>
    </row>
    <row r="1581" spans="1:4" ht="13.5" x14ac:dyDescent="0.25">
      <c r="A1581" s="878" t="s">
        <v>6343</v>
      </c>
      <c r="B1581" s="878" t="s">
        <v>6344</v>
      </c>
      <c r="C1581" s="879" t="s">
        <v>6008</v>
      </c>
      <c r="D1581" s="881" t="s">
        <v>31067</v>
      </c>
    </row>
    <row r="1582" spans="1:4" ht="13.5" x14ac:dyDescent="0.25">
      <c r="A1582" s="878" t="s">
        <v>6346</v>
      </c>
      <c r="B1582" s="878" t="s">
        <v>6347</v>
      </c>
      <c r="C1582" s="879" t="s">
        <v>6008</v>
      </c>
      <c r="D1582" s="881" t="s">
        <v>8766</v>
      </c>
    </row>
    <row r="1583" spans="1:4" ht="13.5" x14ac:dyDescent="0.25">
      <c r="A1583" s="878" t="s">
        <v>6349</v>
      </c>
      <c r="B1583" s="878" t="s">
        <v>6350</v>
      </c>
      <c r="C1583" s="879" t="s">
        <v>6008</v>
      </c>
      <c r="D1583" s="881" t="s">
        <v>40766</v>
      </c>
    </row>
    <row r="1584" spans="1:4" ht="13.5" x14ac:dyDescent="0.25">
      <c r="A1584" s="878" t="s">
        <v>6352</v>
      </c>
      <c r="B1584" s="878" t="s">
        <v>6353</v>
      </c>
      <c r="C1584" s="879" t="s">
        <v>6008</v>
      </c>
      <c r="D1584" s="881" t="s">
        <v>30788</v>
      </c>
    </row>
    <row r="1585" spans="1:4" ht="13.5" x14ac:dyDescent="0.25">
      <c r="A1585" s="878" t="s">
        <v>6354</v>
      </c>
      <c r="B1585" s="878" t="s">
        <v>6355</v>
      </c>
      <c r="C1585" s="879" t="s">
        <v>6008</v>
      </c>
      <c r="D1585" s="881" t="s">
        <v>10299</v>
      </c>
    </row>
    <row r="1586" spans="1:4" ht="13.5" x14ac:dyDescent="0.25">
      <c r="A1586" s="882" t="s">
        <v>6357</v>
      </c>
      <c r="B1586" s="882" t="s">
        <v>6358</v>
      </c>
      <c r="C1586" s="883" t="s">
        <v>159</v>
      </c>
      <c r="D1586" s="884" t="s">
        <v>30499</v>
      </c>
    </row>
    <row r="1587" spans="1:4" ht="13.5" x14ac:dyDescent="0.25">
      <c r="A1587" s="882" t="s">
        <v>6359</v>
      </c>
      <c r="B1587" s="882" t="s">
        <v>6360</v>
      </c>
      <c r="C1587" s="883" t="s">
        <v>158</v>
      </c>
      <c r="D1587" s="884" t="s">
        <v>31159</v>
      </c>
    </row>
    <row r="1588" spans="1:4" ht="13.5" x14ac:dyDescent="0.25">
      <c r="A1588" s="878" t="s">
        <v>6361</v>
      </c>
      <c r="B1588" s="878" t="s">
        <v>6362</v>
      </c>
      <c r="C1588" s="879" t="s">
        <v>158</v>
      </c>
      <c r="D1588" s="881" t="s">
        <v>40767</v>
      </c>
    </row>
    <row r="1589" spans="1:4" ht="13.5" x14ac:dyDescent="0.25">
      <c r="A1589" s="878" t="s">
        <v>6364</v>
      </c>
      <c r="B1589" s="878" t="s">
        <v>6365</v>
      </c>
      <c r="C1589" s="879" t="s">
        <v>158</v>
      </c>
      <c r="D1589" s="881" t="s">
        <v>40768</v>
      </c>
    </row>
    <row r="1590" spans="1:4" ht="13.5" x14ac:dyDescent="0.25">
      <c r="A1590" s="878" t="s">
        <v>6366</v>
      </c>
      <c r="B1590" s="878" t="s">
        <v>6367</v>
      </c>
      <c r="C1590" s="879" t="s">
        <v>158</v>
      </c>
      <c r="D1590" s="880" t="s">
        <v>40769</v>
      </c>
    </row>
    <row r="1591" spans="1:4" ht="13.5" x14ac:dyDescent="0.25">
      <c r="A1591" s="878" t="s">
        <v>6369</v>
      </c>
      <c r="B1591" s="878" t="s">
        <v>6370</v>
      </c>
      <c r="C1591" s="879" t="s">
        <v>158</v>
      </c>
      <c r="D1591" s="880" t="s">
        <v>40770</v>
      </c>
    </row>
    <row r="1592" spans="1:4" ht="13.5" x14ac:dyDescent="0.25">
      <c r="A1592" s="878" t="s">
        <v>6371</v>
      </c>
      <c r="B1592" s="878" t="s">
        <v>6372</v>
      </c>
      <c r="C1592" s="879" t="s">
        <v>158</v>
      </c>
      <c r="D1592" s="880" t="s">
        <v>40771</v>
      </c>
    </row>
    <row r="1593" spans="1:4" ht="13.5" x14ac:dyDescent="0.25">
      <c r="A1593" s="878" t="s">
        <v>6373</v>
      </c>
      <c r="B1593" s="878" t="s">
        <v>6374</v>
      </c>
      <c r="C1593" s="879" t="s">
        <v>158</v>
      </c>
      <c r="D1593" s="881" t="s">
        <v>40772</v>
      </c>
    </row>
    <row r="1594" spans="1:4" ht="13.5" x14ac:dyDescent="0.25">
      <c r="A1594" s="878" t="s">
        <v>6375</v>
      </c>
      <c r="B1594" s="878" t="s">
        <v>6376</v>
      </c>
      <c r="C1594" s="879" t="s">
        <v>158</v>
      </c>
      <c r="D1594" s="880" t="s">
        <v>40773</v>
      </c>
    </row>
    <row r="1595" spans="1:4" ht="13.5" x14ac:dyDescent="0.25">
      <c r="A1595" s="878" t="s">
        <v>6377</v>
      </c>
      <c r="B1595" s="878" t="s">
        <v>6378</v>
      </c>
      <c r="C1595" s="879" t="s">
        <v>158</v>
      </c>
      <c r="D1595" s="881" t="s">
        <v>40774</v>
      </c>
    </row>
    <row r="1596" spans="1:4" ht="13.5" x14ac:dyDescent="0.25">
      <c r="A1596" s="878" t="s">
        <v>6380</v>
      </c>
      <c r="B1596" s="878" t="s">
        <v>6381</v>
      </c>
      <c r="C1596" s="879" t="s">
        <v>158</v>
      </c>
      <c r="D1596" s="881" t="s">
        <v>40427</v>
      </c>
    </row>
    <row r="1597" spans="1:4" ht="13.5" x14ac:dyDescent="0.25">
      <c r="A1597" s="878" t="s">
        <v>6382</v>
      </c>
      <c r="B1597" s="878" t="s">
        <v>6383</v>
      </c>
      <c r="C1597" s="879" t="s">
        <v>158</v>
      </c>
      <c r="D1597" s="880" t="s">
        <v>30216</v>
      </c>
    </row>
    <row r="1598" spans="1:4" ht="13.5" x14ac:dyDescent="0.25">
      <c r="A1598" s="878" t="s">
        <v>6384</v>
      </c>
      <c r="B1598" s="878" t="s">
        <v>6385</v>
      </c>
      <c r="C1598" s="879" t="s">
        <v>158</v>
      </c>
      <c r="D1598" s="881" t="s">
        <v>40775</v>
      </c>
    </row>
    <row r="1599" spans="1:4" ht="13.5" x14ac:dyDescent="0.25">
      <c r="A1599" s="878" t="s">
        <v>6386</v>
      </c>
      <c r="B1599" s="878" t="s">
        <v>6387</v>
      </c>
      <c r="C1599" s="879" t="s">
        <v>226</v>
      </c>
      <c r="D1599" s="880" t="s">
        <v>40776</v>
      </c>
    </row>
    <row r="1600" spans="1:4" ht="13.5" x14ac:dyDescent="0.25">
      <c r="A1600" s="878" t="s">
        <v>6388</v>
      </c>
      <c r="B1600" s="878" t="s">
        <v>6389</v>
      </c>
      <c r="C1600" s="879" t="s">
        <v>226</v>
      </c>
      <c r="D1600" s="881" t="s">
        <v>40777</v>
      </c>
    </row>
    <row r="1601" spans="1:4" ht="13.5" x14ac:dyDescent="0.25">
      <c r="A1601" s="878" t="s">
        <v>6390</v>
      </c>
      <c r="B1601" s="878" t="s">
        <v>6391</v>
      </c>
      <c r="C1601" s="879" t="s">
        <v>226</v>
      </c>
      <c r="D1601" s="881" t="s">
        <v>40778</v>
      </c>
    </row>
    <row r="1602" spans="1:4" ht="13.5" x14ac:dyDescent="0.25">
      <c r="A1602" s="878" t="s">
        <v>6392</v>
      </c>
      <c r="B1602" s="878" t="s">
        <v>6393</v>
      </c>
      <c r="C1602" s="879" t="s">
        <v>226</v>
      </c>
      <c r="D1602" s="880" t="s">
        <v>40779</v>
      </c>
    </row>
    <row r="1603" spans="1:4" ht="13.5" x14ac:dyDescent="0.25">
      <c r="A1603" s="878" t="s">
        <v>6394</v>
      </c>
      <c r="B1603" s="878" t="s">
        <v>6395</v>
      </c>
      <c r="C1603" s="879" t="s">
        <v>226</v>
      </c>
      <c r="D1603" s="881" t="s">
        <v>40780</v>
      </c>
    </row>
    <row r="1604" spans="1:4" ht="13.5" x14ac:dyDescent="0.25">
      <c r="A1604" s="878" t="s">
        <v>6396</v>
      </c>
      <c r="B1604" s="878" t="s">
        <v>6397</v>
      </c>
      <c r="C1604" s="879" t="s">
        <v>226</v>
      </c>
      <c r="D1604" s="881" t="s">
        <v>40781</v>
      </c>
    </row>
    <row r="1605" spans="1:4" ht="13.5" x14ac:dyDescent="0.25">
      <c r="A1605" s="878" t="s">
        <v>6398</v>
      </c>
      <c r="B1605" s="878" t="s">
        <v>6399</v>
      </c>
      <c r="C1605" s="879" t="s">
        <v>226</v>
      </c>
      <c r="D1605" s="881" t="s">
        <v>40782</v>
      </c>
    </row>
    <row r="1606" spans="1:4" ht="13.5" x14ac:dyDescent="0.25">
      <c r="A1606" s="878" t="s">
        <v>6400</v>
      </c>
      <c r="B1606" s="878" t="s">
        <v>6401</v>
      </c>
      <c r="C1606" s="879" t="s">
        <v>226</v>
      </c>
      <c r="D1606" s="881" t="s">
        <v>40783</v>
      </c>
    </row>
    <row r="1607" spans="1:4" ht="13.5" x14ac:dyDescent="0.25">
      <c r="A1607" s="878" t="s">
        <v>6402</v>
      </c>
      <c r="B1607" s="878" t="s">
        <v>6403</v>
      </c>
      <c r="C1607" s="879" t="s">
        <v>226</v>
      </c>
      <c r="D1607" s="881" t="s">
        <v>40784</v>
      </c>
    </row>
    <row r="1608" spans="1:4" ht="13.5" x14ac:dyDescent="0.25">
      <c r="A1608" s="878" t="s">
        <v>6404</v>
      </c>
      <c r="B1608" s="878" t="s">
        <v>6405</v>
      </c>
      <c r="C1608" s="879" t="s">
        <v>226</v>
      </c>
      <c r="D1608" s="881" t="s">
        <v>40785</v>
      </c>
    </row>
    <row r="1609" spans="1:4" ht="13.5" x14ac:dyDescent="0.25">
      <c r="A1609" s="878" t="s">
        <v>6406</v>
      </c>
      <c r="B1609" s="878" t="s">
        <v>6407</v>
      </c>
      <c r="C1609" s="879" t="s">
        <v>226</v>
      </c>
      <c r="D1609" s="881" t="s">
        <v>40786</v>
      </c>
    </row>
    <row r="1610" spans="1:4" ht="13.5" x14ac:dyDescent="0.25">
      <c r="A1610" s="878" t="s">
        <v>6408</v>
      </c>
      <c r="B1610" s="878" t="s">
        <v>6409</v>
      </c>
      <c r="C1610" s="879" t="s">
        <v>226</v>
      </c>
      <c r="D1610" s="881" t="s">
        <v>40787</v>
      </c>
    </row>
    <row r="1611" spans="1:4" ht="13.5" x14ac:dyDescent="0.25">
      <c r="A1611" s="878" t="s">
        <v>6410</v>
      </c>
      <c r="B1611" s="878" t="s">
        <v>6411</v>
      </c>
      <c r="C1611" s="879" t="s">
        <v>226</v>
      </c>
      <c r="D1611" s="881" t="s">
        <v>40788</v>
      </c>
    </row>
    <row r="1612" spans="1:4" ht="13.5" x14ac:dyDescent="0.25">
      <c r="A1612" s="878" t="s">
        <v>6412</v>
      </c>
      <c r="B1612" s="878" t="s">
        <v>6413</v>
      </c>
      <c r="C1612" s="879" t="s">
        <v>226</v>
      </c>
      <c r="D1612" s="881" t="s">
        <v>40789</v>
      </c>
    </row>
    <row r="1613" spans="1:4" ht="13.5" x14ac:dyDescent="0.25">
      <c r="A1613" s="878" t="s">
        <v>6414</v>
      </c>
      <c r="B1613" s="878" t="s">
        <v>6415</v>
      </c>
      <c r="C1613" s="879" t="s">
        <v>226</v>
      </c>
      <c r="D1613" s="881" t="s">
        <v>40790</v>
      </c>
    </row>
    <row r="1614" spans="1:4" ht="13.5" x14ac:dyDescent="0.25">
      <c r="A1614" s="878" t="s">
        <v>6416</v>
      </c>
      <c r="B1614" s="878" t="s">
        <v>6417</v>
      </c>
      <c r="C1614" s="879" t="s">
        <v>226</v>
      </c>
      <c r="D1614" s="881" t="s">
        <v>40791</v>
      </c>
    </row>
    <row r="1615" spans="1:4" ht="13.5" x14ac:dyDescent="0.25">
      <c r="A1615" s="878" t="s">
        <v>6418</v>
      </c>
      <c r="B1615" s="878" t="s">
        <v>6419</v>
      </c>
      <c r="C1615" s="879" t="s">
        <v>226</v>
      </c>
      <c r="D1615" s="881" t="s">
        <v>40792</v>
      </c>
    </row>
    <row r="1616" spans="1:4" ht="13.5" x14ac:dyDescent="0.25">
      <c r="A1616" s="878" t="s">
        <v>6420</v>
      </c>
      <c r="B1616" s="878" t="s">
        <v>6421</v>
      </c>
      <c r="C1616" s="879" t="s">
        <v>226</v>
      </c>
      <c r="D1616" s="881" t="s">
        <v>40793</v>
      </c>
    </row>
    <row r="1617" spans="1:4" ht="13.5" x14ac:dyDescent="0.25">
      <c r="A1617" s="878" t="s">
        <v>6422</v>
      </c>
      <c r="B1617" s="878" t="s">
        <v>6423</v>
      </c>
      <c r="C1617" s="879" t="s">
        <v>226</v>
      </c>
      <c r="D1617" s="881" t="s">
        <v>40794</v>
      </c>
    </row>
    <row r="1618" spans="1:4" ht="13.5" x14ac:dyDescent="0.25">
      <c r="A1618" s="878" t="s">
        <v>6424</v>
      </c>
      <c r="B1618" s="878" t="s">
        <v>6425</v>
      </c>
      <c r="C1618" s="879" t="s">
        <v>226</v>
      </c>
      <c r="D1618" s="881" t="s">
        <v>40795</v>
      </c>
    </row>
    <row r="1619" spans="1:4" ht="13.5" x14ac:dyDescent="0.25">
      <c r="A1619" s="878" t="s">
        <v>6426</v>
      </c>
      <c r="B1619" s="878" t="s">
        <v>6427</v>
      </c>
      <c r="C1619" s="879" t="s">
        <v>226</v>
      </c>
      <c r="D1619" s="881" t="s">
        <v>40796</v>
      </c>
    </row>
    <row r="1620" spans="1:4" ht="13.5" x14ac:dyDescent="0.25">
      <c r="A1620" s="878" t="s">
        <v>6428</v>
      </c>
      <c r="B1620" s="878" t="s">
        <v>6429</v>
      </c>
      <c r="C1620" s="879" t="s">
        <v>226</v>
      </c>
      <c r="D1620" s="881" t="s">
        <v>40797</v>
      </c>
    </row>
    <row r="1621" spans="1:4" ht="13.5" x14ac:dyDescent="0.25">
      <c r="A1621" s="878" t="s">
        <v>6430</v>
      </c>
      <c r="B1621" s="878" t="s">
        <v>6431</v>
      </c>
      <c r="C1621" s="879" t="s">
        <v>226</v>
      </c>
      <c r="D1621" s="881" t="s">
        <v>40798</v>
      </c>
    </row>
    <row r="1622" spans="1:4" ht="13.5" x14ac:dyDescent="0.25">
      <c r="A1622" s="878" t="s">
        <v>6432</v>
      </c>
      <c r="B1622" s="878" t="s">
        <v>6433</v>
      </c>
      <c r="C1622" s="879" t="s">
        <v>226</v>
      </c>
      <c r="D1622" s="881" t="s">
        <v>40799</v>
      </c>
    </row>
    <row r="1623" spans="1:4" ht="13.5" x14ac:dyDescent="0.25">
      <c r="A1623" s="878" t="s">
        <v>6434</v>
      </c>
      <c r="B1623" s="878" t="s">
        <v>6435</v>
      </c>
      <c r="C1623" s="879" t="s">
        <v>226</v>
      </c>
      <c r="D1623" s="881" t="s">
        <v>40800</v>
      </c>
    </row>
    <row r="1624" spans="1:4" ht="13.5" x14ac:dyDescent="0.25">
      <c r="A1624" s="878" t="s">
        <v>6436</v>
      </c>
      <c r="B1624" s="878" t="s">
        <v>6437</v>
      </c>
      <c r="C1624" s="879" t="s">
        <v>226</v>
      </c>
      <c r="D1624" s="881" t="s">
        <v>40801</v>
      </c>
    </row>
    <row r="1625" spans="1:4" ht="13.5" x14ac:dyDescent="0.25">
      <c r="A1625" s="878" t="s">
        <v>6438</v>
      </c>
      <c r="B1625" s="878" t="s">
        <v>6439</v>
      </c>
      <c r="C1625" s="879" t="s">
        <v>226</v>
      </c>
      <c r="D1625" s="881" t="s">
        <v>40802</v>
      </c>
    </row>
    <row r="1626" spans="1:4" ht="13.5" x14ac:dyDescent="0.25">
      <c r="A1626" s="878" t="s">
        <v>6440</v>
      </c>
      <c r="B1626" s="878" t="s">
        <v>6441</v>
      </c>
      <c r="C1626" s="879" t="s">
        <v>226</v>
      </c>
      <c r="D1626" s="881" t="s">
        <v>40803</v>
      </c>
    </row>
    <row r="1627" spans="1:4" ht="13.5" x14ac:dyDescent="0.25">
      <c r="A1627" s="878" t="s">
        <v>6442</v>
      </c>
      <c r="B1627" s="878" t="s">
        <v>6443</v>
      </c>
      <c r="C1627" s="879" t="s">
        <v>158</v>
      </c>
      <c r="D1627" s="881" t="s">
        <v>40804</v>
      </c>
    </row>
    <row r="1628" spans="1:4" ht="13.5" x14ac:dyDescent="0.25">
      <c r="A1628" s="878" t="s">
        <v>6444</v>
      </c>
      <c r="B1628" s="878" t="s">
        <v>6445</v>
      </c>
      <c r="C1628" s="879" t="s">
        <v>158</v>
      </c>
      <c r="D1628" s="881" t="s">
        <v>40805</v>
      </c>
    </row>
    <row r="1629" spans="1:4" ht="13.5" x14ac:dyDescent="0.25">
      <c r="A1629" s="878" t="s">
        <v>6446</v>
      </c>
      <c r="B1629" s="878" t="s">
        <v>6447</v>
      </c>
      <c r="C1629" s="879" t="s">
        <v>158</v>
      </c>
      <c r="D1629" s="881" t="s">
        <v>40806</v>
      </c>
    </row>
    <row r="1630" spans="1:4" ht="13.5" x14ac:dyDescent="0.25">
      <c r="A1630" s="878" t="s">
        <v>6448</v>
      </c>
      <c r="B1630" s="878" t="s">
        <v>6449</v>
      </c>
      <c r="C1630" s="879" t="s">
        <v>158</v>
      </c>
      <c r="D1630" s="881" t="s">
        <v>40807</v>
      </c>
    </row>
    <row r="1631" spans="1:4" ht="13.5" x14ac:dyDescent="0.25">
      <c r="A1631" s="878" t="s">
        <v>6450</v>
      </c>
      <c r="B1631" s="878" t="s">
        <v>6451</v>
      </c>
      <c r="C1631" s="879" t="s">
        <v>226</v>
      </c>
      <c r="D1631" s="881" t="s">
        <v>40808</v>
      </c>
    </row>
    <row r="1632" spans="1:4" ht="13.5" x14ac:dyDescent="0.25">
      <c r="A1632" s="878" t="s">
        <v>6452</v>
      </c>
      <c r="B1632" s="878" t="s">
        <v>6453</v>
      </c>
      <c r="C1632" s="879" t="s">
        <v>158</v>
      </c>
      <c r="D1632" s="881" t="s">
        <v>40809</v>
      </c>
    </row>
    <row r="1633" spans="1:4" ht="13.5" x14ac:dyDescent="0.25">
      <c r="A1633" s="878" t="s">
        <v>6454</v>
      </c>
      <c r="B1633" s="878" t="s">
        <v>6455</v>
      </c>
      <c r="C1633" s="879" t="s">
        <v>158</v>
      </c>
      <c r="D1633" s="881" t="s">
        <v>40810</v>
      </c>
    </row>
    <row r="1634" spans="1:4" ht="13.5" x14ac:dyDescent="0.25">
      <c r="A1634" s="878" t="s">
        <v>6456</v>
      </c>
      <c r="B1634" s="878" t="s">
        <v>6457</v>
      </c>
      <c r="C1634" s="879" t="s">
        <v>226</v>
      </c>
      <c r="D1634" s="881" t="s">
        <v>40811</v>
      </c>
    </row>
    <row r="1635" spans="1:4" ht="13.5" x14ac:dyDescent="0.25">
      <c r="A1635" s="878" t="s">
        <v>6458</v>
      </c>
      <c r="B1635" s="878" t="s">
        <v>6459</v>
      </c>
      <c r="C1635" s="879" t="s">
        <v>158</v>
      </c>
      <c r="D1635" s="881" t="s">
        <v>40812</v>
      </c>
    </row>
    <row r="1636" spans="1:4" ht="13.5" x14ac:dyDescent="0.25">
      <c r="A1636" s="878" t="s">
        <v>6460</v>
      </c>
      <c r="B1636" s="878" t="s">
        <v>6461</v>
      </c>
      <c r="C1636" s="879" t="s">
        <v>226</v>
      </c>
      <c r="D1636" s="881" t="s">
        <v>40813</v>
      </c>
    </row>
    <row r="1637" spans="1:4" ht="13.5" x14ac:dyDescent="0.25">
      <c r="A1637" s="878" t="s">
        <v>6462</v>
      </c>
      <c r="B1637" s="878" t="s">
        <v>6463</v>
      </c>
      <c r="C1637" s="879" t="s">
        <v>158</v>
      </c>
      <c r="D1637" s="881" t="s">
        <v>40814</v>
      </c>
    </row>
    <row r="1638" spans="1:4" ht="13.5" x14ac:dyDescent="0.25">
      <c r="A1638" s="878" t="s">
        <v>6464</v>
      </c>
      <c r="B1638" s="878" t="s">
        <v>6465</v>
      </c>
      <c r="C1638" s="879" t="s">
        <v>226</v>
      </c>
      <c r="D1638" s="881" t="s">
        <v>40815</v>
      </c>
    </row>
    <row r="1639" spans="1:4" ht="13.5" x14ac:dyDescent="0.25">
      <c r="A1639" s="878" t="s">
        <v>6466</v>
      </c>
      <c r="B1639" s="878" t="s">
        <v>6467</v>
      </c>
      <c r="C1639" s="879" t="s">
        <v>158</v>
      </c>
      <c r="D1639" s="881" t="s">
        <v>40816</v>
      </c>
    </row>
    <row r="1640" spans="1:4" ht="13.5" x14ac:dyDescent="0.25">
      <c r="A1640" s="878" t="s">
        <v>6468</v>
      </c>
      <c r="B1640" s="878" t="s">
        <v>6469</v>
      </c>
      <c r="C1640" s="879" t="s">
        <v>158</v>
      </c>
      <c r="D1640" s="881" t="s">
        <v>40817</v>
      </c>
    </row>
    <row r="1641" spans="1:4" ht="13.5" x14ac:dyDescent="0.25">
      <c r="A1641" s="878" t="s">
        <v>6470</v>
      </c>
      <c r="B1641" s="878" t="s">
        <v>6471</v>
      </c>
      <c r="C1641" s="879" t="s">
        <v>158</v>
      </c>
      <c r="D1641" s="881" t="s">
        <v>40818</v>
      </c>
    </row>
    <row r="1642" spans="1:4" ht="13.5" x14ac:dyDescent="0.25">
      <c r="A1642" s="878" t="s">
        <v>6472</v>
      </c>
      <c r="B1642" s="878" t="s">
        <v>6473</v>
      </c>
      <c r="C1642" s="879" t="s">
        <v>226</v>
      </c>
      <c r="D1642" s="881" t="s">
        <v>40819</v>
      </c>
    </row>
    <row r="1643" spans="1:4" ht="13.5" x14ac:dyDescent="0.25">
      <c r="A1643" s="878" t="s">
        <v>6474</v>
      </c>
      <c r="B1643" s="878" t="s">
        <v>6475</v>
      </c>
      <c r="C1643" s="879" t="s">
        <v>158</v>
      </c>
      <c r="D1643" s="881" t="s">
        <v>40820</v>
      </c>
    </row>
    <row r="1644" spans="1:4" ht="13.5" x14ac:dyDescent="0.25">
      <c r="A1644" s="878" t="s">
        <v>6476</v>
      </c>
      <c r="B1644" s="878" t="s">
        <v>6477</v>
      </c>
      <c r="C1644" s="879" t="s">
        <v>158</v>
      </c>
      <c r="D1644" s="881" t="s">
        <v>40821</v>
      </c>
    </row>
    <row r="1645" spans="1:4" ht="13.5" x14ac:dyDescent="0.25">
      <c r="A1645" s="878" t="s">
        <v>6478</v>
      </c>
      <c r="B1645" s="878" t="s">
        <v>6479</v>
      </c>
      <c r="C1645" s="879" t="s">
        <v>226</v>
      </c>
      <c r="D1645" s="881" t="s">
        <v>40822</v>
      </c>
    </row>
    <row r="1646" spans="1:4" ht="13.5" x14ac:dyDescent="0.25">
      <c r="A1646" s="878" t="s">
        <v>6480</v>
      </c>
      <c r="B1646" s="878" t="s">
        <v>6481</v>
      </c>
      <c r="C1646" s="879" t="s">
        <v>158</v>
      </c>
      <c r="D1646" s="881" t="s">
        <v>40823</v>
      </c>
    </row>
    <row r="1647" spans="1:4" ht="13.5" x14ac:dyDescent="0.25">
      <c r="A1647" s="878" t="s">
        <v>6482</v>
      </c>
      <c r="B1647" s="878" t="s">
        <v>6483</v>
      </c>
      <c r="C1647" s="879" t="s">
        <v>226</v>
      </c>
      <c r="D1647" s="881" t="s">
        <v>40824</v>
      </c>
    </row>
    <row r="1648" spans="1:4" ht="13.5" x14ac:dyDescent="0.25">
      <c r="A1648" s="878" t="s">
        <v>6484</v>
      </c>
      <c r="B1648" s="878" t="s">
        <v>6485</v>
      </c>
      <c r="C1648" s="879" t="s">
        <v>158</v>
      </c>
      <c r="D1648" s="881" t="s">
        <v>40817</v>
      </c>
    </row>
    <row r="1649" spans="1:4" ht="13.5" x14ac:dyDescent="0.25">
      <c r="A1649" s="878" t="s">
        <v>6486</v>
      </c>
      <c r="B1649" s="878" t="s">
        <v>6487</v>
      </c>
      <c r="C1649" s="879" t="s">
        <v>226</v>
      </c>
      <c r="D1649" s="881" t="s">
        <v>40825</v>
      </c>
    </row>
    <row r="1650" spans="1:4" ht="13.5" x14ac:dyDescent="0.25">
      <c r="A1650" s="878" t="s">
        <v>6488</v>
      </c>
      <c r="B1650" s="878" t="s">
        <v>6489</v>
      </c>
      <c r="C1650" s="879" t="s">
        <v>158</v>
      </c>
      <c r="D1650" s="881" t="s">
        <v>40818</v>
      </c>
    </row>
    <row r="1651" spans="1:4" ht="13.5" x14ac:dyDescent="0.25">
      <c r="A1651" s="878" t="s">
        <v>6490</v>
      </c>
      <c r="B1651" s="878" t="s">
        <v>6491</v>
      </c>
      <c r="C1651" s="879" t="s">
        <v>226</v>
      </c>
      <c r="D1651" s="881" t="s">
        <v>40826</v>
      </c>
    </row>
    <row r="1652" spans="1:4" ht="13.5" x14ac:dyDescent="0.25">
      <c r="A1652" s="878" t="s">
        <v>6492</v>
      </c>
      <c r="B1652" s="878" t="s">
        <v>6493</v>
      </c>
      <c r="C1652" s="879" t="s">
        <v>158</v>
      </c>
      <c r="D1652" s="881" t="s">
        <v>40820</v>
      </c>
    </row>
    <row r="1653" spans="1:4" ht="13.5" x14ac:dyDescent="0.25">
      <c r="A1653" s="878" t="s">
        <v>6494</v>
      </c>
      <c r="B1653" s="878" t="s">
        <v>6495</v>
      </c>
      <c r="C1653" s="879" t="s">
        <v>226</v>
      </c>
      <c r="D1653" s="881" t="s">
        <v>40827</v>
      </c>
    </row>
    <row r="1654" spans="1:4" ht="13.5" x14ac:dyDescent="0.25">
      <c r="A1654" s="878" t="s">
        <v>6496</v>
      </c>
      <c r="B1654" s="878" t="s">
        <v>6497</v>
      </c>
      <c r="C1654" s="879" t="s">
        <v>158</v>
      </c>
      <c r="D1654" s="881" t="s">
        <v>40821</v>
      </c>
    </row>
    <row r="1655" spans="1:4" ht="13.5" x14ac:dyDescent="0.25">
      <c r="A1655" s="878" t="s">
        <v>6498</v>
      </c>
      <c r="B1655" s="878" t="s">
        <v>6499</v>
      </c>
      <c r="C1655" s="879" t="s">
        <v>226</v>
      </c>
      <c r="D1655" s="881" t="s">
        <v>40828</v>
      </c>
    </row>
    <row r="1656" spans="1:4" ht="13.5" x14ac:dyDescent="0.25">
      <c r="A1656" s="878" t="s">
        <v>6500</v>
      </c>
      <c r="B1656" s="878" t="s">
        <v>6501</v>
      </c>
      <c r="C1656" s="879" t="s">
        <v>158</v>
      </c>
      <c r="D1656" s="881" t="s">
        <v>40823</v>
      </c>
    </row>
    <row r="1657" spans="1:4" ht="13.5" x14ac:dyDescent="0.25">
      <c r="A1657" s="878" t="s">
        <v>6502</v>
      </c>
      <c r="B1657" s="878" t="s">
        <v>6503</v>
      </c>
      <c r="C1657" s="879" t="s">
        <v>226</v>
      </c>
      <c r="D1657" s="881" t="s">
        <v>40829</v>
      </c>
    </row>
    <row r="1658" spans="1:4" ht="13.5" x14ac:dyDescent="0.25">
      <c r="A1658" s="878" t="s">
        <v>6504</v>
      </c>
      <c r="B1658" s="878" t="s">
        <v>6505</v>
      </c>
      <c r="C1658" s="879" t="s">
        <v>158</v>
      </c>
      <c r="D1658" s="880" t="s">
        <v>40830</v>
      </c>
    </row>
    <row r="1659" spans="1:4" ht="13.5" x14ac:dyDescent="0.25">
      <c r="A1659" s="878" t="s">
        <v>6506</v>
      </c>
      <c r="B1659" s="878" t="s">
        <v>6507</v>
      </c>
      <c r="C1659" s="879" t="s">
        <v>226</v>
      </c>
      <c r="D1659" s="880" t="s">
        <v>40831</v>
      </c>
    </row>
    <row r="1660" spans="1:4" ht="13.5" x14ac:dyDescent="0.25">
      <c r="A1660" s="878" t="s">
        <v>6508</v>
      </c>
      <c r="B1660" s="878" t="s">
        <v>6509</v>
      </c>
      <c r="C1660" s="879" t="s">
        <v>158</v>
      </c>
      <c r="D1660" s="881" t="s">
        <v>40832</v>
      </c>
    </row>
    <row r="1661" spans="1:4" ht="13.5" x14ac:dyDescent="0.25">
      <c r="A1661" s="878" t="s">
        <v>6510</v>
      </c>
      <c r="B1661" s="878" t="s">
        <v>6511</v>
      </c>
      <c r="C1661" s="879" t="s">
        <v>226</v>
      </c>
      <c r="D1661" s="881" t="s">
        <v>40833</v>
      </c>
    </row>
    <row r="1662" spans="1:4" ht="13.5" x14ac:dyDescent="0.25">
      <c r="A1662" s="878" t="s">
        <v>6512</v>
      </c>
      <c r="B1662" s="878" t="s">
        <v>6513</v>
      </c>
      <c r="C1662" s="879" t="s">
        <v>158</v>
      </c>
      <c r="D1662" s="881" t="s">
        <v>40834</v>
      </c>
    </row>
    <row r="1663" spans="1:4" ht="13.5" x14ac:dyDescent="0.25">
      <c r="A1663" s="878" t="s">
        <v>6514</v>
      </c>
      <c r="B1663" s="878" t="s">
        <v>6515</v>
      </c>
      <c r="C1663" s="879" t="s">
        <v>226</v>
      </c>
      <c r="D1663" s="881" t="s">
        <v>40835</v>
      </c>
    </row>
    <row r="1664" spans="1:4" ht="13.5" x14ac:dyDescent="0.25">
      <c r="A1664" s="878" t="s">
        <v>6516</v>
      </c>
      <c r="B1664" s="878" t="s">
        <v>6517</v>
      </c>
      <c r="C1664" s="879" t="s">
        <v>158</v>
      </c>
      <c r="D1664" s="880" t="s">
        <v>40836</v>
      </c>
    </row>
    <row r="1665" spans="1:4" ht="13.5" x14ac:dyDescent="0.25">
      <c r="A1665" s="878" t="s">
        <v>6518</v>
      </c>
      <c r="B1665" s="878" t="s">
        <v>6519</v>
      </c>
      <c r="C1665" s="879" t="s">
        <v>226</v>
      </c>
      <c r="D1665" s="881" t="s">
        <v>40837</v>
      </c>
    </row>
    <row r="1666" spans="1:4" ht="13.5" x14ac:dyDescent="0.25">
      <c r="A1666" s="878" t="s">
        <v>6520</v>
      </c>
      <c r="B1666" s="878" t="s">
        <v>6521</v>
      </c>
      <c r="C1666" s="879" t="s">
        <v>158</v>
      </c>
      <c r="D1666" s="881" t="s">
        <v>40830</v>
      </c>
    </row>
    <row r="1667" spans="1:4" ht="13.5" x14ac:dyDescent="0.25">
      <c r="A1667" s="878" t="s">
        <v>6522</v>
      </c>
      <c r="B1667" s="878" t="s">
        <v>6523</v>
      </c>
      <c r="C1667" s="879" t="s">
        <v>226</v>
      </c>
      <c r="D1667" s="881" t="s">
        <v>40838</v>
      </c>
    </row>
    <row r="1668" spans="1:4" ht="13.5" x14ac:dyDescent="0.25">
      <c r="A1668" s="878" t="s">
        <v>6524</v>
      </c>
      <c r="B1668" s="878" t="s">
        <v>6525</v>
      </c>
      <c r="C1668" s="879" t="s">
        <v>158</v>
      </c>
      <c r="D1668" s="881" t="s">
        <v>40839</v>
      </c>
    </row>
    <row r="1669" spans="1:4" ht="13.5" x14ac:dyDescent="0.25">
      <c r="A1669" s="878" t="s">
        <v>6526</v>
      </c>
      <c r="B1669" s="878" t="s">
        <v>6527</v>
      </c>
      <c r="C1669" s="879" t="s">
        <v>226</v>
      </c>
      <c r="D1669" s="881" t="s">
        <v>40840</v>
      </c>
    </row>
    <row r="1670" spans="1:4" ht="13.5" x14ac:dyDescent="0.25">
      <c r="A1670" s="878" t="s">
        <v>6528</v>
      </c>
      <c r="B1670" s="878" t="s">
        <v>6529</v>
      </c>
      <c r="C1670" s="879" t="s">
        <v>158</v>
      </c>
      <c r="D1670" s="881" t="s">
        <v>40841</v>
      </c>
    </row>
    <row r="1671" spans="1:4" ht="13.5" x14ac:dyDescent="0.25">
      <c r="A1671" s="878" t="s">
        <v>6530</v>
      </c>
      <c r="B1671" s="878" t="s">
        <v>6531</v>
      </c>
      <c r="C1671" s="879" t="s">
        <v>226</v>
      </c>
      <c r="D1671" s="881" t="s">
        <v>40842</v>
      </c>
    </row>
    <row r="1672" spans="1:4" ht="13.5" x14ac:dyDescent="0.25">
      <c r="A1672" s="878" t="s">
        <v>6532</v>
      </c>
      <c r="B1672" s="878" t="s">
        <v>6533</v>
      </c>
      <c r="C1672" s="879" t="s">
        <v>158</v>
      </c>
      <c r="D1672" s="881" t="s">
        <v>40843</v>
      </c>
    </row>
    <row r="1673" spans="1:4" ht="13.5" x14ac:dyDescent="0.25">
      <c r="A1673" s="878" t="s">
        <v>6534</v>
      </c>
      <c r="B1673" s="878" t="s">
        <v>6535</v>
      </c>
      <c r="C1673" s="879" t="s">
        <v>226</v>
      </c>
      <c r="D1673" s="881" t="s">
        <v>40844</v>
      </c>
    </row>
    <row r="1674" spans="1:4" ht="13.5" x14ac:dyDescent="0.25">
      <c r="A1674" s="878" t="s">
        <v>6536</v>
      </c>
      <c r="B1674" s="878" t="s">
        <v>6537</v>
      </c>
      <c r="C1674" s="879" t="s">
        <v>158</v>
      </c>
      <c r="D1674" s="881" t="s">
        <v>40839</v>
      </c>
    </row>
    <row r="1675" spans="1:4" ht="13.5" x14ac:dyDescent="0.25">
      <c r="A1675" s="878" t="s">
        <v>6538</v>
      </c>
      <c r="B1675" s="878" t="s">
        <v>6539</v>
      </c>
      <c r="C1675" s="879" t="s">
        <v>226</v>
      </c>
      <c r="D1675" s="881" t="s">
        <v>40845</v>
      </c>
    </row>
    <row r="1676" spans="1:4" ht="13.5" x14ac:dyDescent="0.25">
      <c r="A1676" s="878" t="s">
        <v>6540</v>
      </c>
      <c r="B1676" s="878" t="s">
        <v>6541</v>
      </c>
      <c r="C1676" s="879" t="s">
        <v>158</v>
      </c>
      <c r="D1676" s="881" t="s">
        <v>40846</v>
      </c>
    </row>
    <row r="1677" spans="1:4" ht="13.5" x14ac:dyDescent="0.25">
      <c r="A1677" s="878" t="s">
        <v>6542</v>
      </c>
      <c r="B1677" s="878" t="s">
        <v>6543</v>
      </c>
      <c r="C1677" s="879" t="s">
        <v>226</v>
      </c>
      <c r="D1677" s="881" t="s">
        <v>40847</v>
      </c>
    </row>
    <row r="1678" spans="1:4" ht="13.5" x14ac:dyDescent="0.25">
      <c r="A1678" s="878" t="s">
        <v>6544</v>
      </c>
      <c r="B1678" s="878" t="s">
        <v>6545</v>
      </c>
      <c r="C1678" s="879" t="s">
        <v>158</v>
      </c>
      <c r="D1678" s="881" t="s">
        <v>40848</v>
      </c>
    </row>
    <row r="1679" spans="1:4" ht="13.5" x14ac:dyDescent="0.25">
      <c r="A1679" s="878" t="s">
        <v>6546</v>
      </c>
      <c r="B1679" s="878" t="s">
        <v>6547</v>
      </c>
      <c r="C1679" s="879" t="s">
        <v>226</v>
      </c>
      <c r="D1679" s="881" t="s">
        <v>40849</v>
      </c>
    </row>
    <row r="1680" spans="1:4" ht="13.5" x14ac:dyDescent="0.25">
      <c r="A1680" s="878" t="s">
        <v>6548</v>
      </c>
      <c r="B1680" s="878" t="s">
        <v>6549</v>
      </c>
      <c r="C1680" s="879" t="s">
        <v>158</v>
      </c>
      <c r="D1680" s="881" t="s">
        <v>40846</v>
      </c>
    </row>
    <row r="1681" spans="1:4" ht="13.5" x14ac:dyDescent="0.25">
      <c r="A1681" s="878" t="s">
        <v>6550</v>
      </c>
      <c r="B1681" s="878" t="s">
        <v>6551</v>
      </c>
      <c r="C1681" s="879" t="s">
        <v>226</v>
      </c>
      <c r="D1681" s="881" t="s">
        <v>40850</v>
      </c>
    </row>
    <row r="1682" spans="1:4" ht="13.5" x14ac:dyDescent="0.25">
      <c r="A1682" s="878" t="s">
        <v>6552</v>
      </c>
      <c r="B1682" s="878" t="s">
        <v>6553</v>
      </c>
      <c r="C1682" s="879" t="s">
        <v>158</v>
      </c>
      <c r="D1682" s="881" t="s">
        <v>40851</v>
      </c>
    </row>
    <row r="1683" spans="1:4" ht="13.5" x14ac:dyDescent="0.25">
      <c r="A1683" s="878" t="s">
        <v>6554</v>
      </c>
      <c r="B1683" s="878" t="s">
        <v>6555</v>
      </c>
      <c r="C1683" s="879" t="s">
        <v>226</v>
      </c>
      <c r="D1683" s="881" t="s">
        <v>40852</v>
      </c>
    </row>
    <row r="1684" spans="1:4" ht="13.5" x14ac:dyDescent="0.25">
      <c r="A1684" s="878" t="s">
        <v>6556</v>
      </c>
      <c r="B1684" s="878" t="s">
        <v>6557</v>
      </c>
      <c r="C1684" s="879" t="s">
        <v>158</v>
      </c>
      <c r="D1684" s="881" t="s">
        <v>40851</v>
      </c>
    </row>
    <row r="1685" spans="1:4" ht="13.5" x14ac:dyDescent="0.25">
      <c r="A1685" s="878" t="s">
        <v>6558</v>
      </c>
      <c r="B1685" s="878" t="s">
        <v>6559</v>
      </c>
      <c r="C1685" s="879" t="s">
        <v>226</v>
      </c>
      <c r="D1685" s="881" t="s">
        <v>40853</v>
      </c>
    </row>
    <row r="1686" spans="1:4" ht="13.5" x14ac:dyDescent="0.25">
      <c r="A1686" s="878" t="s">
        <v>6560</v>
      </c>
      <c r="B1686" s="878" t="s">
        <v>6561</v>
      </c>
      <c r="C1686" s="879" t="s">
        <v>158</v>
      </c>
      <c r="D1686" s="881" t="s">
        <v>40854</v>
      </c>
    </row>
    <row r="1687" spans="1:4" ht="13.5" x14ac:dyDescent="0.25">
      <c r="A1687" s="878" t="s">
        <v>6562</v>
      </c>
      <c r="B1687" s="878" t="s">
        <v>6563</v>
      </c>
      <c r="C1687" s="879" t="s">
        <v>226</v>
      </c>
      <c r="D1687" s="880" t="s">
        <v>40855</v>
      </c>
    </row>
    <row r="1688" spans="1:4" ht="13.5" x14ac:dyDescent="0.25">
      <c r="A1688" s="878" t="s">
        <v>6564</v>
      </c>
      <c r="B1688" s="878" t="s">
        <v>6565</v>
      </c>
      <c r="C1688" s="879" t="s">
        <v>158</v>
      </c>
      <c r="D1688" s="881" t="s">
        <v>40856</v>
      </c>
    </row>
    <row r="1689" spans="1:4" ht="13.5" x14ac:dyDescent="0.25">
      <c r="A1689" s="878" t="s">
        <v>6566</v>
      </c>
      <c r="B1689" s="878" t="s">
        <v>6567</v>
      </c>
      <c r="C1689" s="879" t="s">
        <v>158</v>
      </c>
      <c r="D1689" s="881" t="s">
        <v>40857</v>
      </c>
    </row>
    <row r="1690" spans="1:4" ht="13.5" x14ac:dyDescent="0.25">
      <c r="A1690" s="878" t="s">
        <v>6568</v>
      </c>
      <c r="B1690" s="878" t="s">
        <v>6569</v>
      </c>
      <c r="C1690" s="879" t="s">
        <v>158</v>
      </c>
      <c r="D1690" s="881" t="s">
        <v>40858</v>
      </c>
    </row>
    <row r="1691" spans="1:4" ht="13.5" x14ac:dyDescent="0.25">
      <c r="A1691" s="878" t="s">
        <v>6570</v>
      </c>
      <c r="B1691" s="878" t="s">
        <v>6571</v>
      </c>
      <c r="C1691" s="879" t="s">
        <v>226</v>
      </c>
      <c r="D1691" s="881" t="s">
        <v>40859</v>
      </c>
    </row>
    <row r="1692" spans="1:4" ht="13.5" x14ac:dyDescent="0.25">
      <c r="A1692" s="878" t="s">
        <v>6572</v>
      </c>
      <c r="B1692" s="878" t="s">
        <v>6573</v>
      </c>
      <c r="C1692" s="879" t="s">
        <v>226</v>
      </c>
      <c r="D1692" s="880" t="s">
        <v>40860</v>
      </c>
    </row>
    <row r="1693" spans="1:4" ht="13.5" x14ac:dyDescent="0.25">
      <c r="A1693" s="878" t="s">
        <v>6574</v>
      </c>
      <c r="B1693" s="878" t="s">
        <v>6575</v>
      </c>
      <c r="C1693" s="879" t="s">
        <v>226</v>
      </c>
      <c r="D1693" s="881" t="s">
        <v>40861</v>
      </c>
    </row>
    <row r="1694" spans="1:4" ht="13.5" x14ac:dyDescent="0.25">
      <c r="A1694" s="878" t="s">
        <v>6576</v>
      </c>
      <c r="B1694" s="878" t="s">
        <v>6577</v>
      </c>
      <c r="C1694" s="879" t="s">
        <v>226</v>
      </c>
      <c r="D1694" s="881" t="s">
        <v>40862</v>
      </c>
    </row>
    <row r="1695" spans="1:4" ht="13.5" x14ac:dyDescent="0.25">
      <c r="A1695" s="878" t="s">
        <v>6578</v>
      </c>
      <c r="B1695" s="878" t="s">
        <v>6579</v>
      </c>
      <c r="C1695" s="879" t="s">
        <v>158</v>
      </c>
      <c r="D1695" s="881" t="s">
        <v>40863</v>
      </c>
    </row>
    <row r="1696" spans="1:4" ht="13.5" x14ac:dyDescent="0.25">
      <c r="A1696" s="878" t="s">
        <v>6580</v>
      </c>
      <c r="B1696" s="878" t="s">
        <v>6581</v>
      </c>
      <c r="C1696" s="879" t="s">
        <v>226</v>
      </c>
      <c r="D1696" s="881" t="s">
        <v>40864</v>
      </c>
    </row>
    <row r="1697" spans="1:4" ht="13.5" x14ac:dyDescent="0.25">
      <c r="A1697" s="878" t="s">
        <v>6582</v>
      </c>
      <c r="B1697" s="878" t="s">
        <v>6583</v>
      </c>
      <c r="C1697" s="879" t="s">
        <v>158</v>
      </c>
      <c r="D1697" s="881" t="s">
        <v>40865</v>
      </c>
    </row>
    <row r="1698" spans="1:4" ht="13.5" x14ac:dyDescent="0.25">
      <c r="A1698" s="878" t="s">
        <v>6584</v>
      </c>
      <c r="B1698" s="878" t="s">
        <v>6585</v>
      </c>
      <c r="C1698" s="879" t="s">
        <v>158</v>
      </c>
      <c r="D1698" s="881" t="s">
        <v>40866</v>
      </c>
    </row>
    <row r="1699" spans="1:4" ht="13.5" x14ac:dyDescent="0.25">
      <c r="A1699" s="878" t="s">
        <v>6586</v>
      </c>
      <c r="B1699" s="878" t="s">
        <v>6587</v>
      </c>
      <c r="C1699" s="879" t="s">
        <v>226</v>
      </c>
      <c r="D1699" s="881" t="s">
        <v>40867</v>
      </c>
    </row>
    <row r="1700" spans="1:4" ht="13.5" x14ac:dyDescent="0.25">
      <c r="A1700" s="878" t="s">
        <v>6588</v>
      </c>
      <c r="B1700" s="878" t="s">
        <v>6589</v>
      </c>
      <c r="C1700" s="879" t="s">
        <v>158</v>
      </c>
      <c r="D1700" s="881" t="s">
        <v>40868</v>
      </c>
    </row>
    <row r="1701" spans="1:4" ht="13.5" x14ac:dyDescent="0.25">
      <c r="A1701" s="878" t="s">
        <v>6590</v>
      </c>
      <c r="B1701" s="878" t="s">
        <v>6591</v>
      </c>
      <c r="C1701" s="879" t="s">
        <v>226</v>
      </c>
      <c r="D1701" s="881" t="s">
        <v>40869</v>
      </c>
    </row>
    <row r="1702" spans="1:4" ht="13.5" x14ac:dyDescent="0.25">
      <c r="A1702" s="878" t="s">
        <v>6592</v>
      </c>
      <c r="B1702" s="878" t="s">
        <v>6593</v>
      </c>
      <c r="C1702" s="879" t="s">
        <v>158</v>
      </c>
      <c r="D1702" s="881" t="s">
        <v>40870</v>
      </c>
    </row>
    <row r="1703" spans="1:4" ht="13.5" x14ac:dyDescent="0.25">
      <c r="A1703" s="878" t="s">
        <v>6594</v>
      </c>
      <c r="B1703" s="878" t="s">
        <v>6595</v>
      </c>
      <c r="C1703" s="879" t="s">
        <v>158</v>
      </c>
      <c r="D1703" s="881" t="s">
        <v>40871</v>
      </c>
    </row>
    <row r="1704" spans="1:4" ht="13.5" x14ac:dyDescent="0.25">
      <c r="A1704" s="878" t="s">
        <v>6596</v>
      </c>
      <c r="B1704" s="878" t="s">
        <v>6597</v>
      </c>
      <c r="C1704" s="879" t="s">
        <v>226</v>
      </c>
      <c r="D1704" s="881" t="s">
        <v>40872</v>
      </c>
    </row>
    <row r="1705" spans="1:4" ht="13.5" x14ac:dyDescent="0.25">
      <c r="A1705" s="878" t="s">
        <v>6598</v>
      </c>
      <c r="B1705" s="878" t="s">
        <v>6599</v>
      </c>
      <c r="C1705" s="879" t="s">
        <v>158</v>
      </c>
      <c r="D1705" s="880" t="s">
        <v>40873</v>
      </c>
    </row>
    <row r="1706" spans="1:4" ht="13.5" x14ac:dyDescent="0.25">
      <c r="A1706" s="878" t="s">
        <v>6600</v>
      </c>
      <c r="B1706" s="878" t="s">
        <v>6601</v>
      </c>
      <c r="C1706" s="879" t="s">
        <v>226</v>
      </c>
      <c r="D1706" s="881" t="s">
        <v>40874</v>
      </c>
    </row>
    <row r="1707" spans="1:4" ht="13.5" x14ac:dyDescent="0.25">
      <c r="A1707" s="878" t="s">
        <v>6602</v>
      </c>
      <c r="B1707" s="878" t="s">
        <v>6603</v>
      </c>
      <c r="C1707" s="879" t="s">
        <v>158</v>
      </c>
      <c r="D1707" s="880" t="s">
        <v>40875</v>
      </c>
    </row>
    <row r="1708" spans="1:4" ht="13.5" x14ac:dyDescent="0.25">
      <c r="A1708" s="878" t="s">
        <v>6604</v>
      </c>
      <c r="B1708" s="878" t="s">
        <v>6605</v>
      </c>
      <c r="C1708" s="879" t="s">
        <v>226</v>
      </c>
      <c r="D1708" s="881" t="s">
        <v>40876</v>
      </c>
    </row>
    <row r="1709" spans="1:4" ht="13.5" x14ac:dyDescent="0.25">
      <c r="A1709" s="878" t="s">
        <v>6606</v>
      </c>
      <c r="B1709" s="878" t="s">
        <v>6607</v>
      </c>
      <c r="C1709" s="879" t="s">
        <v>226</v>
      </c>
      <c r="D1709" s="880" t="s">
        <v>40877</v>
      </c>
    </row>
    <row r="1710" spans="1:4" ht="13.5" x14ac:dyDescent="0.25">
      <c r="A1710" s="878" t="s">
        <v>6608</v>
      </c>
      <c r="B1710" s="878" t="s">
        <v>6609</v>
      </c>
      <c r="C1710" s="879" t="s">
        <v>158</v>
      </c>
      <c r="D1710" s="881" t="s">
        <v>40878</v>
      </c>
    </row>
    <row r="1711" spans="1:4" ht="13.5" x14ac:dyDescent="0.25">
      <c r="A1711" s="878" t="s">
        <v>6610</v>
      </c>
      <c r="B1711" s="878" t="s">
        <v>6611</v>
      </c>
      <c r="C1711" s="879" t="s">
        <v>158</v>
      </c>
      <c r="D1711" s="881" t="s">
        <v>40879</v>
      </c>
    </row>
    <row r="1712" spans="1:4" ht="13.5" x14ac:dyDescent="0.25">
      <c r="A1712" s="878" t="s">
        <v>6612</v>
      </c>
      <c r="B1712" s="878" t="s">
        <v>6613</v>
      </c>
      <c r="C1712" s="879" t="s">
        <v>226</v>
      </c>
      <c r="D1712" s="880" t="s">
        <v>40880</v>
      </c>
    </row>
    <row r="1713" spans="1:4" ht="13.5" x14ac:dyDescent="0.25">
      <c r="A1713" s="878" t="s">
        <v>6614</v>
      </c>
      <c r="B1713" s="878" t="s">
        <v>6615</v>
      </c>
      <c r="C1713" s="879" t="s">
        <v>158</v>
      </c>
      <c r="D1713" s="881" t="s">
        <v>40866</v>
      </c>
    </row>
    <row r="1714" spans="1:4" ht="13.5" x14ac:dyDescent="0.25">
      <c r="A1714" s="878" t="s">
        <v>6616</v>
      </c>
      <c r="B1714" s="878" t="s">
        <v>6617</v>
      </c>
      <c r="C1714" s="879" t="s">
        <v>226</v>
      </c>
      <c r="D1714" s="881" t="s">
        <v>40881</v>
      </c>
    </row>
    <row r="1715" spans="1:4" ht="13.5" x14ac:dyDescent="0.25">
      <c r="A1715" s="878" t="s">
        <v>6618</v>
      </c>
      <c r="B1715" s="878" t="s">
        <v>6619</v>
      </c>
      <c r="C1715" s="879" t="s">
        <v>226</v>
      </c>
      <c r="D1715" s="880" t="s">
        <v>40882</v>
      </c>
    </row>
    <row r="1716" spans="1:4" ht="13.5" x14ac:dyDescent="0.25">
      <c r="A1716" s="878" t="s">
        <v>6620</v>
      </c>
      <c r="B1716" s="878" t="s">
        <v>6621</v>
      </c>
      <c r="C1716" s="879" t="s">
        <v>158</v>
      </c>
      <c r="D1716" s="881" t="s">
        <v>40871</v>
      </c>
    </row>
    <row r="1717" spans="1:4" ht="13.5" x14ac:dyDescent="0.25">
      <c r="A1717" s="878" t="s">
        <v>6622</v>
      </c>
      <c r="B1717" s="878" t="s">
        <v>6623</v>
      </c>
      <c r="C1717" s="879" t="s">
        <v>226</v>
      </c>
      <c r="D1717" s="881" t="s">
        <v>40883</v>
      </c>
    </row>
    <row r="1718" spans="1:4" ht="13.5" x14ac:dyDescent="0.25">
      <c r="A1718" s="878" t="s">
        <v>6624</v>
      </c>
      <c r="B1718" s="878" t="s">
        <v>6625</v>
      </c>
      <c r="C1718" s="879" t="s">
        <v>226</v>
      </c>
      <c r="D1718" s="881" t="s">
        <v>40884</v>
      </c>
    </row>
    <row r="1719" spans="1:4" ht="13.5" x14ac:dyDescent="0.25">
      <c r="A1719" s="878" t="s">
        <v>6626</v>
      </c>
      <c r="B1719" s="878" t="s">
        <v>6627</v>
      </c>
      <c r="C1719" s="879" t="s">
        <v>226</v>
      </c>
      <c r="D1719" s="881" t="s">
        <v>40885</v>
      </c>
    </row>
    <row r="1720" spans="1:4" ht="13.5" x14ac:dyDescent="0.25">
      <c r="A1720" s="878" t="s">
        <v>6628</v>
      </c>
      <c r="B1720" s="878" t="s">
        <v>6629</v>
      </c>
      <c r="C1720" s="879" t="s">
        <v>226</v>
      </c>
      <c r="D1720" s="880" t="s">
        <v>40886</v>
      </c>
    </row>
    <row r="1721" spans="1:4" ht="13.5" x14ac:dyDescent="0.25">
      <c r="A1721" s="878" t="s">
        <v>6630</v>
      </c>
      <c r="B1721" s="878" t="s">
        <v>6631</v>
      </c>
      <c r="C1721" s="879" t="s">
        <v>226</v>
      </c>
      <c r="D1721" s="881" t="s">
        <v>40887</v>
      </c>
    </row>
    <row r="1722" spans="1:4" ht="13.5" x14ac:dyDescent="0.25">
      <c r="A1722" s="878" t="s">
        <v>6632</v>
      </c>
      <c r="B1722" s="878" t="s">
        <v>6633</v>
      </c>
      <c r="C1722" s="879" t="s">
        <v>226</v>
      </c>
      <c r="D1722" s="881" t="s">
        <v>40888</v>
      </c>
    </row>
    <row r="1723" spans="1:4" ht="13.5" x14ac:dyDescent="0.25">
      <c r="A1723" s="878" t="s">
        <v>6634</v>
      </c>
      <c r="B1723" s="878" t="s">
        <v>6635</v>
      </c>
      <c r="C1723" s="879" t="s">
        <v>158</v>
      </c>
      <c r="D1723" s="881" t="s">
        <v>40889</v>
      </c>
    </row>
    <row r="1724" spans="1:4" ht="13.5" x14ac:dyDescent="0.25">
      <c r="A1724" s="878" t="s">
        <v>6636</v>
      </c>
      <c r="B1724" s="878" t="s">
        <v>6637</v>
      </c>
      <c r="C1724" s="879" t="s">
        <v>158</v>
      </c>
      <c r="D1724" s="881" t="s">
        <v>40879</v>
      </c>
    </row>
    <row r="1725" spans="1:4" ht="13.5" x14ac:dyDescent="0.25">
      <c r="A1725" s="878" t="s">
        <v>6638</v>
      </c>
      <c r="B1725" s="878" t="s">
        <v>6639</v>
      </c>
      <c r="C1725" s="879" t="s">
        <v>158</v>
      </c>
      <c r="D1725" s="880" t="s">
        <v>40890</v>
      </c>
    </row>
    <row r="1726" spans="1:4" ht="13.5" x14ac:dyDescent="0.25">
      <c r="A1726" s="878" t="s">
        <v>6640</v>
      </c>
      <c r="B1726" s="878" t="s">
        <v>6641</v>
      </c>
      <c r="C1726" s="879" t="s">
        <v>226</v>
      </c>
      <c r="D1726" s="881" t="s">
        <v>40891</v>
      </c>
    </row>
    <row r="1727" spans="1:4" ht="13.5" x14ac:dyDescent="0.25">
      <c r="A1727" s="878" t="s">
        <v>6642</v>
      </c>
      <c r="B1727" s="878" t="s">
        <v>6643</v>
      </c>
      <c r="C1727" s="879" t="s">
        <v>226</v>
      </c>
      <c r="D1727" s="881" t="s">
        <v>40892</v>
      </c>
    </row>
    <row r="1728" spans="1:4" ht="13.5" x14ac:dyDescent="0.25">
      <c r="A1728" s="878" t="s">
        <v>6644</v>
      </c>
      <c r="B1728" s="878" t="s">
        <v>6645</v>
      </c>
      <c r="C1728" s="879" t="s">
        <v>158</v>
      </c>
      <c r="D1728" s="881" t="s">
        <v>40889</v>
      </c>
    </row>
    <row r="1729" spans="1:4" ht="13.5" x14ac:dyDescent="0.25">
      <c r="A1729" s="878" t="s">
        <v>6646</v>
      </c>
      <c r="B1729" s="878" t="s">
        <v>6647</v>
      </c>
      <c r="C1729" s="879" t="s">
        <v>158</v>
      </c>
      <c r="D1729" s="881" t="s">
        <v>40893</v>
      </c>
    </row>
    <row r="1730" spans="1:4" ht="13.5" x14ac:dyDescent="0.25">
      <c r="A1730" s="878" t="s">
        <v>6648</v>
      </c>
      <c r="B1730" s="878" t="s">
        <v>6649</v>
      </c>
      <c r="C1730" s="879" t="s">
        <v>158</v>
      </c>
      <c r="D1730" s="881" t="s">
        <v>40894</v>
      </c>
    </row>
    <row r="1731" spans="1:4" ht="13.5" x14ac:dyDescent="0.25">
      <c r="A1731" s="878" t="s">
        <v>6650</v>
      </c>
      <c r="B1731" s="878" t="s">
        <v>6651</v>
      </c>
      <c r="C1731" s="879" t="s">
        <v>226</v>
      </c>
      <c r="D1731" s="881" t="s">
        <v>40895</v>
      </c>
    </row>
    <row r="1732" spans="1:4" ht="13.5" x14ac:dyDescent="0.25">
      <c r="A1732" s="878" t="s">
        <v>6652</v>
      </c>
      <c r="B1732" s="878" t="s">
        <v>6653</v>
      </c>
      <c r="C1732" s="879" t="s">
        <v>226</v>
      </c>
      <c r="D1732" s="881" t="s">
        <v>40896</v>
      </c>
    </row>
    <row r="1733" spans="1:4" ht="13.5" x14ac:dyDescent="0.25">
      <c r="A1733" s="878" t="s">
        <v>6654</v>
      </c>
      <c r="B1733" s="878" t="s">
        <v>6655</v>
      </c>
      <c r="C1733" s="879" t="s">
        <v>226</v>
      </c>
      <c r="D1733" s="881" t="s">
        <v>40897</v>
      </c>
    </row>
    <row r="1734" spans="1:4" ht="13.5" x14ac:dyDescent="0.25">
      <c r="A1734" s="878" t="s">
        <v>6656</v>
      </c>
      <c r="B1734" s="878" t="s">
        <v>6657</v>
      </c>
      <c r="C1734" s="879" t="s">
        <v>226</v>
      </c>
      <c r="D1734" s="881" t="s">
        <v>40898</v>
      </c>
    </row>
    <row r="1735" spans="1:4" ht="13.5" x14ac:dyDescent="0.25">
      <c r="A1735" s="878" t="s">
        <v>6658</v>
      </c>
      <c r="B1735" s="878" t="s">
        <v>6659</v>
      </c>
      <c r="C1735" s="879" t="s">
        <v>158</v>
      </c>
      <c r="D1735" s="881" t="s">
        <v>40899</v>
      </c>
    </row>
    <row r="1736" spans="1:4" ht="13.5" x14ac:dyDescent="0.25">
      <c r="A1736" s="878" t="s">
        <v>6660</v>
      </c>
      <c r="B1736" s="878" t="s">
        <v>6661</v>
      </c>
      <c r="C1736" s="879" t="s">
        <v>158</v>
      </c>
      <c r="D1736" s="881" t="s">
        <v>40900</v>
      </c>
    </row>
    <row r="1737" spans="1:4" ht="13.5" x14ac:dyDescent="0.25">
      <c r="A1737" s="882" t="s">
        <v>6662</v>
      </c>
      <c r="B1737" s="882" t="s">
        <v>6663</v>
      </c>
      <c r="C1737" s="883" t="s">
        <v>226</v>
      </c>
      <c r="D1737" s="884" t="s">
        <v>40901</v>
      </c>
    </row>
    <row r="1738" spans="1:4" ht="13.5" x14ac:dyDescent="0.25">
      <c r="A1738" s="878" t="s">
        <v>6664</v>
      </c>
      <c r="B1738" s="878" t="s">
        <v>6665</v>
      </c>
      <c r="C1738" s="879" t="s">
        <v>158</v>
      </c>
      <c r="D1738" s="881" t="s">
        <v>40900</v>
      </c>
    </row>
    <row r="1739" spans="1:4" ht="13.5" x14ac:dyDescent="0.25">
      <c r="A1739" s="878" t="s">
        <v>6666</v>
      </c>
      <c r="B1739" s="878" t="s">
        <v>6667</v>
      </c>
      <c r="C1739" s="879" t="s">
        <v>226</v>
      </c>
      <c r="D1739" s="881" t="s">
        <v>40902</v>
      </c>
    </row>
    <row r="1740" spans="1:4" ht="13.5" x14ac:dyDescent="0.25">
      <c r="A1740" s="878" t="s">
        <v>6668</v>
      </c>
      <c r="B1740" s="878" t="s">
        <v>6669</v>
      </c>
      <c r="C1740" s="879" t="s">
        <v>158</v>
      </c>
      <c r="D1740" s="881" t="s">
        <v>40903</v>
      </c>
    </row>
    <row r="1741" spans="1:4" ht="13.5" x14ac:dyDescent="0.25">
      <c r="A1741" s="878" t="s">
        <v>6670</v>
      </c>
      <c r="B1741" s="878" t="s">
        <v>6671</v>
      </c>
      <c r="C1741" s="879" t="s">
        <v>226</v>
      </c>
      <c r="D1741" s="881" t="s">
        <v>40904</v>
      </c>
    </row>
    <row r="1742" spans="1:4" ht="13.5" x14ac:dyDescent="0.25">
      <c r="A1742" s="878" t="s">
        <v>6672</v>
      </c>
      <c r="B1742" s="878" t="s">
        <v>6673</v>
      </c>
      <c r="C1742" s="879" t="s">
        <v>158</v>
      </c>
      <c r="D1742" s="881" t="s">
        <v>40905</v>
      </c>
    </row>
    <row r="1743" spans="1:4" ht="13.5" x14ac:dyDescent="0.25">
      <c r="A1743" s="882" t="s">
        <v>6674</v>
      </c>
      <c r="B1743" s="882" t="s">
        <v>6675</v>
      </c>
      <c r="C1743" s="883" t="s">
        <v>158</v>
      </c>
      <c r="D1743" s="884" t="s">
        <v>40906</v>
      </c>
    </row>
    <row r="1744" spans="1:4" ht="13.5" x14ac:dyDescent="0.25">
      <c r="A1744" s="878" t="s">
        <v>6676</v>
      </c>
      <c r="B1744" s="878" t="s">
        <v>6677</v>
      </c>
      <c r="C1744" s="879" t="s">
        <v>226</v>
      </c>
      <c r="D1744" s="881" t="s">
        <v>40907</v>
      </c>
    </row>
    <row r="1745" spans="1:4" ht="13.5" x14ac:dyDescent="0.25">
      <c r="A1745" s="878" t="s">
        <v>6678</v>
      </c>
      <c r="B1745" s="878" t="s">
        <v>6679</v>
      </c>
      <c r="C1745" s="879" t="s">
        <v>158</v>
      </c>
      <c r="D1745" s="881" t="s">
        <v>40908</v>
      </c>
    </row>
    <row r="1746" spans="1:4" ht="13.5" x14ac:dyDescent="0.25">
      <c r="A1746" s="878" t="s">
        <v>6680</v>
      </c>
      <c r="B1746" s="878" t="s">
        <v>6681</v>
      </c>
      <c r="C1746" s="879" t="s">
        <v>226</v>
      </c>
      <c r="D1746" s="881" t="s">
        <v>40909</v>
      </c>
    </row>
    <row r="1747" spans="1:4" ht="13.5" x14ac:dyDescent="0.25">
      <c r="A1747" s="878" t="s">
        <v>6682</v>
      </c>
      <c r="B1747" s="878" t="s">
        <v>6683</v>
      </c>
      <c r="C1747" s="879" t="s">
        <v>226</v>
      </c>
      <c r="D1747" s="881" t="s">
        <v>40910</v>
      </c>
    </row>
    <row r="1748" spans="1:4" ht="13.5" x14ac:dyDescent="0.25">
      <c r="A1748" s="878" t="s">
        <v>6684</v>
      </c>
      <c r="B1748" s="878" t="s">
        <v>6685</v>
      </c>
      <c r="C1748" s="879" t="s">
        <v>158</v>
      </c>
      <c r="D1748" s="881" t="s">
        <v>40911</v>
      </c>
    </row>
    <row r="1749" spans="1:4" ht="13.5" x14ac:dyDescent="0.25">
      <c r="A1749" s="878" t="s">
        <v>6686</v>
      </c>
      <c r="B1749" s="878" t="s">
        <v>6687</v>
      </c>
      <c r="C1749" s="879" t="s">
        <v>226</v>
      </c>
      <c r="D1749" s="881" t="s">
        <v>40912</v>
      </c>
    </row>
    <row r="1750" spans="1:4" ht="13.5" x14ac:dyDescent="0.25">
      <c r="A1750" s="878" t="s">
        <v>6688</v>
      </c>
      <c r="B1750" s="878" t="s">
        <v>6689</v>
      </c>
      <c r="C1750" s="879" t="s">
        <v>158</v>
      </c>
      <c r="D1750" s="881" t="s">
        <v>40913</v>
      </c>
    </row>
    <row r="1751" spans="1:4" ht="13.5" x14ac:dyDescent="0.25">
      <c r="A1751" s="878" t="s">
        <v>6690</v>
      </c>
      <c r="B1751" s="878" t="s">
        <v>6691</v>
      </c>
      <c r="C1751" s="879" t="s">
        <v>226</v>
      </c>
      <c r="D1751" s="881" t="s">
        <v>40914</v>
      </c>
    </row>
    <row r="1752" spans="1:4" ht="13.5" x14ac:dyDescent="0.25">
      <c r="A1752" s="878" t="s">
        <v>6692</v>
      </c>
      <c r="B1752" s="878" t="s">
        <v>6693</v>
      </c>
      <c r="C1752" s="879" t="s">
        <v>158</v>
      </c>
      <c r="D1752" s="881" t="s">
        <v>40911</v>
      </c>
    </row>
    <row r="1753" spans="1:4" ht="13.5" x14ac:dyDescent="0.25">
      <c r="A1753" s="878" t="s">
        <v>6694</v>
      </c>
      <c r="B1753" s="878" t="s">
        <v>6695</v>
      </c>
      <c r="C1753" s="879" t="s">
        <v>158</v>
      </c>
      <c r="D1753" s="880" t="s">
        <v>40915</v>
      </c>
    </row>
    <row r="1754" spans="1:4" ht="13.5" x14ac:dyDescent="0.25">
      <c r="A1754" s="878" t="s">
        <v>6696</v>
      </c>
      <c r="B1754" s="878" t="s">
        <v>6697</v>
      </c>
      <c r="C1754" s="879" t="s">
        <v>226</v>
      </c>
      <c r="D1754" s="880" t="s">
        <v>40916</v>
      </c>
    </row>
    <row r="1755" spans="1:4" ht="13.5" x14ac:dyDescent="0.25">
      <c r="A1755" s="878" t="s">
        <v>6698</v>
      </c>
      <c r="B1755" s="878" t="s">
        <v>6699</v>
      </c>
      <c r="C1755" s="879" t="s">
        <v>158</v>
      </c>
      <c r="D1755" s="881" t="s">
        <v>40917</v>
      </c>
    </row>
    <row r="1756" spans="1:4" ht="13.5" x14ac:dyDescent="0.25">
      <c r="A1756" s="878" t="s">
        <v>6700</v>
      </c>
      <c r="B1756" s="878" t="s">
        <v>6701</v>
      </c>
      <c r="C1756" s="879" t="s">
        <v>226</v>
      </c>
      <c r="D1756" s="881" t="s">
        <v>40918</v>
      </c>
    </row>
    <row r="1757" spans="1:4" ht="13.5" x14ac:dyDescent="0.25">
      <c r="A1757" s="878" t="s">
        <v>6702</v>
      </c>
      <c r="B1757" s="878" t="s">
        <v>6703</v>
      </c>
      <c r="C1757" s="879" t="s">
        <v>158</v>
      </c>
      <c r="D1757" s="881" t="s">
        <v>40917</v>
      </c>
    </row>
    <row r="1758" spans="1:4" ht="13.5" x14ac:dyDescent="0.25">
      <c r="A1758" s="878" t="s">
        <v>6704</v>
      </c>
      <c r="B1758" s="878" t="s">
        <v>6705</v>
      </c>
      <c r="C1758" s="879" t="s">
        <v>226</v>
      </c>
      <c r="D1758" s="881" t="s">
        <v>40919</v>
      </c>
    </row>
    <row r="1759" spans="1:4" ht="13.5" x14ac:dyDescent="0.25">
      <c r="A1759" s="878" t="s">
        <v>6706</v>
      </c>
      <c r="B1759" s="878" t="s">
        <v>6707</v>
      </c>
      <c r="C1759" s="879" t="s">
        <v>226</v>
      </c>
      <c r="D1759" s="881" t="s">
        <v>40920</v>
      </c>
    </row>
    <row r="1760" spans="1:4" ht="13.5" x14ac:dyDescent="0.25">
      <c r="A1760" s="878" t="s">
        <v>6708</v>
      </c>
      <c r="B1760" s="878" t="s">
        <v>6709</v>
      </c>
      <c r="C1760" s="879" t="s">
        <v>158</v>
      </c>
      <c r="D1760" s="881" t="s">
        <v>40921</v>
      </c>
    </row>
    <row r="1761" spans="1:4" ht="13.5" x14ac:dyDescent="0.25">
      <c r="A1761" s="878" t="s">
        <v>6710</v>
      </c>
      <c r="B1761" s="878" t="s">
        <v>6711</v>
      </c>
      <c r="C1761" s="879" t="s">
        <v>226</v>
      </c>
      <c r="D1761" s="881" t="s">
        <v>40922</v>
      </c>
    </row>
    <row r="1762" spans="1:4" ht="13.5" x14ac:dyDescent="0.25">
      <c r="A1762" s="878" t="s">
        <v>6712</v>
      </c>
      <c r="B1762" s="878" t="s">
        <v>6713</v>
      </c>
      <c r="C1762" s="879" t="s">
        <v>158</v>
      </c>
      <c r="D1762" s="881" t="s">
        <v>40923</v>
      </c>
    </row>
    <row r="1763" spans="1:4" ht="13.5" x14ac:dyDescent="0.25">
      <c r="A1763" s="878" t="s">
        <v>6714</v>
      </c>
      <c r="B1763" s="878" t="s">
        <v>6715</v>
      </c>
      <c r="C1763" s="879" t="s">
        <v>158</v>
      </c>
      <c r="D1763" s="881" t="s">
        <v>40924</v>
      </c>
    </row>
    <row r="1764" spans="1:4" ht="13.5" x14ac:dyDescent="0.25">
      <c r="A1764" s="878" t="s">
        <v>6716</v>
      </c>
      <c r="B1764" s="878" t="s">
        <v>6717</v>
      </c>
      <c r="C1764" s="879" t="s">
        <v>158</v>
      </c>
      <c r="D1764" s="880" t="s">
        <v>40925</v>
      </c>
    </row>
    <row r="1765" spans="1:4" ht="13.5" x14ac:dyDescent="0.25">
      <c r="A1765" s="878" t="s">
        <v>6718</v>
      </c>
      <c r="B1765" s="878" t="s">
        <v>6719</v>
      </c>
      <c r="C1765" s="879" t="s">
        <v>226</v>
      </c>
      <c r="D1765" s="880" t="s">
        <v>40926</v>
      </c>
    </row>
    <row r="1766" spans="1:4" ht="13.5" x14ac:dyDescent="0.25">
      <c r="A1766" s="878" t="s">
        <v>6720</v>
      </c>
      <c r="B1766" s="878" t="s">
        <v>6721</v>
      </c>
      <c r="C1766" s="879" t="s">
        <v>158</v>
      </c>
      <c r="D1766" s="880" t="s">
        <v>40927</v>
      </c>
    </row>
    <row r="1767" spans="1:4" ht="13.5" x14ac:dyDescent="0.25">
      <c r="A1767" s="878" t="s">
        <v>6722</v>
      </c>
      <c r="B1767" s="878" t="s">
        <v>6723</v>
      </c>
      <c r="C1767" s="879" t="s">
        <v>226</v>
      </c>
      <c r="D1767" s="880" t="s">
        <v>40928</v>
      </c>
    </row>
    <row r="1768" spans="1:4" ht="13.5" x14ac:dyDescent="0.25">
      <c r="A1768" s="878" t="s">
        <v>6724</v>
      </c>
      <c r="B1768" s="878" t="s">
        <v>6725</v>
      </c>
      <c r="C1768" s="879" t="s">
        <v>158</v>
      </c>
      <c r="D1768" s="881" t="s">
        <v>40906</v>
      </c>
    </row>
    <row r="1769" spans="1:4" ht="13.5" x14ac:dyDescent="0.25">
      <c r="A1769" s="878" t="s">
        <v>6726</v>
      </c>
      <c r="B1769" s="878" t="s">
        <v>6727</v>
      </c>
      <c r="C1769" s="879" t="s">
        <v>226</v>
      </c>
      <c r="D1769" s="881" t="s">
        <v>40929</v>
      </c>
    </row>
    <row r="1770" spans="1:4" ht="13.5" x14ac:dyDescent="0.25">
      <c r="A1770" s="878" t="s">
        <v>6728</v>
      </c>
      <c r="B1770" s="878" t="s">
        <v>6729</v>
      </c>
      <c r="C1770" s="879" t="s">
        <v>158</v>
      </c>
      <c r="D1770" s="881" t="s">
        <v>40908</v>
      </c>
    </row>
    <row r="1771" spans="1:4" ht="13.5" x14ac:dyDescent="0.25">
      <c r="A1771" s="878" t="s">
        <v>6730</v>
      </c>
      <c r="B1771" s="878" t="s">
        <v>6731</v>
      </c>
      <c r="C1771" s="879" t="s">
        <v>226</v>
      </c>
      <c r="D1771" s="881" t="s">
        <v>40930</v>
      </c>
    </row>
    <row r="1772" spans="1:4" ht="13.5" x14ac:dyDescent="0.25">
      <c r="A1772" s="878" t="s">
        <v>6732</v>
      </c>
      <c r="B1772" s="878" t="s">
        <v>6733</v>
      </c>
      <c r="C1772" s="879" t="s">
        <v>158</v>
      </c>
      <c r="D1772" s="881" t="s">
        <v>40931</v>
      </c>
    </row>
    <row r="1773" spans="1:4" ht="13.5" x14ac:dyDescent="0.25">
      <c r="A1773" s="878" t="s">
        <v>6734</v>
      </c>
      <c r="B1773" s="878" t="s">
        <v>6735</v>
      </c>
      <c r="C1773" s="879" t="s">
        <v>226</v>
      </c>
      <c r="D1773" s="880" t="s">
        <v>40932</v>
      </c>
    </row>
    <row r="1774" spans="1:4" ht="13.5" x14ac:dyDescent="0.25">
      <c r="A1774" s="878" t="s">
        <v>6736</v>
      </c>
      <c r="B1774" s="878" t="s">
        <v>6737</v>
      </c>
      <c r="C1774" s="879" t="s">
        <v>226</v>
      </c>
      <c r="D1774" s="880" t="s">
        <v>40933</v>
      </c>
    </row>
    <row r="1775" spans="1:4" ht="13.5" x14ac:dyDescent="0.25">
      <c r="A1775" s="878" t="s">
        <v>6738</v>
      </c>
      <c r="B1775" s="878" t="s">
        <v>6739</v>
      </c>
      <c r="C1775" s="879" t="s">
        <v>226</v>
      </c>
      <c r="D1775" s="880" t="s">
        <v>40934</v>
      </c>
    </row>
    <row r="1776" spans="1:4" ht="13.5" x14ac:dyDescent="0.25">
      <c r="A1776" s="878" t="s">
        <v>6740</v>
      </c>
      <c r="B1776" s="878" t="s">
        <v>6741</v>
      </c>
      <c r="C1776" s="879" t="s">
        <v>226</v>
      </c>
      <c r="D1776" s="880" t="s">
        <v>40935</v>
      </c>
    </row>
    <row r="1777" spans="1:4" ht="13.5" x14ac:dyDescent="0.25">
      <c r="A1777" s="878" t="s">
        <v>6742</v>
      </c>
      <c r="B1777" s="878" t="s">
        <v>6743</v>
      </c>
      <c r="C1777" s="879" t="s">
        <v>226</v>
      </c>
      <c r="D1777" s="880" t="s">
        <v>40936</v>
      </c>
    </row>
    <row r="1778" spans="1:4" ht="13.5" x14ac:dyDescent="0.25">
      <c r="A1778" s="878" t="s">
        <v>6744</v>
      </c>
      <c r="B1778" s="878" t="s">
        <v>6745</v>
      </c>
      <c r="C1778" s="879" t="s">
        <v>226</v>
      </c>
      <c r="D1778" s="880" t="s">
        <v>40937</v>
      </c>
    </row>
    <row r="1779" spans="1:4" ht="13.5" x14ac:dyDescent="0.25">
      <c r="A1779" s="878" t="s">
        <v>6746</v>
      </c>
      <c r="B1779" s="878" t="s">
        <v>6747</v>
      </c>
      <c r="C1779" s="879" t="s">
        <v>226</v>
      </c>
      <c r="D1779" s="880" t="s">
        <v>40938</v>
      </c>
    </row>
    <row r="1780" spans="1:4" ht="13.5" x14ac:dyDescent="0.25">
      <c r="A1780" s="878" t="s">
        <v>6748</v>
      </c>
      <c r="B1780" s="878" t="s">
        <v>6749</v>
      </c>
      <c r="C1780" s="879" t="s">
        <v>226</v>
      </c>
      <c r="D1780" s="880" t="s">
        <v>40939</v>
      </c>
    </row>
    <row r="1781" spans="1:4" ht="13.5" x14ac:dyDescent="0.25">
      <c r="A1781" s="878" t="s">
        <v>6750</v>
      </c>
      <c r="B1781" s="878" t="s">
        <v>6751</v>
      </c>
      <c r="C1781" s="879" t="s">
        <v>226</v>
      </c>
      <c r="D1781" s="880" t="s">
        <v>40940</v>
      </c>
    </row>
    <row r="1782" spans="1:4" ht="13.5" x14ac:dyDescent="0.25">
      <c r="A1782" s="878" t="s">
        <v>6752</v>
      </c>
      <c r="B1782" s="878" t="s">
        <v>6753</v>
      </c>
      <c r="C1782" s="879" t="s">
        <v>226</v>
      </c>
      <c r="D1782" s="880" t="s">
        <v>40941</v>
      </c>
    </row>
    <row r="1783" spans="1:4" ht="13.5" x14ac:dyDescent="0.25">
      <c r="A1783" s="878" t="s">
        <v>6754</v>
      </c>
      <c r="B1783" s="878" t="s">
        <v>6755</v>
      </c>
      <c r="C1783" s="879" t="s">
        <v>158</v>
      </c>
      <c r="D1783" s="880" t="s">
        <v>40942</v>
      </c>
    </row>
    <row r="1784" spans="1:4" ht="13.5" x14ac:dyDescent="0.25">
      <c r="A1784" s="878" t="s">
        <v>6756</v>
      </c>
      <c r="B1784" s="878" t="s">
        <v>6757</v>
      </c>
      <c r="C1784" s="879" t="s">
        <v>158</v>
      </c>
      <c r="D1784" s="880" t="s">
        <v>40943</v>
      </c>
    </row>
    <row r="1785" spans="1:4" ht="13.5" x14ac:dyDescent="0.25">
      <c r="A1785" s="885" t="s">
        <v>6759</v>
      </c>
      <c r="B1785" s="885" t="s">
        <v>6760</v>
      </c>
      <c r="C1785" s="886" t="s">
        <v>158</v>
      </c>
      <c r="D1785" s="887" t="s">
        <v>40944</v>
      </c>
    </row>
    <row r="1786" spans="1:4" ht="13.5" x14ac:dyDescent="0.25">
      <c r="A1786" s="878" t="s">
        <v>6761</v>
      </c>
      <c r="B1786" s="878" t="s">
        <v>6762</v>
      </c>
      <c r="C1786" s="879" t="s">
        <v>158</v>
      </c>
      <c r="D1786" s="880" t="s">
        <v>40945</v>
      </c>
    </row>
    <row r="1787" spans="1:4" ht="13.5" x14ac:dyDescent="0.25">
      <c r="A1787" s="885" t="s">
        <v>6763</v>
      </c>
      <c r="B1787" s="885" t="s">
        <v>6764</v>
      </c>
      <c r="C1787" s="886" t="s">
        <v>158</v>
      </c>
      <c r="D1787" s="887" t="s">
        <v>40946</v>
      </c>
    </row>
    <row r="1788" spans="1:4" ht="13.5" x14ac:dyDescent="0.25">
      <c r="A1788" s="878" t="s">
        <v>6765</v>
      </c>
      <c r="B1788" s="878" t="s">
        <v>6766</v>
      </c>
      <c r="C1788" s="879" t="s">
        <v>158</v>
      </c>
      <c r="D1788" s="880" t="s">
        <v>30321</v>
      </c>
    </row>
    <row r="1789" spans="1:4" ht="13.5" x14ac:dyDescent="0.25">
      <c r="A1789" s="878" t="s">
        <v>6767</v>
      </c>
      <c r="B1789" s="878" t="s">
        <v>6768</v>
      </c>
      <c r="C1789" s="879" t="s">
        <v>158</v>
      </c>
      <c r="D1789" s="880" t="s">
        <v>31246</v>
      </c>
    </row>
    <row r="1790" spans="1:4" ht="13.5" x14ac:dyDescent="0.25">
      <c r="A1790" s="878" t="s">
        <v>6769</v>
      </c>
      <c r="B1790" s="878" t="s">
        <v>6770</v>
      </c>
      <c r="C1790" s="879" t="s">
        <v>158</v>
      </c>
      <c r="D1790" s="880" t="s">
        <v>40947</v>
      </c>
    </row>
    <row r="1791" spans="1:4" ht="13.5" x14ac:dyDescent="0.25">
      <c r="A1791" s="878" t="s">
        <v>6771</v>
      </c>
      <c r="B1791" s="878" t="s">
        <v>6772</v>
      </c>
      <c r="C1791" s="879" t="s">
        <v>158</v>
      </c>
      <c r="D1791" s="880" t="s">
        <v>40948</v>
      </c>
    </row>
    <row r="1792" spans="1:4" ht="13.5" x14ac:dyDescent="0.25">
      <c r="A1792" s="878" t="s">
        <v>6773</v>
      </c>
      <c r="B1792" s="878" t="s">
        <v>6774</v>
      </c>
      <c r="C1792" s="879" t="s">
        <v>158</v>
      </c>
      <c r="D1792" s="880" t="s">
        <v>40949</v>
      </c>
    </row>
    <row r="1793" spans="1:4" ht="13.5" x14ac:dyDescent="0.25">
      <c r="A1793" s="878" t="s">
        <v>6775</v>
      </c>
      <c r="B1793" s="878" t="s">
        <v>6776</v>
      </c>
      <c r="C1793" s="879" t="s">
        <v>158</v>
      </c>
      <c r="D1793" s="880" t="s">
        <v>31458</v>
      </c>
    </row>
    <row r="1794" spans="1:4" ht="13.5" x14ac:dyDescent="0.25">
      <c r="A1794" s="878" t="s">
        <v>6777</v>
      </c>
      <c r="B1794" s="878" t="s">
        <v>6778</v>
      </c>
      <c r="C1794" s="879" t="s">
        <v>158</v>
      </c>
      <c r="D1794" s="880" t="s">
        <v>40950</v>
      </c>
    </row>
    <row r="1795" spans="1:4" ht="13.5" x14ac:dyDescent="0.25">
      <c r="A1795" s="878" t="s">
        <v>6779</v>
      </c>
      <c r="B1795" s="878" t="s">
        <v>6780</v>
      </c>
      <c r="C1795" s="879" t="s">
        <v>158</v>
      </c>
      <c r="D1795" s="880" t="s">
        <v>31450</v>
      </c>
    </row>
    <row r="1796" spans="1:4" ht="13.5" x14ac:dyDescent="0.25">
      <c r="A1796" s="878" t="s">
        <v>6781</v>
      </c>
      <c r="B1796" s="878" t="s">
        <v>6782</v>
      </c>
      <c r="C1796" s="879" t="s">
        <v>158</v>
      </c>
      <c r="D1796" s="880" t="s">
        <v>10418</v>
      </c>
    </row>
    <row r="1797" spans="1:4" ht="13.5" x14ac:dyDescent="0.25">
      <c r="A1797" s="878" t="s">
        <v>6783</v>
      </c>
      <c r="B1797" s="878" t="s">
        <v>6784</v>
      </c>
      <c r="C1797" s="879" t="s">
        <v>158</v>
      </c>
      <c r="D1797" s="880" t="s">
        <v>40415</v>
      </c>
    </row>
    <row r="1798" spans="1:4" ht="13.5" x14ac:dyDescent="0.25">
      <c r="A1798" s="878" t="s">
        <v>6786</v>
      </c>
      <c r="B1798" s="878" t="s">
        <v>6787</v>
      </c>
      <c r="C1798" s="879" t="s">
        <v>158</v>
      </c>
      <c r="D1798" s="880" t="s">
        <v>30475</v>
      </c>
    </row>
    <row r="1799" spans="1:4" ht="13.5" x14ac:dyDescent="0.25">
      <c r="A1799" s="878" t="s">
        <v>6788</v>
      </c>
      <c r="B1799" s="878" t="s">
        <v>6789</v>
      </c>
      <c r="C1799" s="879" t="s">
        <v>158</v>
      </c>
      <c r="D1799" s="880" t="s">
        <v>40951</v>
      </c>
    </row>
    <row r="1800" spans="1:4" ht="13.5" x14ac:dyDescent="0.25">
      <c r="A1800" s="878" t="s">
        <v>6790</v>
      </c>
      <c r="B1800" s="878" t="s">
        <v>6791</v>
      </c>
      <c r="C1800" s="879" t="s">
        <v>158</v>
      </c>
      <c r="D1800" s="880" t="s">
        <v>40952</v>
      </c>
    </row>
    <row r="1801" spans="1:4" ht="13.5" x14ac:dyDescent="0.25">
      <c r="A1801" s="878" t="s">
        <v>6792</v>
      </c>
      <c r="B1801" s="878" t="s">
        <v>6793</v>
      </c>
      <c r="C1801" s="879" t="s">
        <v>158</v>
      </c>
      <c r="D1801" s="880" t="s">
        <v>30673</v>
      </c>
    </row>
    <row r="1802" spans="1:4" ht="13.5" x14ac:dyDescent="0.25">
      <c r="A1802" s="878" t="s">
        <v>6794</v>
      </c>
      <c r="B1802" s="878" t="s">
        <v>6795</v>
      </c>
      <c r="C1802" s="879" t="s">
        <v>158</v>
      </c>
      <c r="D1802" s="880" t="s">
        <v>40953</v>
      </c>
    </row>
    <row r="1803" spans="1:4" ht="13.5" x14ac:dyDescent="0.25">
      <c r="A1803" s="878" t="s">
        <v>6796</v>
      </c>
      <c r="B1803" s="878" t="s">
        <v>6797</v>
      </c>
      <c r="C1803" s="879" t="s">
        <v>158</v>
      </c>
      <c r="D1803" s="880" t="s">
        <v>40954</v>
      </c>
    </row>
    <row r="1804" spans="1:4" ht="13.5" x14ac:dyDescent="0.25">
      <c r="A1804" s="878" t="s">
        <v>6798</v>
      </c>
      <c r="B1804" s="878" t="s">
        <v>6799</v>
      </c>
      <c r="C1804" s="879" t="s">
        <v>158</v>
      </c>
      <c r="D1804" s="880" t="s">
        <v>40955</v>
      </c>
    </row>
    <row r="1805" spans="1:4" ht="13.5" x14ac:dyDescent="0.25">
      <c r="A1805" s="878" t="s">
        <v>6800</v>
      </c>
      <c r="B1805" s="878" t="s">
        <v>6801</v>
      </c>
      <c r="C1805" s="879" t="s">
        <v>158</v>
      </c>
      <c r="D1805" s="880" t="s">
        <v>31138</v>
      </c>
    </row>
    <row r="1806" spans="1:4" ht="13.5" x14ac:dyDescent="0.25">
      <c r="A1806" s="878" t="s">
        <v>6802</v>
      </c>
      <c r="B1806" s="878" t="s">
        <v>6803</v>
      </c>
      <c r="C1806" s="879" t="s">
        <v>158</v>
      </c>
      <c r="D1806" s="880" t="s">
        <v>40956</v>
      </c>
    </row>
    <row r="1807" spans="1:4" ht="13.5" x14ac:dyDescent="0.25">
      <c r="A1807" s="878" t="s">
        <v>6804</v>
      </c>
      <c r="B1807" s="878" t="s">
        <v>6805</v>
      </c>
      <c r="C1807" s="879" t="s">
        <v>158</v>
      </c>
      <c r="D1807" s="880" t="s">
        <v>30725</v>
      </c>
    </row>
    <row r="1808" spans="1:4" ht="13.5" x14ac:dyDescent="0.25">
      <c r="A1808" s="878" t="s">
        <v>6806</v>
      </c>
      <c r="B1808" s="878" t="s">
        <v>6807</v>
      </c>
      <c r="C1808" s="879" t="s">
        <v>158</v>
      </c>
      <c r="D1808" s="880" t="s">
        <v>31070</v>
      </c>
    </row>
    <row r="1809" spans="1:4" ht="13.5" x14ac:dyDescent="0.25">
      <c r="A1809" s="878" t="s">
        <v>6808</v>
      </c>
      <c r="B1809" s="878" t="s">
        <v>6809</v>
      </c>
      <c r="C1809" s="879" t="s">
        <v>158</v>
      </c>
      <c r="D1809" s="880" t="s">
        <v>31124</v>
      </c>
    </row>
    <row r="1810" spans="1:4" ht="13.5" x14ac:dyDescent="0.25">
      <c r="A1810" s="878" t="s">
        <v>6810</v>
      </c>
      <c r="B1810" s="878" t="s">
        <v>6811</v>
      </c>
      <c r="C1810" s="879" t="s">
        <v>158</v>
      </c>
      <c r="D1810" s="880" t="s">
        <v>40957</v>
      </c>
    </row>
    <row r="1811" spans="1:4" ht="13.5" x14ac:dyDescent="0.25">
      <c r="A1811" s="878" t="s">
        <v>6812</v>
      </c>
      <c r="B1811" s="878" t="s">
        <v>6813</v>
      </c>
      <c r="C1811" s="879" t="s">
        <v>158</v>
      </c>
      <c r="D1811" s="880" t="s">
        <v>40958</v>
      </c>
    </row>
    <row r="1812" spans="1:4" ht="13.5" x14ac:dyDescent="0.25">
      <c r="A1812" s="878" t="s">
        <v>6814</v>
      </c>
      <c r="B1812" s="878" t="s">
        <v>6815</v>
      </c>
      <c r="C1812" s="879" t="s">
        <v>158</v>
      </c>
      <c r="D1812" s="880" t="s">
        <v>40959</v>
      </c>
    </row>
    <row r="1813" spans="1:4" ht="13.5" x14ac:dyDescent="0.25">
      <c r="A1813" s="878" t="s">
        <v>6817</v>
      </c>
      <c r="B1813" s="878" t="s">
        <v>6818</v>
      </c>
      <c r="C1813" s="879" t="s">
        <v>158</v>
      </c>
      <c r="D1813" s="880" t="s">
        <v>40960</v>
      </c>
    </row>
    <row r="1814" spans="1:4" ht="13.5" x14ac:dyDescent="0.25">
      <c r="A1814" s="878" t="s">
        <v>6819</v>
      </c>
      <c r="B1814" s="878" t="s">
        <v>6820</v>
      </c>
      <c r="C1814" s="879" t="s">
        <v>158</v>
      </c>
      <c r="D1814" s="880" t="s">
        <v>9133</v>
      </c>
    </row>
    <row r="1815" spans="1:4" ht="13.5" x14ac:dyDescent="0.25">
      <c r="A1815" s="878" t="s">
        <v>29994</v>
      </c>
      <c r="B1815" s="878" t="s">
        <v>29995</v>
      </c>
      <c r="C1815" s="879" t="s">
        <v>158</v>
      </c>
      <c r="D1815" s="880" t="s">
        <v>40961</v>
      </c>
    </row>
    <row r="1816" spans="1:4" ht="13.5" x14ac:dyDescent="0.25">
      <c r="A1816" s="878" t="s">
        <v>29996</v>
      </c>
      <c r="B1816" s="878" t="s">
        <v>29997</v>
      </c>
      <c r="C1816" s="879" t="s">
        <v>158</v>
      </c>
      <c r="D1816" s="881" t="s">
        <v>40962</v>
      </c>
    </row>
    <row r="1817" spans="1:4" ht="13.5" x14ac:dyDescent="0.25">
      <c r="A1817" s="878" t="s">
        <v>29998</v>
      </c>
      <c r="B1817" s="878" t="s">
        <v>29999</v>
      </c>
      <c r="C1817" s="879" t="s">
        <v>158</v>
      </c>
      <c r="D1817" s="881" t="s">
        <v>40963</v>
      </c>
    </row>
    <row r="1818" spans="1:4" ht="13.5" x14ac:dyDescent="0.25">
      <c r="A1818" s="878" t="s">
        <v>30000</v>
      </c>
      <c r="B1818" s="878" t="s">
        <v>30001</v>
      </c>
      <c r="C1818" s="879" t="s">
        <v>158</v>
      </c>
      <c r="D1818" s="881" t="s">
        <v>40964</v>
      </c>
    </row>
    <row r="1819" spans="1:4" ht="13.5" x14ac:dyDescent="0.25">
      <c r="A1819" s="878" t="s">
        <v>30002</v>
      </c>
      <c r="B1819" s="878" t="s">
        <v>30003</v>
      </c>
      <c r="C1819" s="879" t="s">
        <v>227</v>
      </c>
      <c r="D1819" s="881" t="s">
        <v>30507</v>
      </c>
    </row>
    <row r="1820" spans="1:4" ht="13.5" x14ac:dyDescent="0.25">
      <c r="A1820" s="878" t="s">
        <v>6821</v>
      </c>
      <c r="B1820" s="878" t="s">
        <v>6822</v>
      </c>
      <c r="C1820" s="879" t="s">
        <v>227</v>
      </c>
      <c r="D1820" s="881" t="s">
        <v>40965</v>
      </c>
    </row>
    <row r="1821" spans="1:4" ht="13.5" x14ac:dyDescent="0.25">
      <c r="A1821" s="878" t="s">
        <v>6823</v>
      </c>
      <c r="B1821" s="878" t="s">
        <v>6824</v>
      </c>
      <c r="C1821" s="879" t="s">
        <v>6008</v>
      </c>
      <c r="D1821" s="881" t="s">
        <v>30960</v>
      </c>
    </row>
    <row r="1822" spans="1:4" ht="13.5" x14ac:dyDescent="0.25">
      <c r="A1822" s="878" t="s">
        <v>6825</v>
      </c>
      <c r="B1822" s="878" t="s">
        <v>6826</v>
      </c>
      <c r="C1822" s="879" t="s">
        <v>6008</v>
      </c>
      <c r="D1822" s="881" t="s">
        <v>5317</v>
      </c>
    </row>
    <row r="1823" spans="1:4" ht="13.5" x14ac:dyDescent="0.25">
      <c r="A1823" s="878" t="s">
        <v>6828</v>
      </c>
      <c r="B1823" s="878" t="s">
        <v>6829</v>
      </c>
      <c r="C1823" s="879" t="s">
        <v>6008</v>
      </c>
      <c r="D1823" s="881" t="s">
        <v>10775</v>
      </c>
    </row>
    <row r="1824" spans="1:4" ht="13.5" x14ac:dyDescent="0.25">
      <c r="A1824" s="878" t="s">
        <v>6831</v>
      </c>
      <c r="B1824" s="878" t="s">
        <v>6832</v>
      </c>
      <c r="C1824" s="879" t="s">
        <v>6008</v>
      </c>
      <c r="D1824" s="881" t="s">
        <v>40966</v>
      </c>
    </row>
    <row r="1825" spans="1:4" ht="13.5" x14ac:dyDescent="0.25">
      <c r="A1825" s="878" t="s">
        <v>6833</v>
      </c>
      <c r="B1825" s="878" t="s">
        <v>6834</v>
      </c>
      <c r="C1825" s="879" t="s">
        <v>6008</v>
      </c>
      <c r="D1825" s="881" t="s">
        <v>30462</v>
      </c>
    </row>
    <row r="1826" spans="1:4" ht="13.5" x14ac:dyDescent="0.25">
      <c r="A1826" s="878" t="s">
        <v>6836</v>
      </c>
      <c r="B1826" s="878" t="s">
        <v>6837</v>
      </c>
      <c r="C1826" s="879" t="s">
        <v>6008</v>
      </c>
      <c r="D1826" s="881" t="s">
        <v>40967</v>
      </c>
    </row>
    <row r="1827" spans="1:4" ht="13.5" x14ac:dyDescent="0.25">
      <c r="A1827" s="878" t="s">
        <v>6839</v>
      </c>
      <c r="B1827" s="878" t="s">
        <v>6840</v>
      </c>
      <c r="C1827" s="879" t="s">
        <v>6008</v>
      </c>
      <c r="D1827" s="881" t="s">
        <v>11881</v>
      </c>
    </row>
    <row r="1828" spans="1:4" ht="13.5" x14ac:dyDescent="0.25">
      <c r="A1828" s="878" t="s">
        <v>6841</v>
      </c>
      <c r="B1828" s="878" t="s">
        <v>6842</v>
      </c>
      <c r="C1828" s="879" t="s">
        <v>6008</v>
      </c>
      <c r="D1828" s="881" t="s">
        <v>40968</v>
      </c>
    </row>
    <row r="1829" spans="1:4" ht="13.5" x14ac:dyDescent="0.25">
      <c r="A1829" s="878" t="s">
        <v>6844</v>
      </c>
      <c r="B1829" s="878" t="s">
        <v>6845</v>
      </c>
      <c r="C1829" s="879" t="s">
        <v>159</v>
      </c>
      <c r="D1829" s="881" t="s">
        <v>30510</v>
      </c>
    </row>
    <row r="1830" spans="1:4" ht="13.5" x14ac:dyDescent="0.25">
      <c r="A1830" s="878" t="s">
        <v>6846</v>
      </c>
      <c r="B1830" s="878" t="s">
        <v>6847</v>
      </c>
      <c r="C1830" s="879" t="s">
        <v>226</v>
      </c>
      <c r="D1830" s="881" t="s">
        <v>40969</v>
      </c>
    </row>
    <row r="1831" spans="1:4" ht="13.5" x14ac:dyDescent="0.25">
      <c r="A1831" s="878" t="s">
        <v>6848</v>
      </c>
      <c r="B1831" s="878" t="s">
        <v>6849</v>
      </c>
      <c r="C1831" s="879" t="s">
        <v>226</v>
      </c>
      <c r="D1831" s="881" t="s">
        <v>40970</v>
      </c>
    </row>
    <row r="1832" spans="1:4" ht="13.5" x14ac:dyDescent="0.25">
      <c r="A1832" s="878" t="s">
        <v>6850</v>
      </c>
      <c r="B1832" s="878" t="s">
        <v>6851</v>
      </c>
      <c r="C1832" s="879" t="s">
        <v>226</v>
      </c>
      <c r="D1832" s="881" t="s">
        <v>40971</v>
      </c>
    </row>
    <row r="1833" spans="1:4" ht="13.5" x14ac:dyDescent="0.25">
      <c r="A1833" s="878" t="s">
        <v>6852</v>
      </c>
      <c r="B1833" s="878" t="s">
        <v>6853</v>
      </c>
      <c r="C1833" s="879" t="s">
        <v>226</v>
      </c>
      <c r="D1833" s="881" t="s">
        <v>40972</v>
      </c>
    </row>
    <row r="1834" spans="1:4" ht="13.5" x14ac:dyDescent="0.25">
      <c r="A1834" s="878" t="s">
        <v>6854</v>
      </c>
      <c r="B1834" s="878" t="s">
        <v>6855</v>
      </c>
      <c r="C1834" s="879" t="s">
        <v>226</v>
      </c>
      <c r="D1834" s="881" t="s">
        <v>40973</v>
      </c>
    </row>
    <row r="1835" spans="1:4" ht="13.5" x14ac:dyDescent="0.25">
      <c r="A1835" s="878" t="s">
        <v>6856</v>
      </c>
      <c r="B1835" s="878" t="s">
        <v>6857</v>
      </c>
      <c r="C1835" s="879" t="s">
        <v>226</v>
      </c>
      <c r="D1835" s="881" t="s">
        <v>40974</v>
      </c>
    </row>
    <row r="1836" spans="1:4" ht="13.5" x14ac:dyDescent="0.25">
      <c r="A1836" s="878" t="s">
        <v>6858</v>
      </c>
      <c r="B1836" s="878" t="s">
        <v>6859</v>
      </c>
      <c r="C1836" s="879" t="s">
        <v>226</v>
      </c>
      <c r="D1836" s="881" t="s">
        <v>40975</v>
      </c>
    </row>
    <row r="1837" spans="1:4" ht="13.5" x14ac:dyDescent="0.25">
      <c r="A1837" s="878" t="s">
        <v>6860</v>
      </c>
      <c r="B1837" s="878" t="s">
        <v>6861</v>
      </c>
      <c r="C1837" s="879" t="s">
        <v>226</v>
      </c>
      <c r="D1837" s="881" t="s">
        <v>40976</v>
      </c>
    </row>
    <row r="1838" spans="1:4" ht="13.5" x14ac:dyDescent="0.25">
      <c r="A1838" s="878" t="s">
        <v>6862</v>
      </c>
      <c r="B1838" s="878" t="s">
        <v>6863</v>
      </c>
      <c r="C1838" s="879" t="s">
        <v>226</v>
      </c>
      <c r="D1838" s="881" t="s">
        <v>40977</v>
      </c>
    </row>
    <row r="1839" spans="1:4" ht="13.5" x14ac:dyDescent="0.25">
      <c r="A1839" s="878" t="s">
        <v>6864</v>
      </c>
      <c r="B1839" s="878" t="s">
        <v>6865</v>
      </c>
      <c r="C1839" s="879" t="s">
        <v>226</v>
      </c>
      <c r="D1839" s="881" t="s">
        <v>40978</v>
      </c>
    </row>
    <row r="1840" spans="1:4" ht="13.5" x14ac:dyDescent="0.25">
      <c r="A1840" s="878" t="s">
        <v>6866</v>
      </c>
      <c r="B1840" s="878" t="s">
        <v>6867</v>
      </c>
      <c r="C1840" s="879" t="s">
        <v>226</v>
      </c>
      <c r="D1840" s="881" t="s">
        <v>40979</v>
      </c>
    </row>
    <row r="1841" spans="1:4" ht="13.5" x14ac:dyDescent="0.25">
      <c r="A1841" s="878" t="s">
        <v>6868</v>
      </c>
      <c r="B1841" s="878" t="s">
        <v>6869</v>
      </c>
      <c r="C1841" s="879" t="s">
        <v>226</v>
      </c>
      <c r="D1841" s="881" t="s">
        <v>40980</v>
      </c>
    </row>
    <row r="1842" spans="1:4" ht="13.5" x14ac:dyDescent="0.25">
      <c r="A1842" s="878" t="s">
        <v>6870</v>
      </c>
      <c r="B1842" s="878" t="s">
        <v>6871</v>
      </c>
      <c r="C1842" s="879" t="s">
        <v>226</v>
      </c>
      <c r="D1842" s="881" t="s">
        <v>40981</v>
      </c>
    </row>
    <row r="1843" spans="1:4" ht="13.5" x14ac:dyDescent="0.25">
      <c r="A1843" s="878" t="s">
        <v>6872</v>
      </c>
      <c r="B1843" s="878" t="s">
        <v>6873</v>
      </c>
      <c r="C1843" s="879" t="s">
        <v>226</v>
      </c>
      <c r="D1843" s="881" t="s">
        <v>40982</v>
      </c>
    </row>
    <row r="1844" spans="1:4" ht="13.5" x14ac:dyDescent="0.25">
      <c r="A1844" s="878" t="s">
        <v>6874</v>
      </c>
      <c r="B1844" s="878" t="s">
        <v>6875</v>
      </c>
      <c r="C1844" s="879" t="s">
        <v>226</v>
      </c>
      <c r="D1844" s="881" t="s">
        <v>40983</v>
      </c>
    </row>
    <row r="1845" spans="1:4" ht="13.5" x14ac:dyDescent="0.25">
      <c r="A1845" s="878" t="s">
        <v>6876</v>
      </c>
      <c r="B1845" s="878" t="s">
        <v>6877</v>
      </c>
      <c r="C1845" s="879" t="s">
        <v>226</v>
      </c>
      <c r="D1845" s="881" t="s">
        <v>40984</v>
      </c>
    </row>
    <row r="1846" spans="1:4" ht="13.5" x14ac:dyDescent="0.25">
      <c r="A1846" s="878" t="s">
        <v>6878</v>
      </c>
      <c r="B1846" s="878" t="s">
        <v>6879</v>
      </c>
      <c r="C1846" s="879" t="s">
        <v>226</v>
      </c>
      <c r="D1846" s="881" t="s">
        <v>40985</v>
      </c>
    </row>
    <row r="1847" spans="1:4" ht="13.5" x14ac:dyDescent="0.25">
      <c r="A1847" s="878" t="s">
        <v>6880</v>
      </c>
      <c r="B1847" s="878" t="s">
        <v>6881</v>
      </c>
      <c r="C1847" s="879" t="s">
        <v>226</v>
      </c>
      <c r="D1847" s="881" t="s">
        <v>40986</v>
      </c>
    </row>
    <row r="1848" spans="1:4" ht="13.5" x14ac:dyDescent="0.25">
      <c r="A1848" s="882" t="s">
        <v>6882</v>
      </c>
      <c r="B1848" s="882" t="s">
        <v>6883</v>
      </c>
      <c r="C1848" s="883" t="s">
        <v>226</v>
      </c>
      <c r="D1848" s="884" t="s">
        <v>40987</v>
      </c>
    </row>
    <row r="1849" spans="1:4" ht="13.5" x14ac:dyDescent="0.25">
      <c r="A1849" s="878" t="s">
        <v>6884</v>
      </c>
      <c r="B1849" s="878" t="s">
        <v>6885</v>
      </c>
      <c r="C1849" s="879" t="s">
        <v>226</v>
      </c>
      <c r="D1849" s="881" t="s">
        <v>40988</v>
      </c>
    </row>
    <row r="1850" spans="1:4" ht="13.5" x14ac:dyDescent="0.25">
      <c r="A1850" s="878" t="s">
        <v>6886</v>
      </c>
      <c r="B1850" s="878" t="s">
        <v>6887</v>
      </c>
      <c r="C1850" s="879" t="s">
        <v>226</v>
      </c>
      <c r="D1850" s="881" t="s">
        <v>40989</v>
      </c>
    </row>
    <row r="1851" spans="1:4" ht="13.5" x14ac:dyDescent="0.25">
      <c r="A1851" s="878" t="s">
        <v>6888</v>
      </c>
      <c r="B1851" s="878" t="s">
        <v>6889</v>
      </c>
      <c r="C1851" s="879" t="s">
        <v>226</v>
      </c>
      <c r="D1851" s="881" t="s">
        <v>40990</v>
      </c>
    </row>
    <row r="1852" spans="1:4" ht="13.5" x14ac:dyDescent="0.25">
      <c r="A1852" s="878" t="s">
        <v>6890</v>
      </c>
      <c r="B1852" s="878" t="s">
        <v>6891</v>
      </c>
      <c r="C1852" s="879" t="s">
        <v>226</v>
      </c>
      <c r="D1852" s="881" t="s">
        <v>40991</v>
      </c>
    </row>
    <row r="1853" spans="1:4" ht="13.5" x14ac:dyDescent="0.25">
      <c r="A1853" s="878" t="s">
        <v>6892</v>
      </c>
      <c r="B1853" s="878" t="s">
        <v>6893</v>
      </c>
      <c r="C1853" s="879" t="s">
        <v>226</v>
      </c>
      <c r="D1853" s="881" t="s">
        <v>40992</v>
      </c>
    </row>
    <row r="1854" spans="1:4" ht="13.5" x14ac:dyDescent="0.25">
      <c r="A1854" s="878" t="s">
        <v>6894</v>
      </c>
      <c r="B1854" s="878" t="s">
        <v>6895</v>
      </c>
      <c r="C1854" s="879" t="s">
        <v>226</v>
      </c>
      <c r="D1854" s="881" t="s">
        <v>40993</v>
      </c>
    </row>
    <row r="1855" spans="1:4" ht="13.5" x14ac:dyDescent="0.25">
      <c r="A1855" s="878" t="s">
        <v>6896</v>
      </c>
      <c r="B1855" s="878" t="s">
        <v>6897</v>
      </c>
      <c r="C1855" s="879" t="s">
        <v>226</v>
      </c>
      <c r="D1855" s="881" t="s">
        <v>40994</v>
      </c>
    </row>
    <row r="1856" spans="1:4" ht="13.5" x14ac:dyDescent="0.25">
      <c r="A1856" s="878" t="s">
        <v>6898</v>
      </c>
      <c r="B1856" s="878" t="s">
        <v>6899</v>
      </c>
      <c r="C1856" s="879" t="s">
        <v>226</v>
      </c>
      <c r="D1856" s="881" t="s">
        <v>40995</v>
      </c>
    </row>
    <row r="1857" spans="1:4" ht="13.5" x14ac:dyDescent="0.25">
      <c r="A1857" s="878" t="s">
        <v>6900</v>
      </c>
      <c r="B1857" s="878" t="s">
        <v>6901</v>
      </c>
      <c r="C1857" s="879" t="s">
        <v>226</v>
      </c>
      <c r="D1857" s="881" t="s">
        <v>40996</v>
      </c>
    </row>
    <row r="1858" spans="1:4" ht="13.5" x14ac:dyDescent="0.25">
      <c r="A1858" s="878" t="s">
        <v>6902</v>
      </c>
      <c r="B1858" s="878" t="s">
        <v>6903</v>
      </c>
      <c r="C1858" s="879" t="s">
        <v>226</v>
      </c>
      <c r="D1858" s="881" t="s">
        <v>40997</v>
      </c>
    </row>
    <row r="1859" spans="1:4" ht="13.5" x14ac:dyDescent="0.25">
      <c r="A1859" s="878" t="s">
        <v>6904</v>
      </c>
      <c r="B1859" s="878" t="s">
        <v>6905</v>
      </c>
      <c r="C1859" s="879" t="s">
        <v>226</v>
      </c>
      <c r="D1859" s="881" t="s">
        <v>40998</v>
      </c>
    </row>
    <row r="1860" spans="1:4" ht="13.5" x14ac:dyDescent="0.25">
      <c r="A1860" s="1157" t="s">
        <v>6906</v>
      </c>
      <c r="B1860" s="1157" t="s">
        <v>6907</v>
      </c>
      <c r="C1860" s="1158" t="s">
        <v>226</v>
      </c>
      <c r="D1860" s="1190" t="s">
        <v>40999</v>
      </c>
    </row>
    <row r="1861" spans="1:4" ht="13.5" x14ac:dyDescent="0.25">
      <c r="A1861" s="878" t="s">
        <v>6908</v>
      </c>
      <c r="B1861" s="878" t="s">
        <v>6909</v>
      </c>
      <c r="C1861" s="879" t="s">
        <v>226</v>
      </c>
      <c r="D1861" s="881" t="s">
        <v>41000</v>
      </c>
    </row>
    <row r="1862" spans="1:4" ht="13.5" x14ac:dyDescent="0.25">
      <c r="A1862" s="878" t="s">
        <v>6910</v>
      </c>
      <c r="B1862" s="878" t="s">
        <v>6911</v>
      </c>
      <c r="C1862" s="879" t="s">
        <v>226</v>
      </c>
      <c r="D1862" s="881" t="s">
        <v>41001</v>
      </c>
    </row>
    <row r="1863" spans="1:4" ht="13.5" x14ac:dyDescent="0.25">
      <c r="A1863" s="878" t="s">
        <v>6912</v>
      </c>
      <c r="B1863" s="878" t="s">
        <v>6913</v>
      </c>
      <c r="C1863" s="879" t="s">
        <v>226</v>
      </c>
      <c r="D1863" s="881" t="s">
        <v>41002</v>
      </c>
    </row>
    <row r="1864" spans="1:4" ht="13.5" x14ac:dyDescent="0.25">
      <c r="A1864" s="878" t="s">
        <v>6914</v>
      </c>
      <c r="B1864" s="878" t="s">
        <v>6915</v>
      </c>
      <c r="C1864" s="879" t="s">
        <v>226</v>
      </c>
      <c r="D1864" s="881" t="s">
        <v>41003</v>
      </c>
    </row>
    <row r="1865" spans="1:4" ht="13.5" x14ac:dyDescent="0.25">
      <c r="A1865" s="878" t="s">
        <v>6916</v>
      </c>
      <c r="B1865" s="878" t="s">
        <v>6917</v>
      </c>
      <c r="C1865" s="879" t="s">
        <v>226</v>
      </c>
      <c r="D1865" s="881" t="s">
        <v>41004</v>
      </c>
    </row>
    <row r="1866" spans="1:4" ht="13.5" x14ac:dyDescent="0.25">
      <c r="A1866" s="878" t="s">
        <v>6918</v>
      </c>
      <c r="B1866" s="878" t="s">
        <v>6919</v>
      </c>
      <c r="C1866" s="879" t="s">
        <v>226</v>
      </c>
      <c r="D1866" s="881" t="s">
        <v>41005</v>
      </c>
    </row>
    <row r="1867" spans="1:4" ht="13.5" x14ac:dyDescent="0.25">
      <c r="A1867" s="878" t="s">
        <v>6920</v>
      </c>
      <c r="B1867" s="878" t="s">
        <v>6921</v>
      </c>
      <c r="C1867" s="879" t="s">
        <v>226</v>
      </c>
      <c r="D1867" s="881" t="s">
        <v>41005</v>
      </c>
    </row>
    <row r="1868" spans="1:4" ht="13.5" x14ac:dyDescent="0.25">
      <c r="A1868" s="878" t="s">
        <v>6922</v>
      </c>
      <c r="B1868" s="878" t="s">
        <v>6923</v>
      </c>
      <c r="C1868" s="879" t="s">
        <v>226</v>
      </c>
      <c r="D1868" s="881" t="s">
        <v>41006</v>
      </c>
    </row>
    <row r="1869" spans="1:4" ht="13.5" x14ac:dyDescent="0.25">
      <c r="A1869" s="878" t="s">
        <v>6924</v>
      </c>
      <c r="B1869" s="878" t="s">
        <v>6925</v>
      </c>
      <c r="C1869" s="879" t="s">
        <v>226</v>
      </c>
      <c r="D1869" s="881" t="s">
        <v>41006</v>
      </c>
    </row>
    <row r="1870" spans="1:4" ht="13.5" x14ac:dyDescent="0.25">
      <c r="A1870" s="878" t="s">
        <v>6926</v>
      </c>
      <c r="B1870" s="878" t="s">
        <v>6927</v>
      </c>
      <c r="C1870" s="879" t="s">
        <v>226</v>
      </c>
      <c r="D1870" s="881" t="s">
        <v>41007</v>
      </c>
    </row>
    <row r="1871" spans="1:4" ht="13.5" x14ac:dyDescent="0.25">
      <c r="A1871" s="878" t="s">
        <v>6928</v>
      </c>
      <c r="B1871" s="878" t="s">
        <v>6929</v>
      </c>
      <c r="C1871" s="879" t="s">
        <v>226</v>
      </c>
      <c r="D1871" s="881" t="s">
        <v>41008</v>
      </c>
    </row>
    <row r="1872" spans="1:4" ht="13.5" x14ac:dyDescent="0.25">
      <c r="A1872" s="878" t="s">
        <v>6930</v>
      </c>
      <c r="B1872" s="878" t="s">
        <v>6931</v>
      </c>
      <c r="C1872" s="879" t="s">
        <v>226</v>
      </c>
      <c r="D1872" s="881" t="s">
        <v>41005</v>
      </c>
    </row>
    <row r="1873" spans="1:4" ht="13.5" x14ac:dyDescent="0.25">
      <c r="A1873" s="878" t="s">
        <v>6932</v>
      </c>
      <c r="B1873" s="878" t="s">
        <v>6933</v>
      </c>
      <c r="C1873" s="879" t="s">
        <v>226</v>
      </c>
      <c r="D1873" s="881" t="s">
        <v>41009</v>
      </c>
    </row>
    <row r="1874" spans="1:4" ht="13.5" x14ac:dyDescent="0.25">
      <c r="A1874" s="878" t="s">
        <v>6934</v>
      </c>
      <c r="B1874" s="878" t="s">
        <v>6935</v>
      </c>
      <c r="C1874" s="879" t="s">
        <v>226</v>
      </c>
      <c r="D1874" s="881" t="s">
        <v>41010</v>
      </c>
    </row>
    <row r="1875" spans="1:4" ht="13.5" x14ac:dyDescent="0.25">
      <c r="A1875" s="878" t="s">
        <v>6936</v>
      </c>
      <c r="B1875" s="878" t="s">
        <v>6937</v>
      </c>
      <c r="C1875" s="879" t="s">
        <v>226</v>
      </c>
      <c r="D1875" s="881" t="s">
        <v>41011</v>
      </c>
    </row>
    <row r="1876" spans="1:4" ht="13.5" x14ac:dyDescent="0.25">
      <c r="A1876" s="878" t="s">
        <v>6938</v>
      </c>
      <c r="B1876" s="878" t="s">
        <v>6939</v>
      </c>
      <c r="C1876" s="879" t="s">
        <v>226</v>
      </c>
      <c r="D1876" s="881" t="s">
        <v>41012</v>
      </c>
    </row>
    <row r="1877" spans="1:4" ht="13.5" x14ac:dyDescent="0.25">
      <c r="A1877" s="878" t="s">
        <v>6940</v>
      </c>
      <c r="B1877" s="878" t="s">
        <v>6941</v>
      </c>
      <c r="C1877" s="879" t="s">
        <v>226</v>
      </c>
      <c r="D1877" s="881" t="s">
        <v>41013</v>
      </c>
    </row>
    <row r="1878" spans="1:4" ht="13.5" x14ac:dyDescent="0.25">
      <c r="A1878" s="878" t="s">
        <v>6942</v>
      </c>
      <c r="B1878" s="878" t="s">
        <v>6943</v>
      </c>
      <c r="C1878" s="879" t="s">
        <v>226</v>
      </c>
      <c r="D1878" s="881" t="s">
        <v>41009</v>
      </c>
    </row>
    <row r="1879" spans="1:4" ht="13.5" x14ac:dyDescent="0.25">
      <c r="A1879" s="878" t="s">
        <v>6944</v>
      </c>
      <c r="B1879" s="878" t="s">
        <v>6945</v>
      </c>
      <c r="C1879" s="879" t="s">
        <v>226</v>
      </c>
      <c r="D1879" s="881" t="s">
        <v>41014</v>
      </c>
    </row>
    <row r="1880" spans="1:4" ht="13.5" x14ac:dyDescent="0.25">
      <c r="A1880" s="878" t="s">
        <v>6946</v>
      </c>
      <c r="B1880" s="878" t="s">
        <v>6947</v>
      </c>
      <c r="C1880" s="879" t="s">
        <v>226</v>
      </c>
      <c r="D1880" s="881" t="s">
        <v>41011</v>
      </c>
    </row>
    <row r="1881" spans="1:4" ht="13.5" x14ac:dyDescent="0.25">
      <c r="A1881" s="878" t="s">
        <v>6948</v>
      </c>
      <c r="B1881" s="878" t="s">
        <v>6949</v>
      </c>
      <c r="C1881" s="879" t="s">
        <v>226</v>
      </c>
      <c r="D1881" s="880" t="s">
        <v>41015</v>
      </c>
    </row>
    <row r="1882" spans="1:4" ht="13.5" x14ac:dyDescent="0.25">
      <c r="A1882" s="878" t="s">
        <v>6950</v>
      </c>
      <c r="B1882" s="878" t="s">
        <v>6951</v>
      </c>
      <c r="C1882" s="879" t="s">
        <v>226</v>
      </c>
      <c r="D1882" s="880" t="s">
        <v>41016</v>
      </c>
    </row>
    <row r="1883" spans="1:4" ht="13.5" x14ac:dyDescent="0.25">
      <c r="A1883" s="878" t="s">
        <v>6952</v>
      </c>
      <c r="B1883" s="878" t="s">
        <v>6953</v>
      </c>
      <c r="C1883" s="879" t="s">
        <v>226</v>
      </c>
      <c r="D1883" s="880" t="s">
        <v>41017</v>
      </c>
    </row>
    <row r="1884" spans="1:4" ht="13.5" x14ac:dyDescent="0.25">
      <c r="A1884" s="878" t="s">
        <v>6954</v>
      </c>
      <c r="B1884" s="878" t="s">
        <v>6955</v>
      </c>
      <c r="C1884" s="879" t="s">
        <v>226</v>
      </c>
      <c r="D1884" s="880" t="s">
        <v>41018</v>
      </c>
    </row>
    <row r="1885" spans="1:4" ht="13.5" x14ac:dyDescent="0.25">
      <c r="A1885" s="878" t="s">
        <v>6956</v>
      </c>
      <c r="B1885" s="878" t="s">
        <v>6957</v>
      </c>
      <c r="C1885" s="879" t="s">
        <v>226</v>
      </c>
      <c r="D1885" s="880" t="s">
        <v>41019</v>
      </c>
    </row>
    <row r="1886" spans="1:4" ht="13.5" x14ac:dyDescent="0.25">
      <c r="A1886" s="878" t="s">
        <v>6958</v>
      </c>
      <c r="B1886" s="878" t="s">
        <v>6959</v>
      </c>
      <c r="C1886" s="879" t="s">
        <v>226</v>
      </c>
      <c r="D1886" s="880" t="s">
        <v>41020</v>
      </c>
    </row>
    <row r="1887" spans="1:4" ht="13.5" x14ac:dyDescent="0.25">
      <c r="A1887" s="878" t="s">
        <v>6960</v>
      </c>
      <c r="B1887" s="878" t="s">
        <v>6961</v>
      </c>
      <c r="C1887" s="879" t="s">
        <v>226</v>
      </c>
      <c r="D1887" s="880" t="s">
        <v>41021</v>
      </c>
    </row>
    <row r="1888" spans="1:4" ht="13.5" x14ac:dyDescent="0.25">
      <c r="A1888" s="878" t="s">
        <v>6962</v>
      </c>
      <c r="B1888" s="878" t="s">
        <v>6963</v>
      </c>
      <c r="C1888" s="879" t="s">
        <v>226</v>
      </c>
      <c r="D1888" s="880" t="s">
        <v>41022</v>
      </c>
    </row>
    <row r="1889" spans="1:4" ht="13.5" x14ac:dyDescent="0.25">
      <c r="A1889" s="878" t="s">
        <v>6964</v>
      </c>
      <c r="B1889" s="878" t="s">
        <v>6965</v>
      </c>
      <c r="C1889" s="879" t="s">
        <v>226</v>
      </c>
      <c r="D1889" s="880" t="s">
        <v>41023</v>
      </c>
    </row>
    <row r="1890" spans="1:4" ht="13.5" x14ac:dyDescent="0.25">
      <c r="A1890" s="878" t="s">
        <v>6966</v>
      </c>
      <c r="B1890" s="878" t="s">
        <v>6967</v>
      </c>
      <c r="C1890" s="879" t="s">
        <v>226</v>
      </c>
      <c r="D1890" s="880" t="s">
        <v>41024</v>
      </c>
    </row>
    <row r="1891" spans="1:4" ht="13.5" x14ac:dyDescent="0.25">
      <c r="A1891" s="878" t="s">
        <v>6968</v>
      </c>
      <c r="B1891" s="878" t="s">
        <v>6969</v>
      </c>
      <c r="C1891" s="879" t="s">
        <v>226</v>
      </c>
      <c r="D1891" s="880" t="s">
        <v>41025</v>
      </c>
    </row>
    <row r="1892" spans="1:4" ht="13.5" x14ac:dyDescent="0.25">
      <c r="A1892" s="878" t="s">
        <v>6970</v>
      </c>
      <c r="B1892" s="878" t="s">
        <v>6971</v>
      </c>
      <c r="C1892" s="879" t="s">
        <v>226</v>
      </c>
      <c r="D1892" s="880" t="s">
        <v>41026</v>
      </c>
    </row>
    <row r="1893" spans="1:4" ht="13.5" x14ac:dyDescent="0.25">
      <c r="A1893" s="878" t="s">
        <v>6972</v>
      </c>
      <c r="B1893" s="878" t="s">
        <v>6973</v>
      </c>
      <c r="C1893" s="879" t="s">
        <v>226</v>
      </c>
      <c r="D1893" s="880" t="s">
        <v>41027</v>
      </c>
    </row>
    <row r="1894" spans="1:4" ht="13.5" x14ac:dyDescent="0.25">
      <c r="A1894" s="878" t="s">
        <v>6974</v>
      </c>
      <c r="B1894" s="878" t="s">
        <v>6975</v>
      </c>
      <c r="C1894" s="879" t="s">
        <v>226</v>
      </c>
      <c r="D1894" s="880" t="s">
        <v>41028</v>
      </c>
    </row>
    <row r="1895" spans="1:4" ht="13.5" x14ac:dyDescent="0.25">
      <c r="A1895" s="878" t="s">
        <v>6976</v>
      </c>
      <c r="B1895" s="878" t="s">
        <v>6977</v>
      </c>
      <c r="C1895" s="879" t="s">
        <v>226</v>
      </c>
      <c r="D1895" s="880" t="s">
        <v>41029</v>
      </c>
    </row>
    <row r="1896" spans="1:4" ht="13.5" x14ac:dyDescent="0.25">
      <c r="A1896" s="878" t="s">
        <v>6978</v>
      </c>
      <c r="B1896" s="878" t="s">
        <v>6979</v>
      </c>
      <c r="C1896" s="879" t="s">
        <v>227</v>
      </c>
      <c r="D1896" s="880" t="s">
        <v>30511</v>
      </c>
    </row>
    <row r="1897" spans="1:4" ht="13.5" x14ac:dyDescent="0.25">
      <c r="A1897" s="878" t="s">
        <v>6980</v>
      </c>
      <c r="B1897" s="878" t="s">
        <v>6981</v>
      </c>
      <c r="C1897" s="879" t="s">
        <v>227</v>
      </c>
      <c r="D1897" s="880" t="s">
        <v>30512</v>
      </c>
    </row>
    <row r="1898" spans="1:4" ht="13.5" x14ac:dyDescent="0.25">
      <c r="A1898" s="878" t="s">
        <v>6982</v>
      </c>
      <c r="B1898" s="878" t="s">
        <v>6983</v>
      </c>
      <c r="C1898" s="879" t="s">
        <v>227</v>
      </c>
      <c r="D1898" s="880" t="s">
        <v>30513</v>
      </c>
    </row>
    <row r="1899" spans="1:4" ht="13.5" x14ac:dyDescent="0.25">
      <c r="A1899" s="878" t="s">
        <v>6985</v>
      </c>
      <c r="B1899" s="878" t="s">
        <v>6986</v>
      </c>
      <c r="C1899" s="879" t="s">
        <v>227</v>
      </c>
      <c r="D1899" s="880" t="s">
        <v>30282</v>
      </c>
    </row>
    <row r="1900" spans="1:4" ht="13.5" x14ac:dyDescent="0.25">
      <c r="A1900" s="878" t="s">
        <v>6987</v>
      </c>
      <c r="B1900" s="878" t="s">
        <v>6988</v>
      </c>
      <c r="C1900" s="879" t="s">
        <v>227</v>
      </c>
      <c r="D1900" s="880" t="s">
        <v>30514</v>
      </c>
    </row>
    <row r="1901" spans="1:4" ht="13.5" x14ac:dyDescent="0.25">
      <c r="A1901" s="878" t="s">
        <v>6990</v>
      </c>
      <c r="B1901" s="878" t="s">
        <v>6991</v>
      </c>
      <c r="C1901" s="879" t="s">
        <v>227</v>
      </c>
      <c r="D1901" s="880" t="s">
        <v>5295</v>
      </c>
    </row>
    <row r="1902" spans="1:4" ht="13.5" x14ac:dyDescent="0.25">
      <c r="A1902" s="878" t="s">
        <v>6993</v>
      </c>
      <c r="B1902" s="878" t="s">
        <v>6994</v>
      </c>
      <c r="C1902" s="879" t="s">
        <v>227</v>
      </c>
      <c r="D1902" s="880" t="s">
        <v>30515</v>
      </c>
    </row>
    <row r="1903" spans="1:4" ht="13.5" x14ac:dyDescent="0.25">
      <c r="A1903" s="878" t="s">
        <v>6995</v>
      </c>
      <c r="B1903" s="878" t="s">
        <v>6996</v>
      </c>
      <c r="C1903" s="879" t="s">
        <v>227</v>
      </c>
      <c r="D1903" s="880" t="s">
        <v>30516</v>
      </c>
    </row>
    <row r="1904" spans="1:4" ht="13.5" x14ac:dyDescent="0.25">
      <c r="A1904" s="878" t="s">
        <v>6997</v>
      </c>
      <c r="B1904" s="878" t="s">
        <v>6998</v>
      </c>
      <c r="C1904" s="879" t="s">
        <v>227</v>
      </c>
      <c r="D1904" s="880" t="s">
        <v>30480</v>
      </c>
    </row>
    <row r="1905" spans="1:4" ht="13.5" x14ac:dyDescent="0.25">
      <c r="A1905" s="885" t="s">
        <v>6999</v>
      </c>
      <c r="B1905" s="885" t="s">
        <v>7000</v>
      </c>
      <c r="C1905" s="886" t="s">
        <v>227</v>
      </c>
      <c r="D1905" s="887" t="s">
        <v>18011</v>
      </c>
    </row>
    <row r="1906" spans="1:4" ht="13.5" x14ac:dyDescent="0.25">
      <c r="A1906" s="878" t="s">
        <v>7001</v>
      </c>
      <c r="B1906" s="878" t="s">
        <v>7002</v>
      </c>
      <c r="C1906" s="879" t="s">
        <v>227</v>
      </c>
      <c r="D1906" s="880" t="s">
        <v>30517</v>
      </c>
    </row>
    <row r="1907" spans="1:4" ht="13.5" x14ac:dyDescent="0.25">
      <c r="A1907" s="878" t="s">
        <v>7003</v>
      </c>
      <c r="B1907" s="878" t="s">
        <v>7004</v>
      </c>
      <c r="C1907" s="879" t="s">
        <v>227</v>
      </c>
      <c r="D1907" s="880" t="s">
        <v>30518</v>
      </c>
    </row>
    <row r="1908" spans="1:4" ht="13.5" x14ac:dyDescent="0.25">
      <c r="A1908" s="878" t="s">
        <v>7005</v>
      </c>
      <c r="B1908" s="878" t="s">
        <v>7006</v>
      </c>
      <c r="C1908" s="879" t="s">
        <v>227</v>
      </c>
      <c r="D1908" s="880" t="s">
        <v>9215</v>
      </c>
    </row>
    <row r="1909" spans="1:4" ht="13.5" x14ac:dyDescent="0.25">
      <c r="A1909" s="878" t="s">
        <v>7007</v>
      </c>
      <c r="B1909" s="878" t="s">
        <v>7008</v>
      </c>
      <c r="C1909" s="879" t="s">
        <v>227</v>
      </c>
      <c r="D1909" s="880" t="s">
        <v>7714</v>
      </c>
    </row>
    <row r="1910" spans="1:4" ht="13.5" x14ac:dyDescent="0.25">
      <c r="A1910" s="878" t="s">
        <v>7009</v>
      </c>
      <c r="B1910" s="878" t="s">
        <v>7010</v>
      </c>
      <c r="C1910" s="879" t="s">
        <v>227</v>
      </c>
      <c r="D1910" s="880" t="s">
        <v>30519</v>
      </c>
    </row>
    <row r="1911" spans="1:4" ht="13.5" x14ac:dyDescent="0.25">
      <c r="A1911" s="885" t="s">
        <v>7011</v>
      </c>
      <c r="B1911" s="885" t="s">
        <v>7012</v>
      </c>
      <c r="C1911" s="886" t="s">
        <v>227</v>
      </c>
      <c r="D1911" s="887" t="s">
        <v>11527</v>
      </c>
    </row>
    <row r="1912" spans="1:4" ht="13.5" x14ac:dyDescent="0.25">
      <c r="A1912" s="878" t="s">
        <v>7013</v>
      </c>
      <c r="B1912" s="878" t="s">
        <v>7014</v>
      </c>
      <c r="C1912" s="879" t="s">
        <v>227</v>
      </c>
      <c r="D1912" s="880" t="s">
        <v>30520</v>
      </c>
    </row>
    <row r="1913" spans="1:4" ht="13.5" x14ac:dyDescent="0.25">
      <c r="A1913" s="878" t="s">
        <v>7015</v>
      </c>
      <c r="B1913" s="878" t="s">
        <v>7016</v>
      </c>
      <c r="C1913" s="879" t="s">
        <v>227</v>
      </c>
      <c r="D1913" s="880" t="s">
        <v>30521</v>
      </c>
    </row>
    <row r="1914" spans="1:4" ht="13.5" x14ac:dyDescent="0.25">
      <c r="A1914" s="878" t="s">
        <v>7017</v>
      </c>
      <c r="B1914" s="878" t="s">
        <v>7018</v>
      </c>
      <c r="C1914" s="879" t="s">
        <v>227</v>
      </c>
      <c r="D1914" s="881" t="s">
        <v>31225</v>
      </c>
    </row>
    <row r="1915" spans="1:4" ht="13.5" x14ac:dyDescent="0.25">
      <c r="A1915" s="878" t="s">
        <v>7019</v>
      </c>
      <c r="B1915" s="878" t="s">
        <v>7020</v>
      </c>
      <c r="C1915" s="879" t="s">
        <v>227</v>
      </c>
      <c r="D1915" s="881" t="s">
        <v>41030</v>
      </c>
    </row>
    <row r="1916" spans="1:4" ht="13.5" x14ac:dyDescent="0.25">
      <c r="A1916" s="878" t="s">
        <v>7021</v>
      </c>
      <c r="B1916" s="878" t="s">
        <v>7022</v>
      </c>
      <c r="C1916" s="879" t="s">
        <v>227</v>
      </c>
      <c r="D1916" s="880" t="s">
        <v>41031</v>
      </c>
    </row>
    <row r="1917" spans="1:4" ht="13.5" x14ac:dyDescent="0.25">
      <c r="A1917" s="878" t="s">
        <v>7023</v>
      </c>
      <c r="B1917" s="878" t="s">
        <v>7024</v>
      </c>
      <c r="C1917" s="879" t="s">
        <v>227</v>
      </c>
      <c r="D1917" s="880" t="s">
        <v>41032</v>
      </c>
    </row>
    <row r="1918" spans="1:4" ht="13.5" x14ac:dyDescent="0.25">
      <c r="A1918" s="878" t="s">
        <v>7025</v>
      </c>
      <c r="B1918" s="878" t="s">
        <v>7026</v>
      </c>
      <c r="C1918" s="879" t="s">
        <v>227</v>
      </c>
      <c r="D1918" s="880" t="s">
        <v>41033</v>
      </c>
    </row>
    <row r="1919" spans="1:4" ht="13.5" x14ac:dyDescent="0.25">
      <c r="A1919" s="878" t="s">
        <v>7027</v>
      </c>
      <c r="B1919" s="878" t="s">
        <v>7028</v>
      </c>
      <c r="C1919" s="879" t="s">
        <v>227</v>
      </c>
      <c r="D1919" s="880" t="s">
        <v>41034</v>
      </c>
    </row>
    <row r="1920" spans="1:4" ht="13.5" x14ac:dyDescent="0.25">
      <c r="A1920" s="878" t="s">
        <v>7029</v>
      </c>
      <c r="B1920" s="878" t="s">
        <v>7030</v>
      </c>
      <c r="C1920" s="879" t="s">
        <v>227</v>
      </c>
      <c r="D1920" s="881" t="s">
        <v>41035</v>
      </c>
    </row>
    <row r="1921" spans="1:4" ht="13.5" x14ac:dyDescent="0.25">
      <c r="A1921" s="878" t="s">
        <v>7031</v>
      </c>
      <c r="B1921" s="878" t="s">
        <v>7032</v>
      </c>
      <c r="C1921" s="879" t="s">
        <v>227</v>
      </c>
      <c r="D1921" s="881" t="s">
        <v>4760</v>
      </c>
    </row>
    <row r="1922" spans="1:4" ht="13.5" x14ac:dyDescent="0.25">
      <c r="A1922" s="878" t="s">
        <v>7033</v>
      </c>
      <c r="B1922" s="878" t="s">
        <v>7034</v>
      </c>
      <c r="C1922" s="879" t="s">
        <v>227</v>
      </c>
      <c r="D1922" s="880" t="s">
        <v>41036</v>
      </c>
    </row>
    <row r="1923" spans="1:4" ht="13.5" x14ac:dyDescent="0.25">
      <c r="A1923" s="878" t="s">
        <v>7035</v>
      </c>
      <c r="B1923" s="878" t="s">
        <v>7036</v>
      </c>
      <c r="C1923" s="879" t="s">
        <v>227</v>
      </c>
      <c r="D1923" s="880" t="s">
        <v>41037</v>
      </c>
    </row>
    <row r="1924" spans="1:4" ht="13.5" x14ac:dyDescent="0.25">
      <c r="A1924" s="878" t="s">
        <v>7038</v>
      </c>
      <c r="B1924" s="878" t="s">
        <v>7039</v>
      </c>
      <c r="C1924" s="879" t="s">
        <v>227</v>
      </c>
      <c r="D1924" s="880" t="s">
        <v>41038</v>
      </c>
    </row>
    <row r="1925" spans="1:4" ht="13.5" x14ac:dyDescent="0.25">
      <c r="A1925" s="878" t="s">
        <v>7041</v>
      </c>
      <c r="B1925" s="878" t="s">
        <v>7042</v>
      </c>
      <c r="C1925" s="879" t="s">
        <v>227</v>
      </c>
      <c r="D1925" s="880" t="s">
        <v>31309</v>
      </c>
    </row>
    <row r="1926" spans="1:4" ht="13.5" x14ac:dyDescent="0.25">
      <c r="A1926" s="878" t="s">
        <v>7043</v>
      </c>
      <c r="B1926" s="878" t="s">
        <v>7044</v>
      </c>
      <c r="C1926" s="879" t="s">
        <v>226</v>
      </c>
      <c r="D1926" s="880" t="s">
        <v>41039</v>
      </c>
    </row>
    <row r="1927" spans="1:4" ht="13.5" x14ac:dyDescent="0.25">
      <c r="A1927" s="878" t="s">
        <v>7045</v>
      </c>
      <c r="B1927" s="878" t="s">
        <v>7046</v>
      </c>
      <c r="C1927" s="879" t="s">
        <v>226</v>
      </c>
      <c r="D1927" s="880" t="s">
        <v>41040</v>
      </c>
    </row>
    <row r="1928" spans="1:4" ht="13.5" x14ac:dyDescent="0.25">
      <c r="A1928" s="878" t="s">
        <v>7047</v>
      </c>
      <c r="B1928" s="878" t="s">
        <v>7048</v>
      </c>
      <c r="C1928" s="879" t="s">
        <v>226</v>
      </c>
      <c r="D1928" s="880" t="s">
        <v>41041</v>
      </c>
    </row>
    <row r="1929" spans="1:4" ht="13.5" x14ac:dyDescent="0.25">
      <c r="A1929" s="878" t="s">
        <v>7049</v>
      </c>
      <c r="B1929" s="878" t="s">
        <v>7050</v>
      </c>
      <c r="C1929" s="879" t="s">
        <v>226</v>
      </c>
      <c r="D1929" s="880" t="s">
        <v>41042</v>
      </c>
    </row>
    <row r="1930" spans="1:4" ht="13.5" x14ac:dyDescent="0.25">
      <c r="A1930" s="878" t="s">
        <v>7051</v>
      </c>
      <c r="B1930" s="878" t="s">
        <v>7052</v>
      </c>
      <c r="C1930" s="879" t="s">
        <v>226</v>
      </c>
      <c r="D1930" s="880" t="s">
        <v>41043</v>
      </c>
    </row>
    <row r="1931" spans="1:4" ht="13.5" x14ac:dyDescent="0.25">
      <c r="A1931" s="878" t="s">
        <v>7053</v>
      </c>
      <c r="B1931" s="878" t="s">
        <v>7054</v>
      </c>
      <c r="C1931" s="879" t="s">
        <v>226</v>
      </c>
      <c r="D1931" s="880" t="s">
        <v>41044</v>
      </c>
    </row>
    <row r="1932" spans="1:4" ht="13.5" x14ac:dyDescent="0.25">
      <c r="A1932" s="878" t="s">
        <v>7055</v>
      </c>
      <c r="B1932" s="878" t="s">
        <v>7056</v>
      </c>
      <c r="C1932" s="879" t="s">
        <v>226</v>
      </c>
      <c r="D1932" s="881" t="s">
        <v>41045</v>
      </c>
    </row>
    <row r="1933" spans="1:4" ht="13.5" x14ac:dyDescent="0.25">
      <c r="A1933" s="878" t="s">
        <v>7057</v>
      </c>
      <c r="B1933" s="878" t="s">
        <v>7058</v>
      </c>
      <c r="C1933" s="879" t="s">
        <v>226</v>
      </c>
      <c r="D1933" s="881" t="s">
        <v>41046</v>
      </c>
    </row>
    <row r="1934" spans="1:4" ht="13.5" x14ac:dyDescent="0.25">
      <c r="A1934" s="878" t="s">
        <v>7059</v>
      </c>
      <c r="B1934" s="878" t="s">
        <v>7060</v>
      </c>
      <c r="C1934" s="879" t="s">
        <v>226</v>
      </c>
      <c r="D1934" s="881" t="s">
        <v>41047</v>
      </c>
    </row>
    <row r="1935" spans="1:4" ht="13.5" x14ac:dyDescent="0.25">
      <c r="A1935" s="878" t="s">
        <v>7061</v>
      </c>
      <c r="B1935" s="878" t="s">
        <v>7062</v>
      </c>
      <c r="C1935" s="879" t="s">
        <v>226</v>
      </c>
      <c r="D1935" s="881" t="s">
        <v>41048</v>
      </c>
    </row>
    <row r="1936" spans="1:4" ht="13.5" x14ac:dyDescent="0.25">
      <c r="A1936" s="878" t="s">
        <v>7063</v>
      </c>
      <c r="B1936" s="878" t="s">
        <v>7064</v>
      </c>
      <c r="C1936" s="879" t="s">
        <v>226</v>
      </c>
      <c r="D1936" s="881" t="s">
        <v>41049</v>
      </c>
    </row>
    <row r="1937" spans="1:4" ht="13.5" x14ac:dyDescent="0.25">
      <c r="A1937" s="878" t="s">
        <v>7065</v>
      </c>
      <c r="B1937" s="878" t="s">
        <v>7066</v>
      </c>
      <c r="C1937" s="879" t="s">
        <v>226</v>
      </c>
      <c r="D1937" s="881" t="s">
        <v>41050</v>
      </c>
    </row>
    <row r="1938" spans="1:4" ht="13.5" x14ac:dyDescent="0.25">
      <c r="A1938" s="878" t="s">
        <v>7067</v>
      </c>
      <c r="B1938" s="878" t="s">
        <v>7068</v>
      </c>
      <c r="C1938" s="879" t="s">
        <v>226</v>
      </c>
      <c r="D1938" s="880" t="s">
        <v>41051</v>
      </c>
    </row>
    <row r="1939" spans="1:4" ht="13.5" x14ac:dyDescent="0.25">
      <c r="A1939" s="878" t="s">
        <v>7069</v>
      </c>
      <c r="B1939" s="878" t="s">
        <v>7070</v>
      </c>
      <c r="C1939" s="879" t="s">
        <v>226</v>
      </c>
      <c r="D1939" s="880" t="s">
        <v>41052</v>
      </c>
    </row>
    <row r="1940" spans="1:4" ht="13.5" x14ac:dyDescent="0.25">
      <c r="A1940" s="878" t="s">
        <v>7071</v>
      </c>
      <c r="B1940" s="878" t="s">
        <v>7072</v>
      </c>
      <c r="C1940" s="879" t="s">
        <v>226</v>
      </c>
      <c r="D1940" s="880" t="s">
        <v>41053</v>
      </c>
    </row>
    <row r="1941" spans="1:4" ht="13.5" x14ac:dyDescent="0.25">
      <c r="A1941" s="878" t="s">
        <v>7073</v>
      </c>
      <c r="B1941" s="878" t="s">
        <v>7074</v>
      </c>
      <c r="C1941" s="879" t="s">
        <v>226</v>
      </c>
      <c r="D1941" s="880" t="s">
        <v>41054</v>
      </c>
    </row>
    <row r="1942" spans="1:4" ht="13.5" x14ac:dyDescent="0.25">
      <c r="A1942" s="878" t="s">
        <v>7075</v>
      </c>
      <c r="B1942" s="878" t="s">
        <v>7076</v>
      </c>
      <c r="C1942" s="879" t="s">
        <v>226</v>
      </c>
      <c r="D1942" s="881" t="s">
        <v>41055</v>
      </c>
    </row>
    <row r="1943" spans="1:4" ht="13.5" x14ac:dyDescent="0.25">
      <c r="A1943" s="878" t="s">
        <v>7077</v>
      </c>
      <c r="B1943" s="878" t="s">
        <v>7078</v>
      </c>
      <c r="C1943" s="879" t="s">
        <v>226</v>
      </c>
      <c r="D1943" s="881" t="s">
        <v>41056</v>
      </c>
    </row>
    <row r="1944" spans="1:4" ht="13.5" x14ac:dyDescent="0.25">
      <c r="A1944" s="878" t="s">
        <v>7079</v>
      </c>
      <c r="B1944" s="878" t="s">
        <v>7080</v>
      </c>
      <c r="C1944" s="879" t="s">
        <v>226</v>
      </c>
      <c r="D1944" s="880" t="s">
        <v>41057</v>
      </c>
    </row>
    <row r="1945" spans="1:4" ht="13.5" x14ac:dyDescent="0.25">
      <c r="A1945" s="878" t="s">
        <v>7081</v>
      </c>
      <c r="B1945" s="878" t="s">
        <v>7082</v>
      </c>
      <c r="C1945" s="879" t="s">
        <v>226</v>
      </c>
      <c r="D1945" s="880" t="s">
        <v>30524</v>
      </c>
    </row>
    <row r="1946" spans="1:4" ht="13.5" x14ac:dyDescent="0.25">
      <c r="A1946" s="878" t="s">
        <v>7083</v>
      </c>
      <c r="B1946" s="878" t="s">
        <v>7084</v>
      </c>
      <c r="C1946" s="879" t="s">
        <v>226</v>
      </c>
      <c r="D1946" s="880" t="s">
        <v>30525</v>
      </c>
    </row>
    <row r="1947" spans="1:4" ht="13.5" x14ac:dyDescent="0.25">
      <c r="A1947" s="878" t="s">
        <v>7085</v>
      </c>
      <c r="B1947" s="878" t="s">
        <v>7086</v>
      </c>
      <c r="C1947" s="879" t="s">
        <v>226</v>
      </c>
      <c r="D1947" s="880" t="s">
        <v>41058</v>
      </c>
    </row>
    <row r="1948" spans="1:4" ht="13.5" x14ac:dyDescent="0.25">
      <c r="A1948" s="878" t="s">
        <v>7087</v>
      </c>
      <c r="B1948" s="878" t="s">
        <v>7088</v>
      </c>
      <c r="C1948" s="879" t="s">
        <v>226</v>
      </c>
      <c r="D1948" s="880" t="s">
        <v>41059</v>
      </c>
    </row>
    <row r="1949" spans="1:4" ht="13.5" x14ac:dyDescent="0.25">
      <c r="A1949" s="878" t="s">
        <v>7089</v>
      </c>
      <c r="B1949" s="878" t="s">
        <v>7090</v>
      </c>
      <c r="C1949" s="879" t="s">
        <v>226</v>
      </c>
      <c r="D1949" s="880" t="s">
        <v>41060</v>
      </c>
    </row>
    <row r="1950" spans="1:4" ht="13.5" x14ac:dyDescent="0.25">
      <c r="A1950" s="878" t="s">
        <v>7091</v>
      </c>
      <c r="B1950" s="878" t="s">
        <v>7092</v>
      </c>
      <c r="C1950" s="879" t="s">
        <v>226</v>
      </c>
      <c r="D1950" s="880" t="s">
        <v>41061</v>
      </c>
    </row>
    <row r="1951" spans="1:4" ht="13.5" x14ac:dyDescent="0.25">
      <c r="A1951" s="878" t="s">
        <v>7093</v>
      </c>
      <c r="B1951" s="878" t="s">
        <v>7094</v>
      </c>
      <c r="C1951" s="879" t="s">
        <v>226</v>
      </c>
      <c r="D1951" s="881" t="s">
        <v>41062</v>
      </c>
    </row>
    <row r="1952" spans="1:4" ht="13.5" x14ac:dyDescent="0.25">
      <c r="A1952" s="878" t="s">
        <v>7095</v>
      </c>
      <c r="B1952" s="878" t="s">
        <v>7096</v>
      </c>
      <c r="C1952" s="879" t="s">
        <v>226</v>
      </c>
      <c r="D1952" s="880" t="s">
        <v>41063</v>
      </c>
    </row>
    <row r="1953" spans="1:4" ht="13.5" x14ac:dyDescent="0.25">
      <c r="A1953" s="878" t="s">
        <v>7097</v>
      </c>
      <c r="B1953" s="878" t="s">
        <v>7098</v>
      </c>
      <c r="C1953" s="879" t="s">
        <v>226</v>
      </c>
      <c r="D1953" s="880" t="s">
        <v>41064</v>
      </c>
    </row>
    <row r="1954" spans="1:4" ht="13.5" x14ac:dyDescent="0.25">
      <c r="A1954" s="878" t="s">
        <v>7099</v>
      </c>
      <c r="B1954" s="878" t="s">
        <v>7100</v>
      </c>
      <c r="C1954" s="879" t="s">
        <v>226</v>
      </c>
      <c r="D1954" s="880" t="s">
        <v>41065</v>
      </c>
    </row>
    <row r="1955" spans="1:4" ht="13.5" x14ac:dyDescent="0.25">
      <c r="A1955" s="878" t="s">
        <v>7101</v>
      </c>
      <c r="B1955" s="878" t="s">
        <v>7102</v>
      </c>
      <c r="C1955" s="879" t="s">
        <v>226</v>
      </c>
      <c r="D1955" s="880" t="s">
        <v>41066</v>
      </c>
    </row>
    <row r="1956" spans="1:4" ht="13.5" x14ac:dyDescent="0.25">
      <c r="A1956" s="878" t="s">
        <v>7103</v>
      </c>
      <c r="B1956" s="878" t="s">
        <v>7104</v>
      </c>
      <c r="C1956" s="879" t="s">
        <v>226</v>
      </c>
      <c r="D1956" s="880" t="s">
        <v>41067</v>
      </c>
    </row>
    <row r="1957" spans="1:4" ht="13.5" x14ac:dyDescent="0.25">
      <c r="A1957" s="878" t="s">
        <v>7105</v>
      </c>
      <c r="B1957" s="878" t="s">
        <v>7106</v>
      </c>
      <c r="C1957" s="879" t="s">
        <v>226</v>
      </c>
      <c r="D1957" s="880" t="s">
        <v>41068</v>
      </c>
    </row>
    <row r="1958" spans="1:4" ht="13.5" x14ac:dyDescent="0.25">
      <c r="A1958" s="878" t="s">
        <v>7107</v>
      </c>
      <c r="B1958" s="878" t="s">
        <v>7108</v>
      </c>
      <c r="C1958" s="879" t="s">
        <v>226</v>
      </c>
      <c r="D1958" s="881" t="s">
        <v>41069</v>
      </c>
    </row>
    <row r="1959" spans="1:4" ht="13.5" x14ac:dyDescent="0.25">
      <c r="A1959" s="878" t="s">
        <v>7109</v>
      </c>
      <c r="B1959" s="878" t="s">
        <v>7110</v>
      </c>
      <c r="C1959" s="879" t="s">
        <v>226</v>
      </c>
      <c r="D1959" s="880" t="s">
        <v>41070</v>
      </c>
    </row>
    <row r="1960" spans="1:4" ht="13.5" x14ac:dyDescent="0.25">
      <c r="A1960" s="878" t="s">
        <v>7111</v>
      </c>
      <c r="B1960" s="878" t="s">
        <v>7112</v>
      </c>
      <c r="C1960" s="879" t="s">
        <v>226</v>
      </c>
      <c r="D1960" s="880" t="s">
        <v>41071</v>
      </c>
    </row>
    <row r="1961" spans="1:4" ht="13.5" x14ac:dyDescent="0.25">
      <c r="A1961" s="878" t="s">
        <v>7113</v>
      </c>
      <c r="B1961" s="878" t="s">
        <v>7114</v>
      </c>
      <c r="C1961" s="879" t="s">
        <v>226</v>
      </c>
      <c r="D1961" s="880" t="s">
        <v>41072</v>
      </c>
    </row>
    <row r="1962" spans="1:4" ht="13.5" x14ac:dyDescent="0.25">
      <c r="A1962" s="878" t="s">
        <v>7115</v>
      </c>
      <c r="B1962" s="878" t="s">
        <v>7116</v>
      </c>
      <c r="C1962" s="879" t="s">
        <v>226</v>
      </c>
      <c r="D1962" s="880" t="s">
        <v>41073</v>
      </c>
    </row>
    <row r="1963" spans="1:4" ht="13.5" x14ac:dyDescent="0.25">
      <c r="A1963" s="878" t="s">
        <v>7117</v>
      </c>
      <c r="B1963" s="878" t="s">
        <v>7118</v>
      </c>
      <c r="C1963" s="879" t="s">
        <v>226</v>
      </c>
      <c r="D1963" s="880" t="s">
        <v>41074</v>
      </c>
    </row>
    <row r="1964" spans="1:4" ht="13.5" x14ac:dyDescent="0.25">
      <c r="A1964" s="878" t="s">
        <v>7119</v>
      </c>
      <c r="B1964" s="878" t="s">
        <v>7120</v>
      </c>
      <c r="C1964" s="879" t="s">
        <v>226</v>
      </c>
      <c r="D1964" s="880" t="s">
        <v>41075</v>
      </c>
    </row>
    <row r="1965" spans="1:4" ht="13.5" x14ac:dyDescent="0.25">
      <c r="A1965" s="878" t="s">
        <v>7121</v>
      </c>
      <c r="B1965" s="878" t="s">
        <v>7122</v>
      </c>
      <c r="C1965" s="879" t="s">
        <v>226</v>
      </c>
      <c r="D1965" s="880" t="s">
        <v>41076</v>
      </c>
    </row>
    <row r="1966" spans="1:4" ht="13.5" x14ac:dyDescent="0.25">
      <c r="A1966" s="878" t="s">
        <v>7123</v>
      </c>
      <c r="B1966" s="878" t="s">
        <v>7124</v>
      </c>
      <c r="C1966" s="879" t="s">
        <v>226</v>
      </c>
      <c r="D1966" s="880" t="s">
        <v>41077</v>
      </c>
    </row>
    <row r="1967" spans="1:4" ht="13.5" x14ac:dyDescent="0.25">
      <c r="A1967" s="878" t="s">
        <v>7125</v>
      </c>
      <c r="B1967" s="878" t="s">
        <v>7126</v>
      </c>
      <c r="C1967" s="879" t="s">
        <v>226</v>
      </c>
      <c r="D1967" s="881" t="s">
        <v>41078</v>
      </c>
    </row>
    <row r="1968" spans="1:4" ht="13.5" x14ac:dyDescent="0.25">
      <c r="A1968" s="878" t="s">
        <v>7127</v>
      </c>
      <c r="B1968" s="878" t="s">
        <v>7128</v>
      </c>
      <c r="C1968" s="879" t="s">
        <v>226</v>
      </c>
      <c r="D1968" s="881" t="s">
        <v>41079</v>
      </c>
    </row>
    <row r="1969" spans="1:4" ht="13.5" x14ac:dyDescent="0.25">
      <c r="A1969" s="878" t="s">
        <v>7129</v>
      </c>
      <c r="B1969" s="878" t="s">
        <v>7130</v>
      </c>
      <c r="C1969" s="879" t="s">
        <v>226</v>
      </c>
      <c r="D1969" s="880" t="s">
        <v>41080</v>
      </c>
    </row>
    <row r="1970" spans="1:4" ht="13.5" x14ac:dyDescent="0.25">
      <c r="A1970" s="878" t="s">
        <v>7131</v>
      </c>
      <c r="B1970" s="878" t="s">
        <v>7132</v>
      </c>
      <c r="C1970" s="879" t="s">
        <v>226</v>
      </c>
      <c r="D1970" s="880" t="s">
        <v>41081</v>
      </c>
    </row>
    <row r="1971" spans="1:4" ht="13.5" x14ac:dyDescent="0.25">
      <c r="A1971" s="878" t="s">
        <v>7133</v>
      </c>
      <c r="B1971" s="878" t="s">
        <v>7134</v>
      </c>
      <c r="C1971" s="879" t="s">
        <v>226</v>
      </c>
      <c r="D1971" s="880" t="s">
        <v>41082</v>
      </c>
    </row>
    <row r="1972" spans="1:4" ht="13.5" x14ac:dyDescent="0.25">
      <c r="A1972" s="878" t="s">
        <v>7135</v>
      </c>
      <c r="B1972" s="878" t="s">
        <v>7136</v>
      </c>
      <c r="C1972" s="879" t="s">
        <v>226</v>
      </c>
      <c r="D1972" s="880" t="s">
        <v>41083</v>
      </c>
    </row>
    <row r="1973" spans="1:4" ht="13.5" x14ac:dyDescent="0.25">
      <c r="A1973" s="878" t="s">
        <v>7137</v>
      </c>
      <c r="B1973" s="878" t="s">
        <v>7138</v>
      </c>
      <c r="C1973" s="879" t="s">
        <v>226</v>
      </c>
      <c r="D1973" s="881" t="s">
        <v>41084</v>
      </c>
    </row>
    <row r="1974" spans="1:4" ht="13.5" x14ac:dyDescent="0.25">
      <c r="A1974" s="878" t="s">
        <v>7139</v>
      </c>
      <c r="B1974" s="878" t="s">
        <v>7140</v>
      </c>
      <c r="C1974" s="879" t="s">
        <v>226</v>
      </c>
      <c r="D1974" s="881" t="s">
        <v>30527</v>
      </c>
    </row>
    <row r="1975" spans="1:4" ht="13.5" x14ac:dyDescent="0.25">
      <c r="A1975" s="878" t="s">
        <v>7141</v>
      </c>
      <c r="B1975" s="878" t="s">
        <v>7142</v>
      </c>
      <c r="C1975" s="879" t="s">
        <v>226</v>
      </c>
      <c r="D1975" s="880" t="s">
        <v>30528</v>
      </c>
    </row>
    <row r="1976" spans="1:4" ht="13.5" x14ac:dyDescent="0.25">
      <c r="A1976" s="878" t="s">
        <v>7143</v>
      </c>
      <c r="B1976" s="878" t="s">
        <v>7144</v>
      </c>
      <c r="C1976" s="879" t="s">
        <v>226</v>
      </c>
      <c r="D1976" s="880" t="s">
        <v>30525</v>
      </c>
    </row>
    <row r="1977" spans="1:4" ht="13.5" x14ac:dyDescent="0.25">
      <c r="A1977" s="878" t="s">
        <v>7145</v>
      </c>
      <c r="B1977" s="878" t="s">
        <v>7146</v>
      </c>
      <c r="C1977" s="879" t="s">
        <v>226</v>
      </c>
      <c r="D1977" s="880" t="s">
        <v>30529</v>
      </c>
    </row>
    <row r="1978" spans="1:4" ht="13.5" x14ac:dyDescent="0.25">
      <c r="A1978" s="878" t="s">
        <v>7147</v>
      </c>
      <c r="B1978" s="878" t="s">
        <v>7148</v>
      </c>
      <c r="C1978" s="879" t="s">
        <v>226</v>
      </c>
      <c r="D1978" s="880" t="s">
        <v>41085</v>
      </c>
    </row>
    <row r="1979" spans="1:4" ht="13.5" x14ac:dyDescent="0.25">
      <c r="A1979" s="878" t="s">
        <v>7149</v>
      </c>
      <c r="B1979" s="878" t="s">
        <v>7150</v>
      </c>
      <c r="C1979" s="879" t="s">
        <v>226</v>
      </c>
      <c r="D1979" s="880" t="s">
        <v>41086</v>
      </c>
    </row>
    <row r="1980" spans="1:4" ht="13.5" x14ac:dyDescent="0.25">
      <c r="A1980" s="878" t="s">
        <v>7151</v>
      </c>
      <c r="B1980" s="878" t="s">
        <v>7152</v>
      </c>
      <c r="C1980" s="879" t="s">
        <v>226</v>
      </c>
      <c r="D1980" s="880" t="s">
        <v>41087</v>
      </c>
    </row>
    <row r="1981" spans="1:4" ht="13.5" x14ac:dyDescent="0.25">
      <c r="A1981" s="878" t="s">
        <v>7153</v>
      </c>
      <c r="B1981" s="878" t="s">
        <v>7154</v>
      </c>
      <c r="C1981" s="879" t="s">
        <v>226</v>
      </c>
      <c r="D1981" s="880" t="s">
        <v>41088</v>
      </c>
    </row>
    <row r="1982" spans="1:4" ht="13.5" x14ac:dyDescent="0.25">
      <c r="A1982" s="878" t="s">
        <v>7155</v>
      </c>
      <c r="B1982" s="878" t="s">
        <v>7156</v>
      </c>
      <c r="C1982" s="879" t="s">
        <v>226</v>
      </c>
      <c r="D1982" s="880" t="s">
        <v>41089</v>
      </c>
    </row>
    <row r="1983" spans="1:4" ht="13.5" x14ac:dyDescent="0.25">
      <c r="A1983" s="878" t="s">
        <v>7157</v>
      </c>
      <c r="B1983" s="878" t="s">
        <v>7158</v>
      </c>
      <c r="C1983" s="879" t="s">
        <v>226</v>
      </c>
      <c r="D1983" s="880" t="s">
        <v>41090</v>
      </c>
    </row>
    <row r="1984" spans="1:4" ht="13.5" x14ac:dyDescent="0.25">
      <c r="A1984" s="878" t="s">
        <v>7159</v>
      </c>
      <c r="B1984" s="878" t="s">
        <v>7160</v>
      </c>
      <c r="C1984" s="879" t="s">
        <v>226</v>
      </c>
      <c r="D1984" s="880" t="s">
        <v>41091</v>
      </c>
    </row>
    <row r="1985" spans="1:4" ht="13.5" x14ac:dyDescent="0.25">
      <c r="A1985" s="878" t="s">
        <v>7161</v>
      </c>
      <c r="B1985" s="878" t="s">
        <v>7162</v>
      </c>
      <c r="C1985" s="879" t="s">
        <v>226</v>
      </c>
      <c r="D1985" s="881" t="s">
        <v>41092</v>
      </c>
    </row>
    <row r="1986" spans="1:4" ht="13.5" x14ac:dyDescent="0.25">
      <c r="A1986" s="878" t="s">
        <v>7163</v>
      </c>
      <c r="B1986" s="878" t="s">
        <v>7164</v>
      </c>
      <c r="C1986" s="879" t="s">
        <v>226</v>
      </c>
      <c r="D1986" s="881" t="s">
        <v>41093</v>
      </c>
    </row>
    <row r="1987" spans="1:4" ht="13.5" x14ac:dyDescent="0.25">
      <c r="A1987" s="878" t="s">
        <v>7165</v>
      </c>
      <c r="B1987" s="878" t="s">
        <v>7166</v>
      </c>
      <c r="C1987" s="879" t="s">
        <v>226</v>
      </c>
      <c r="D1987" s="881" t="s">
        <v>41094</v>
      </c>
    </row>
    <row r="1988" spans="1:4" ht="13.5" x14ac:dyDescent="0.25">
      <c r="A1988" s="878" t="s">
        <v>7167</v>
      </c>
      <c r="B1988" s="878" t="s">
        <v>7168</v>
      </c>
      <c r="C1988" s="879" t="s">
        <v>226</v>
      </c>
      <c r="D1988" s="881" t="s">
        <v>41095</v>
      </c>
    </row>
    <row r="1989" spans="1:4" ht="13.5" x14ac:dyDescent="0.25">
      <c r="A1989" s="878" t="s">
        <v>7169</v>
      </c>
      <c r="B1989" s="878" t="s">
        <v>7170</v>
      </c>
      <c r="C1989" s="879" t="s">
        <v>226</v>
      </c>
      <c r="D1989" s="880" t="s">
        <v>41096</v>
      </c>
    </row>
    <row r="1990" spans="1:4" ht="13.5" x14ac:dyDescent="0.25">
      <c r="A1990" s="878" t="s">
        <v>7171</v>
      </c>
      <c r="B1990" s="878" t="s">
        <v>7172</v>
      </c>
      <c r="C1990" s="879" t="s">
        <v>226</v>
      </c>
      <c r="D1990" s="880" t="s">
        <v>41097</v>
      </c>
    </row>
    <row r="1991" spans="1:4" ht="13.5" x14ac:dyDescent="0.25">
      <c r="A1991" s="878" t="s">
        <v>7173</v>
      </c>
      <c r="B1991" s="878" t="s">
        <v>7174</v>
      </c>
      <c r="C1991" s="879" t="s">
        <v>226</v>
      </c>
      <c r="D1991" s="880" t="s">
        <v>41098</v>
      </c>
    </row>
    <row r="1992" spans="1:4" ht="13.5" x14ac:dyDescent="0.25">
      <c r="A1992" s="878" t="s">
        <v>7175</v>
      </c>
      <c r="B1992" s="878" t="s">
        <v>7176</v>
      </c>
      <c r="C1992" s="879" t="s">
        <v>226</v>
      </c>
      <c r="D1992" s="880" t="s">
        <v>41099</v>
      </c>
    </row>
    <row r="1993" spans="1:4" ht="13.5" x14ac:dyDescent="0.25">
      <c r="A1993" s="878" t="s">
        <v>7177</v>
      </c>
      <c r="B1993" s="878" t="s">
        <v>7178</v>
      </c>
      <c r="C1993" s="879" t="s">
        <v>226</v>
      </c>
      <c r="D1993" s="881" t="s">
        <v>41100</v>
      </c>
    </row>
    <row r="1994" spans="1:4" ht="13.5" x14ac:dyDescent="0.25">
      <c r="A1994" s="878" t="s">
        <v>7179</v>
      </c>
      <c r="B1994" s="878" t="s">
        <v>7180</v>
      </c>
      <c r="C1994" s="879" t="s">
        <v>226</v>
      </c>
      <c r="D1994" s="880" t="s">
        <v>41101</v>
      </c>
    </row>
    <row r="1995" spans="1:4" ht="13.5" x14ac:dyDescent="0.25">
      <c r="A1995" s="878" t="s">
        <v>7181</v>
      </c>
      <c r="B1995" s="878" t="s">
        <v>7182</v>
      </c>
      <c r="C1995" s="879" t="s">
        <v>226</v>
      </c>
      <c r="D1995" s="881" t="s">
        <v>41102</v>
      </c>
    </row>
    <row r="1996" spans="1:4" ht="13.5" x14ac:dyDescent="0.25">
      <c r="A1996" s="878" t="s">
        <v>7183</v>
      </c>
      <c r="B1996" s="878" t="s">
        <v>7184</v>
      </c>
      <c r="C1996" s="879" t="s">
        <v>226</v>
      </c>
      <c r="D1996" s="881" t="s">
        <v>41103</v>
      </c>
    </row>
    <row r="1997" spans="1:4" ht="13.5" x14ac:dyDescent="0.25">
      <c r="A1997" s="878" t="s">
        <v>7185</v>
      </c>
      <c r="B1997" s="878" t="s">
        <v>7186</v>
      </c>
      <c r="C1997" s="879" t="s">
        <v>226</v>
      </c>
      <c r="D1997" s="880" t="s">
        <v>41104</v>
      </c>
    </row>
    <row r="1998" spans="1:4" ht="13.5" x14ac:dyDescent="0.25">
      <c r="A1998" s="878" t="s">
        <v>7187</v>
      </c>
      <c r="B1998" s="878" t="s">
        <v>7188</v>
      </c>
      <c r="C1998" s="879" t="s">
        <v>226</v>
      </c>
      <c r="D1998" s="881" t="s">
        <v>41105</v>
      </c>
    </row>
    <row r="1999" spans="1:4" ht="13.5" x14ac:dyDescent="0.25">
      <c r="A1999" s="878" t="s">
        <v>7189</v>
      </c>
      <c r="B1999" s="878" t="s">
        <v>7190</v>
      </c>
      <c r="C1999" s="879" t="s">
        <v>226</v>
      </c>
      <c r="D1999" s="880" t="s">
        <v>41106</v>
      </c>
    </row>
    <row r="2000" spans="1:4" ht="13.5" x14ac:dyDescent="0.25">
      <c r="A2000" s="878" t="s">
        <v>7191</v>
      </c>
      <c r="B2000" s="878" t="s">
        <v>7192</v>
      </c>
      <c r="C2000" s="879" t="s">
        <v>226</v>
      </c>
      <c r="D2000" s="881" t="s">
        <v>41107</v>
      </c>
    </row>
    <row r="2001" spans="1:4" ht="13.5" x14ac:dyDescent="0.25">
      <c r="A2001" s="878" t="s">
        <v>7193</v>
      </c>
      <c r="B2001" s="878" t="s">
        <v>7194</v>
      </c>
      <c r="C2001" s="879" t="s">
        <v>226</v>
      </c>
      <c r="D2001" s="880" t="s">
        <v>41108</v>
      </c>
    </row>
    <row r="2002" spans="1:4" ht="13.5" x14ac:dyDescent="0.25">
      <c r="A2002" s="878" t="s">
        <v>7195</v>
      </c>
      <c r="B2002" s="878" t="s">
        <v>7196</v>
      </c>
      <c r="C2002" s="879" t="s">
        <v>226</v>
      </c>
      <c r="D2002" s="881" t="s">
        <v>41109</v>
      </c>
    </row>
    <row r="2003" spans="1:4" ht="13.5" x14ac:dyDescent="0.25">
      <c r="A2003" s="878" t="s">
        <v>7197</v>
      </c>
      <c r="B2003" s="878" t="s">
        <v>7198</v>
      </c>
      <c r="C2003" s="879" t="s">
        <v>226</v>
      </c>
      <c r="D2003" s="880" t="s">
        <v>41110</v>
      </c>
    </row>
    <row r="2004" spans="1:4" ht="13.5" x14ac:dyDescent="0.25">
      <c r="A2004" s="878" t="s">
        <v>7199</v>
      </c>
      <c r="B2004" s="878" t="s">
        <v>7200</v>
      </c>
      <c r="C2004" s="879" t="s">
        <v>158</v>
      </c>
      <c r="D2004" s="881" t="s">
        <v>30495</v>
      </c>
    </row>
    <row r="2005" spans="1:4" ht="13.5" x14ac:dyDescent="0.25">
      <c r="A2005" s="878" t="s">
        <v>7201</v>
      </c>
      <c r="B2005" s="878" t="s">
        <v>7202</v>
      </c>
      <c r="C2005" s="879" t="s">
        <v>158</v>
      </c>
      <c r="D2005" s="880" t="s">
        <v>9825</v>
      </c>
    </row>
    <row r="2006" spans="1:4" ht="13.5" x14ac:dyDescent="0.25">
      <c r="A2006" s="878" t="s">
        <v>7204</v>
      </c>
      <c r="B2006" s="878" t="s">
        <v>7205</v>
      </c>
      <c r="C2006" s="879" t="s">
        <v>226</v>
      </c>
      <c r="D2006" s="881" t="s">
        <v>41111</v>
      </c>
    </row>
    <row r="2007" spans="1:4" ht="13.5" x14ac:dyDescent="0.25">
      <c r="A2007" s="878" t="s">
        <v>7206</v>
      </c>
      <c r="B2007" s="878" t="s">
        <v>7207</v>
      </c>
      <c r="C2007" s="879" t="s">
        <v>226</v>
      </c>
      <c r="D2007" s="881" t="s">
        <v>41112</v>
      </c>
    </row>
    <row r="2008" spans="1:4" ht="13.5" x14ac:dyDescent="0.25">
      <c r="A2008" s="878" t="s">
        <v>7208</v>
      </c>
      <c r="B2008" s="878" t="s">
        <v>7209</v>
      </c>
      <c r="C2008" s="879" t="s">
        <v>226</v>
      </c>
      <c r="D2008" s="881" t="s">
        <v>41113</v>
      </c>
    </row>
    <row r="2009" spans="1:4" ht="13.5" x14ac:dyDescent="0.25">
      <c r="A2009" s="878" t="s">
        <v>7210</v>
      </c>
      <c r="B2009" s="878" t="s">
        <v>7211</v>
      </c>
      <c r="C2009" s="879" t="s">
        <v>226</v>
      </c>
      <c r="D2009" s="881" t="s">
        <v>41114</v>
      </c>
    </row>
    <row r="2010" spans="1:4" ht="13.5" x14ac:dyDescent="0.25">
      <c r="A2010" s="878" t="s">
        <v>7212</v>
      </c>
      <c r="B2010" s="878" t="s">
        <v>7213</v>
      </c>
      <c r="C2010" s="879" t="s">
        <v>226</v>
      </c>
      <c r="D2010" s="880" t="s">
        <v>41115</v>
      </c>
    </row>
    <row r="2011" spans="1:4" ht="13.5" x14ac:dyDescent="0.25">
      <c r="A2011" s="878" t="s">
        <v>7214</v>
      </c>
      <c r="B2011" s="878" t="s">
        <v>7215</v>
      </c>
      <c r="C2011" s="879" t="s">
        <v>226</v>
      </c>
      <c r="D2011" s="880" t="s">
        <v>41116</v>
      </c>
    </row>
    <row r="2012" spans="1:4" ht="13.5" x14ac:dyDescent="0.25">
      <c r="A2012" s="878" t="s">
        <v>7216</v>
      </c>
      <c r="B2012" s="878" t="s">
        <v>7217</v>
      </c>
      <c r="C2012" s="879" t="s">
        <v>226</v>
      </c>
      <c r="D2012" s="880" t="s">
        <v>41117</v>
      </c>
    </row>
    <row r="2013" spans="1:4" ht="13.5" x14ac:dyDescent="0.25">
      <c r="A2013" s="878" t="s">
        <v>7218</v>
      </c>
      <c r="B2013" s="878" t="s">
        <v>7219</v>
      </c>
      <c r="C2013" s="879" t="s">
        <v>226</v>
      </c>
      <c r="D2013" s="880" t="s">
        <v>41118</v>
      </c>
    </row>
    <row r="2014" spans="1:4" ht="13.5" x14ac:dyDescent="0.25">
      <c r="A2014" s="878" t="s">
        <v>7220</v>
      </c>
      <c r="B2014" s="878" t="s">
        <v>7221</v>
      </c>
      <c r="C2014" s="879" t="s">
        <v>226</v>
      </c>
      <c r="D2014" s="880" t="s">
        <v>41119</v>
      </c>
    </row>
    <row r="2015" spans="1:4" ht="13.5" x14ac:dyDescent="0.25">
      <c r="A2015" s="878" t="s">
        <v>7222</v>
      </c>
      <c r="B2015" s="878" t="s">
        <v>7223</v>
      </c>
      <c r="C2015" s="879" t="s">
        <v>226</v>
      </c>
      <c r="D2015" s="880" t="s">
        <v>41120</v>
      </c>
    </row>
    <row r="2016" spans="1:4" ht="13.5" x14ac:dyDescent="0.25">
      <c r="A2016" s="878" t="s">
        <v>7224</v>
      </c>
      <c r="B2016" s="878" t="s">
        <v>7225</v>
      </c>
      <c r="C2016" s="879" t="s">
        <v>226</v>
      </c>
      <c r="D2016" s="880" t="s">
        <v>41121</v>
      </c>
    </row>
    <row r="2017" spans="1:4" ht="13.5" x14ac:dyDescent="0.25">
      <c r="A2017" s="878" t="s">
        <v>7226</v>
      </c>
      <c r="B2017" s="878" t="s">
        <v>7227</v>
      </c>
      <c r="C2017" s="879" t="s">
        <v>226</v>
      </c>
      <c r="D2017" s="881" t="s">
        <v>41122</v>
      </c>
    </row>
    <row r="2018" spans="1:4" ht="13.5" x14ac:dyDescent="0.25">
      <c r="A2018" s="878" t="s">
        <v>7228</v>
      </c>
      <c r="B2018" s="878" t="s">
        <v>7229</v>
      </c>
      <c r="C2018" s="879" t="s">
        <v>226</v>
      </c>
      <c r="D2018" s="880" t="s">
        <v>41123</v>
      </c>
    </row>
    <row r="2019" spans="1:4" ht="13.5" x14ac:dyDescent="0.25">
      <c r="A2019" s="878" t="s">
        <v>7230</v>
      </c>
      <c r="B2019" s="878" t="s">
        <v>7231</v>
      </c>
      <c r="C2019" s="879" t="s">
        <v>226</v>
      </c>
      <c r="D2019" s="881" t="s">
        <v>41124</v>
      </c>
    </row>
    <row r="2020" spans="1:4" ht="13.5" x14ac:dyDescent="0.25">
      <c r="A2020" s="878" t="s">
        <v>7232</v>
      </c>
      <c r="B2020" s="878" t="s">
        <v>7233</v>
      </c>
      <c r="C2020" s="879" t="s">
        <v>226</v>
      </c>
      <c r="D2020" s="881" t="s">
        <v>41125</v>
      </c>
    </row>
    <row r="2021" spans="1:4" ht="13.5" x14ac:dyDescent="0.25">
      <c r="A2021" s="878" t="s">
        <v>7234</v>
      </c>
      <c r="B2021" s="878" t="s">
        <v>7235</v>
      </c>
      <c r="C2021" s="879" t="s">
        <v>226</v>
      </c>
      <c r="D2021" s="880" t="s">
        <v>41126</v>
      </c>
    </row>
    <row r="2022" spans="1:4" ht="13.5" x14ac:dyDescent="0.25">
      <c r="A2022" s="878" t="s">
        <v>7236</v>
      </c>
      <c r="B2022" s="878" t="s">
        <v>7237</v>
      </c>
      <c r="C2022" s="879" t="s">
        <v>226</v>
      </c>
      <c r="D2022" s="881" t="s">
        <v>41127</v>
      </c>
    </row>
    <row r="2023" spans="1:4" ht="13.5" x14ac:dyDescent="0.25">
      <c r="A2023" s="878" t="s">
        <v>7238</v>
      </c>
      <c r="B2023" s="878" t="s">
        <v>7239</v>
      </c>
      <c r="C2023" s="879" t="s">
        <v>226</v>
      </c>
      <c r="D2023" s="881" t="s">
        <v>41128</v>
      </c>
    </row>
    <row r="2024" spans="1:4" ht="13.5" x14ac:dyDescent="0.25">
      <c r="A2024" s="878" t="s">
        <v>7240</v>
      </c>
      <c r="B2024" s="878" t="s">
        <v>7241</v>
      </c>
      <c r="C2024" s="879" t="s">
        <v>226</v>
      </c>
      <c r="D2024" s="881" t="s">
        <v>41129</v>
      </c>
    </row>
    <row r="2025" spans="1:4" ht="13.5" x14ac:dyDescent="0.25">
      <c r="A2025" s="878" t="s">
        <v>7242</v>
      </c>
      <c r="B2025" s="878" t="s">
        <v>7243</v>
      </c>
      <c r="C2025" s="879" t="s">
        <v>226</v>
      </c>
      <c r="D2025" s="880" t="s">
        <v>30530</v>
      </c>
    </row>
    <row r="2026" spans="1:4" ht="13.5" x14ac:dyDescent="0.25">
      <c r="A2026" s="878" t="s">
        <v>7244</v>
      </c>
      <c r="B2026" s="878" t="s">
        <v>7245</v>
      </c>
      <c r="C2026" s="879" t="s">
        <v>226</v>
      </c>
      <c r="D2026" s="880" t="s">
        <v>15879</v>
      </c>
    </row>
    <row r="2027" spans="1:4" ht="13.5" x14ac:dyDescent="0.25">
      <c r="A2027" s="878" t="s">
        <v>7246</v>
      </c>
      <c r="B2027" s="878" t="s">
        <v>7247</v>
      </c>
      <c r="C2027" s="879" t="s">
        <v>226</v>
      </c>
      <c r="D2027" s="880" t="s">
        <v>30531</v>
      </c>
    </row>
    <row r="2028" spans="1:4" ht="13.5" x14ac:dyDescent="0.25">
      <c r="A2028" s="878" t="s">
        <v>7248</v>
      </c>
      <c r="B2028" s="878" t="s">
        <v>7249</v>
      </c>
      <c r="C2028" s="879" t="s">
        <v>226</v>
      </c>
      <c r="D2028" s="880" t="s">
        <v>30532</v>
      </c>
    </row>
    <row r="2029" spans="1:4" ht="13.5" x14ac:dyDescent="0.25">
      <c r="A2029" s="878" t="s">
        <v>7250</v>
      </c>
      <c r="B2029" s="878" t="s">
        <v>7251</v>
      </c>
      <c r="C2029" s="879" t="s">
        <v>226</v>
      </c>
      <c r="D2029" s="880" t="s">
        <v>30533</v>
      </c>
    </row>
    <row r="2030" spans="1:4" ht="13.5" x14ac:dyDescent="0.25">
      <c r="A2030" s="878" t="s">
        <v>7252</v>
      </c>
      <c r="B2030" s="878" t="s">
        <v>7253</v>
      </c>
      <c r="C2030" s="879" t="s">
        <v>226</v>
      </c>
      <c r="D2030" s="880" t="s">
        <v>41130</v>
      </c>
    </row>
    <row r="2031" spans="1:4" ht="13.5" x14ac:dyDescent="0.25">
      <c r="A2031" s="878" t="s">
        <v>7254</v>
      </c>
      <c r="B2031" s="878" t="s">
        <v>7255</v>
      </c>
      <c r="C2031" s="879" t="s">
        <v>226</v>
      </c>
      <c r="D2031" s="880" t="s">
        <v>41131</v>
      </c>
    </row>
    <row r="2032" spans="1:4" ht="13.5" x14ac:dyDescent="0.25">
      <c r="A2032" s="878" t="s">
        <v>7256</v>
      </c>
      <c r="B2032" s="878" t="s">
        <v>7257</v>
      </c>
      <c r="C2032" s="879" t="s">
        <v>227</v>
      </c>
      <c r="D2032" s="881" t="s">
        <v>41132</v>
      </c>
    </row>
    <row r="2033" spans="1:4" ht="13.5" x14ac:dyDescent="0.25">
      <c r="A2033" s="878" t="s">
        <v>7258</v>
      </c>
      <c r="B2033" s="878" t="s">
        <v>7259</v>
      </c>
      <c r="C2033" s="879" t="s">
        <v>227</v>
      </c>
      <c r="D2033" s="880" t="s">
        <v>41133</v>
      </c>
    </row>
    <row r="2034" spans="1:4" ht="13.5" x14ac:dyDescent="0.25">
      <c r="A2034" s="878" t="s">
        <v>7260</v>
      </c>
      <c r="B2034" s="878" t="s">
        <v>7261</v>
      </c>
      <c r="C2034" s="879" t="s">
        <v>227</v>
      </c>
      <c r="D2034" s="880" t="s">
        <v>41134</v>
      </c>
    </row>
    <row r="2035" spans="1:4" ht="13.5" x14ac:dyDescent="0.25">
      <c r="A2035" s="878" t="s">
        <v>7262</v>
      </c>
      <c r="B2035" s="878" t="s">
        <v>7263</v>
      </c>
      <c r="C2035" s="879" t="s">
        <v>227</v>
      </c>
      <c r="D2035" s="880" t="s">
        <v>41135</v>
      </c>
    </row>
    <row r="2036" spans="1:4" ht="13.5" x14ac:dyDescent="0.25">
      <c r="A2036" s="878" t="s">
        <v>7264</v>
      </c>
      <c r="B2036" s="878" t="s">
        <v>7265</v>
      </c>
      <c r="C2036" s="879" t="s">
        <v>227</v>
      </c>
      <c r="D2036" s="880" t="s">
        <v>41136</v>
      </c>
    </row>
    <row r="2037" spans="1:4" ht="13.5" x14ac:dyDescent="0.25">
      <c r="A2037" s="878" t="s">
        <v>7266</v>
      </c>
      <c r="B2037" s="878" t="s">
        <v>7267</v>
      </c>
      <c r="C2037" s="879" t="s">
        <v>227</v>
      </c>
      <c r="D2037" s="881" t="s">
        <v>41137</v>
      </c>
    </row>
    <row r="2038" spans="1:4" ht="13.5" x14ac:dyDescent="0.25">
      <c r="A2038" s="878" t="s">
        <v>7268</v>
      </c>
      <c r="B2038" s="878" t="s">
        <v>7269</v>
      </c>
      <c r="C2038" s="879" t="s">
        <v>227</v>
      </c>
      <c r="D2038" s="880" t="s">
        <v>41138</v>
      </c>
    </row>
    <row r="2039" spans="1:4" ht="13.5" x14ac:dyDescent="0.25">
      <c r="A2039" s="878" t="s">
        <v>7270</v>
      </c>
      <c r="B2039" s="878" t="s">
        <v>7271</v>
      </c>
      <c r="C2039" s="879" t="s">
        <v>227</v>
      </c>
      <c r="D2039" s="880" t="s">
        <v>41139</v>
      </c>
    </row>
    <row r="2040" spans="1:4" ht="13.5" x14ac:dyDescent="0.25">
      <c r="A2040" s="878" t="s">
        <v>7272</v>
      </c>
      <c r="B2040" s="878" t="s">
        <v>7273</v>
      </c>
      <c r="C2040" s="879" t="s">
        <v>227</v>
      </c>
      <c r="D2040" s="880" t="s">
        <v>41140</v>
      </c>
    </row>
    <row r="2041" spans="1:4" ht="13.5" x14ac:dyDescent="0.25">
      <c r="A2041" s="878" t="s">
        <v>7274</v>
      </c>
      <c r="B2041" s="878" t="s">
        <v>7275</v>
      </c>
      <c r="C2041" s="879" t="s">
        <v>227</v>
      </c>
      <c r="D2041" s="880" t="s">
        <v>41141</v>
      </c>
    </row>
    <row r="2042" spans="1:4" ht="13.5" x14ac:dyDescent="0.25">
      <c r="A2042" s="878" t="s">
        <v>7276</v>
      </c>
      <c r="B2042" s="878" t="s">
        <v>7277</v>
      </c>
      <c r="C2042" s="879" t="s">
        <v>227</v>
      </c>
      <c r="D2042" s="880" t="s">
        <v>41142</v>
      </c>
    </row>
    <row r="2043" spans="1:4" ht="13.5" x14ac:dyDescent="0.25">
      <c r="A2043" s="878" t="s">
        <v>7278</v>
      </c>
      <c r="B2043" s="878" t="s">
        <v>7279</v>
      </c>
      <c r="C2043" s="879" t="s">
        <v>158</v>
      </c>
      <c r="D2043" s="880" t="s">
        <v>41143</v>
      </c>
    </row>
    <row r="2044" spans="1:4" ht="13.5" x14ac:dyDescent="0.25">
      <c r="A2044" s="878" t="s">
        <v>7280</v>
      </c>
      <c r="B2044" s="878" t="s">
        <v>7281</v>
      </c>
      <c r="C2044" s="879" t="s">
        <v>158</v>
      </c>
      <c r="D2044" s="881" t="s">
        <v>41144</v>
      </c>
    </row>
    <row r="2045" spans="1:4" ht="13.5" x14ac:dyDescent="0.25">
      <c r="A2045" s="878" t="s">
        <v>7282</v>
      </c>
      <c r="B2045" s="878" t="s">
        <v>7283</v>
      </c>
      <c r="C2045" s="879" t="s">
        <v>158</v>
      </c>
      <c r="D2045" s="880" t="s">
        <v>41145</v>
      </c>
    </row>
    <row r="2046" spans="1:4" ht="13.5" x14ac:dyDescent="0.25">
      <c r="A2046" s="878" t="s">
        <v>7284</v>
      </c>
      <c r="B2046" s="878" t="s">
        <v>7285</v>
      </c>
      <c r="C2046" s="879" t="s">
        <v>158</v>
      </c>
      <c r="D2046" s="880" t="s">
        <v>41146</v>
      </c>
    </row>
    <row r="2047" spans="1:4" ht="13.5" x14ac:dyDescent="0.25">
      <c r="A2047" s="878" t="s">
        <v>7286</v>
      </c>
      <c r="B2047" s="878" t="s">
        <v>7287</v>
      </c>
      <c r="C2047" s="879" t="s">
        <v>158</v>
      </c>
      <c r="D2047" s="880" t="s">
        <v>41147</v>
      </c>
    </row>
    <row r="2048" spans="1:4" ht="13.5" x14ac:dyDescent="0.25">
      <c r="A2048" s="878" t="s">
        <v>7288</v>
      </c>
      <c r="B2048" s="878" t="s">
        <v>7289</v>
      </c>
      <c r="C2048" s="879" t="s">
        <v>158</v>
      </c>
      <c r="D2048" s="880" t="s">
        <v>41148</v>
      </c>
    </row>
    <row r="2049" spans="1:4" ht="13.5" x14ac:dyDescent="0.25">
      <c r="A2049" s="878" t="s">
        <v>7290</v>
      </c>
      <c r="B2049" s="878" t="s">
        <v>7291</v>
      </c>
      <c r="C2049" s="879" t="s">
        <v>158</v>
      </c>
      <c r="D2049" s="880" t="s">
        <v>41149</v>
      </c>
    </row>
    <row r="2050" spans="1:4" ht="13.5" x14ac:dyDescent="0.25">
      <c r="A2050" s="878" t="s">
        <v>7292</v>
      </c>
      <c r="B2050" s="878" t="s">
        <v>7293</v>
      </c>
      <c r="C2050" s="879" t="s">
        <v>227</v>
      </c>
      <c r="D2050" s="880" t="s">
        <v>41150</v>
      </c>
    </row>
    <row r="2051" spans="1:4" ht="13.5" x14ac:dyDescent="0.25">
      <c r="A2051" s="878" t="s">
        <v>7294</v>
      </c>
      <c r="B2051" s="878" t="s">
        <v>7295</v>
      </c>
      <c r="C2051" s="879" t="s">
        <v>227</v>
      </c>
      <c r="D2051" s="880" t="s">
        <v>41151</v>
      </c>
    </row>
    <row r="2052" spans="1:4" ht="13.5" x14ac:dyDescent="0.25">
      <c r="A2052" s="878" t="s">
        <v>7296</v>
      </c>
      <c r="B2052" s="878" t="s">
        <v>7297</v>
      </c>
      <c r="C2052" s="879" t="s">
        <v>226</v>
      </c>
      <c r="D2052" s="880" t="s">
        <v>41152</v>
      </c>
    </row>
    <row r="2053" spans="1:4" ht="13.5" x14ac:dyDescent="0.25">
      <c r="A2053" s="878" t="s">
        <v>7298</v>
      </c>
      <c r="B2053" s="878" t="s">
        <v>7299</v>
      </c>
      <c r="C2053" s="879" t="s">
        <v>227</v>
      </c>
      <c r="D2053" s="880" t="s">
        <v>41153</v>
      </c>
    </row>
    <row r="2054" spans="1:4" ht="13.5" x14ac:dyDescent="0.25">
      <c r="A2054" s="878" t="s">
        <v>7300</v>
      </c>
      <c r="B2054" s="878" t="s">
        <v>7301</v>
      </c>
      <c r="C2054" s="879" t="s">
        <v>227</v>
      </c>
      <c r="D2054" s="880" t="s">
        <v>41154</v>
      </c>
    </row>
    <row r="2055" spans="1:4" ht="13.5" x14ac:dyDescent="0.25">
      <c r="A2055" s="878" t="s">
        <v>7302</v>
      </c>
      <c r="B2055" s="878" t="s">
        <v>7303</v>
      </c>
      <c r="C2055" s="879" t="s">
        <v>226</v>
      </c>
      <c r="D2055" s="880" t="s">
        <v>41155</v>
      </c>
    </row>
    <row r="2056" spans="1:4" ht="13.5" x14ac:dyDescent="0.25">
      <c r="A2056" s="878" t="s">
        <v>7304</v>
      </c>
      <c r="B2056" s="878" t="s">
        <v>7305</v>
      </c>
      <c r="C2056" s="879" t="s">
        <v>226</v>
      </c>
      <c r="D2056" s="880" t="s">
        <v>41156</v>
      </c>
    </row>
    <row r="2057" spans="1:4" ht="13.5" x14ac:dyDescent="0.25">
      <c r="A2057" s="878" t="s">
        <v>7306</v>
      </c>
      <c r="B2057" s="878" t="s">
        <v>7307</v>
      </c>
      <c r="C2057" s="879" t="s">
        <v>226</v>
      </c>
      <c r="D2057" s="880" t="s">
        <v>41157</v>
      </c>
    </row>
    <row r="2058" spans="1:4" ht="13.5" x14ac:dyDescent="0.25">
      <c r="A2058" s="878" t="s">
        <v>7308</v>
      </c>
      <c r="B2058" s="878" t="s">
        <v>7309</v>
      </c>
      <c r="C2058" s="879" t="s">
        <v>227</v>
      </c>
      <c r="D2058" s="880" t="s">
        <v>41158</v>
      </c>
    </row>
    <row r="2059" spans="1:4" ht="13.5" x14ac:dyDescent="0.25">
      <c r="A2059" s="878" t="s">
        <v>7310</v>
      </c>
      <c r="B2059" s="878" t="s">
        <v>7311</v>
      </c>
      <c r="C2059" s="879" t="s">
        <v>226</v>
      </c>
      <c r="D2059" s="880" t="s">
        <v>30534</v>
      </c>
    </row>
    <row r="2060" spans="1:4" ht="13.5" x14ac:dyDescent="0.25">
      <c r="A2060" s="878" t="s">
        <v>7312</v>
      </c>
      <c r="B2060" s="878" t="s">
        <v>7313</v>
      </c>
      <c r="C2060" s="879" t="s">
        <v>226</v>
      </c>
      <c r="D2060" s="880" t="s">
        <v>30535</v>
      </c>
    </row>
    <row r="2061" spans="1:4" ht="13.5" x14ac:dyDescent="0.25">
      <c r="A2061" s="878" t="s">
        <v>7314</v>
      </c>
      <c r="B2061" s="878" t="s">
        <v>7315</v>
      </c>
      <c r="C2061" s="879" t="s">
        <v>226</v>
      </c>
      <c r="D2061" s="880" t="s">
        <v>30536</v>
      </c>
    </row>
    <row r="2062" spans="1:4" ht="13.5" x14ac:dyDescent="0.25">
      <c r="A2062" s="878" t="s">
        <v>7316</v>
      </c>
      <c r="B2062" s="878" t="s">
        <v>7317</v>
      </c>
      <c r="C2062" s="879" t="s">
        <v>226</v>
      </c>
      <c r="D2062" s="880" t="s">
        <v>30537</v>
      </c>
    </row>
    <row r="2063" spans="1:4" ht="13.5" x14ac:dyDescent="0.25">
      <c r="A2063" s="878" t="s">
        <v>7318</v>
      </c>
      <c r="B2063" s="878" t="s">
        <v>7319</v>
      </c>
      <c r="C2063" s="879" t="s">
        <v>226</v>
      </c>
      <c r="D2063" s="880" t="s">
        <v>30538</v>
      </c>
    </row>
    <row r="2064" spans="1:4" ht="13.5" x14ac:dyDescent="0.25">
      <c r="A2064" s="878" t="s">
        <v>7320</v>
      </c>
      <c r="B2064" s="878" t="s">
        <v>7321</v>
      </c>
      <c r="C2064" s="879" t="s">
        <v>226</v>
      </c>
      <c r="D2064" s="880" t="s">
        <v>30539</v>
      </c>
    </row>
    <row r="2065" spans="1:4" ht="13.5" x14ac:dyDescent="0.25">
      <c r="A2065" s="878" t="s">
        <v>7322</v>
      </c>
      <c r="B2065" s="878" t="s">
        <v>7323</v>
      </c>
      <c r="C2065" s="879" t="s">
        <v>226</v>
      </c>
      <c r="D2065" s="880" t="s">
        <v>16916</v>
      </c>
    </row>
    <row r="2066" spans="1:4" ht="13.5" x14ac:dyDescent="0.25">
      <c r="A2066" s="878" t="s">
        <v>7324</v>
      </c>
      <c r="B2066" s="878" t="s">
        <v>7325</v>
      </c>
      <c r="C2066" s="879" t="s">
        <v>226</v>
      </c>
      <c r="D2066" s="880" t="s">
        <v>30540</v>
      </c>
    </row>
    <row r="2067" spans="1:4" ht="13.5" x14ac:dyDescent="0.25">
      <c r="A2067" s="878" t="s">
        <v>7326</v>
      </c>
      <c r="B2067" s="878" t="s">
        <v>7327</v>
      </c>
      <c r="C2067" s="879" t="s">
        <v>226</v>
      </c>
      <c r="D2067" s="880" t="s">
        <v>41159</v>
      </c>
    </row>
    <row r="2068" spans="1:4" ht="13.5" x14ac:dyDescent="0.25">
      <c r="A2068" s="878" t="s">
        <v>7328</v>
      </c>
      <c r="B2068" s="878" t="s">
        <v>7329</v>
      </c>
      <c r="C2068" s="879" t="s">
        <v>226</v>
      </c>
      <c r="D2068" s="880" t="s">
        <v>41160</v>
      </c>
    </row>
    <row r="2069" spans="1:4" ht="13.5" x14ac:dyDescent="0.25">
      <c r="A2069" s="878" t="s">
        <v>7331</v>
      </c>
      <c r="B2069" s="878" t="s">
        <v>7332</v>
      </c>
      <c r="C2069" s="879" t="s">
        <v>227</v>
      </c>
      <c r="D2069" s="880" t="s">
        <v>30206</v>
      </c>
    </row>
    <row r="2070" spans="1:4" ht="13.5" x14ac:dyDescent="0.25">
      <c r="A2070" s="878" t="s">
        <v>7333</v>
      </c>
      <c r="B2070" s="878" t="s">
        <v>7334</v>
      </c>
      <c r="C2070" s="879" t="s">
        <v>227</v>
      </c>
      <c r="D2070" s="880" t="s">
        <v>41161</v>
      </c>
    </row>
    <row r="2071" spans="1:4" ht="13.5" x14ac:dyDescent="0.25">
      <c r="A2071" s="878" t="s">
        <v>7335</v>
      </c>
      <c r="B2071" s="878" t="s">
        <v>7336</v>
      </c>
      <c r="C2071" s="879" t="s">
        <v>227</v>
      </c>
      <c r="D2071" s="880" t="s">
        <v>41162</v>
      </c>
    </row>
    <row r="2072" spans="1:4" ht="13.5" x14ac:dyDescent="0.25">
      <c r="A2072" s="878" t="s">
        <v>7337</v>
      </c>
      <c r="B2072" s="878" t="s">
        <v>7338</v>
      </c>
      <c r="C2072" s="879" t="s">
        <v>227</v>
      </c>
      <c r="D2072" s="880" t="s">
        <v>41163</v>
      </c>
    </row>
    <row r="2073" spans="1:4" ht="13.5" x14ac:dyDescent="0.25">
      <c r="A2073" s="878" t="s">
        <v>7339</v>
      </c>
      <c r="B2073" s="878" t="s">
        <v>7340</v>
      </c>
      <c r="C2073" s="879" t="s">
        <v>227</v>
      </c>
      <c r="D2073" s="880" t="s">
        <v>41164</v>
      </c>
    </row>
    <row r="2074" spans="1:4" ht="13.5" x14ac:dyDescent="0.25">
      <c r="A2074" s="878" t="s">
        <v>7341</v>
      </c>
      <c r="B2074" s="878" t="s">
        <v>7342</v>
      </c>
      <c r="C2074" s="879" t="s">
        <v>227</v>
      </c>
      <c r="D2074" s="880" t="s">
        <v>41165</v>
      </c>
    </row>
    <row r="2075" spans="1:4" ht="13.5" x14ac:dyDescent="0.25">
      <c r="A2075" s="878" t="s">
        <v>7343</v>
      </c>
      <c r="B2075" s="878" t="s">
        <v>7344</v>
      </c>
      <c r="C2075" s="879" t="s">
        <v>227</v>
      </c>
      <c r="D2075" s="880" t="s">
        <v>41166</v>
      </c>
    </row>
    <row r="2076" spans="1:4" ht="13.5" x14ac:dyDescent="0.25">
      <c r="A2076" s="878" t="s">
        <v>7345</v>
      </c>
      <c r="B2076" s="878" t="s">
        <v>7346</v>
      </c>
      <c r="C2076" s="879" t="s">
        <v>227</v>
      </c>
      <c r="D2076" s="881" t="s">
        <v>41167</v>
      </c>
    </row>
    <row r="2077" spans="1:4" ht="13.5" x14ac:dyDescent="0.25">
      <c r="A2077" s="878" t="s">
        <v>7347</v>
      </c>
      <c r="B2077" s="878" t="s">
        <v>7348</v>
      </c>
      <c r="C2077" s="879" t="s">
        <v>227</v>
      </c>
      <c r="D2077" s="881" t="s">
        <v>41168</v>
      </c>
    </row>
    <row r="2078" spans="1:4" ht="13.5" x14ac:dyDescent="0.25">
      <c r="A2078" s="878" t="s">
        <v>7349</v>
      </c>
      <c r="B2078" s="878" t="s">
        <v>7350</v>
      </c>
      <c r="C2078" s="879" t="s">
        <v>227</v>
      </c>
      <c r="D2078" s="881" t="s">
        <v>41169</v>
      </c>
    </row>
    <row r="2079" spans="1:4" ht="13.5" x14ac:dyDescent="0.25">
      <c r="A2079" s="878" t="s">
        <v>7351</v>
      </c>
      <c r="B2079" s="878" t="s">
        <v>7352</v>
      </c>
      <c r="C2079" s="879" t="s">
        <v>227</v>
      </c>
      <c r="D2079" s="880" t="s">
        <v>41170</v>
      </c>
    </row>
    <row r="2080" spans="1:4" ht="13.5" x14ac:dyDescent="0.25">
      <c r="A2080" s="878" t="s">
        <v>7353</v>
      </c>
      <c r="B2080" s="878" t="s">
        <v>7354</v>
      </c>
      <c r="C2080" s="879" t="s">
        <v>227</v>
      </c>
      <c r="D2080" s="880" t="s">
        <v>41171</v>
      </c>
    </row>
    <row r="2081" spans="1:4" ht="13.5" x14ac:dyDescent="0.25">
      <c r="A2081" s="878" t="s">
        <v>7355</v>
      </c>
      <c r="B2081" s="878" t="s">
        <v>7356</v>
      </c>
      <c r="C2081" s="879" t="s">
        <v>227</v>
      </c>
      <c r="D2081" s="880" t="s">
        <v>41172</v>
      </c>
    </row>
    <row r="2082" spans="1:4" ht="13.5" x14ac:dyDescent="0.25">
      <c r="A2082" s="878" t="s">
        <v>7357</v>
      </c>
      <c r="B2082" s="878" t="s">
        <v>7358</v>
      </c>
      <c r="C2082" s="879" t="s">
        <v>227</v>
      </c>
      <c r="D2082" s="881" t="s">
        <v>41173</v>
      </c>
    </row>
    <row r="2083" spans="1:4" ht="13.5" x14ac:dyDescent="0.25">
      <c r="A2083" s="878" t="s">
        <v>7359</v>
      </c>
      <c r="B2083" s="878" t="s">
        <v>7360</v>
      </c>
      <c r="C2083" s="879" t="s">
        <v>227</v>
      </c>
      <c r="D2083" s="881" t="s">
        <v>41174</v>
      </c>
    </row>
    <row r="2084" spans="1:4" ht="13.5" x14ac:dyDescent="0.25">
      <c r="A2084" s="878" t="s">
        <v>7361</v>
      </c>
      <c r="B2084" s="878" t="s">
        <v>7362</v>
      </c>
      <c r="C2084" s="879" t="s">
        <v>227</v>
      </c>
      <c r="D2084" s="881" t="s">
        <v>41175</v>
      </c>
    </row>
    <row r="2085" spans="1:4" ht="13.5" x14ac:dyDescent="0.25">
      <c r="A2085" s="878" t="s">
        <v>7363</v>
      </c>
      <c r="B2085" s="878" t="s">
        <v>7364</v>
      </c>
      <c r="C2085" s="879" t="s">
        <v>227</v>
      </c>
      <c r="D2085" s="881" t="s">
        <v>41176</v>
      </c>
    </row>
    <row r="2086" spans="1:4" ht="13.5" x14ac:dyDescent="0.25">
      <c r="A2086" s="878" t="s">
        <v>7365</v>
      </c>
      <c r="B2086" s="878" t="s">
        <v>7366</v>
      </c>
      <c r="C2086" s="879" t="s">
        <v>227</v>
      </c>
      <c r="D2086" s="880" t="s">
        <v>41177</v>
      </c>
    </row>
    <row r="2087" spans="1:4" ht="13.5" x14ac:dyDescent="0.25">
      <c r="A2087" s="878" t="s">
        <v>7367</v>
      </c>
      <c r="B2087" s="878" t="s">
        <v>7368</v>
      </c>
      <c r="C2087" s="879" t="s">
        <v>227</v>
      </c>
      <c r="D2087" s="880" t="s">
        <v>41178</v>
      </c>
    </row>
    <row r="2088" spans="1:4" ht="13.5" x14ac:dyDescent="0.25">
      <c r="A2088" s="878" t="s">
        <v>7369</v>
      </c>
      <c r="B2088" s="878" t="s">
        <v>7370</v>
      </c>
      <c r="C2088" s="879" t="s">
        <v>227</v>
      </c>
      <c r="D2088" s="880" t="s">
        <v>41179</v>
      </c>
    </row>
    <row r="2089" spans="1:4" ht="13.5" x14ac:dyDescent="0.25">
      <c r="A2089" s="878" t="s">
        <v>7371</v>
      </c>
      <c r="B2089" s="878" t="s">
        <v>7372</v>
      </c>
      <c r="C2089" s="879" t="s">
        <v>227</v>
      </c>
      <c r="D2089" s="880" t="s">
        <v>41180</v>
      </c>
    </row>
    <row r="2090" spans="1:4" ht="13.5" x14ac:dyDescent="0.25">
      <c r="A2090" s="878" t="s">
        <v>7373</v>
      </c>
      <c r="B2090" s="878" t="s">
        <v>7374</v>
      </c>
      <c r="C2090" s="879" t="s">
        <v>227</v>
      </c>
      <c r="D2090" s="880" t="s">
        <v>41181</v>
      </c>
    </row>
    <row r="2091" spans="1:4" ht="13.5" x14ac:dyDescent="0.25">
      <c r="A2091" s="878" t="s">
        <v>7375</v>
      </c>
      <c r="B2091" s="878" t="s">
        <v>7376</v>
      </c>
      <c r="C2091" s="879" t="s">
        <v>227</v>
      </c>
      <c r="D2091" s="880" t="s">
        <v>41182</v>
      </c>
    </row>
    <row r="2092" spans="1:4" ht="13.5" x14ac:dyDescent="0.25">
      <c r="A2092" s="878" t="s">
        <v>7377</v>
      </c>
      <c r="B2092" s="878" t="s">
        <v>7378</v>
      </c>
      <c r="C2092" s="879" t="s">
        <v>227</v>
      </c>
      <c r="D2092" s="880" t="s">
        <v>41183</v>
      </c>
    </row>
    <row r="2093" spans="1:4" ht="13.5" x14ac:dyDescent="0.25">
      <c r="A2093" s="878" t="s">
        <v>7379</v>
      </c>
      <c r="B2093" s="878" t="s">
        <v>7380</v>
      </c>
      <c r="C2093" s="879" t="s">
        <v>227</v>
      </c>
      <c r="D2093" s="880" t="s">
        <v>41184</v>
      </c>
    </row>
    <row r="2094" spans="1:4" ht="13.5" x14ac:dyDescent="0.25">
      <c r="A2094" s="878" t="s">
        <v>7381</v>
      </c>
      <c r="B2094" s="878" t="s">
        <v>7382</v>
      </c>
      <c r="C2094" s="879" t="s">
        <v>227</v>
      </c>
      <c r="D2094" s="880" t="s">
        <v>41185</v>
      </c>
    </row>
    <row r="2095" spans="1:4" ht="13.5" x14ac:dyDescent="0.25">
      <c r="A2095" s="878" t="s">
        <v>7383</v>
      </c>
      <c r="B2095" s="878" t="s">
        <v>7384</v>
      </c>
      <c r="C2095" s="879" t="s">
        <v>227</v>
      </c>
      <c r="D2095" s="880" t="s">
        <v>41186</v>
      </c>
    </row>
    <row r="2096" spans="1:4" ht="13.5" x14ac:dyDescent="0.25">
      <c r="A2096" s="878" t="s">
        <v>7385</v>
      </c>
      <c r="B2096" s="878" t="s">
        <v>7386</v>
      </c>
      <c r="C2096" s="879" t="s">
        <v>227</v>
      </c>
      <c r="D2096" s="880" t="s">
        <v>41187</v>
      </c>
    </row>
    <row r="2097" spans="1:4" ht="13.5" x14ac:dyDescent="0.25">
      <c r="A2097" s="878" t="s">
        <v>7387</v>
      </c>
      <c r="B2097" s="878" t="s">
        <v>7388</v>
      </c>
      <c r="C2097" s="879" t="s">
        <v>226</v>
      </c>
      <c r="D2097" s="881" t="s">
        <v>41188</v>
      </c>
    </row>
    <row r="2098" spans="1:4" ht="13.5" x14ac:dyDescent="0.25">
      <c r="A2098" s="878" t="s">
        <v>7389</v>
      </c>
      <c r="B2098" s="878" t="s">
        <v>7390</v>
      </c>
      <c r="C2098" s="879" t="s">
        <v>226</v>
      </c>
      <c r="D2098" s="880" t="s">
        <v>41189</v>
      </c>
    </row>
    <row r="2099" spans="1:4" ht="13.5" x14ac:dyDescent="0.25">
      <c r="A2099" s="878" t="s">
        <v>7391</v>
      </c>
      <c r="B2099" s="878" t="s">
        <v>7392</v>
      </c>
      <c r="C2099" s="879" t="s">
        <v>226</v>
      </c>
      <c r="D2099" s="880" t="s">
        <v>41190</v>
      </c>
    </row>
    <row r="2100" spans="1:4" ht="13.5" x14ac:dyDescent="0.25">
      <c r="A2100" s="878" t="s">
        <v>7393</v>
      </c>
      <c r="B2100" s="878" t="s">
        <v>7394</v>
      </c>
      <c r="C2100" s="879" t="s">
        <v>226</v>
      </c>
      <c r="D2100" s="880" t="s">
        <v>41191</v>
      </c>
    </row>
    <row r="2101" spans="1:4" ht="13.5" x14ac:dyDescent="0.25">
      <c r="A2101" s="878" t="s">
        <v>7395</v>
      </c>
      <c r="B2101" s="878" t="s">
        <v>7396</v>
      </c>
      <c r="C2101" s="879" t="s">
        <v>227</v>
      </c>
      <c r="D2101" s="880" t="s">
        <v>5888</v>
      </c>
    </row>
    <row r="2102" spans="1:4" ht="13.5" x14ac:dyDescent="0.25">
      <c r="A2102" s="878" t="s">
        <v>7397</v>
      </c>
      <c r="B2102" s="878" t="s">
        <v>7398</v>
      </c>
      <c r="C2102" s="879" t="s">
        <v>227</v>
      </c>
      <c r="D2102" s="880" t="s">
        <v>30544</v>
      </c>
    </row>
    <row r="2103" spans="1:4" ht="13.5" x14ac:dyDescent="0.25">
      <c r="A2103" s="878" t="s">
        <v>7400</v>
      </c>
      <c r="B2103" s="878" t="s">
        <v>7401</v>
      </c>
      <c r="C2103" s="879" t="s">
        <v>227</v>
      </c>
      <c r="D2103" s="880" t="s">
        <v>30545</v>
      </c>
    </row>
    <row r="2104" spans="1:4" ht="13.5" x14ac:dyDescent="0.25">
      <c r="A2104" s="878" t="s">
        <v>7402</v>
      </c>
      <c r="B2104" s="878" t="s">
        <v>7403</v>
      </c>
      <c r="C2104" s="879" t="s">
        <v>227</v>
      </c>
      <c r="D2104" s="880" t="s">
        <v>41192</v>
      </c>
    </row>
    <row r="2105" spans="1:4" ht="13.5" x14ac:dyDescent="0.25">
      <c r="A2105" s="878" t="s">
        <v>7404</v>
      </c>
      <c r="B2105" s="878" t="s">
        <v>7405</v>
      </c>
      <c r="C2105" s="879" t="s">
        <v>227</v>
      </c>
      <c r="D2105" s="881" t="s">
        <v>41193</v>
      </c>
    </row>
    <row r="2106" spans="1:4" ht="13.5" x14ac:dyDescent="0.25">
      <c r="A2106" s="878" t="s">
        <v>7406</v>
      </c>
      <c r="B2106" s="878" t="s">
        <v>7407</v>
      </c>
      <c r="C2106" s="879" t="s">
        <v>227</v>
      </c>
      <c r="D2106" s="881" t="s">
        <v>41194</v>
      </c>
    </row>
    <row r="2107" spans="1:4" ht="13.5" x14ac:dyDescent="0.25">
      <c r="A2107" s="878" t="s">
        <v>7408</v>
      </c>
      <c r="B2107" s="878" t="s">
        <v>7409</v>
      </c>
      <c r="C2107" s="879" t="s">
        <v>227</v>
      </c>
      <c r="D2107" s="880" t="s">
        <v>41195</v>
      </c>
    </row>
    <row r="2108" spans="1:4" ht="13.5" x14ac:dyDescent="0.25">
      <c r="A2108" s="878" t="s">
        <v>7410</v>
      </c>
      <c r="B2108" s="878" t="s">
        <v>7411</v>
      </c>
      <c r="C2108" s="879" t="s">
        <v>227</v>
      </c>
      <c r="D2108" s="880" t="s">
        <v>41196</v>
      </c>
    </row>
    <row r="2109" spans="1:4" ht="13.5" x14ac:dyDescent="0.25">
      <c r="A2109" s="878" t="s">
        <v>7412</v>
      </c>
      <c r="B2109" s="878" t="s">
        <v>7413</v>
      </c>
      <c r="C2109" s="879" t="s">
        <v>158</v>
      </c>
      <c r="D2109" s="880" t="s">
        <v>17495</v>
      </c>
    </row>
    <row r="2110" spans="1:4" ht="13.5" x14ac:dyDescent="0.25">
      <c r="A2110" s="878" t="s">
        <v>7415</v>
      </c>
      <c r="B2110" s="878" t="s">
        <v>7416</v>
      </c>
      <c r="C2110" s="879" t="s">
        <v>158</v>
      </c>
      <c r="D2110" s="880" t="s">
        <v>30260</v>
      </c>
    </row>
    <row r="2111" spans="1:4" ht="13.5" x14ac:dyDescent="0.25">
      <c r="A2111" s="878" t="s">
        <v>7417</v>
      </c>
      <c r="B2111" s="878" t="s">
        <v>7418</v>
      </c>
      <c r="C2111" s="879" t="s">
        <v>227</v>
      </c>
      <c r="D2111" s="880" t="s">
        <v>41197</v>
      </c>
    </row>
    <row r="2112" spans="1:4" ht="13.5" x14ac:dyDescent="0.25">
      <c r="A2112" s="878" t="s">
        <v>7419</v>
      </c>
      <c r="B2112" s="878" t="s">
        <v>7420</v>
      </c>
      <c r="C2112" s="879" t="s">
        <v>159</v>
      </c>
      <c r="D2112" s="880" t="s">
        <v>41198</v>
      </c>
    </row>
    <row r="2113" spans="1:4" ht="13.5" x14ac:dyDescent="0.25">
      <c r="A2113" s="878" t="s">
        <v>7421</v>
      </c>
      <c r="B2113" s="878" t="s">
        <v>7422</v>
      </c>
      <c r="C2113" s="879" t="s">
        <v>159</v>
      </c>
      <c r="D2113" s="880" t="s">
        <v>41199</v>
      </c>
    </row>
    <row r="2114" spans="1:4" ht="13.5" x14ac:dyDescent="0.25">
      <c r="A2114" s="878" t="s">
        <v>7423</v>
      </c>
      <c r="B2114" s="878" t="s">
        <v>7424</v>
      </c>
      <c r="C2114" s="879" t="s">
        <v>159</v>
      </c>
      <c r="D2114" s="880" t="s">
        <v>41200</v>
      </c>
    </row>
    <row r="2115" spans="1:4" ht="13.5" x14ac:dyDescent="0.25">
      <c r="A2115" s="878" t="s">
        <v>7425</v>
      </c>
      <c r="B2115" s="878" t="s">
        <v>7426</v>
      </c>
      <c r="C2115" s="879" t="s">
        <v>159</v>
      </c>
      <c r="D2115" s="880" t="s">
        <v>41201</v>
      </c>
    </row>
    <row r="2116" spans="1:4" ht="13.5" x14ac:dyDescent="0.25">
      <c r="A2116" s="878" t="s">
        <v>7427</v>
      </c>
      <c r="B2116" s="878" t="s">
        <v>7428</v>
      </c>
      <c r="C2116" s="879" t="s">
        <v>159</v>
      </c>
      <c r="D2116" s="880" t="s">
        <v>41202</v>
      </c>
    </row>
    <row r="2117" spans="1:4" ht="13.5" x14ac:dyDescent="0.25">
      <c r="A2117" s="878" t="s">
        <v>7429</v>
      </c>
      <c r="B2117" s="878" t="s">
        <v>7430</v>
      </c>
      <c r="C2117" s="879" t="s">
        <v>159</v>
      </c>
      <c r="D2117" s="880" t="s">
        <v>41203</v>
      </c>
    </row>
    <row r="2118" spans="1:4" ht="13.5" x14ac:dyDescent="0.25">
      <c r="A2118" s="878" t="s">
        <v>7431</v>
      </c>
      <c r="B2118" s="878" t="s">
        <v>7432</v>
      </c>
      <c r="C2118" s="879" t="s">
        <v>159</v>
      </c>
      <c r="D2118" s="880" t="s">
        <v>41204</v>
      </c>
    </row>
    <row r="2119" spans="1:4" ht="13.5" x14ac:dyDescent="0.25">
      <c r="A2119" s="878" t="s">
        <v>7433</v>
      </c>
      <c r="B2119" s="878" t="s">
        <v>7434</v>
      </c>
      <c r="C2119" s="879" t="s">
        <v>159</v>
      </c>
      <c r="D2119" s="880" t="s">
        <v>41205</v>
      </c>
    </row>
    <row r="2120" spans="1:4" ht="13.5" x14ac:dyDescent="0.25">
      <c r="A2120" s="878" t="s">
        <v>7435</v>
      </c>
      <c r="B2120" s="878" t="s">
        <v>7436</v>
      </c>
      <c r="C2120" s="879" t="s">
        <v>159</v>
      </c>
      <c r="D2120" s="880" t="s">
        <v>41206</v>
      </c>
    </row>
    <row r="2121" spans="1:4" ht="13.5" x14ac:dyDescent="0.25">
      <c r="A2121" s="878" t="s">
        <v>7437</v>
      </c>
      <c r="B2121" s="878" t="s">
        <v>7438</v>
      </c>
      <c r="C2121" s="879" t="s">
        <v>159</v>
      </c>
      <c r="D2121" s="880" t="s">
        <v>41207</v>
      </c>
    </row>
    <row r="2122" spans="1:4" ht="13.5" x14ac:dyDescent="0.25">
      <c r="A2122" s="878" t="s">
        <v>7439</v>
      </c>
      <c r="B2122" s="878" t="s">
        <v>7440</v>
      </c>
      <c r="C2122" s="879" t="s">
        <v>159</v>
      </c>
      <c r="D2122" s="880" t="s">
        <v>41208</v>
      </c>
    </row>
    <row r="2123" spans="1:4" ht="13.5" x14ac:dyDescent="0.25">
      <c r="A2123" s="878" t="s">
        <v>7441</v>
      </c>
      <c r="B2123" s="878" t="s">
        <v>7442</v>
      </c>
      <c r="C2123" s="879" t="s">
        <v>159</v>
      </c>
      <c r="D2123" s="880" t="s">
        <v>41209</v>
      </c>
    </row>
    <row r="2124" spans="1:4" ht="13.5" x14ac:dyDescent="0.25">
      <c r="A2124" s="878" t="s">
        <v>7443</v>
      </c>
      <c r="B2124" s="878" t="s">
        <v>7444</v>
      </c>
      <c r="C2124" s="879" t="s">
        <v>159</v>
      </c>
      <c r="D2124" s="880" t="s">
        <v>41210</v>
      </c>
    </row>
    <row r="2125" spans="1:4" ht="13.5" x14ac:dyDescent="0.25">
      <c r="A2125" s="878" t="s">
        <v>7445</v>
      </c>
      <c r="B2125" s="878" t="s">
        <v>7446</v>
      </c>
      <c r="C2125" s="879" t="s">
        <v>159</v>
      </c>
      <c r="D2125" s="880" t="s">
        <v>41211</v>
      </c>
    </row>
    <row r="2126" spans="1:4" ht="13.5" x14ac:dyDescent="0.25">
      <c r="A2126" s="878" t="s">
        <v>7447</v>
      </c>
      <c r="B2126" s="878" t="s">
        <v>7448</v>
      </c>
      <c r="C2126" s="879" t="s">
        <v>159</v>
      </c>
      <c r="D2126" s="880" t="s">
        <v>41212</v>
      </c>
    </row>
    <row r="2127" spans="1:4" ht="13.5" x14ac:dyDescent="0.25">
      <c r="A2127" s="878" t="s">
        <v>7449</v>
      </c>
      <c r="B2127" s="878" t="s">
        <v>7450</v>
      </c>
      <c r="C2127" s="879" t="s">
        <v>159</v>
      </c>
      <c r="D2127" s="880" t="s">
        <v>41213</v>
      </c>
    </row>
    <row r="2128" spans="1:4" ht="13.5" x14ac:dyDescent="0.25">
      <c r="A2128" s="878" t="s">
        <v>7451</v>
      </c>
      <c r="B2128" s="878" t="s">
        <v>7452</v>
      </c>
      <c r="C2128" s="879" t="s">
        <v>159</v>
      </c>
      <c r="D2128" s="880" t="s">
        <v>41214</v>
      </c>
    </row>
    <row r="2129" spans="1:4" ht="13.5" x14ac:dyDescent="0.25">
      <c r="A2129" s="878" t="s">
        <v>7453</v>
      </c>
      <c r="B2129" s="878" t="s">
        <v>7454</v>
      </c>
      <c r="C2129" s="879" t="s">
        <v>159</v>
      </c>
      <c r="D2129" s="880" t="s">
        <v>41215</v>
      </c>
    </row>
    <row r="2130" spans="1:4" ht="13.5" x14ac:dyDescent="0.25">
      <c r="A2130" s="878" t="s">
        <v>7455</v>
      </c>
      <c r="B2130" s="878" t="s">
        <v>7456</v>
      </c>
      <c r="C2130" s="879" t="s">
        <v>226</v>
      </c>
      <c r="D2130" s="880" t="s">
        <v>18062</v>
      </c>
    </row>
    <row r="2131" spans="1:4" ht="13.5" x14ac:dyDescent="0.25">
      <c r="A2131" s="878" t="s">
        <v>7457</v>
      </c>
      <c r="B2131" s="878" t="s">
        <v>7458</v>
      </c>
      <c r="C2131" s="879" t="s">
        <v>226</v>
      </c>
      <c r="D2131" s="880" t="s">
        <v>11734</v>
      </c>
    </row>
    <row r="2132" spans="1:4" ht="13.5" x14ac:dyDescent="0.25">
      <c r="A2132" s="878" t="s">
        <v>7459</v>
      </c>
      <c r="B2132" s="878" t="s">
        <v>7460</v>
      </c>
      <c r="C2132" s="879" t="s">
        <v>226</v>
      </c>
      <c r="D2132" s="880" t="s">
        <v>41216</v>
      </c>
    </row>
    <row r="2133" spans="1:4" ht="13.5" x14ac:dyDescent="0.25">
      <c r="A2133" s="878" t="s">
        <v>7462</v>
      </c>
      <c r="B2133" s="878" t="s">
        <v>7463</v>
      </c>
      <c r="C2133" s="879" t="s">
        <v>226</v>
      </c>
      <c r="D2133" s="880" t="s">
        <v>41217</v>
      </c>
    </row>
    <row r="2134" spans="1:4" ht="13.5" x14ac:dyDescent="0.25">
      <c r="A2134" s="878" t="s">
        <v>7464</v>
      </c>
      <c r="B2134" s="878" t="s">
        <v>7465</v>
      </c>
      <c r="C2134" s="879" t="s">
        <v>226</v>
      </c>
      <c r="D2134" s="880" t="s">
        <v>41218</v>
      </c>
    </row>
    <row r="2135" spans="1:4" ht="13.5" x14ac:dyDescent="0.25">
      <c r="A2135" s="878" t="s">
        <v>7466</v>
      </c>
      <c r="B2135" s="878" t="s">
        <v>7467</v>
      </c>
      <c r="C2135" s="879" t="s">
        <v>226</v>
      </c>
      <c r="D2135" s="880" t="s">
        <v>40094</v>
      </c>
    </row>
    <row r="2136" spans="1:4" ht="13.5" x14ac:dyDescent="0.25">
      <c r="A2136" s="878" t="s">
        <v>7468</v>
      </c>
      <c r="B2136" s="878" t="s">
        <v>7469</v>
      </c>
      <c r="C2136" s="879" t="s">
        <v>226</v>
      </c>
      <c r="D2136" s="880" t="s">
        <v>41219</v>
      </c>
    </row>
    <row r="2137" spans="1:4" ht="13.5" x14ac:dyDescent="0.25">
      <c r="A2137" s="878" t="s">
        <v>7470</v>
      </c>
      <c r="B2137" s="878" t="s">
        <v>7471</v>
      </c>
      <c r="C2137" s="879" t="s">
        <v>226</v>
      </c>
      <c r="D2137" s="880" t="s">
        <v>41220</v>
      </c>
    </row>
    <row r="2138" spans="1:4" ht="13.5" x14ac:dyDescent="0.25">
      <c r="A2138" s="878" t="s">
        <v>7472</v>
      </c>
      <c r="B2138" s="878" t="s">
        <v>7473</v>
      </c>
      <c r="C2138" s="879" t="s">
        <v>158</v>
      </c>
      <c r="D2138" s="880" t="s">
        <v>41221</v>
      </c>
    </row>
    <row r="2139" spans="1:4" ht="13.5" x14ac:dyDescent="0.25">
      <c r="A2139" s="878" t="s">
        <v>7474</v>
      </c>
      <c r="B2139" s="878" t="s">
        <v>7475</v>
      </c>
      <c r="C2139" s="879" t="s">
        <v>158</v>
      </c>
      <c r="D2139" s="880" t="s">
        <v>41222</v>
      </c>
    </row>
    <row r="2140" spans="1:4" ht="13.5" x14ac:dyDescent="0.25">
      <c r="A2140" s="878" t="s">
        <v>7476</v>
      </c>
      <c r="B2140" s="878" t="s">
        <v>7477</v>
      </c>
      <c r="C2140" s="879" t="s">
        <v>158</v>
      </c>
      <c r="D2140" s="880" t="s">
        <v>41223</v>
      </c>
    </row>
    <row r="2141" spans="1:4" ht="13.5" x14ac:dyDescent="0.25">
      <c r="A2141" s="878" t="s">
        <v>7478</v>
      </c>
      <c r="B2141" s="878" t="s">
        <v>7479</v>
      </c>
      <c r="C2141" s="879" t="s">
        <v>158</v>
      </c>
      <c r="D2141" s="880" t="s">
        <v>41224</v>
      </c>
    </row>
    <row r="2142" spans="1:4" ht="13.5" x14ac:dyDescent="0.25">
      <c r="A2142" s="878" t="s">
        <v>7480</v>
      </c>
      <c r="B2142" s="878" t="s">
        <v>7481</v>
      </c>
      <c r="C2142" s="879" t="s">
        <v>158</v>
      </c>
      <c r="D2142" s="880" t="s">
        <v>41225</v>
      </c>
    </row>
    <row r="2143" spans="1:4" ht="13.5" x14ac:dyDescent="0.25">
      <c r="A2143" s="878" t="s">
        <v>7482</v>
      </c>
      <c r="B2143" s="878" t="s">
        <v>7483</v>
      </c>
      <c r="C2143" s="879" t="s">
        <v>158</v>
      </c>
      <c r="D2143" s="880" t="s">
        <v>41226</v>
      </c>
    </row>
    <row r="2144" spans="1:4" ht="13.5" x14ac:dyDescent="0.25">
      <c r="A2144" s="878" t="s">
        <v>7484</v>
      </c>
      <c r="B2144" s="878" t="s">
        <v>7485</v>
      </c>
      <c r="C2144" s="879" t="s">
        <v>158</v>
      </c>
      <c r="D2144" s="880" t="s">
        <v>41227</v>
      </c>
    </row>
    <row r="2145" spans="1:4" ht="13.5" x14ac:dyDescent="0.25">
      <c r="A2145" s="878" t="s">
        <v>7487</v>
      </c>
      <c r="B2145" s="878" t="s">
        <v>7488</v>
      </c>
      <c r="C2145" s="879" t="s">
        <v>158</v>
      </c>
      <c r="D2145" s="880" t="s">
        <v>41228</v>
      </c>
    </row>
    <row r="2146" spans="1:4" ht="13.5" x14ac:dyDescent="0.25">
      <c r="A2146" s="878" t="s">
        <v>7489</v>
      </c>
      <c r="B2146" s="878" t="s">
        <v>7490</v>
      </c>
      <c r="C2146" s="879" t="s">
        <v>6008</v>
      </c>
      <c r="D2146" s="880" t="s">
        <v>31094</v>
      </c>
    </row>
    <row r="2147" spans="1:4" ht="13.5" x14ac:dyDescent="0.25">
      <c r="A2147" s="878" t="s">
        <v>7491</v>
      </c>
      <c r="B2147" s="878" t="s">
        <v>7492</v>
      </c>
      <c r="C2147" s="879" t="s">
        <v>6008</v>
      </c>
      <c r="D2147" s="880" t="s">
        <v>41229</v>
      </c>
    </row>
    <row r="2148" spans="1:4" ht="13.5" x14ac:dyDescent="0.25">
      <c r="A2148" s="878" t="s">
        <v>7494</v>
      </c>
      <c r="B2148" s="878" t="s">
        <v>7495</v>
      </c>
      <c r="C2148" s="879" t="s">
        <v>6008</v>
      </c>
      <c r="D2148" s="880" t="s">
        <v>30637</v>
      </c>
    </row>
    <row r="2149" spans="1:4" ht="13.5" x14ac:dyDescent="0.25">
      <c r="A2149" s="878" t="s">
        <v>7496</v>
      </c>
      <c r="B2149" s="878" t="s">
        <v>7497</v>
      </c>
      <c r="C2149" s="879" t="s">
        <v>6008</v>
      </c>
      <c r="D2149" s="880" t="s">
        <v>41230</v>
      </c>
    </row>
    <row r="2150" spans="1:4" ht="13.5" x14ac:dyDescent="0.25">
      <c r="A2150" s="878" t="s">
        <v>7498</v>
      </c>
      <c r="B2150" s="878" t="s">
        <v>7499</v>
      </c>
      <c r="C2150" s="879" t="s">
        <v>6008</v>
      </c>
      <c r="D2150" s="880" t="s">
        <v>41231</v>
      </c>
    </row>
    <row r="2151" spans="1:4" ht="13.5" x14ac:dyDescent="0.25">
      <c r="A2151" s="878" t="s">
        <v>7501</v>
      </c>
      <c r="B2151" s="878" t="s">
        <v>7502</v>
      </c>
      <c r="C2151" s="879" t="s">
        <v>158</v>
      </c>
      <c r="D2151" s="880" t="s">
        <v>41232</v>
      </c>
    </row>
    <row r="2152" spans="1:4" ht="13.5" x14ac:dyDescent="0.25">
      <c r="A2152" s="878" t="s">
        <v>7503</v>
      </c>
      <c r="B2152" s="878" t="s">
        <v>7504</v>
      </c>
      <c r="C2152" s="879" t="s">
        <v>158</v>
      </c>
      <c r="D2152" s="880" t="s">
        <v>41233</v>
      </c>
    </row>
    <row r="2153" spans="1:4" ht="13.5" x14ac:dyDescent="0.25">
      <c r="A2153" s="878" t="s">
        <v>7505</v>
      </c>
      <c r="B2153" s="878" t="s">
        <v>7506</v>
      </c>
      <c r="C2153" s="879" t="s">
        <v>158</v>
      </c>
      <c r="D2153" s="880" t="s">
        <v>41234</v>
      </c>
    </row>
    <row r="2154" spans="1:4" ht="13.5" x14ac:dyDescent="0.25">
      <c r="A2154" s="878" t="s">
        <v>7507</v>
      </c>
      <c r="B2154" s="878" t="s">
        <v>7508</v>
      </c>
      <c r="C2154" s="879" t="s">
        <v>158</v>
      </c>
      <c r="D2154" s="880" t="s">
        <v>41235</v>
      </c>
    </row>
    <row r="2155" spans="1:4" ht="13.5" x14ac:dyDescent="0.25">
      <c r="A2155" s="878" t="s">
        <v>7509</v>
      </c>
      <c r="B2155" s="878" t="s">
        <v>7510</v>
      </c>
      <c r="C2155" s="879" t="s">
        <v>158</v>
      </c>
      <c r="D2155" s="880" t="s">
        <v>41236</v>
      </c>
    </row>
    <row r="2156" spans="1:4" ht="13.5" x14ac:dyDescent="0.25">
      <c r="A2156" s="878" t="s">
        <v>7511</v>
      </c>
      <c r="B2156" s="878" t="s">
        <v>7512</v>
      </c>
      <c r="C2156" s="879" t="s">
        <v>158</v>
      </c>
      <c r="D2156" s="880" t="s">
        <v>41237</v>
      </c>
    </row>
    <row r="2157" spans="1:4" ht="13.5" x14ac:dyDescent="0.25">
      <c r="A2157" s="878" t="s">
        <v>7513</v>
      </c>
      <c r="B2157" s="878" t="s">
        <v>7514</v>
      </c>
      <c r="C2157" s="879" t="s">
        <v>158</v>
      </c>
      <c r="D2157" s="880" t="s">
        <v>4138</v>
      </c>
    </row>
    <row r="2158" spans="1:4" ht="13.5" x14ac:dyDescent="0.25">
      <c r="A2158" s="878" t="s">
        <v>7515</v>
      </c>
      <c r="B2158" s="878" t="s">
        <v>7516</v>
      </c>
      <c r="C2158" s="879" t="s">
        <v>158</v>
      </c>
      <c r="D2158" s="880" t="s">
        <v>41238</v>
      </c>
    </row>
    <row r="2159" spans="1:4" ht="13.5" x14ac:dyDescent="0.25">
      <c r="A2159" s="878" t="s">
        <v>7517</v>
      </c>
      <c r="B2159" s="878" t="s">
        <v>7518</v>
      </c>
      <c r="C2159" s="879" t="s">
        <v>158</v>
      </c>
      <c r="D2159" s="880" t="s">
        <v>41239</v>
      </c>
    </row>
    <row r="2160" spans="1:4" ht="13.5" x14ac:dyDescent="0.25">
      <c r="A2160" s="878" t="s">
        <v>7519</v>
      </c>
      <c r="B2160" s="878" t="s">
        <v>7520</v>
      </c>
      <c r="C2160" s="879" t="s">
        <v>226</v>
      </c>
      <c r="D2160" s="880" t="s">
        <v>41240</v>
      </c>
    </row>
    <row r="2161" spans="1:4" ht="13.5" x14ac:dyDescent="0.25">
      <c r="A2161" s="878" t="s">
        <v>7521</v>
      </c>
      <c r="B2161" s="878" t="s">
        <v>7522</v>
      </c>
      <c r="C2161" s="879" t="s">
        <v>226</v>
      </c>
      <c r="D2161" s="880" t="s">
        <v>41241</v>
      </c>
    </row>
    <row r="2162" spans="1:4" ht="13.5" x14ac:dyDescent="0.25">
      <c r="A2162" s="878" t="s">
        <v>7523</v>
      </c>
      <c r="B2162" s="878" t="s">
        <v>7524</v>
      </c>
      <c r="C2162" s="879" t="s">
        <v>226</v>
      </c>
      <c r="D2162" s="880" t="s">
        <v>41242</v>
      </c>
    </row>
    <row r="2163" spans="1:4" ht="13.5" x14ac:dyDescent="0.25">
      <c r="A2163" s="878" t="s">
        <v>7525</v>
      </c>
      <c r="B2163" s="878" t="s">
        <v>7526</v>
      </c>
      <c r="C2163" s="879" t="s">
        <v>227</v>
      </c>
      <c r="D2163" s="880" t="s">
        <v>41243</v>
      </c>
    </row>
    <row r="2164" spans="1:4" ht="13.5" x14ac:dyDescent="0.25">
      <c r="A2164" s="878" t="s">
        <v>7528</v>
      </c>
      <c r="B2164" s="878" t="s">
        <v>7529</v>
      </c>
      <c r="C2164" s="879" t="s">
        <v>227</v>
      </c>
      <c r="D2164" s="880" t="s">
        <v>41244</v>
      </c>
    </row>
    <row r="2165" spans="1:4" ht="13.5" x14ac:dyDescent="0.25">
      <c r="A2165" s="878" t="s">
        <v>7530</v>
      </c>
      <c r="B2165" s="878" t="s">
        <v>7531</v>
      </c>
      <c r="C2165" s="879" t="s">
        <v>159</v>
      </c>
      <c r="D2165" s="880" t="s">
        <v>41245</v>
      </c>
    </row>
    <row r="2166" spans="1:4" ht="13.5" x14ac:dyDescent="0.25">
      <c r="A2166" s="878" t="s">
        <v>7532</v>
      </c>
      <c r="B2166" s="878" t="s">
        <v>7533</v>
      </c>
      <c r="C2166" s="879" t="s">
        <v>227</v>
      </c>
      <c r="D2166" s="880" t="s">
        <v>12264</v>
      </c>
    </row>
    <row r="2167" spans="1:4" ht="13.5" x14ac:dyDescent="0.25">
      <c r="A2167" s="878" t="s">
        <v>7534</v>
      </c>
      <c r="B2167" s="878" t="s">
        <v>7535</v>
      </c>
      <c r="C2167" s="879" t="s">
        <v>227</v>
      </c>
      <c r="D2167" s="880" t="s">
        <v>30731</v>
      </c>
    </row>
    <row r="2168" spans="1:4" ht="13.5" x14ac:dyDescent="0.25">
      <c r="A2168" s="878" t="s">
        <v>7536</v>
      </c>
      <c r="B2168" s="878" t="s">
        <v>7537</v>
      </c>
      <c r="C2168" s="879" t="s">
        <v>159</v>
      </c>
      <c r="D2168" s="880" t="s">
        <v>41246</v>
      </c>
    </row>
    <row r="2169" spans="1:4" ht="13.5" x14ac:dyDescent="0.25">
      <c r="A2169" s="878" t="s">
        <v>7538</v>
      </c>
      <c r="B2169" s="878" t="s">
        <v>7539</v>
      </c>
      <c r="C2169" s="879" t="s">
        <v>159</v>
      </c>
      <c r="D2169" s="880" t="s">
        <v>41247</v>
      </c>
    </row>
    <row r="2170" spans="1:4" ht="13.5" x14ac:dyDescent="0.25">
      <c r="A2170" s="878" t="s">
        <v>7540</v>
      </c>
      <c r="B2170" s="878" t="s">
        <v>7541</v>
      </c>
      <c r="C2170" s="879" t="s">
        <v>159</v>
      </c>
      <c r="D2170" s="880" t="s">
        <v>41248</v>
      </c>
    </row>
    <row r="2171" spans="1:4" ht="13.5" x14ac:dyDescent="0.25">
      <c r="A2171" s="878" t="s">
        <v>7542</v>
      </c>
      <c r="B2171" s="878" t="s">
        <v>7543</v>
      </c>
      <c r="C2171" s="879" t="s">
        <v>159</v>
      </c>
      <c r="D2171" s="880" t="s">
        <v>41249</v>
      </c>
    </row>
    <row r="2172" spans="1:4" ht="13.5" x14ac:dyDescent="0.25">
      <c r="A2172" s="878" t="s">
        <v>7544</v>
      </c>
      <c r="B2172" s="878" t="s">
        <v>7545</v>
      </c>
      <c r="C2172" s="879" t="s">
        <v>159</v>
      </c>
      <c r="D2172" s="880" t="s">
        <v>41250</v>
      </c>
    </row>
    <row r="2173" spans="1:4" ht="13.5" x14ac:dyDescent="0.25">
      <c r="A2173" s="878" t="s">
        <v>7546</v>
      </c>
      <c r="B2173" s="878" t="s">
        <v>7547</v>
      </c>
      <c r="C2173" s="879" t="s">
        <v>159</v>
      </c>
      <c r="D2173" s="880" t="s">
        <v>4806</v>
      </c>
    </row>
    <row r="2174" spans="1:4" ht="13.5" x14ac:dyDescent="0.25">
      <c r="A2174" s="878" t="s">
        <v>7548</v>
      </c>
      <c r="B2174" s="878" t="s">
        <v>7549</v>
      </c>
      <c r="C2174" s="879" t="s">
        <v>227</v>
      </c>
      <c r="D2174" s="880" t="s">
        <v>41251</v>
      </c>
    </row>
    <row r="2175" spans="1:4" ht="13.5" x14ac:dyDescent="0.25">
      <c r="A2175" s="878" t="s">
        <v>7551</v>
      </c>
      <c r="B2175" s="878" t="s">
        <v>7552</v>
      </c>
      <c r="C2175" s="879" t="s">
        <v>227</v>
      </c>
      <c r="D2175" s="880" t="s">
        <v>4438</v>
      </c>
    </row>
    <row r="2176" spans="1:4" ht="13.5" x14ac:dyDescent="0.25">
      <c r="A2176" s="878" t="s">
        <v>7553</v>
      </c>
      <c r="B2176" s="878" t="s">
        <v>7554</v>
      </c>
      <c r="C2176" s="879" t="s">
        <v>227</v>
      </c>
      <c r="D2176" s="880" t="s">
        <v>41252</v>
      </c>
    </row>
    <row r="2177" spans="1:4" ht="13.5" x14ac:dyDescent="0.25">
      <c r="A2177" s="878" t="s">
        <v>7555</v>
      </c>
      <c r="B2177" s="878" t="s">
        <v>7556</v>
      </c>
      <c r="C2177" s="879" t="s">
        <v>227</v>
      </c>
      <c r="D2177" s="880" t="s">
        <v>4162</v>
      </c>
    </row>
    <row r="2178" spans="1:4" ht="13.5" x14ac:dyDescent="0.25">
      <c r="A2178" s="878" t="s">
        <v>7557</v>
      </c>
      <c r="B2178" s="878" t="s">
        <v>7558</v>
      </c>
      <c r="C2178" s="879" t="s">
        <v>6008</v>
      </c>
      <c r="D2178" s="880" t="s">
        <v>41253</v>
      </c>
    </row>
    <row r="2179" spans="1:4" ht="13.5" x14ac:dyDescent="0.25">
      <c r="A2179" s="878" t="s">
        <v>7559</v>
      </c>
      <c r="B2179" s="878" t="s">
        <v>7560</v>
      </c>
      <c r="C2179" s="879" t="s">
        <v>6008</v>
      </c>
      <c r="D2179" s="880" t="s">
        <v>6989</v>
      </c>
    </row>
    <row r="2180" spans="1:4" ht="13.5" x14ac:dyDescent="0.25">
      <c r="A2180" s="878" t="s">
        <v>7561</v>
      </c>
      <c r="B2180" s="878" t="s">
        <v>7562</v>
      </c>
      <c r="C2180" s="879" t="s">
        <v>6008</v>
      </c>
      <c r="D2180" s="880" t="s">
        <v>16673</v>
      </c>
    </row>
    <row r="2181" spans="1:4" ht="13.5" x14ac:dyDescent="0.25">
      <c r="A2181" s="878" t="s">
        <v>7564</v>
      </c>
      <c r="B2181" s="878" t="s">
        <v>7565</v>
      </c>
      <c r="C2181" s="879" t="s">
        <v>6008</v>
      </c>
      <c r="D2181" s="880" t="s">
        <v>41254</v>
      </c>
    </row>
    <row r="2182" spans="1:4" ht="13.5" x14ac:dyDescent="0.25">
      <c r="A2182" s="878" t="s">
        <v>7566</v>
      </c>
      <c r="B2182" s="878" t="s">
        <v>7567</v>
      </c>
      <c r="C2182" s="879" t="s">
        <v>6008</v>
      </c>
      <c r="D2182" s="880" t="s">
        <v>41255</v>
      </c>
    </row>
    <row r="2183" spans="1:4" ht="13.5" x14ac:dyDescent="0.25">
      <c r="A2183" s="878" t="s">
        <v>7568</v>
      </c>
      <c r="B2183" s="878" t="s">
        <v>7569</v>
      </c>
      <c r="C2183" s="879" t="s">
        <v>6008</v>
      </c>
      <c r="D2183" s="880" t="s">
        <v>41256</v>
      </c>
    </row>
    <row r="2184" spans="1:4" ht="13.5" x14ac:dyDescent="0.25">
      <c r="A2184" s="878" t="s">
        <v>7571</v>
      </c>
      <c r="B2184" s="878" t="s">
        <v>7572</v>
      </c>
      <c r="C2184" s="879" t="s">
        <v>159</v>
      </c>
      <c r="D2184" s="880" t="s">
        <v>30555</v>
      </c>
    </row>
    <row r="2185" spans="1:4" ht="13.5" x14ac:dyDescent="0.25">
      <c r="A2185" s="878" t="s">
        <v>7573</v>
      </c>
      <c r="B2185" s="878" t="s">
        <v>7574</v>
      </c>
      <c r="C2185" s="879" t="s">
        <v>227</v>
      </c>
      <c r="D2185" s="880" t="s">
        <v>41257</v>
      </c>
    </row>
    <row r="2186" spans="1:4" ht="13.5" x14ac:dyDescent="0.25">
      <c r="A2186" s="878" t="s">
        <v>7575</v>
      </c>
      <c r="B2186" s="878" t="s">
        <v>7576</v>
      </c>
      <c r="C2186" s="879" t="s">
        <v>227</v>
      </c>
      <c r="D2186" s="880" t="s">
        <v>41258</v>
      </c>
    </row>
    <row r="2187" spans="1:4" ht="13.5" x14ac:dyDescent="0.25">
      <c r="A2187" s="878" t="s">
        <v>7577</v>
      </c>
      <c r="B2187" s="878" t="s">
        <v>7578</v>
      </c>
      <c r="C2187" s="879" t="s">
        <v>227</v>
      </c>
      <c r="D2187" s="880" t="s">
        <v>41259</v>
      </c>
    </row>
    <row r="2188" spans="1:4" ht="13.5" x14ac:dyDescent="0.25">
      <c r="A2188" s="878" t="s">
        <v>7579</v>
      </c>
      <c r="B2188" s="878" t="s">
        <v>7580</v>
      </c>
      <c r="C2188" s="879" t="s">
        <v>227</v>
      </c>
      <c r="D2188" s="880" t="s">
        <v>41260</v>
      </c>
    </row>
    <row r="2189" spans="1:4" ht="13.5" x14ac:dyDescent="0.25">
      <c r="A2189" s="878" t="s">
        <v>7581</v>
      </c>
      <c r="B2189" s="878" t="s">
        <v>7582</v>
      </c>
      <c r="C2189" s="879" t="s">
        <v>159</v>
      </c>
      <c r="D2189" s="880" t="s">
        <v>41261</v>
      </c>
    </row>
    <row r="2190" spans="1:4" ht="13.5" x14ac:dyDescent="0.25">
      <c r="A2190" s="878" t="s">
        <v>7583</v>
      </c>
      <c r="B2190" s="878" t="s">
        <v>7584</v>
      </c>
      <c r="C2190" s="879" t="s">
        <v>159</v>
      </c>
      <c r="D2190" s="880" t="s">
        <v>41262</v>
      </c>
    </row>
    <row r="2191" spans="1:4" ht="13.5" x14ac:dyDescent="0.25">
      <c r="A2191" s="878" t="s">
        <v>7585</v>
      </c>
      <c r="B2191" s="878" t="s">
        <v>7586</v>
      </c>
      <c r="C2191" s="879" t="s">
        <v>159</v>
      </c>
      <c r="D2191" s="880" t="s">
        <v>41263</v>
      </c>
    </row>
    <row r="2192" spans="1:4" ht="13.5" x14ac:dyDescent="0.25">
      <c r="A2192" s="878" t="s">
        <v>7587</v>
      </c>
      <c r="B2192" s="878" t="s">
        <v>7588</v>
      </c>
      <c r="C2192" s="879" t="s">
        <v>227</v>
      </c>
      <c r="D2192" s="880" t="s">
        <v>41264</v>
      </c>
    </row>
    <row r="2193" spans="1:4" ht="13.5" x14ac:dyDescent="0.25">
      <c r="A2193" s="878" t="s">
        <v>7589</v>
      </c>
      <c r="B2193" s="878" t="s">
        <v>7590</v>
      </c>
      <c r="C2193" s="879" t="s">
        <v>227</v>
      </c>
      <c r="D2193" s="880" t="s">
        <v>41265</v>
      </c>
    </row>
    <row r="2194" spans="1:4" ht="13.5" x14ac:dyDescent="0.25">
      <c r="A2194" s="878" t="s">
        <v>7591</v>
      </c>
      <c r="B2194" s="878" t="s">
        <v>7592</v>
      </c>
      <c r="C2194" s="879" t="s">
        <v>227</v>
      </c>
      <c r="D2194" s="880" t="s">
        <v>30541</v>
      </c>
    </row>
    <row r="2195" spans="1:4" ht="13.5" x14ac:dyDescent="0.25">
      <c r="A2195" s="878" t="s">
        <v>7593</v>
      </c>
      <c r="B2195" s="878" t="s">
        <v>7594</v>
      </c>
      <c r="C2195" s="879" t="s">
        <v>227</v>
      </c>
      <c r="D2195" s="880" t="s">
        <v>41266</v>
      </c>
    </row>
    <row r="2196" spans="1:4" ht="13.5" x14ac:dyDescent="0.25">
      <c r="A2196" s="878" t="s">
        <v>7595</v>
      </c>
      <c r="B2196" s="878" t="s">
        <v>7596</v>
      </c>
      <c r="C2196" s="879" t="s">
        <v>227</v>
      </c>
      <c r="D2196" s="880" t="s">
        <v>41267</v>
      </c>
    </row>
    <row r="2197" spans="1:4" ht="13.5" x14ac:dyDescent="0.25">
      <c r="A2197" s="878" t="s">
        <v>7597</v>
      </c>
      <c r="B2197" s="878" t="s">
        <v>7598</v>
      </c>
      <c r="C2197" s="879" t="s">
        <v>227</v>
      </c>
      <c r="D2197" s="880" t="s">
        <v>30460</v>
      </c>
    </row>
    <row r="2198" spans="1:4" ht="13.5" x14ac:dyDescent="0.25">
      <c r="A2198" s="878" t="s">
        <v>7599</v>
      </c>
      <c r="B2198" s="878" t="s">
        <v>7600</v>
      </c>
      <c r="C2198" s="879" t="s">
        <v>227</v>
      </c>
      <c r="D2198" s="880" t="s">
        <v>41268</v>
      </c>
    </row>
    <row r="2199" spans="1:4" ht="13.5" x14ac:dyDescent="0.25">
      <c r="A2199" s="878" t="s">
        <v>7601</v>
      </c>
      <c r="B2199" s="878" t="s">
        <v>7602</v>
      </c>
      <c r="C2199" s="879" t="s">
        <v>227</v>
      </c>
      <c r="D2199" s="880" t="s">
        <v>41269</v>
      </c>
    </row>
    <row r="2200" spans="1:4" ht="13.5" x14ac:dyDescent="0.25">
      <c r="A2200" s="878" t="s">
        <v>7603</v>
      </c>
      <c r="B2200" s="878" t="s">
        <v>7604</v>
      </c>
      <c r="C2200" s="879" t="s">
        <v>227</v>
      </c>
      <c r="D2200" s="880" t="s">
        <v>41270</v>
      </c>
    </row>
    <row r="2201" spans="1:4" ht="13.5" x14ac:dyDescent="0.25">
      <c r="A2201" s="878" t="s">
        <v>7605</v>
      </c>
      <c r="B2201" s="878" t="s">
        <v>7606</v>
      </c>
      <c r="C2201" s="879" t="s">
        <v>227</v>
      </c>
      <c r="D2201" s="880" t="s">
        <v>30217</v>
      </c>
    </row>
    <row r="2202" spans="1:4" ht="13.5" x14ac:dyDescent="0.25">
      <c r="A2202" s="878" t="s">
        <v>7607</v>
      </c>
      <c r="B2202" s="878" t="s">
        <v>7608</v>
      </c>
      <c r="C2202" s="879" t="s">
        <v>227</v>
      </c>
      <c r="D2202" s="880" t="s">
        <v>41271</v>
      </c>
    </row>
    <row r="2203" spans="1:4" ht="13.5" x14ac:dyDescent="0.25">
      <c r="A2203" s="878" t="s">
        <v>7609</v>
      </c>
      <c r="B2203" s="878" t="s">
        <v>7610</v>
      </c>
      <c r="C2203" s="879" t="s">
        <v>227</v>
      </c>
      <c r="D2203" s="880" t="s">
        <v>41272</v>
      </c>
    </row>
    <row r="2204" spans="1:4" ht="13.5" x14ac:dyDescent="0.25">
      <c r="A2204" s="878" t="s">
        <v>7612</v>
      </c>
      <c r="B2204" s="878" t="s">
        <v>7613</v>
      </c>
      <c r="C2204" s="879" t="s">
        <v>227</v>
      </c>
      <c r="D2204" s="880" t="s">
        <v>41273</v>
      </c>
    </row>
    <row r="2205" spans="1:4" ht="13.5" x14ac:dyDescent="0.25">
      <c r="A2205" s="878" t="s">
        <v>7614</v>
      </c>
      <c r="B2205" s="878" t="s">
        <v>7615</v>
      </c>
      <c r="C2205" s="879" t="s">
        <v>227</v>
      </c>
      <c r="D2205" s="880" t="s">
        <v>9192</v>
      </c>
    </row>
    <row r="2206" spans="1:4" ht="13.5" x14ac:dyDescent="0.25">
      <c r="A2206" s="878" t="s">
        <v>7616</v>
      </c>
      <c r="B2206" s="878" t="s">
        <v>7617</v>
      </c>
      <c r="C2206" s="879" t="s">
        <v>227</v>
      </c>
      <c r="D2206" s="880" t="s">
        <v>31227</v>
      </c>
    </row>
    <row r="2207" spans="1:4" ht="13.5" x14ac:dyDescent="0.25">
      <c r="A2207" s="878" t="s">
        <v>7618</v>
      </c>
      <c r="B2207" s="878" t="s">
        <v>7619</v>
      </c>
      <c r="C2207" s="879" t="s">
        <v>227</v>
      </c>
      <c r="D2207" s="880" t="s">
        <v>41274</v>
      </c>
    </row>
    <row r="2208" spans="1:4" ht="13.5" x14ac:dyDescent="0.25">
      <c r="A2208" s="878" t="s">
        <v>7620</v>
      </c>
      <c r="B2208" s="878" t="s">
        <v>7621</v>
      </c>
      <c r="C2208" s="879" t="s">
        <v>227</v>
      </c>
      <c r="D2208" s="880" t="s">
        <v>41275</v>
      </c>
    </row>
    <row r="2209" spans="1:4" ht="13.5" x14ac:dyDescent="0.25">
      <c r="A2209" s="878" t="s">
        <v>7622</v>
      </c>
      <c r="B2209" s="878" t="s">
        <v>7623</v>
      </c>
      <c r="C2209" s="879" t="s">
        <v>227</v>
      </c>
      <c r="D2209" s="880" t="s">
        <v>15981</v>
      </c>
    </row>
    <row r="2210" spans="1:4" ht="13.5" x14ac:dyDescent="0.25">
      <c r="A2210" s="878" t="s">
        <v>7624</v>
      </c>
      <c r="B2210" s="878" t="s">
        <v>7625</v>
      </c>
      <c r="C2210" s="879" t="s">
        <v>158</v>
      </c>
      <c r="D2210" s="880" t="s">
        <v>30412</v>
      </c>
    </row>
    <row r="2211" spans="1:4" ht="13.5" x14ac:dyDescent="0.25">
      <c r="A2211" s="878" t="s">
        <v>7626</v>
      </c>
      <c r="B2211" s="878" t="s">
        <v>7627</v>
      </c>
      <c r="C2211" s="879" t="s">
        <v>158</v>
      </c>
      <c r="D2211" s="880" t="s">
        <v>30826</v>
      </c>
    </row>
    <row r="2212" spans="1:4" ht="13.5" x14ac:dyDescent="0.25">
      <c r="A2212" s="878" t="s">
        <v>7629</v>
      </c>
      <c r="B2212" s="878" t="s">
        <v>7630</v>
      </c>
      <c r="C2212" s="879" t="s">
        <v>227</v>
      </c>
      <c r="D2212" s="880" t="s">
        <v>41276</v>
      </c>
    </row>
    <row r="2213" spans="1:4" ht="13.5" x14ac:dyDescent="0.25">
      <c r="A2213" s="878" t="s">
        <v>7631</v>
      </c>
      <c r="B2213" s="878" t="s">
        <v>7632</v>
      </c>
      <c r="C2213" s="879" t="s">
        <v>227</v>
      </c>
      <c r="D2213" s="880" t="s">
        <v>41277</v>
      </c>
    </row>
    <row r="2214" spans="1:4" ht="13.5" x14ac:dyDescent="0.25">
      <c r="A2214" s="878" t="s">
        <v>7633</v>
      </c>
      <c r="B2214" s="878" t="s">
        <v>7634</v>
      </c>
      <c r="C2214" s="879" t="s">
        <v>227</v>
      </c>
      <c r="D2214" s="880" t="s">
        <v>41278</v>
      </c>
    </row>
    <row r="2215" spans="1:4" ht="13.5" x14ac:dyDescent="0.25">
      <c r="A2215" s="878" t="s">
        <v>7635</v>
      </c>
      <c r="B2215" s="878" t="s">
        <v>7636</v>
      </c>
      <c r="C2215" s="879" t="s">
        <v>227</v>
      </c>
      <c r="D2215" s="880" t="s">
        <v>41279</v>
      </c>
    </row>
    <row r="2216" spans="1:4" ht="13.5" x14ac:dyDescent="0.25">
      <c r="A2216" s="878" t="s">
        <v>7637</v>
      </c>
      <c r="B2216" s="878" t="s">
        <v>7638</v>
      </c>
      <c r="C2216" s="879" t="s">
        <v>227</v>
      </c>
      <c r="D2216" s="880" t="s">
        <v>31059</v>
      </c>
    </row>
    <row r="2217" spans="1:4" ht="13.5" x14ac:dyDescent="0.25">
      <c r="A2217" s="878" t="s">
        <v>7639</v>
      </c>
      <c r="B2217" s="878" t="s">
        <v>7640</v>
      </c>
      <c r="C2217" s="879" t="s">
        <v>227</v>
      </c>
      <c r="D2217" s="880" t="s">
        <v>41280</v>
      </c>
    </row>
    <row r="2218" spans="1:4" ht="13.5" x14ac:dyDescent="0.25">
      <c r="A2218" s="878" t="s">
        <v>7641</v>
      </c>
      <c r="B2218" s="878" t="s">
        <v>7642</v>
      </c>
      <c r="C2218" s="879" t="s">
        <v>227</v>
      </c>
      <c r="D2218" s="880" t="s">
        <v>41281</v>
      </c>
    </row>
    <row r="2219" spans="1:4" ht="13.5" x14ac:dyDescent="0.25">
      <c r="A2219" s="878" t="s">
        <v>7643</v>
      </c>
      <c r="B2219" s="878" t="s">
        <v>7644</v>
      </c>
      <c r="C2219" s="879" t="s">
        <v>227</v>
      </c>
      <c r="D2219" s="880" t="s">
        <v>31080</v>
      </c>
    </row>
    <row r="2220" spans="1:4" ht="13.5" x14ac:dyDescent="0.25">
      <c r="A2220" s="878" t="s">
        <v>7645</v>
      </c>
      <c r="B2220" s="878" t="s">
        <v>7646</v>
      </c>
      <c r="C2220" s="879" t="s">
        <v>227</v>
      </c>
      <c r="D2220" s="880" t="s">
        <v>41282</v>
      </c>
    </row>
    <row r="2221" spans="1:4" ht="13.5" x14ac:dyDescent="0.25">
      <c r="A2221" s="878" t="s">
        <v>7647</v>
      </c>
      <c r="B2221" s="878" t="s">
        <v>7648</v>
      </c>
      <c r="C2221" s="879" t="s">
        <v>227</v>
      </c>
      <c r="D2221" s="880" t="s">
        <v>41283</v>
      </c>
    </row>
    <row r="2222" spans="1:4" ht="13.5" x14ac:dyDescent="0.25">
      <c r="A2222" s="878" t="s">
        <v>7650</v>
      </c>
      <c r="B2222" s="878" t="s">
        <v>7651</v>
      </c>
      <c r="C2222" s="879" t="s">
        <v>227</v>
      </c>
      <c r="D2222" s="880" t="s">
        <v>41284</v>
      </c>
    </row>
    <row r="2223" spans="1:4" ht="13.5" x14ac:dyDescent="0.25">
      <c r="A2223" s="878" t="s">
        <v>7652</v>
      </c>
      <c r="B2223" s="878" t="s">
        <v>7653</v>
      </c>
      <c r="C2223" s="879" t="s">
        <v>227</v>
      </c>
      <c r="D2223" s="880" t="s">
        <v>31144</v>
      </c>
    </row>
    <row r="2224" spans="1:4" ht="13.5" x14ac:dyDescent="0.25">
      <c r="A2224" s="878" t="s">
        <v>7654</v>
      </c>
      <c r="B2224" s="878" t="s">
        <v>7655</v>
      </c>
      <c r="C2224" s="879" t="s">
        <v>227</v>
      </c>
      <c r="D2224" s="880" t="s">
        <v>41285</v>
      </c>
    </row>
    <row r="2225" spans="1:4" ht="13.5" x14ac:dyDescent="0.25">
      <c r="A2225" s="878" t="s">
        <v>7656</v>
      </c>
      <c r="B2225" s="878" t="s">
        <v>7657</v>
      </c>
      <c r="C2225" s="879" t="s">
        <v>227</v>
      </c>
      <c r="D2225" s="880" t="s">
        <v>30678</v>
      </c>
    </row>
    <row r="2226" spans="1:4" ht="13.5" x14ac:dyDescent="0.25">
      <c r="A2226" s="878" t="s">
        <v>7658</v>
      </c>
      <c r="B2226" s="878" t="s">
        <v>7659</v>
      </c>
      <c r="C2226" s="879" t="s">
        <v>227</v>
      </c>
      <c r="D2226" s="880" t="s">
        <v>41286</v>
      </c>
    </row>
    <row r="2227" spans="1:4" ht="13.5" x14ac:dyDescent="0.25">
      <c r="A2227" s="878" t="s">
        <v>7660</v>
      </c>
      <c r="B2227" s="878" t="s">
        <v>7661</v>
      </c>
      <c r="C2227" s="879" t="s">
        <v>227</v>
      </c>
      <c r="D2227" s="880" t="s">
        <v>41287</v>
      </c>
    </row>
    <row r="2228" spans="1:4" ht="13.5" x14ac:dyDescent="0.25">
      <c r="A2228" s="878" t="s">
        <v>7662</v>
      </c>
      <c r="B2228" s="878" t="s">
        <v>7663</v>
      </c>
      <c r="C2228" s="879" t="s">
        <v>227</v>
      </c>
      <c r="D2228" s="880" t="s">
        <v>31148</v>
      </c>
    </row>
    <row r="2229" spans="1:4" ht="13.5" x14ac:dyDescent="0.25">
      <c r="A2229" s="878" t="s">
        <v>7664</v>
      </c>
      <c r="B2229" s="878" t="s">
        <v>7665</v>
      </c>
      <c r="C2229" s="879" t="s">
        <v>227</v>
      </c>
      <c r="D2229" s="880" t="s">
        <v>41288</v>
      </c>
    </row>
    <row r="2230" spans="1:4" ht="13.5" x14ac:dyDescent="0.25">
      <c r="A2230" s="878" t="s">
        <v>7666</v>
      </c>
      <c r="B2230" s="878" t="s">
        <v>7667</v>
      </c>
      <c r="C2230" s="879" t="s">
        <v>227</v>
      </c>
      <c r="D2230" s="880" t="s">
        <v>41289</v>
      </c>
    </row>
    <row r="2231" spans="1:4" ht="13.5" x14ac:dyDescent="0.25">
      <c r="A2231" s="878" t="s">
        <v>7668</v>
      </c>
      <c r="B2231" s="878" t="s">
        <v>7669</v>
      </c>
      <c r="C2231" s="879" t="s">
        <v>227</v>
      </c>
      <c r="D2231" s="880" t="s">
        <v>41290</v>
      </c>
    </row>
    <row r="2232" spans="1:4" ht="13.5" x14ac:dyDescent="0.25">
      <c r="A2232" s="878" t="s">
        <v>7670</v>
      </c>
      <c r="B2232" s="878" t="s">
        <v>7671</v>
      </c>
      <c r="C2232" s="879" t="s">
        <v>227</v>
      </c>
      <c r="D2232" s="880" t="s">
        <v>41291</v>
      </c>
    </row>
    <row r="2233" spans="1:4" ht="13.5" x14ac:dyDescent="0.25">
      <c r="A2233" s="878" t="s">
        <v>7672</v>
      </c>
      <c r="B2233" s="878" t="s">
        <v>7673</v>
      </c>
      <c r="C2233" s="879" t="s">
        <v>227</v>
      </c>
      <c r="D2233" s="880" t="s">
        <v>41292</v>
      </c>
    </row>
    <row r="2234" spans="1:4" ht="13.5" x14ac:dyDescent="0.25">
      <c r="A2234" s="878" t="s">
        <v>7674</v>
      </c>
      <c r="B2234" s="878" t="s">
        <v>7675</v>
      </c>
      <c r="C2234" s="879" t="s">
        <v>227</v>
      </c>
      <c r="D2234" s="880" t="s">
        <v>41293</v>
      </c>
    </row>
    <row r="2235" spans="1:4" ht="13.5" x14ac:dyDescent="0.25">
      <c r="A2235" s="878" t="s">
        <v>7676</v>
      </c>
      <c r="B2235" s="878" t="s">
        <v>7677</v>
      </c>
      <c r="C2235" s="879" t="s">
        <v>227</v>
      </c>
      <c r="D2235" s="880" t="s">
        <v>41294</v>
      </c>
    </row>
    <row r="2236" spans="1:4" ht="13.5" x14ac:dyDescent="0.25">
      <c r="A2236" s="878" t="s">
        <v>7678</v>
      </c>
      <c r="B2236" s="878" t="s">
        <v>7679</v>
      </c>
      <c r="C2236" s="879" t="s">
        <v>227</v>
      </c>
      <c r="D2236" s="880" t="s">
        <v>41295</v>
      </c>
    </row>
    <row r="2237" spans="1:4" ht="13.5" x14ac:dyDescent="0.25">
      <c r="A2237" s="878" t="s">
        <v>7680</v>
      </c>
      <c r="B2237" s="878" t="s">
        <v>7681</v>
      </c>
      <c r="C2237" s="879" t="s">
        <v>227</v>
      </c>
      <c r="D2237" s="880" t="s">
        <v>41296</v>
      </c>
    </row>
    <row r="2238" spans="1:4" ht="13.5" x14ac:dyDescent="0.25">
      <c r="A2238" s="878" t="s">
        <v>7682</v>
      </c>
      <c r="B2238" s="878" t="s">
        <v>7683</v>
      </c>
      <c r="C2238" s="879" t="s">
        <v>227</v>
      </c>
      <c r="D2238" s="880" t="s">
        <v>41297</v>
      </c>
    </row>
    <row r="2239" spans="1:4" ht="13.5" x14ac:dyDescent="0.25">
      <c r="A2239" s="878" t="s">
        <v>7684</v>
      </c>
      <c r="B2239" s="878" t="s">
        <v>7685</v>
      </c>
      <c r="C2239" s="879" t="s">
        <v>227</v>
      </c>
      <c r="D2239" s="880" t="s">
        <v>41298</v>
      </c>
    </row>
    <row r="2240" spans="1:4" ht="13.5" x14ac:dyDescent="0.25">
      <c r="A2240" s="878" t="s">
        <v>7686</v>
      </c>
      <c r="B2240" s="878" t="s">
        <v>7687</v>
      </c>
      <c r="C2240" s="879" t="s">
        <v>227</v>
      </c>
      <c r="D2240" s="880" t="s">
        <v>41299</v>
      </c>
    </row>
    <row r="2241" spans="1:4" ht="13.5" x14ac:dyDescent="0.25">
      <c r="A2241" s="878" t="s">
        <v>7688</v>
      </c>
      <c r="B2241" s="878" t="s">
        <v>7689</v>
      </c>
      <c r="C2241" s="879" t="s">
        <v>227</v>
      </c>
      <c r="D2241" s="880" t="s">
        <v>41300</v>
      </c>
    </row>
    <row r="2242" spans="1:4" ht="13.5" x14ac:dyDescent="0.25">
      <c r="A2242" s="878" t="s">
        <v>7690</v>
      </c>
      <c r="B2242" s="878" t="s">
        <v>7691</v>
      </c>
      <c r="C2242" s="879" t="s">
        <v>227</v>
      </c>
      <c r="D2242" s="880" t="s">
        <v>41301</v>
      </c>
    </row>
    <row r="2243" spans="1:4" ht="13.5" x14ac:dyDescent="0.25">
      <c r="A2243" s="878" t="s">
        <v>7692</v>
      </c>
      <c r="B2243" s="878" t="s">
        <v>7693</v>
      </c>
      <c r="C2243" s="879" t="s">
        <v>227</v>
      </c>
      <c r="D2243" s="880" t="s">
        <v>41302</v>
      </c>
    </row>
    <row r="2244" spans="1:4" ht="13.5" x14ac:dyDescent="0.25">
      <c r="A2244" s="878" t="s">
        <v>7694</v>
      </c>
      <c r="B2244" s="878" t="s">
        <v>7695</v>
      </c>
      <c r="C2244" s="879" t="s">
        <v>227</v>
      </c>
      <c r="D2244" s="880" t="s">
        <v>41303</v>
      </c>
    </row>
    <row r="2245" spans="1:4" ht="13.5" x14ac:dyDescent="0.25">
      <c r="A2245" s="878" t="s">
        <v>7696</v>
      </c>
      <c r="B2245" s="878" t="s">
        <v>7697</v>
      </c>
      <c r="C2245" s="879" t="s">
        <v>227</v>
      </c>
      <c r="D2245" s="880" t="s">
        <v>41304</v>
      </c>
    </row>
    <row r="2246" spans="1:4" ht="13.5" x14ac:dyDescent="0.25">
      <c r="A2246" s="878" t="s">
        <v>7698</v>
      </c>
      <c r="B2246" s="878" t="s">
        <v>7699</v>
      </c>
      <c r="C2246" s="879" t="s">
        <v>227</v>
      </c>
      <c r="D2246" s="880" t="s">
        <v>41305</v>
      </c>
    </row>
    <row r="2247" spans="1:4" ht="13.5" x14ac:dyDescent="0.25">
      <c r="A2247" s="878" t="s">
        <v>7700</v>
      </c>
      <c r="B2247" s="878" t="s">
        <v>7701</v>
      </c>
      <c r="C2247" s="879" t="s">
        <v>227</v>
      </c>
      <c r="D2247" s="880" t="s">
        <v>41306</v>
      </c>
    </row>
    <row r="2248" spans="1:4" ht="13.5" x14ac:dyDescent="0.25">
      <c r="A2248" s="878" t="s">
        <v>7702</v>
      </c>
      <c r="B2248" s="878" t="s">
        <v>7703</v>
      </c>
      <c r="C2248" s="879" t="s">
        <v>227</v>
      </c>
      <c r="D2248" s="880" t="s">
        <v>31142</v>
      </c>
    </row>
    <row r="2249" spans="1:4" ht="13.5" x14ac:dyDescent="0.25">
      <c r="A2249" s="878" t="s">
        <v>7704</v>
      </c>
      <c r="B2249" s="878" t="s">
        <v>7705</v>
      </c>
      <c r="C2249" s="879" t="s">
        <v>227</v>
      </c>
      <c r="D2249" s="880" t="s">
        <v>41307</v>
      </c>
    </row>
    <row r="2250" spans="1:4" ht="13.5" x14ac:dyDescent="0.25">
      <c r="A2250" s="878" t="s">
        <v>7706</v>
      </c>
      <c r="B2250" s="878" t="s">
        <v>7707</v>
      </c>
      <c r="C2250" s="879" t="s">
        <v>227</v>
      </c>
      <c r="D2250" s="880" t="s">
        <v>41308</v>
      </c>
    </row>
    <row r="2251" spans="1:4" ht="13.5" x14ac:dyDescent="0.25">
      <c r="A2251" s="878" t="s">
        <v>7708</v>
      </c>
      <c r="B2251" s="878" t="s">
        <v>7709</v>
      </c>
      <c r="C2251" s="879" t="s">
        <v>227</v>
      </c>
      <c r="D2251" s="880" t="s">
        <v>40347</v>
      </c>
    </row>
    <row r="2252" spans="1:4" ht="13.5" x14ac:dyDescent="0.25">
      <c r="A2252" s="878" t="s">
        <v>7710</v>
      </c>
      <c r="B2252" s="878" t="s">
        <v>7711</v>
      </c>
      <c r="C2252" s="879" t="s">
        <v>227</v>
      </c>
      <c r="D2252" s="880" t="s">
        <v>41309</v>
      </c>
    </row>
    <row r="2253" spans="1:4" ht="13.5" x14ac:dyDescent="0.25">
      <c r="A2253" s="878" t="s">
        <v>7712</v>
      </c>
      <c r="B2253" s="878" t="s">
        <v>7713</v>
      </c>
      <c r="C2253" s="879" t="s">
        <v>227</v>
      </c>
      <c r="D2253" s="880" t="s">
        <v>41310</v>
      </c>
    </row>
    <row r="2254" spans="1:4" ht="13.5" x14ac:dyDescent="0.25">
      <c r="A2254" s="878" t="s">
        <v>7715</v>
      </c>
      <c r="B2254" s="878" t="s">
        <v>7716</v>
      </c>
      <c r="C2254" s="879" t="s">
        <v>227</v>
      </c>
      <c r="D2254" s="880" t="s">
        <v>41311</v>
      </c>
    </row>
    <row r="2255" spans="1:4" ht="13.5" x14ac:dyDescent="0.25">
      <c r="A2255" s="878" t="s">
        <v>7717</v>
      </c>
      <c r="B2255" s="878" t="s">
        <v>7718</v>
      </c>
      <c r="C2255" s="879" t="s">
        <v>227</v>
      </c>
      <c r="D2255" s="880" t="s">
        <v>41312</v>
      </c>
    </row>
    <row r="2256" spans="1:4" ht="13.5" x14ac:dyDescent="0.25">
      <c r="A2256" s="878" t="s">
        <v>7719</v>
      </c>
      <c r="B2256" s="878" t="s">
        <v>7720</v>
      </c>
      <c r="C2256" s="879" t="s">
        <v>227</v>
      </c>
      <c r="D2256" s="880" t="s">
        <v>41313</v>
      </c>
    </row>
    <row r="2257" spans="1:4" ht="13.5" x14ac:dyDescent="0.25">
      <c r="A2257" s="878" t="s">
        <v>7721</v>
      </c>
      <c r="B2257" s="878" t="s">
        <v>7722</v>
      </c>
      <c r="C2257" s="879" t="s">
        <v>227</v>
      </c>
      <c r="D2257" s="880" t="s">
        <v>41314</v>
      </c>
    </row>
    <row r="2258" spans="1:4" ht="13.5" x14ac:dyDescent="0.25">
      <c r="A2258" s="878" t="s">
        <v>7723</v>
      </c>
      <c r="B2258" s="878" t="s">
        <v>7724</v>
      </c>
      <c r="C2258" s="879" t="s">
        <v>227</v>
      </c>
      <c r="D2258" s="880" t="s">
        <v>40127</v>
      </c>
    </row>
    <row r="2259" spans="1:4" ht="13.5" x14ac:dyDescent="0.25">
      <c r="A2259" s="878" t="s">
        <v>7725</v>
      </c>
      <c r="B2259" s="878" t="s">
        <v>7726</v>
      </c>
      <c r="C2259" s="879" t="s">
        <v>227</v>
      </c>
      <c r="D2259" s="880" t="s">
        <v>41315</v>
      </c>
    </row>
    <row r="2260" spans="1:4" ht="13.5" x14ac:dyDescent="0.25">
      <c r="A2260" s="878" t="s">
        <v>7727</v>
      </c>
      <c r="B2260" s="878" t="s">
        <v>7728</v>
      </c>
      <c r="C2260" s="879" t="s">
        <v>227</v>
      </c>
      <c r="D2260" s="880" t="s">
        <v>41316</v>
      </c>
    </row>
    <row r="2261" spans="1:4" ht="13.5" x14ac:dyDescent="0.25">
      <c r="A2261" s="878" t="s">
        <v>7729</v>
      </c>
      <c r="B2261" s="878" t="s">
        <v>7730</v>
      </c>
      <c r="C2261" s="879" t="s">
        <v>227</v>
      </c>
      <c r="D2261" s="880" t="s">
        <v>41317</v>
      </c>
    </row>
    <row r="2262" spans="1:4" ht="13.5" x14ac:dyDescent="0.25">
      <c r="A2262" s="878" t="s">
        <v>7731</v>
      </c>
      <c r="B2262" s="878" t="s">
        <v>7732</v>
      </c>
      <c r="C2262" s="879" t="s">
        <v>227</v>
      </c>
      <c r="D2262" s="880" t="s">
        <v>41318</v>
      </c>
    </row>
    <row r="2263" spans="1:4" ht="13.5" x14ac:dyDescent="0.25">
      <c r="A2263" s="878" t="s">
        <v>7733</v>
      </c>
      <c r="B2263" s="878" t="s">
        <v>7734</v>
      </c>
      <c r="C2263" s="879" t="s">
        <v>227</v>
      </c>
      <c r="D2263" s="880" t="s">
        <v>41319</v>
      </c>
    </row>
    <row r="2264" spans="1:4" ht="13.5" x14ac:dyDescent="0.25">
      <c r="A2264" s="878" t="s">
        <v>7735</v>
      </c>
      <c r="B2264" s="878" t="s">
        <v>7736</v>
      </c>
      <c r="C2264" s="879" t="s">
        <v>227</v>
      </c>
      <c r="D2264" s="880" t="s">
        <v>41320</v>
      </c>
    </row>
    <row r="2265" spans="1:4" ht="13.5" x14ac:dyDescent="0.25">
      <c r="A2265" s="878" t="s">
        <v>7737</v>
      </c>
      <c r="B2265" s="878" t="s">
        <v>7738</v>
      </c>
      <c r="C2265" s="879" t="s">
        <v>227</v>
      </c>
      <c r="D2265" s="880" t="s">
        <v>41321</v>
      </c>
    </row>
    <row r="2266" spans="1:4" ht="13.5" x14ac:dyDescent="0.25">
      <c r="A2266" s="878" t="s">
        <v>7739</v>
      </c>
      <c r="B2266" s="878" t="s">
        <v>7740</v>
      </c>
      <c r="C2266" s="879" t="s">
        <v>227</v>
      </c>
      <c r="D2266" s="880" t="s">
        <v>41322</v>
      </c>
    </row>
    <row r="2267" spans="1:4" ht="13.5" x14ac:dyDescent="0.25">
      <c r="A2267" s="878" t="s">
        <v>7741</v>
      </c>
      <c r="B2267" s="878" t="s">
        <v>7742</v>
      </c>
      <c r="C2267" s="879" t="s">
        <v>227</v>
      </c>
      <c r="D2267" s="880" t="s">
        <v>41323</v>
      </c>
    </row>
    <row r="2268" spans="1:4" ht="13.5" x14ac:dyDescent="0.25">
      <c r="A2268" s="878" t="s">
        <v>7743</v>
      </c>
      <c r="B2268" s="878" t="s">
        <v>7744</v>
      </c>
      <c r="C2268" s="879" t="s">
        <v>227</v>
      </c>
      <c r="D2268" s="880" t="s">
        <v>41324</v>
      </c>
    </row>
    <row r="2269" spans="1:4" ht="13.5" x14ac:dyDescent="0.25">
      <c r="A2269" s="878" t="s">
        <v>7745</v>
      </c>
      <c r="B2269" s="878" t="s">
        <v>7746</v>
      </c>
      <c r="C2269" s="879" t="s">
        <v>227</v>
      </c>
      <c r="D2269" s="880" t="s">
        <v>41325</v>
      </c>
    </row>
    <row r="2270" spans="1:4" ht="13.5" x14ac:dyDescent="0.25">
      <c r="A2270" s="878" t="s">
        <v>7747</v>
      </c>
      <c r="B2270" s="878" t="s">
        <v>7748</v>
      </c>
      <c r="C2270" s="879" t="s">
        <v>227</v>
      </c>
      <c r="D2270" s="880" t="s">
        <v>41326</v>
      </c>
    </row>
    <row r="2271" spans="1:4" ht="13.5" x14ac:dyDescent="0.25">
      <c r="A2271" s="878" t="s">
        <v>7749</v>
      </c>
      <c r="B2271" s="878" t="s">
        <v>7750</v>
      </c>
      <c r="C2271" s="879" t="s">
        <v>227</v>
      </c>
      <c r="D2271" s="880" t="s">
        <v>41327</v>
      </c>
    </row>
    <row r="2272" spans="1:4" ht="13.5" x14ac:dyDescent="0.25">
      <c r="A2272" s="878" t="s">
        <v>7751</v>
      </c>
      <c r="B2272" s="878" t="s">
        <v>7752</v>
      </c>
      <c r="C2272" s="879" t="s">
        <v>227</v>
      </c>
      <c r="D2272" s="880" t="s">
        <v>41328</v>
      </c>
    </row>
    <row r="2273" spans="1:4" ht="13.5" x14ac:dyDescent="0.25">
      <c r="A2273" s="878" t="s">
        <v>7753</v>
      </c>
      <c r="B2273" s="878" t="s">
        <v>7754</v>
      </c>
      <c r="C2273" s="879" t="s">
        <v>227</v>
      </c>
      <c r="D2273" s="880" t="s">
        <v>41329</v>
      </c>
    </row>
    <row r="2274" spans="1:4" ht="13.5" x14ac:dyDescent="0.25">
      <c r="A2274" s="878" t="s">
        <v>7755</v>
      </c>
      <c r="B2274" s="878" t="s">
        <v>7756</v>
      </c>
      <c r="C2274" s="879" t="s">
        <v>227</v>
      </c>
      <c r="D2274" s="880" t="s">
        <v>41330</v>
      </c>
    </row>
    <row r="2275" spans="1:4" ht="13.5" x14ac:dyDescent="0.25">
      <c r="A2275" s="878" t="s">
        <v>7757</v>
      </c>
      <c r="B2275" s="878" t="s">
        <v>7758</v>
      </c>
      <c r="C2275" s="879" t="s">
        <v>227</v>
      </c>
      <c r="D2275" s="880" t="s">
        <v>41331</v>
      </c>
    </row>
    <row r="2276" spans="1:4" ht="13.5" x14ac:dyDescent="0.25">
      <c r="A2276" s="878" t="s">
        <v>7759</v>
      </c>
      <c r="B2276" s="878" t="s">
        <v>7760</v>
      </c>
      <c r="C2276" s="879" t="s">
        <v>227</v>
      </c>
      <c r="D2276" s="880" t="s">
        <v>41332</v>
      </c>
    </row>
    <row r="2277" spans="1:4" ht="13.5" x14ac:dyDescent="0.25">
      <c r="A2277" s="878" t="s">
        <v>7761</v>
      </c>
      <c r="B2277" s="878" t="s">
        <v>7762</v>
      </c>
      <c r="C2277" s="879" t="s">
        <v>227</v>
      </c>
      <c r="D2277" s="880" t="s">
        <v>10491</v>
      </c>
    </row>
    <row r="2278" spans="1:4" ht="13.5" x14ac:dyDescent="0.25">
      <c r="A2278" s="878" t="s">
        <v>7764</v>
      </c>
      <c r="B2278" s="878" t="s">
        <v>7765</v>
      </c>
      <c r="C2278" s="879" t="s">
        <v>227</v>
      </c>
      <c r="D2278" s="880" t="s">
        <v>41333</v>
      </c>
    </row>
    <row r="2279" spans="1:4" ht="13.5" x14ac:dyDescent="0.25">
      <c r="A2279" s="878" t="s">
        <v>7767</v>
      </c>
      <c r="B2279" s="878" t="s">
        <v>7768</v>
      </c>
      <c r="C2279" s="879" t="s">
        <v>227</v>
      </c>
      <c r="D2279" s="880" t="s">
        <v>41334</v>
      </c>
    </row>
    <row r="2280" spans="1:4" ht="13.5" x14ac:dyDescent="0.25">
      <c r="A2280" s="878" t="s">
        <v>7769</v>
      </c>
      <c r="B2280" s="878" t="s">
        <v>7770</v>
      </c>
      <c r="C2280" s="879" t="s">
        <v>227</v>
      </c>
      <c r="D2280" s="880" t="s">
        <v>31079</v>
      </c>
    </row>
    <row r="2281" spans="1:4" ht="13.5" x14ac:dyDescent="0.25">
      <c r="A2281" s="878" t="s">
        <v>7771</v>
      </c>
      <c r="B2281" s="878" t="s">
        <v>7772</v>
      </c>
      <c r="C2281" s="879" t="s">
        <v>227</v>
      </c>
      <c r="D2281" s="880" t="s">
        <v>41335</v>
      </c>
    </row>
    <row r="2282" spans="1:4" ht="13.5" x14ac:dyDescent="0.25">
      <c r="A2282" s="878" t="s">
        <v>7773</v>
      </c>
      <c r="B2282" s="878" t="s">
        <v>7774</v>
      </c>
      <c r="C2282" s="879" t="s">
        <v>227</v>
      </c>
      <c r="D2282" s="880" t="s">
        <v>41336</v>
      </c>
    </row>
    <row r="2283" spans="1:4" ht="13.5" x14ac:dyDescent="0.25">
      <c r="A2283" s="878" t="s">
        <v>7775</v>
      </c>
      <c r="B2283" s="878" t="s">
        <v>7776</v>
      </c>
      <c r="C2283" s="879" t="s">
        <v>227</v>
      </c>
      <c r="D2283" s="880" t="s">
        <v>41337</v>
      </c>
    </row>
    <row r="2284" spans="1:4" ht="13.5" x14ac:dyDescent="0.25">
      <c r="A2284" s="878" t="s">
        <v>7777</v>
      </c>
      <c r="B2284" s="878" t="s">
        <v>7778</v>
      </c>
      <c r="C2284" s="879" t="s">
        <v>227</v>
      </c>
      <c r="D2284" s="880" t="s">
        <v>41338</v>
      </c>
    </row>
    <row r="2285" spans="1:4" ht="13.5" x14ac:dyDescent="0.25">
      <c r="A2285" s="878" t="s">
        <v>7780</v>
      </c>
      <c r="B2285" s="878" t="s">
        <v>7781</v>
      </c>
      <c r="C2285" s="879" t="s">
        <v>227</v>
      </c>
      <c r="D2285" s="880" t="s">
        <v>41339</v>
      </c>
    </row>
    <row r="2286" spans="1:4" ht="13.5" x14ac:dyDescent="0.25">
      <c r="A2286" s="878" t="s">
        <v>7782</v>
      </c>
      <c r="B2286" s="878" t="s">
        <v>7783</v>
      </c>
      <c r="C2286" s="879" t="s">
        <v>227</v>
      </c>
      <c r="D2286" s="880" t="s">
        <v>41340</v>
      </c>
    </row>
    <row r="2287" spans="1:4" ht="13.5" x14ac:dyDescent="0.25">
      <c r="A2287" s="878" t="s">
        <v>7784</v>
      </c>
      <c r="B2287" s="878" t="s">
        <v>7785</v>
      </c>
      <c r="C2287" s="879" t="s">
        <v>227</v>
      </c>
      <c r="D2287" s="880" t="s">
        <v>41341</v>
      </c>
    </row>
    <row r="2288" spans="1:4" ht="13.5" x14ac:dyDescent="0.25">
      <c r="A2288" s="878" t="s">
        <v>7786</v>
      </c>
      <c r="B2288" s="878" t="s">
        <v>7787</v>
      </c>
      <c r="C2288" s="879" t="s">
        <v>227</v>
      </c>
      <c r="D2288" s="880" t="s">
        <v>40405</v>
      </c>
    </row>
    <row r="2289" spans="1:4" ht="13.5" x14ac:dyDescent="0.25">
      <c r="A2289" s="878" t="s">
        <v>7788</v>
      </c>
      <c r="B2289" s="878" t="s">
        <v>7789</v>
      </c>
      <c r="C2289" s="879" t="s">
        <v>227</v>
      </c>
      <c r="D2289" s="880" t="s">
        <v>41342</v>
      </c>
    </row>
    <row r="2290" spans="1:4" ht="13.5" x14ac:dyDescent="0.25">
      <c r="A2290" s="878" t="s">
        <v>7790</v>
      </c>
      <c r="B2290" s="878" t="s">
        <v>7791</v>
      </c>
      <c r="C2290" s="879" t="s">
        <v>227</v>
      </c>
      <c r="D2290" s="880" t="s">
        <v>41343</v>
      </c>
    </row>
    <row r="2291" spans="1:4" ht="13.5" x14ac:dyDescent="0.25">
      <c r="A2291" s="878" t="s">
        <v>7792</v>
      </c>
      <c r="B2291" s="878" t="s">
        <v>7793</v>
      </c>
      <c r="C2291" s="879" t="s">
        <v>227</v>
      </c>
      <c r="D2291" s="880" t="s">
        <v>41344</v>
      </c>
    </row>
    <row r="2292" spans="1:4" ht="13.5" x14ac:dyDescent="0.25">
      <c r="A2292" s="878" t="s">
        <v>7794</v>
      </c>
      <c r="B2292" s="878" t="s">
        <v>7795</v>
      </c>
      <c r="C2292" s="879" t="s">
        <v>227</v>
      </c>
      <c r="D2292" s="880" t="s">
        <v>40943</v>
      </c>
    </row>
    <row r="2293" spans="1:4" ht="13.5" x14ac:dyDescent="0.25">
      <c r="A2293" s="878" t="s">
        <v>7796</v>
      </c>
      <c r="B2293" s="878" t="s">
        <v>7797</v>
      </c>
      <c r="C2293" s="879" t="s">
        <v>227</v>
      </c>
      <c r="D2293" s="880" t="s">
        <v>41345</v>
      </c>
    </row>
    <row r="2294" spans="1:4" ht="13.5" x14ac:dyDescent="0.25">
      <c r="A2294" s="878" t="s">
        <v>7798</v>
      </c>
      <c r="B2294" s="878" t="s">
        <v>7799</v>
      </c>
      <c r="C2294" s="879" t="s">
        <v>227</v>
      </c>
      <c r="D2294" s="880" t="s">
        <v>40523</v>
      </c>
    </row>
    <row r="2295" spans="1:4" ht="13.5" x14ac:dyDescent="0.25">
      <c r="A2295" s="878" t="s">
        <v>7801</v>
      </c>
      <c r="B2295" s="878" t="s">
        <v>7802</v>
      </c>
      <c r="C2295" s="879" t="s">
        <v>227</v>
      </c>
      <c r="D2295" s="880" t="s">
        <v>41346</v>
      </c>
    </row>
    <row r="2296" spans="1:4" ht="13.5" x14ac:dyDescent="0.25">
      <c r="A2296" s="878" t="s">
        <v>7803</v>
      </c>
      <c r="B2296" s="878" t="s">
        <v>7804</v>
      </c>
      <c r="C2296" s="879" t="s">
        <v>227</v>
      </c>
      <c r="D2296" s="880" t="s">
        <v>41347</v>
      </c>
    </row>
    <row r="2297" spans="1:4" ht="13.5" x14ac:dyDescent="0.25">
      <c r="A2297" s="878" t="s">
        <v>7805</v>
      </c>
      <c r="B2297" s="878" t="s">
        <v>7806</v>
      </c>
      <c r="C2297" s="879" t="s">
        <v>227</v>
      </c>
      <c r="D2297" s="880" t="s">
        <v>41348</v>
      </c>
    </row>
    <row r="2298" spans="1:4" ht="13.5" x14ac:dyDescent="0.25">
      <c r="A2298" s="878" t="s">
        <v>7807</v>
      </c>
      <c r="B2298" s="878" t="s">
        <v>7808</v>
      </c>
      <c r="C2298" s="879" t="s">
        <v>227</v>
      </c>
      <c r="D2298" s="880" t="s">
        <v>41349</v>
      </c>
    </row>
    <row r="2299" spans="1:4" ht="13.5" x14ac:dyDescent="0.25">
      <c r="A2299" s="878" t="s">
        <v>7809</v>
      </c>
      <c r="B2299" s="878" t="s">
        <v>7810</v>
      </c>
      <c r="C2299" s="879" t="s">
        <v>227</v>
      </c>
      <c r="D2299" s="880" t="s">
        <v>41350</v>
      </c>
    </row>
    <row r="2300" spans="1:4" ht="13.5" x14ac:dyDescent="0.25">
      <c r="A2300" s="878" t="s">
        <v>7811</v>
      </c>
      <c r="B2300" s="878" t="s">
        <v>7812</v>
      </c>
      <c r="C2300" s="879" t="s">
        <v>227</v>
      </c>
      <c r="D2300" s="880" t="s">
        <v>41351</v>
      </c>
    </row>
    <row r="2301" spans="1:4" ht="13.5" x14ac:dyDescent="0.25">
      <c r="A2301" s="878" t="s">
        <v>7813</v>
      </c>
      <c r="B2301" s="878" t="s">
        <v>7814</v>
      </c>
      <c r="C2301" s="879" t="s">
        <v>227</v>
      </c>
      <c r="D2301" s="880" t="s">
        <v>41352</v>
      </c>
    </row>
    <row r="2302" spans="1:4" ht="13.5" x14ac:dyDescent="0.25">
      <c r="A2302" s="878" t="s">
        <v>7815</v>
      </c>
      <c r="B2302" s="878" t="s">
        <v>7816</v>
      </c>
      <c r="C2302" s="879" t="s">
        <v>227</v>
      </c>
      <c r="D2302" s="880" t="s">
        <v>41353</v>
      </c>
    </row>
    <row r="2303" spans="1:4" ht="13.5" x14ac:dyDescent="0.25">
      <c r="A2303" s="878" t="s">
        <v>7817</v>
      </c>
      <c r="B2303" s="878" t="s">
        <v>7818</v>
      </c>
      <c r="C2303" s="879" t="s">
        <v>227</v>
      </c>
      <c r="D2303" s="880" t="s">
        <v>41354</v>
      </c>
    </row>
    <row r="2304" spans="1:4" ht="13.5" x14ac:dyDescent="0.25">
      <c r="A2304" s="878" t="s">
        <v>7819</v>
      </c>
      <c r="B2304" s="878" t="s">
        <v>7820</v>
      </c>
      <c r="C2304" s="879" t="s">
        <v>227</v>
      </c>
      <c r="D2304" s="880" t="s">
        <v>41355</v>
      </c>
    </row>
    <row r="2305" spans="1:4" ht="13.5" x14ac:dyDescent="0.25">
      <c r="A2305" s="878" t="s">
        <v>7821</v>
      </c>
      <c r="B2305" s="878" t="s">
        <v>7822</v>
      </c>
      <c r="C2305" s="879" t="s">
        <v>227</v>
      </c>
      <c r="D2305" s="880" t="s">
        <v>41356</v>
      </c>
    </row>
    <row r="2306" spans="1:4" ht="13.5" x14ac:dyDescent="0.25">
      <c r="A2306" s="878" t="s">
        <v>7823</v>
      </c>
      <c r="B2306" s="878" t="s">
        <v>7824</v>
      </c>
      <c r="C2306" s="879" t="s">
        <v>227</v>
      </c>
      <c r="D2306" s="880" t="s">
        <v>41357</v>
      </c>
    </row>
    <row r="2307" spans="1:4" ht="13.5" x14ac:dyDescent="0.25">
      <c r="A2307" s="878" t="s">
        <v>7825</v>
      </c>
      <c r="B2307" s="878" t="s">
        <v>7826</v>
      </c>
      <c r="C2307" s="879" t="s">
        <v>227</v>
      </c>
      <c r="D2307" s="880" t="s">
        <v>41358</v>
      </c>
    </row>
    <row r="2308" spans="1:4" ht="13.5" x14ac:dyDescent="0.25">
      <c r="A2308" s="878" t="s">
        <v>7827</v>
      </c>
      <c r="B2308" s="878" t="s">
        <v>7828</v>
      </c>
      <c r="C2308" s="879" t="s">
        <v>227</v>
      </c>
      <c r="D2308" s="880" t="s">
        <v>41359</v>
      </c>
    </row>
    <row r="2309" spans="1:4" ht="13.5" x14ac:dyDescent="0.25">
      <c r="A2309" s="878" t="s">
        <v>7829</v>
      </c>
      <c r="B2309" s="878" t="s">
        <v>7830</v>
      </c>
      <c r="C2309" s="879" t="s">
        <v>227</v>
      </c>
      <c r="D2309" s="880" t="s">
        <v>41360</v>
      </c>
    </row>
    <row r="2310" spans="1:4" ht="13.5" x14ac:dyDescent="0.25">
      <c r="A2310" s="878" t="s">
        <v>7831</v>
      </c>
      <c r="B2310" s="878" t="s">
        <v>7832</v>
      </c>
      <c r="C2310" s="879" t="s">
        <v>227</v>
      </c>
      <c r="D2310" s="880" t="s">
        <v>41361</v>
      </c>
    </row>
    <row r="2311" spans="1:4" ht="13.5" x14ac:dyDescent="0.25">
      <c r="A2311" s="878" t="s">
        <v>7833</v>
      </c>
      <c r="B2311" s="878" t="s">
        <v>7834</v>
      </c>
      <c r="C2311" s="879" t="s">
        <v>227</v>
      </c>
      <c r="D2311" s="880" t="s">
        <v>41362</v>
      </c>
    </row>
    <row r="2312" spans="1:4" ht="13.5" x14ac:dyDescent="0.25">
      <c r="A2312" s="878" t="s">
        <v>7835</v>
      </c>
      <c r="B2312" s="878" t="s">
        <v>7836</v>
      </c>
      <c r="C2312" s="879" t="s">
        <v>227</v>
      </c>
      <c r="D2312" s="880" t="s">
        <v>41363</v>
      </c>
    </row>
    <row r="2313" spans="1:4" ht="13.5" x14ac:dyDescent="0.25">
      <c r="A2313" s="878" t="s">
        <v>7837</v>
      </c>
      <c r="B2313" s="878" t="s">
        <v>7838</v>
      </c>
      <c r="C2313" s="879" t="s">
        <v>6008</v>
      </c>
      <c r="D2313" s="880" t="s">
        <v>41364</v>
      </c>
    </row>
    <row r="2314" spans="1:4" ht="13.5" x14ac:dyDescent="0.25">
      <c r="A2314" s="878" t="s">
        <v>7839</v>
      </c>
      <c r="B2314" s="878" t="s">
        <v>7840</v>
      </c>
      <c r="C2314" s="879" t="s">
        <v>227</v>
      </c>
      <c r="D2314" s="880" t="s">
        <v>41365</v>
      </c>
    </row>
    <row r="2315" spans="1:4" ht="13.5" x14ac:dyDescent="0.25">
      <c r="A2315" s="878" t="s">
        <v>7841</v>
      </c>
      <c r="B2315" s="878" t="s">
        <v>7842</v>
      </c>
      <c r="C2315" s="879" t="s">
        <v>158</v>
      </c>
      <c r="D2315" s="880" t="s">
        <v>41366</v>
      </c>
    </row>
    <row r="2316" spans="1:4" ht="13.5" x14ac:dyDescent="0.25">
      <c r="A2316" s="878" t="s">
        <v>7843</v>
      </c>
      <c r="B2316" s="878" t="s">
        <v>7844</v>
      </c>
      <c r="C2316" s="879" t="s">
        <v>159</v>
      </c>
      <c r="D2316" s="880" t="s">
        <v>41367</v>
      </c>
    </row>
    <row r="2317" spans="1:4" ht="13.5" x14ac:dyDescent="0.25">
      <c r="A2317" s="878" t="s">
        <v>7845</v>
      </c>
      <c r="B2317" s="878" t="s">
        <v>7846</v>
      </c>
      <c r="C2317" s="879" t="s">
        <v>159</v>
      </c>
      <c r="D2317" s="880" t="s">
        <v>30683</v>
      </c>
    </row>
    <row r="2318" spans="1:4" ht="13.5" x14ac:dyDescent="0.25">
      <c r="A2318" s="878" t="s">
        <v>7847</v>
      </c>
      <c r="B2318" s="878" t="s">
        <v>7848</v>
      </c>
      <c r="C2318" s="879" t="s">
        <v>227</v>
      </c>
      <c r="D2318" s="880" t="s">
        <v>41368</v>
      </c>
    </row>
    <row r="2319" spans="1:4" ht="13.5" x14ac:dyDescent="0.25">
      <c r="A2319" s="878" t="s">
        <v>7849</v>
      </c>
      <c r="B2319" s="878" t="s">
        <v>7850</v>
      </c>
      <c r="C2319" s="879" t="s">
        <v>227</v>
      </c>
      <c r="D2319" s="880" t="s">
        <v>30627</v>
      </c>
    </row>
    <row r="2320" spans="1:4" ht="13.5" x14ac:dyDescent="0.25">
      <c r="A2320" s="878" t="s">
        <v>7851</v>
      </c>
      <c r="B2320" s="878" t="s">
        <v>7852</v>
      </c>
      <c r="C2320" s="879" t="s">
        <v>227</v>
      </c>
      <c r="D2320" s="880" t="s">
        <v>41369</v>
      </c>
    </row>
    <row r="2321" spans="1:4" ht="13.5" x14ac:dyDescent="0.25">
      <c r="A2321" s="878" t="s">
        <v>7853</v>
      </c>
      <c r="B2321" s="878" t="s">
        <v>7854</v>
      </c>
      <c r="C2321" s="879" t="s">
        <v>227</v>
      </c>
      <c r="D2321" s="880" t="s">
        <v>41370</v>
      </c>
    </row>
    <row r="2322" spans="1:4" ht="13.5" x14ac:dyDescent="0.25">
      <c r="A2322" s="878" t="s">
        <v>7855</v>
      </c>
      <c r="B2322" s="878" t="s">
        <v>7856</v>
      </c>
      <c r="C2322" s="879" t="s">
        <v>227</v>
      </c>
      <c r="D2322" s="880" t="s">
        <v>41371</v>
      </c>
    </row>
    <row r="2323" spans="1:4" ht="13.5" x14ac:dyDescent="0.25">
      <c r="A2323" s="878" t="s">
        <v>7857</v>
      </c>
      <c r="B2323" s="878" t="s">
        <v>7858</v>
      </c>
      <c r="C2323" s="879" t="s">
        <v>227</v>
      </c>
      <c r="D2323" s="880" t="s">
        <v>41372</v>
      </c>
    </row>
    <row r="2324" spans="1:4" ht="13.5" x14ac:dyDescent="0.25">
      <c r="A2324" s="878" t="s">
        <v>7859</v>
      </c>
      <c r="B2324" s="878" t="s">
        <v>7860</v>
      </c>
      <c r="C2324" s="879" t="s">
        <v>227</v>
      </c>
      <c r="D2324" s="880" t="s">
        <v>41373</v>
      </c>
    </row>
    <row r="2325" spans="1:4" ht="13.5" x14ac:dyDescent="0.25">
      <c r="A2325" s="878" t="s">
        <v>7861</v>
      </c>
      <c r="B2325" s="878" t="s">
        <v>7862</v>
      </c>
      <c r="C2325" s="879" t="s">
        <v>227</v>
      </c>
      <c r="D2325" s="880" t="s">
        <v>41374</v>
      </c>
    </row>
    <row r="2326" spans="1:4" ht="13.5" x14ac:dyDescent="0.25">
      <c r="A2326" s="878" t="s">
        <v>7863</v>
      </c>
      <c r="B2326" s="878" t="s">
        <v>7864</v>
      </c>
      <c r="C2326" s="879" t="s">
        <v>227</v>
      </c>
      <c r="D2326" s="880" t="s">
        <v>41375</v>
      </c>
    </row>
    <row r="2327" spans="1:4" ht="13.5" x14ac:dyDescent="0.25">
      <c r="A2327" s="878" t="s">
        <v>7865</v>
      </c>
      <c r="B2327" s="878" t="s">
        <v>7866</v>
      </c>
      <c r="C2327" s="879" t="s">
        <v>227</v>
      </c>
      <c r="D2327" s="880" t="s">
        <v>7893</v>
      </c>
    </row>
    <row r="2328" spans="1:4" ht="13.5" x14ac:dyDescent="0.25">
      <c r="A2328" s="878" t="s">
        <v>7867</v>
      </c>
      <c r="B2328" s="878" t="s">
        <v>7868</v>
      </c>
      <c r="C2328" s="879" t="s">
        <v>227</v>
      </c>
      <c r="D2328" s="880" t="s">
        <v>41376</v>
      </c>
    </row>
    <row r="2329" spans="1:4" ht="13.5" x14ac:dyDescent="0.25">
      <c r="A2329" s="878" t="s">
        <v>7869</v>
      </c>
      <c r="B2329" s="878" t="s">
        <v>7870</v>
      </c>
      <c r="C2329" s="879" t="s">
        <v>227</v>
      </c>
      <c r="D2329" s="880" t="s">
        <v>41377</v>
      </c>
    </row>
    <row r="2330" spans="1:4" ht="13.5" x14ac:dyDescent="0.25">
      <c r="A2330" s="878" t="s">
        <v>7871</v>
      </c>
      <c r="B2330" s="878" t="s">
        <v>7872</v>
      </c>
      <c r="C2330" s="879" t="s">
        <v>227</v>
      </c>
      <c r="D2330" s="880" t="s">
        <v>41378</v>
      </c>
    </row>
    <row r="2331" spans="1:4" ht="13.5" x14ac:dyDescent="0.25">
      <c r="A2331" s="878" t="s">
        <v>7873</v>
      </c>
      <c r="B2331" s="878" t="s">
        <v>7874</v>
      </c>
      <c r="C2331" s="879" t="s">
        <v>227</v>
      </c>
      <c r="D2331" s="880" t="s">
        <v>41379</v>
      </c>
    </row>
    <row r="2332" spans="1:4" ht="13.5" x14ac:dyDescent="0.25">
      <c r="A2332" s="878" t="s">
        <v>7875</v>
      </c>
      <c r="B2332" s="878" t="s">
        <v>7876</v>
      </c>
      <c r="C2332" s="879" t="s">
        <v>227</v>
      </c>
      <c r="D2332" s="880" t="s">
        <v>41380</v>
      </c>
    </row>
    <row r="2333" spans="1:4" ht="13.5" x14ac:dyDescent="0.25">
      <c r="A2333" s="878" t="s">
        <v>7877</v>
      </c>
      <c r="B2333" s="878" t="s">
        <v>7878</v>
      </c>
      <c r="C2333" s="879" t="s">
        <v>227</v>
      </c>
      <c r="D2333" s="880" t="s">
        <v>41381</v>
      </c>
    </row>
    <row r="2334" spans="1:4" ht="13.5" x14ac:dyDescent="0.25">
      <c r="A2334" s="878" t="s">
        <v>7879</v>
      </c>
      <c r="B2334" s="878" t="s">
        <v>7880</v>
      </c>
      <c r="C2334" s="879" t="s">
        <v>227</v>
      </c>
      <c r="D2334" s="880" t="s">
        <v>41382</v>
      </c>
    </row>
    <row r="2335" spans="1:4" ht="13.5" x14ac:dyDescent="0.25">
      <c r="A2335" s="878" t="s">
        <v>7881</v>
      </c>
      <c r="B2335" s="878" t="s">
        <v>7882</v>
      </c>
      <c r="C2335" s="879" t="s">
        <v>227</v>
      </c>
      <c r="D2335" s="880" t="s">
        <v>31229</v>
      </c>
    </row>
    <row r="2336" spans="1:4" ht="13.5" x14ac:dyDescent="0.25">
      <c r="A2336" s="878" t="s">
        <v>7883</v>
      </c>
      <c r="B2336" s="878" t="s">
        <v>7884</v>
      </c>
      <c r="C2336" s="879" t="s">
        <v>227</v>
      </c>
      <c r="D2336" s="880" t="s">
        <v>41383</v>
      </c>
    </row>
    <row r="2337" spans="1:4" ht="13.5" x14ac:dyDescent="0.25">
      <c r="A2337" s="878" t="s">
        <v>7885</v>
      </c>
      <c r="B2337" s="878" t="s">
        <v>7886</v>
      </c>
      <c r="C2337" s="879" t="s">
        <v>227</v>
      </c>
      <c r="D2337" s="880" t="s">
        <v>41384</v>
      </c>
    </row>
    <row r="2338" spans="1:4" ht="13.5" x14ac:dyDescent="0.25">
      <c r="A2338" s="878" t="s">
        <v>7887</v>
      </c>
      <c r="B2338" s="878" t="s">
        <v>7888</v>
      </c>
      <c r="C2338" s="879" t="s">
        <v>227</v>
      </c>
      <c r="D2338" s="880" t="s">
        <v>41385</v>
      </c>
    </row>
    <row r="2339" spans="1:4" ht="13.5" x14ac:dyDescent="0.25">
      <c r="A2339" s="878" t="s">
        <v>7889</v>
      </c>
      <c r="B2339" s="878" t="s">
        <v>7890</v>
      </c>
      <c r="C2339" s="879" t="s">
        <v>227</v>
      </c>
      <c r="D2339" s="880" t="s">
        <v>41386</v>
      </c>
    </row>
    <row r="2340" spans="1:4" ht="13.5" x14ac:dyDescent="0.25">
      <c r="A2340" s="878" t="s">
        <v>7891</v>
      </c>
      <c r="B2340" s="878" t="s">
        <v>7892</v>
      </c>
      <c r="C2340" s="879" t="s">
        <v>227</v>
      </c>
      <c r="D2340" s="880" t="s">
        <v>41387</v>
      </c>
    </row>
    <row r="2341" spans="1:4" ht="13.5" x14ac:dyDescent="0.25">
      <c r="A2341" s="878" t="s">
        <v>7894</v>
      </c>
      <c r="B2341" s="878" t="s">
        <v>7895</v>
      </c>
      <c r="C2341" s="879" t="s">
        <v>227</v>
      </c>
      <c r="D2341" s="880" t="s">
        <v>41388</v>
      </c>
    </row>
    <row r="2342" spans="1:4" ht="13.5" x14ac:dyDescent="0.25">
      <c r="A2342" s="878" t="s">
        <v>7896</v>
      </c>
      <c r="B2342" s="878" t="s">
        <v>7897</v>
      </c>
      <c r="C2342" s="879" t="s">
        <v>227</v>
      </c>
      <c r="D2342" s="880" t="s">
        <v>41389</v>
      </c>
    </row>
    <row r="2343" spans="1:4" ht="13.5" x14ac:dyDescent="0.25">
      <c r="A2343" s="878" t="s">
        <v>7898</v>
      </c>
      <c r="B2343" s="878" t="s">
        <v>7899</v>
      </c>
      <c r="C2343" s="879" t="s">
        <v>227</v>
      </c>
      <c r="D2343" s="880" t="s">
        <v>41390</v>
      </c>
    </row>
    <row r="2344" spans="1:4" ht="13.5" x14ac:dyDescent="0.25">
      <c r="A2344" s="878" t="s">
        <v>7900</v>
      </c>
      <c r="B2344" s="878" t="s">
        <v>7901</v>
      </c>
      <c r="C2344" s="879" t="s">
        <v>227</v>
      </c>
      <c r="D2344" s="880" t="s">
        <v>41391</v>
      </c>
    </row>
    <row r="2345" spans="1:4" ht="13.5" x14ac:dyDescent="0.25">
      <c r="A2345" s="878" t="s">
        <v>7902</v>
      </c>
      <c r="B2345" s="878" t="s">
        <v>7903</v>
      </c>
      <c r="C2345" s="879" t="s">
        <v>227</v>
      </c>
      <c r="D2345" s="880" t="s">
        <v>41392</v>
      </c>
    </row>
    <row r="2346" spans="1:4" ht="13.5" x14ac:dyDescent="0.25">
      <c r="A2346" s="878" t="s">
        <v>7904</v>
      </c>
      <c r="B2346" s="878" t="s">
        <v>7905</v>
      </c>
      <c r="C2346" s="879" t="s">
        <v>227</v>
      </c>
      <c r="D2346" s="880" t="s">
        <v>41393</v>
      </c>
    </row>
    <row r="2347" spans="1:4" ht="13.5" x14ac:dyDescent="0.25">
      <c r="A2347" s="878" t="s">
        <v>7906</v>
      </c>
      <c r="B2347" s="878" t="s">
        <v>7907</v>
      </c>
      <c r="C2347" s="879" t="s">
        <v>227</v>
      </c>
      <c r="D2347" s="880" t="s">
        <v>41394</v>
      </c>
    </row>
    <row r="2348" spans="1:4" ht="13.5" x14ac:dyDescent="0.25">
      <c r="A2348" s="878" t="s">
        <v>7908</v>
      </c>
      <c r="B2348" s="878" t="s">
        <v>7909</v>
      </c>
      <c r="C2348" s="879" t="s">
        <v>227</v>
      </c>
      <c r="D2348" s="880" t="s">
        <v>41395</v>
      </c>
    </row>
    <row r="2349" spans="1:4" ht="13.5" x14ac:dyDescent="0.25">
      <c r="A2349" s="878" t="s">
        <v>7910</v>
      </c>
      <c r="B2349" s="878" t="s">
        <v>7911</v>
      </c>
      <c r="C2349" s="879" t="s">
        <v>227</v>
      </c>
      <c r="D2349" s="880" t="s">
        <v>41396</v>
      </c>
    </row>
    <row r="2350" spans="1:4" ht="13.5" x14ac:dyDescent="0.25">
      <c r="A2350" s="878" t="s">
        <v>7912</v>
      </c>
      <c r="B2350" s="878" t="s">
        <v>7913</v>
      </c>
      <c r="C2350" s="879" t="s">
        <v>227</v>
      </c>
      <c r="D2350" s="880" t="s">
        <v>41397</v>
      </c>
    </row>
    <row r="2351" spans="1:4" ht="13.5" x14ac:dyDescent="0.25">
      <c r="A2351" s="878" t="s">
        <v>7914</v>
      </c>
      <c r="B2351" s="878" t="s">
        <v>7915</v>
      </c>
      <c r="C2351" s="879" t="s">
        <v>227</v>
      </c>
      <c r="D2351" s="880" t="s">
        <v>41398</v>
      </c>
    </row>
    <row r="2352" spans="1:4" ht="13.5" x14ac:dyDescent="0.25">
      <c r="A2352" s="878" t="s">
        <v>7916</v>
      </c>
      <c r="B2352" s="878" t="s">
        <v>7917</v>
      </c>
      <c r="C2352" s="879" t="s">
        <v>227</v>
      </c>
      <c r="D2352" s="880" t="s">
        <v>41399</v>
      </c>
    </row>
    <row r="2353" spans="1:4" ht="13.5" x14ac:dyDescent="0.25">
      <c r="A2353" s="878" t="s">
        <v>7918</v>
      </c>
      <c r="B2353" s="878" t="s">
        <v>7919</v>
      </c>
      <c r="C2353" s="879" t="s">
        <v>227</v>
      </c>
      <c r="D2353" s="880" t="s">
        <v>41400</v>
      </c>
    </row>
    <row r="2354" spans="1:4" ht="13.5" x14ac:dyDescent="0.25">
      <c r="A2354" s="878" t="s">
        <v>7920</v>
      </c>
      <c r="B2354" s="878" t="s">
        <v>7921</v>
      </c>
      <c r="C2354" s="879" t="s">
        <v>227</v>
      </c>
      <c r="D2354" s="880" t="s">
        <v>41401</v>
      </c>
    </row>
    <row r="2355" spans="1:4" ht="13.5" x14ac:dyDescent="0.25">
      <c r="A2355" s="878" t="s">
        <v>7922</v>
      </c>
      <c r="B2355" s="878" t="s">
        <v>7923</v>
      </c>
      <c r="C2355" s="879" t="s">
        <v>227</v>
      </c>
      <c r="D2355" s="880" t="s">
        <v>41402</v>
      </c>
    </row>
    <row r="2356" spans="1:4" ht="13.5" x14ac:dyDescent="0.25">
      <c r="A2356" s="878" t="s">
        <v>7924</v>
      </c>
      <c r="B2356" s="878" t="s">
        <v>7925</v>
      </c>
      <c r="C2356" s="879" t="s">
        <v>227</v>
      </c>
      <c r="D2356" s="880" t="s">
        <v>41403</v>
      </c>
    </row>
    <row r="2357" spans="1:4" ht="13.5" x14ac:dyDescent="0.25">
      <c r="A2357" s="878" t="s">
        <v>7926</v>
      </c>
      <c r="B2357" s="878" t="s">
        <v>7927</v>
      </c>
      <c r="C2357" s="879" t="s">
        <v>227</v>
      </c>
      <c r="D2357" s="880" t="s">
        <v>41404</v>
      </c>
    </row>
    <row r="2358" spans="1:4" ht="13.5" x14ac:dyDescent="0.25">
      <c r="A2358" s="878" t="s">
        <v>7928</v>
      </c>
      <c r="B2358" s="878" t="s">
        <v>7929</v>
      </c>
      <c r="C2358" s="879" t="s">
        <v>227</v>
      </c>
      <c r="D2358" s="880" t="s">
        <v>41405</v>
      </c>
    </row>
    <row r="2359" spans="1:4" ht="13.5" x14ac:dyDescent="0.25">
      <c r="A2359" s="878" t="s">
        <v>7930</v>
      </c>
      <c r="B2359" s="878" t="s">
        <v>7931</v>
      </c>
      <c r="C2359" s="879" t="s">
        <v>227</v>
      </c>
      <c r="D2359" s="880" t="s">
        <v>40232</v>
      </c>
    </row>
    <row r="2360" spans="1:4" ht="13.5" x14ac:dyDescent="0.25">
      <c r="A2360" s="878" t="s">
        <v>7932</v>
      </c>
      <c r="B2360" s="878" t="s">
        <v>7933</v>
      </c>
      <c r="C2360" s="879" t="s">
        <v>227</v>
      </c>
      <c r="D2360" s="880" t="s">
        <v>41406</v>
      </c>
    </row>
    <row r="2361" spans="1:4" ht="13.5" x14ac:dyDescent="0.25">
      <c r="A2361" s="878" t="s">
        <v>7934</v>
      </c>
      <c r="B2361" s="878" t="s">
        <v>7935</v>
      </c>
      <c r="C2361" s="879" t="s">
        <v>227</v>
      </c>
      <c r="D2361" s="880" t="s">
        <v>41407</v>
      </c>
    </row>
    <row r="2362" spans="1:4" ht="13.5" x14ac:dyDescent="0.25">
      <c r="A2362" s="878" t="s">
        <v>7936</v>
      </c>
      <c r="B2362" s="878" t="s">
        <v>7937</v>
      </c>
      <c r="C2362" s="879" t="s">
        <v>227</v>
      </c>
      <c r="D2362" s="880" t="s">
        <v>41408</v>
      </c>
    </row>
    <row r="2363" spans="1:4" ht="13.5" x14ac:dyDescent="0.25">
      <c r="A2363" s="878" t="s">
        <v>7938</v>
      </c>
      <c r="B2363" s="878" t="s">
        <v>7939</v>
      </c>
      <c r="C2363" s="879" t="s">
        <v>227</v>
      </c>
      <c r="D2363" s="880" t="s">
        <v>41409</v>
      </c>
    </row>
    <row r="2364" spans="1:4" ht="13.5" x14ac:dyDescent="0.25">
      <c r="A2364" s="878" t="s">
        <v>7940</v>
      </c>
      <c r="B2364" s="878" t="s">
        <v>7941</v>
      </c>
      <c r="C2364" s="879" t="s">
        <v>227</v>
      </c>
      <c r="D2364" s="880" t="s">
        <v>41410</v>
      </c>
    </row>
    <row r="2365" spans="1:4" ht="13.5" x14ac:dyDescent="0.25">
      <c r="A2365" s="878" t="s">
        <v>7942</v>
      </c>
      <c r="B2365" s="878" t="s">
        <v>7943</v>
      </c>
      <c r="C2365" s="879" t="s">
        <v>227</v>
      </c>
      <c r="D2365" s="880" t="s">
        <v>41411</v>
      </c>
    </row>
    <row r="2366" spans="1:4" ht="13.5" x14ac:dyDescent="0.25">
      <c r="A2366" s="878" t="s">
        <v>7944</v>
      </c>
      <c r="B2366" s="878" t="s">
        <v>7945</v>
      </c>
      <c r="C2366" s="879" t="s">
        <v>227</v>
      </c>
      <c r="D2366" s="880" t="s">
        <v>41412</v>
      </c>
    </row>
    <row r="2367" spans="1:4" ht="13.5" x14ac:dyDescent="0.25">
      <c r="A2367" s="878" t="s">
        <v>7946</v>
      </c>
      <c r="B2367" s="878" t="s">
        <v>7947</v>
      </c>
      <c r="C2367" s="879" t="s">
        <v>227</v>
      </c>
      <c r="D2367" s="880" t="s">
        <v>41413</v>
      </c>
    </row>
    <row r="2368" spans="1:4" ht="13.5" x14ac:dyDescent="0.25">
      <c r="A2368" s="878" t="s">
        <v>7948</v>
      </c>
      <c r="B2368" s="878" t="s">
        <v>7949</v>
      </c>
      <c r="C2368" s="879" t="s">
        <v>227</v>
      </c>
      <c r="D2368" s="880" t="s">
        <v>41414</v>
      </c>
    </row>
    <row r="2369" spans="1:4" ht="13.5" x14ac:dyDescent="0.25">
      <c r="A2369" s="878" t="s">
        <v>7950</v>
      </c>
      <c r="B2369" s="878" t="s">
        <v>7951</v>
      </c>
      <c r="C2369" s="879" t="s">
        <v>227</v>
      </c>
      <c r="D2369" s="880" t="s">
        <v>41415</v>
      </c>
    </row>
    <row r="2370" spans="1:4" ht="13.5" x14ac:dyDescent="0.25">
      <c r="A2370" s="878" t="s">
        <v>7952</v>
      </c>
      <c r="B2370" s="878" t="s">
        <v>7953</v>
      </c>
      <c r="C2370" s="879" t="s">
        <v>227</v>
      </c>
      <c r="D2370" s="880" t="s">
        <v>41416</v>
      </c>
    </row>
    <row r="2371" spans="1:4" ht="13.5" x14ac:dyDescent="0.25">
      <c r="A2371" s="878" t="s">
        <v>7954</v>
      </c>
      <c r="B2371" s="878" t="s">
        <v>7955</v>
      </c>
      <c r="C2371" s="879" t="s">
        <v>227</v>
      </c>
      <c r="D2371" s="880" t="s">
        <v>41417</v>
      </c>
    </row>
    <row r="2372" spans="1:4" ht="13.5" x14ac:dyDescent="0.25">
      <c r="A2372" s="878" t="s">
        <v>7956</v>
      </c>
      <c r="B2372" s="878" t="s">
        <v>7957</v>
      </c>
      <c r="C2372" s="879" t="s">
        <v>227</v>
      </c>
      <c r="D2372" s="880" t="s">
        <v>41418</v>
      </c>
    </row>
    <row r="2373" spans="1:4" ht="13.5" x14ac:dyDescent="0.25">
      <c r="A2373" s="878" t="s">
        <v>7958</v>
      </c>
      <c r="B2373" s="878" t="s">
        <v>7959</v>
      </c>
      <c r="C2373" s="879" t="s">
        <v>227</v>
      </c>
      <c r="D2373" s="880" t="s">
        <v>41419</v>
      </c>
    </row>
    <row r="2374" spans="1:4" ht="13.5" x14ac:dyDescent="0.25">
      <c r="A2374" s="878" t="s">
        <v>7960</v>
      </c>
      <c r="B2374" s="878" t="s">
        <v>7961</v>
      </c>
      <c r="C2374" s="879" t="s">
        <v>227</v>
      </c>
      <c r="D2374" s="880" t="s">
        <v>41381</v>
      </c>
    </row>
    <row r="2375" spans="1:4" ht="13.5" x14ac:dyDescent="0.25">
      <c r="A2375" s="878" t="s">
        <v>7962</v>
      </c>
      <c r="B2375" s="878" t="s">
        <v>7963</v>
      </c>
      <c r="C2375" s="879" t="s">
        <v>227</v>
      </c>
      <c r="D2375" s="880" t="s">
        <v>41420</v>
      </c>
    </row>
    <row r="2376" spans="1:4" ht="13.5" x14ac:dyDescent="0.25">
      <c r="A2376" s="878" t="s">
        <v>7964</v>
      </c>
      <c r="B2376" s="878" t="s">
        <v>7965</v>
      </c>
      <c r="C2376" s="879" t="s">
        <v>227</v>
      </c>
      <c r="D2376" s="880" t="s">
        <v>41421</v>
      </c>
    </row>
    <row r="2377" spans="1:4" ht="13.5" x14ac:dyDescent="0.25">
      <c r="A2377" s="878" t="s">
        <v>7966</v>
      </c>
      <c r="B2377" s="878" t="s">
        <v>7967</v>
      </c>
      <c r="C2377" s="879" t="s">
        <v>227</v>
      </c>
      <c r="D2377" s="881" t="s">
        <v>41422</v>
      </c>
    </row>
    <row r="2378" spans="1:4" ht="13.5" x14ac:dyDescent="0.25">
      <c r="A2378" s="878" t="s">
        <v>7968</v>
      </c>
      <c r="B2378" s="878" t="s">
        <v>7969</v>
      </c>
      <c r="C2378" s="879" t="s">
        <v>227</v>
      </c>
      <c r="D2378" s="881" t="s">
        <v>41423</v>
      </c>
    </row>
    <row r="2379" spans="1:4" ht="13.5" x14ac:dyDescent="0.25">
      <c r="A2379" s="878" t="s">
        <v>7970</v>
      </c>
      <c r="B2379" s="878" t="s">
        <v>7971</v>
      </c>
      <c r="C2379" s="879" t="s">
        <v>227</v>
      </c>
      <c r="D2379" s="881" t="s">
        <v>40189</v>
      </c>
    </row>
    <row r="2380" spans="1:4" ht="13.5" x14ac:dyDescent="0.25">
      <c r="A2380" s="878" t="s">
        <v>7972</v>
      </c>
      <c r="B2380" s="878" t="s">
        <v>7973</v>
      </c>
      <c r="C2380" s="879" t="s">
        <v>227</v>
      </c>
      <c r="D2380" s="881" t="s">
        <v>41424</v>
      </c>
    </row>
    <row r="2381" spans="1:4" ht="13.5" x14ac:dyDescent="0.25">
      <c r="A2381" s="878" t="s">
        <v>7974</v>
      </c>
      <c r="B2381" s="878" t="s">
        <v>7975</v>
      </c>
      <c r="C2381" s="879" t="s">
        <v>227</v>
      </c>
      <c r="D2381" s="881" t="s">
        <v>41425</v>
      </c>
    </row>
    <row r="2382" spans="1:4" ht="13.5" x14ac:dyDescent="0.25">
      <c r="A2382" s="878" t="s">
        <v>7976</v>
      </c>
      <c r="B2382" s="878" t="s">
        <v>7977</v>
      </c>
      <c r="C2382" s="879" t="s">
        <v>227</v>
      </c>
      <c r="D2382" s="881" t="s">
        <v>41426</v>
      </c>
    </row>
    <row r="2383" spans="1:4" ht="13.5" x14ac:dyDescent="0.25">
      <c r="A2383" s="878" t="s">
        <v>7978</v>
      </c>
      <c r="B2383" s="878" t="s">
        <v>7979</v>
      </c>
      <c r="C2383" s="879" t="s">
        <v>227</v>
      </c>
      <c r="D2383" s="881" t="s">
        <v>41427</v>
      </c>
    </row>
    <row r="2384" spans="1:4" ht="13.5" x14ac:dyDescent="0.25">
      <c r="A2384" s="878" t="s">
        <v>7980</v>
      </c>
      <c r="B2384" s="878" t="s">
        <v>7981</v>
      </c>
      <c r="C2384" s="879" t="s">
        <v>227</v>
      </c>
      <c r="D2384" s="881" t="s">
        <v>31143</v>
      </c>
    </row>
    <row r="2385" spans="1:4" ht="13.5" x14ac:dyDescent="0.25">
      <c r="A2385" s="878" t="s">
        <v>7982</v>
      </c>
      <c r="B2385" s="878" t="s">
        <v>7983</v>
      </c>
      <c r="C2385" s="879" t="s">
        <v>227</v>
      </c>
      <c r="D2385" s="880" t="s">
        <v>41428</v>
      </c>
    </row>
    <row r="2386" spans="1:4" ht="13.5" x14ac:dyDescent="0.25">
      <c r="A2386" s="878" t="s">
        <v>7984</v>
      </c>
      <c r="B2386" s="878" t="s">
        <v>7985</v>
      </c>
      <c r="C2386" s="879" t="s">
        <v>227</v>
      </c>
      <c r="D2386" s="880" t="s">
        <v>41429</v>
      </c>
    </row>
    <row r="2387" spans="1:4" ht="13.5" x14ac:dyDescent="0.25">
      <c r="A2387" s="878" t="s">
        <v>7986</v>
      </c>
      <c r="B2387" s="878" t="s">
        <v>7987</v>
      </c>
      <c r="C2387" s="879" t="s">
        <v>227</v>
      </c>
      <c r="D2387" s="880" t="s">
        <v>41430</v>
      </c>
    </row>
    <row r="2388" spans="1:4" ht="13.5" x14ac:dyDescent="0.25">
      <c r="A2388" s="878" t="s">
        <v>7988</v>
      </c>
      <c r="B2388" s="878" t="s">
        <v>7989</v>
      </c>
      <c r="C2388" s="879" t="s">
        <v>227</v>
      </c>
      <c r="D2388" s="880" t="s">
        <v>41431</v>
      </c>
    </row>
    <row r="2389" spans="1:4" ht="13.5" x14ac:dyDescent="0.25">
      <c r="A2389" s="878" t="s">
        <v>7990</v>
      </c>
      <c r="B2389" s="878" t="s">
        <v>7991</v>
      </c>
      <c r="C2389" s="879" t="s">
        <v>227</v>
      </c>
      <c r="D2389" s="880" t="s">
        <v>41432</v>
      </c>
    </row>
    <row r="2390" spans="1:4" ht="13.5" x14ac:dyDescent="0.25">
      <c r="A2390" s="878" t="s">
        <v>7992</v>
      </c>
      <c r="B2390" s="878" t="s">
        <v>7993</v>
      </c>
      <c r="C2390" s="879" t="s">
        <v>227</v>
      </c>
      <c r="D2390" s="880" t="s">
        <v>41433</v>
      </c>
    </row>
    <row r="2391" spans="1:4" ht="13.5" x14ac:dyDescent="0.25">
      <c r="A2391" s="878" t="s">
        <v>7994</v>
      </c>
      <c r="B2391" s="878" t="s">
        <v>7995</v>
      </c>
      <c r="C2391" s="879" t="s">
        <v>227</v>
      </c>
      <c r="D2391" s="880" t="s">
        <v>41434</v>
      </c>
    </row>
    <row r="2392" spans="1:4" ht="13.5" x14ac:dyDescent="0.25">
      <c r="A2392" s="878" t="s">
        <v>7996</v>
      </c>
      <c r="B2392" s="878" t="s">
        <v>7997</v>
      </c>
      <c r="C2392" s="879" t="s">
        <v>159</v>
      </c>
      <c r="D2392" s="880" t="s">
        <v>41435</v>
      </c>
    </row>
    <row r="2393" spans="1:4" ht="13.5" x14ac:dyDescent="0.25">
      <c r="A2393" s="878" t="s">
        <v>7998</v>
      </c>
      <c r="B2393" s="878" t="s">
        <v>7999</v>
      </c>
      <c r="C2393" s="879" t="s">
        <v>159</v>
      </c>
      <c r="D2393" s="880" t="s">
        <v>41436</v>
      </c>
    </row>
    <row r="2394" spans="1:4" ht="13.5" x14ac:dyDescent="0.25">
      <c r="A2394" s="878" t="s">
        <v>8000</v>
      </c>
      <c r="B2394" s="878" t="s">
        <v>8001</v>
      </c>
      <c r="C2394" s="879" t="s">
        <v>159</v>
      </c>
      <c r="D2394" s="880" t="s">
        <v>41437</v>
      </c>
    </row>
    <row r="2395" spans="1:4" ht="13.5" x14ac:dyDescent="0.25">
      <c r="A2395" s="878" t="s">
        <v>8002</v>
      </c>
      <c r="B2395" s="878" t="s">
        <v>8003</v>
      </c>
      <c r="C2395" s="879" t="s">
        <v>159</v>
      </c>
      <c r="D2395" s="880" t="s">
        <v>41438</v>
      </c>
    </row>
    <row r="2396" spans="1:4" ht="13.5" x14ac:dyDescent="0.25">
      <c r="A2396" s="878" t="s">
        <v>8004</v>
      </c>
      <c r="B2396" s="878" t="s">
        <v>8005</v>
      </c>
      <c r="C2396" s="879" t="s">
        <v>159</v>
      </c>
      <c r="D2396" s="880" t="s">
        <v>41439</v>
      </c>
    </row>
    <row r="2397" spans="1:4" ht="13.5" x14ac:dyDescent="0.25">
      <c r="A2397" s="878" t="s">
        <v>8006</v>
      </c>
      <c r="B2397" s="878" t="s">
        <v>8007</v>
      </c>
      <c r="C2397" s="879" t="s">
        <v>159</v>
      </c>
      <c r="D2397" s="880" t="s">
        <v>41440</v>
      </c>
    </row>
    <row r="2398" spans="1:4" ht="13.5" x14ac:dyDescent="0.25">
      <c r="A2398" s="878" t="s">
        <v>8008</v>
      </c>
      <c r="B2398" s="878" t="s">
        <v>8009</v>
      </c>
      <c r="C2398" s="879" t="s">
        <v>159</v>
      </c>
      <c r="D2398" s="880" t="s">
        <v>41441</v>
      </c>
    </row>
    <row r="2399" spans="1:4" ht="13.5" x14ac:dyDescent="0.25">
      <c r="A2399" s="878" t="s">
        <v>8010</v>
      </c>
      <c r="B2399" s="878" t="s">
        <v>8011</v>
      </c>
      <c r="C2399" s="879" t="s">
        <v>159</v>
      </c>
      <c r="D2399" s="880" t="s">
        <v>41442</v>
      </c>
    </row>
    <row r="2400" spans="1:4" ht="13.5" x14ac:dyDescent="0.25">
      <c r="A2400" s="878" t="s">
        <v>8012</v>
      </c>
      <c r="B2400" s="878" t="s">
        <v>8013</v>
      </c>
      <c r="C2400" s="879" t="s">
        <v>227</v>
      </c>
      <c r="D2400" s="880" t="s">
        <v>41443</v>
      </c>
    </row>
    <row r="2401" spans="1:4" ht="13.5" x14ac:dyDescent="0.25">
      <c r="A2401" s="878" t="s">
        <v>8014</v>
      </c>
      <c r="B2401" s="878" t="s">
        <v>8015</v>
      </c>
      <c r="C2401" s="879" t="s">
        <v>227</v>
      </c>
      <c r="D2401" s="880" t="s">
        <v>41444</v>
      </c>
    </row>
    <row r="2402" spans="1:4" ht="13.5" x14ac:dyDescent="0.25">
      <c r="A2402" s="878" t="s">
        <v>8016</v>
      </c>
      <c r="B2402" s="878" t="s">
        <v>8017</v>
      </c>
      <c r="C2402" s="879" t="s">
        <v>227</v>
      </c>
      <c r="D2402" s="880" t="s">
        <v>41445</v>
      </c>
    </row>
    <row r="2403" spans="1:4" ht="13.5" x14ac:dyDescent="0.25">
      <c r="A2403" s="878" t="s">
        <v>8018</v>
      </c>
      <c r="B2403" s="878" t="s">
        <v>8019</v>
      </c>
      <c r="C2403" s="879" t="s">
        <v>227</v>
      </c>
      <c r="D2403" s="880" t="s">
        <v>41446</v>
      </c>
    </row>
    <row r="2404" spans="1:4" ht="13.5" x14ac:dyDescent="0.25">
      <c r="A2404" s="878" t="s">
        <v>8020</v>
      </c>
      <c r="B2404" s="878" t="s">
        <v>8021</v>
      </c>
      <c r="C2404" s="879" t="s">
        <v>227</v>
      </c>
      <c r="D2404" s="880" t="s">
        <v>41447</v>
      </c>
    </row>
    <row r="2405" spans="1:4" ht="13.5" x14ac:dyDescent="0.25">
      <c r="A2405" s="878" t="s">
        <v>8022</v>
      </c>
      <c r="B2405" s="878" t="s">
        <v>8023</v>
      </c>
      <c r="C2405" s="879" t="s">
        <v>227</v>
      </c>
      <c r="D2405" s="880" t="s">
        <v>41448</v>
      </c>
    </row>
    <row r="2406" spans="1:4" ht="13.5" x14ac:dyDescent="0.25">
      <c r="A2406" s="878" t="s">
        <v>8024</v>
      </c>
      <c r="B2406" s="878" t="s">
        <v>8025</v>
      </c>
      <c r="C2406" s="879" t="s">
        <v>227</v>
      </c>
      <c r="D2406" s="880" t="s">
        <v>41449</v>
      </c>
    </row>
    <row r="2407" spans="1:4" ht="13.5" x14ac:dyDescent="0.25">
      <c r="A2407" s="878" t="s">
        <v>8026</v>
      </c>
      <c r="B2407" s="878" t="s">
        <v>8027</v>
      </c>
      <c r="C2407" s="879" t="s">
        <v>227</v>
      </c>
      <c r="D2407" s="880" t="s">
        <v>41450</v>
      </c>
    </row>
    <row r="2408" spans="1:4" ht="13.5" x14ac:dyDescent="0.25">
      <c r="A2408" s="878" t="s">
        <v>8028</v>
      </c>
      <c r="B2408" s="878" t="s">
        <v>8029</v>
      </c>
      <c r="C2408" s="879" t="s">
        <v>227</v>
      </c>
      <c r="D2408" s="880" t="s">
        <v>15876</v>
      </c>
    </row>
    <row r="2409" spans="1:4" ht="13.5" x14ac:dyDescent="0.25">
      <c r="A2409" s="878" t="s">
        <v>8030</v>
      </c>
      <c r="B2409" s="878" t="s">
        <v>8031</v>
      </c>
      <c r="C2409" s="879" t="s">
        <v>227</v>
      </c>
      <c r="D2409" s="880" t="s">
        <v>41451</v>
      </c>
    </row>
    <row r="2410" spans="1:4" ht="13.5" x14ac:dyDescent="0.25">
      <c r="A2410" s="878" t="s">
        <v>8032</v>
      </c>
      <c r="B2410" s="878" t="s">
        <v>8033</v>
      </c>
      <c r="C2410" s="879" t="s">
        <v>6008</v>
      </c>
      <c r="D2410" s="880" t="s">
        <v>30210</v>
      </c>
    </row>
    <row r="2411" spans="1:4" ht="13.5" x14ac:dyDescent="0.25">
      <c r="A2411" s="878" t="s">
        <v>8034</v>
      </c>
      <c r="B2411" s="878" t="s">
        <v>8035</v>
      </c>
      <c r="C2411" s="879" t="s">
        <v>6008</v>
      </c>
      <c r="D2411" s="880" t="s">
        <v>41452</v>
      </c>
    </row>
    <row r="2412" spans="1:4" ht="13.5" x14ac:dyDescent="0.25">
      <c r="A2412" s="878" t="s">
        <v>8036</v>
      </c>
      <c r="B2412" s="878" t="s">
        <v>8037</v>
      </c>
      <c r="C2412" s="879" t="s">
        <v>6008</v>
      </c>
      <c r="D2412" s="880" t="s">
        <v>30583</v>
      </c>
    </row>
    <row r="2413" spans="1:4" ht="13.5" x14ac:dyDescent="0.25">
      <c r="A2413" s="878" t="s">
        <v>8038</v>
      </c>
      <c r="B2413" s="878" t="s">
        <v>8039</v>
      </c>
      <c r="C2413" s="879" t="s">
        <v>6008</v>
      </c>
      <c r="D2413" s="880" t="s">
        <v>41453</v>
      </c>
    </row>
    <row r="2414" spans="1:4" ht="13.5" x14ac:dyDescent="0.25">
      <c r="A2414" s="878" t="s">
        <v>8041</v>
      </c>
      <c r="B2414" s="878" t="s">
        <v>8042</v>
      </c>
      <c r="C2414" s="879" t="s">
        <v>6008</v>
      </c>
      <c r="D2414" s="880" t="s">
        <v>30844</v>
      </c>
    </row>
    <row r="2415" spans="1:4" ht="13.5" x14ac:dyDescent="0.25">
      <c r="A2415" s="878" t="s">
        <v>8044</v>
      </c>
      <c r="B2415" s="878" t="s">
        <v>8045</v>
      </c>
      <c r="C2415" s="879" t="s">
        <v>6008</v>
      </c>
      <c r="D2415" s="880" t="s">
        <v>41454</v>
      </c>
    </row>
    <row r="2416" spans="1:4" ht="13.5" x14ac:dyDescent="0.25">
      <c r="A2416" s="878" t="s">
        <v>8046</v>
      </c>
      <c r="B2416" s="878" t="s">
        <v>8047</v>
      </c>
      <c r="C2416" s="879" t="s">
        <v>6008</v>
      </c>
      <c r="D2416" s="880" t="s">
        <v>3346</v>
      </c>
    </row>
    <row r="2417" spans="1:4" ht="13.5" x14ac:dyDescent="0.25">
      <c r="A2417" s="878" t="s">
        <v>8048</v>
      </c>
      <c r="B2417" s="878" t="s">
        <v>8049</v>
      </c>
      <c r="C2417" s="879" t="s">
        <v>6008</v>
      </c>
      <c r="D2417" s="880" t="s">
        <v>8260</v>
      </c>
    </row>
    <row r="2418" spans="1:4" ht="13.5" x14ac:dyDescent="0.25">
      <c r="A2418" s="878" t="s">
        <v>8050</v>
      </c>
      <c r="B2418" s="878" t="s">
        <v>8051</v>
      </c>
      <c r="C2418" s="879" t="s">
        <v>6008</v>
      </c>
      <c r="D2418" s="880" t="s">
        <v>14513</v>
      </c>
    </row>
    <row r="2419" spans="1:4" ht="13.5" x14ac:dyDescent="0.25">
      <c r="A2419" s="878" t="s">
        <v>8052</v>
      </c>
      <c r="B2419" s="878" t="s">
        <v>8053</v>
      </c>
      <c r="C2419" s="879" t="s">
        <v>6008</v>
      </c>
      <c r="D2419" s="880" t="s">
        <v>30350</v>
      </c>
    </row>
    <row r="2420" spans="1:4" ht="13.5" x14ac:dyDescent="0.25">
      <c r="A2420" s="878" t="s">
        <v>8055</v>
      </c>
      <c r="B2420" s="878" t="s">
        <v>8056</v>
      </c>
      <c r="C2420" s="879" t="s">
        <v>6008</v>
      </c>
      <c r="D2420" s="880" t="s">
        <v>30569</v>
      </c>
    </row>
    <row r="2421" spans="1:4" ht="13.5" x14ac:dyDescent="0.25">
      <c r="A2421" s="878" t="s">
        <v>8057</v>
      </c>
      <c r="B2421" s="878" t="s">
        <v>8058</v>
      </c>
      <c r="C2421" s="879" t="s">
        <v>6008</v>
      </c>
      <c r="D2421" s="880" t="s">
        <v>41455</v>
      </c>
    </row>
    <row r="2422" spans="1:4" ht="13.5" x14ac:dyDescent="0.25">
      <c r="A2422" s="878" t="s">
        <v>8059</v>
      </c>
      <c r="B2422" s="878" t="s">
        <v>8060</v>
      </c>
      <c r="C2422" s="879" t="s">
        <v>6008</v>
      </c>
      <c r="D2422" s="880" t="s">
        <v>12414</v>
      </c>
    </row>
    <row r="2423" spans="1:4" ht="13.5" x14ac:dyDescent="0.25">
      <c r="A2423" s="878" t="s">
        <v>8061</v>
      </c>
      <c r="B2423" s="878" t="s">
        <v>8062</v>
      </c>
      <c r="C2423" s="879" t="s">
        <v>6008</v>
      </c>
      <c r="D2423" s="880" t="s">
        <v>17231</v>
      </c>
    </row>
    <row r="2424" spans="1:4" ht="13.5" x14ac:dyDescent="0.25">
      <c r="A2424" s="878" t="s">
        <v>8064</v>
      </c>
      <c r="B2424" s="878" t="s">
        <v>8065</v>
      </c>
      <c r="C2424" s="879" t="s">
        <v>6008</v>
      </c>
      <c r="D2424" s="880" t="s">
        <v>41456</v>
      </c>
    </row>
    <row r="2425" spans="1:4" ht="13.5" x14ac:dyDescent="0.25">
      <c r="A2425" s="878" t="s">
        <v>8066</v>
      </c>
      <c r="B2425" s="878" t="s">
        <v>8067</v>
      </c>
      <c r="C2425" s="879" t="s">
        <v>6008</v>
      </c>
      <c r="D2425" s="880" t="s">
        <v>30566</v>
      </c>
    </row>
    <row r="2426" spans="1:4" ht="13.5" x14ac:dyDescent="0.25">
      <c r="A2426" s="878" t="s">
        <v>8069</v>
      </c>
      <c r="B2426" s="878" t="s">
        <v>8070</v>
      </c>
      <c r="C2426" s="879" t="s">
        <v>6008</v>
      </c>
      <c r="D2426" s="880" t="s">
        <v>41457</v>
      </c>
    </row>
    <row r="2427" spans="1:4" ht="13.5" x14ac:dyDescent="0.25">
      <c r="A2427" s="878" t="s">
        <v>8071</v>
      </c>
      <c r="B2427" s="878" t="s">
        <v>8072</v>
      </c>
      <c r="C2427" s="879" t="s">
        <v>6008</v>
      </c>
      <c r="D2427" s="880" t="s">
        <v>41458</v>
      </c>
    </row>
    <row r="2428" spans="1:4" ht="13.5" x14ac:dyDescent="0.25">
      <c r="A2428" s="878" t="s">
        <v>8073</v>
      </c>
      <c r="B2428" s="878" t="s">
        <v>8074</v>
      </c>
      <c r="C2428" s="879" t="s">
        <v>6008</v>
      </c>
      <c r="D2428" s="880" t="s">
        <v>3937</v>
      </c>
    </row>
    <row r="2429" spans="1:4" ht="13.5" x14ac:dyDescent="0.25">
      <c r="A2429" s="878" t="s">
        <v>8075</v>
      </c>
      <c r="B2429" s="878" t="s">
        <v>8076</v>
      </c>
      <c r="C2429" s="879" t="s">
        <v>6008</v>
      </c>
      <c r="D2429" s="880" t="s">
        <v>40025</v>
      </c>
    </row>
    <row r="2430" spans="1:4" ht="13.5" x14ac:dyDescent="0.25">
      <c r="A2430" s="878" t="s">
        <v>8077</v>
      </c>
      <c r="B2430" s="878" t="s">
        <v>8078</v>
      </c>
      <c r="C2430" s="879" t="s">
        <v>6008</v>
      </c>
      <c r="D2430" s="880" t="s">
        <v>40766</v>
      </c>
    </row>
    <row r="2431" spans="1:4" ht="13.5" x14ac:dyDescent="0.25">
      <c r="A2431" s="878" t="s">
        <v>8079</v>
      </c>
      <c r="B2431" s="878" t="s">
        <v>8080</v>
      </c>
      <c r="C2431" s="879" t="s">
        <v>6008</v>
      </c>
      <c r="D2431" s="880" t="s">
        <v>41459</v>
      </c>
    </row>
    <row r="2432" spans="1:4" ht="13.5" x14ac:dyDescent="0.25">
      <c r="A2432" s="878" t="s">
        <v>8081</v>
      </c>
      <c r="B2432" s="878" t="s">
        <v>8082</v>
      </c>
      <c r="C2432" s="879" t="s">
        <v>6008</v>
      </c>
      <c r="D2432" s="880" t="s">
        <v>41460</v>
      </c>
    </row>
    <row r="2433" spans="1:4" ht="13.5" x14ac:dyDescent="0.25">
      <c r="A2433" s="878" t="s">
        <v>8084</v>
      </c>
      <c r="B2433" s="878" t="s">
        <v>8085</v>
      </c>
      <c r="C2433" s="879" t="s">
        <v>6008</v>
      </c>
      <c r="D2433" s="880" t="s">
        <v>30572</v>
      </c>
    </row>
    <row r="2434" spans="1:4" ht="13.5" x14ac:dyDescent="0.25">
      <c r="A2434" s="878" t="s">
        <v>8086</v>
      </c>
      <c r="B2434" s="878" t="s">
        <v>8087</v>
      </c>
      <c r="C2434" s="879" t="s">
        <v>6008</v>
      </c>
      <c r="D2434" s="880" t="s">
        <v>10961</v>
      </c>
    </row>
    <row r="2435" spans="1:4" ht="13.5" x14ac:dyDescent="0.25">
      <c r="A2435" s="878" t="s">
        <v>8089</v>
      </c>
      <c r="B2435" s="878" t="s">
        <v>8090</v>
      </c>
      <c r="C2435" s="879" t="s">
        <v>6008</v>
      </c>
      <c r="D2435" s="880" t="s">
        <v>11809</v>
      </c>
    </row>
    <row r="2436" spans="1:4" ht="13.5" x14ac:dyDescent="0.25">
      <c r="A2436" s="878" t="s">
        <v>8091</v>
      </c>
      <c r="B2436" s="878" t="s">
        <v>8092</v>
      </c>
      <c r="C2436" s="879" t="s">
        <v>6008</v>
      </c>
      <c r="D2436" s="880" t="s">
        <v>8569</v>
      </c>
    </row>
    <row r="2437" spans="1:4" ht="13.5" x14ac:dyDescent="0.25">
      <c r="A2437" s="878" t="s">
        <v>8093</v>
      </c>
      <c r="B2437" s="878" t="s">
        <v>8094</v>
      </c>
      <c r="C2437" s="879" t="s">
        <v>6008</v>
      </c>
      <c r="D2437" s="880" t="s">
        <v>41461</v>
      </c>
    </row>
    <row r="2438" spans="1:4" ht="13.5" x14ac:dyDescent="0.25">
      <c r="A2438" s="878" t="s">
        <v>8095</v>
      </c>
      <c r="B2438" s="878" t="s">
        <v>8096</v>
      </c>
      <c r="C2438" s="879" t="s">
        <v>6008</v>
      </c>
      <c r="D2438" s="880" t="s">
        <v>8116</v>
      </c>
    </row>
    <row r="2439" spans="1:4" ht="13.5" x14ac:dyDescent="0.25">
      <c r="A2439" s="878" t="s">
        <v>8098</v>
      </c>
      <c r="B2439" s="878" t="s">
        <v>8099</v>
      </c>
      <c r="C2439" s="879" t="s">
        <v>6008</v>
      </c>
      <c r="D2439" s="880" t="s">
        <v>9443</v>
      </c>
    </row>
    <row r="2440" spans="1:4" ht="13.5" x14ac:dyDescent="0.25">
      <c r="A2440" s="878" t="s">
        <v>8101</v>
      </c>
      <c r="B2440" s="878" t="s">
        <v>8102</v>
      </c>
      <c r="C2440" s="879" t="s">
        <v>6008</v>
      </c>
      <c r="D2440" s="880" t="s">
        <v>15771</v>
      </c>
    </row>
    <row r="2441" spans="1:4" ht="13.5" x14ac:dyDescent="0.25">
      <c r="A2441" s="878" t="s">
        <v>8103</v>
      </c>
      <c r="B2441" s="878" t="s">
        <v>8104</v>
      </c>
      <c r="C2441" s="879" t="s">
        <v>6008</v>
      </c>
      <c r="D2441" s="880" t="s">
        <v>41462</v>
      </c>
    </row>
    <row r="2442" spans="1:4" ht="13.5" x14ac:dyDescent="0.25">
      <c r="A2442" s="878" t="s">
        <v>8105</v>
      </c>
      <c r="B2442" s="878" t="s">
        <v>8106</v>
      </c>
      <c r="C2442" s="879" t="s">
        <v>6008</v>
      </c>
      <c r="D2442" s="880" t="s">
        <v>5546</v>
      </c>
    </row>
    <row r="2443" spans="1:4" ht="13.5" x14ac:dyDescent="0.25">
      <c r="A2443" s="878" t="s">
        <v>8108</v>
      </c>
      <c r="B2443" s="878" t="s">
        <v>8109</v>
      </c>
      <c r="C2443" s="879" t="s">
        <v>6008</v>
      </c>
      <c r="D2443" s="880" t="s">
        <v>41463</v>
      </c>
    </row>
    <row r="2444" spans="1:4" ht="13.5" x14ac:dyDescent="0.25">
      <c r="A2444" s="878" t="s">
        <v>8110</v>
      </c>
      <c r="B2444" s="878" t="s">
        <v>8111</v>
      </c>
      <c r="C2444" s="879" t="s">
        <v>6008</v>
      </c>
      <c r="D2444" s="880" t="s">
        <v>9796</v>
      </c>
    </row>
    <row r="2445" spans="1:4" ht="13.5" x14ac:dyDescent="0.25">
      <c r="A2445" s="878" t="s">
        <v>8112</v>
      </c>
      <c r="B2445" s="878" t="s">
        <v>8113</v>
      </c>
      <c r="C2445" s="879" t="s">
        <v>6008</v>
      </c>
      <c r="D2445" s="880" t="s">
        <v>41464</v>
      </c>
    </row>
    <row r="2446" spans="1:4" ht="13.5" x14ac:dyDescent="0.25">
      <c r="A2446" s="878" t="s">
        <v>8114</v>
      </c>
      <c r="B2446" s="878" t="s">
        <v>8115</v>
      </c>
      <c r="C2446" s="879" t="s">
        <v>6008</v>
      </c>
      <c r="D2446" s="880" t="s">
        <v>6835</v>
      </c>
    </row>
    <row r="2447" spans="1:4" ht="13.5" x14ac:dyDescent="0.25">
      <c r="A2447" s="885" t="s">
        <v>8117</v>
      </c>
      <c r="B2447" s="885" t="s">
        <v>8118</v>
      </c>
      <c r="C2447" s="886" t="s">
        <v>6008</v>
      </c>
      <c r="D2447" s="887" t="s">
        <v>41465</v>
      </c>
    </row>
    <row r="2448" spans="1:4" ht="13.5" x14ac:dyDescent="0.25">
      <c r="A2448" s="885" t="s">
        <v>8119</v>
      </c>
      <c r="B2448" s="885" t="s">
        <v>8120</v>
      </c>
      <c r="C2448" s="886" t="s">
        <v>6008</v>
      </c>
      <c r="D2448" s="887" t="s">
        <v>16758</v>
      </c>
    </row>
    <row r="2449" spans="1:4" ht="13.5" x14ac:dyDescent="0.25">
      <c r="A2449" s="878" t="s">
        <v>8121</v>
      </c>
      <c r="B2449" s="878" t="s">
        <v>8122</v>
      </c>
      <c r="C2449" s="879" t="s">
        <v>6008</v>
      </c>
      <c r="D2449" s="880" t="s">
        <v>41466</v>
      </c>
    </row>
    <row r="2450" spans="1:4" ht="13.5" x14ac:dyDescent="0.25">
      <c r="A2450" s="878" t="s">
        <v>8124</v>
      </c>
      <c r="B2450" s="878" t="s">
        <v>8125</v>
      </c>
      <c r="C2450" s="879" t="s">
        <v>6008</v>
      </c>
      <c r="D2450" s="880" t="s">
        <v>5546</v>
      </c>
    </row>
    <row r="2451" spans="1:4" ht="13.5" x14ac:dyDescent="0.25">
      <c r="A2451" s="878" t="s">
        <v>8126</v>
      </c>
      <c r="B2451" s="878" t="s">
        <v>8127</v>
      </c>
      <c r="C2451" s="879" t="s">
        <v>6008</v>
      </c>
      <c r="D2451" s="880" t="s">
        <v>30426</v>
      </c>
    </row>
    <row r="2452" spans="1:4" ht="13.5" x14ac:dyDescent="0.25">
      <c r="A2452" s="878" t="s">
        <v>8129</v>
      </c>
      <c r="B2452" s="878" t="s">
        <v>8130</v>
      </c>
      <c r="C2452" s="879" t="s">
        <v>6008</v>
      </c>
      <c r="D2452" s="880" t="s">
        <v>41467</v>
      </c>
    </row>
    <row r="2453" spans="1:4" ht="13.5" x14ac:dyDescent="0.25">
      <c r="A2453" s="878" t="s">
        <v>8131</v>
      </c>
      <c r="B2453" s="878" t="s">
        <v>8132</v>
      </c>
      <c r="C2453" s="879" t="s">
        <v>6008</v>
      </c>
      <c r="D2453" s="880" t="s">
        <v>8766</v>
      </c>
    </row>
    <row r="2454" spans="1:4" ht="13.5" x14ac:dyDescent="0.25">
      <c r="A2454" s="878" t="s">
        <v>8133</v>
      </c>
      <c r="B2454" s="878" t="s">
        <v>8134</v>
      </c>
      <c r="C2454" s="879" t="s">
        <v>6008</v>
      </c>
      <c r="D2454" s="880" t="s">
        <v>15758</v>
      </c>
    </row>
    <row r="2455" spans="1:4" ht="13.5" x14ac:dyDescent="0.25">
      <c r="A2455" s="878" t="s">
        <v>8135</v>
      </c>
      <c r="B2455" s="878" t="s">
        <v>8136</v>
      </c>
      <c r="C2455" s="879" t="s">
        <v>6008</v>
      </c>
      <c r="D2455" s="880" t="s">
        <v>30752</v>
      </c>
    </row>
    <row r="2456" spans="1:4" ht="13.5" x14ac:dyDescent="0.25">
      <c r="A2456" s="878" t="s">
        <v>8138</v>
      </c>
      <c r="B2456" s="878" t="s">
        <v>8139</v>
      </c>
      <c r="C2456" s="879" t="s">
        <v>6008</v>
      </c>
      <c r="D2456" s="880" t="s">
        <v>8107</v>
      </c>
    </row>
    <row r="2457" spans="1:4" ht="13.5" x14ac:dyDescent="0.25">
      <c r="A2457" s="878" t="s">
        <v>8141</v>
      </c>
      <c r="B2457" s="878" t="s">
        <v>8142</v>
      </c>
      <c r="C2457" s="879" t="s">
        <v>6008</v>
      </c>
      <c r="D2457" s="880" t="s">
        <v>41468</v>
      </c>
    </row>
    <row r="2458" spans="1:4" ht="13.5" x14ac:dyDescent="0.25">
      <c r="A2458" s="878" t="s">
        <v>8143</v>
      </c>
      <c r="B2458" s="878" t="s">
        <v>8144</v>
      </c>
      <c r="C2458" s="879" t="s">
        <v>6008</v>
      </c>
      <c r="D2458" s="880" t="s">
        <v>14223</v>
      </c>
    </row>
    <row r="2459" spans="1:4" ht="13.5" x14ac:dyDescent="0.25">
      <c r="A2459" s="878" t="s">
        <v>8145</v>
      </c>
      <c r="B2459" s="878" t="s">
        <v>8146</v>
      </c>
      <c r="C2459" s="879" t="s">
        <v>6008</v>
      </c>
      <c r="D2459" s="880" t="s">
        <v>30790</v>
      </c>
    </row>
    <row r="2460" spans="1:4" ht="13.5" x14ac:dyDescent="0.25">
      <c r="A2460" s="878" t="s">
        <v>8147</v>
      </c>
      <c r="B2460" s="878" t="s">
        <v>8148</v>
      </c>
      <c r="C2460" s="879" t="s">
        <v>6008</v>
      </c>
      <c r="D2460" s="880" t="s">
        <v>30812</v>
      </c>
    </row>
    <row r="2461" spans="1:4" ht="13.5" x14ac:dyDescent="0.25">
      <c r="A2461" s="878" t="s">
        <v>8149</v>
      </c>
      <c r="B2461" s="878" t="s">
        <v>8150</v>
      </c>
      <c r="C2461" s="879" t="s">
        <v>6008</v>
      </c>
      <c r="D2461" s="880" t="s">
        <v>41469</v>
      </c>
    </row>
    <row r="2462" spans="1:4" ht="13.5" x14ac:dyDescent="0.25">
      <c r="A2462" s="878" t="s">
        <v>8151</v>
      </c>
      <c r="B2462" s="878" t="s">
        <v>8152</v>
      </c>
      <c r="C2462" s="879" t="s">
        <v>6008</v>
      </c>
      <c r="D2462" s="880" t="s">
        <v>6838</v>
      </c>
    </row>
    <row r="2463" spans="1:4" ht="13.5" x14ac:dyDescent="0.25">
      <c r="A2463" s="878" t="s">
        <v>8154</v>
      </c>
      <c r="B2463" s="878" t="s">
        <v>8155</v>
      </c>
      <c r="C2463" s="879" t="s">
        <v>6008</v>
      </c>
      <c r="D2463" s="880" t="s">
        <v>10621</v>
      </c>
    </row>
    <row r="2464" spans="1:4" ht="13.5" x14ac:dyDescent="0.25">
      <c r="A2464" s="878" t="s">
        <v>8157</v>
      </c>
      <c r="B2464" s="878" t="s">
        <v>8158</v>
      </c>
      <c r="C2464" s="879" t="s">
        <v>6008</v>
      </c>
      <c r="D2464" s="880" t="s">
        <v>31213</v>
      </c>
    </row>
    <row r="2465" spans="1:4" ht="13.5" x14ac:dyDescent="0.25">
      <c r="A2465" s="878" t="s">
        <v>8159</v>
      </c>
      <c r="B2465" s="878" t="s">
        <v>8160</v>
      </c>
      <c r="C2465" s="879" t="s">
        <v>6008</v>
      </c>
      <c r="D2465" s="880" t="s">
        <v>4371</v>
      </c>
    </row>
    <row r="2466" spans="1:4" ht="13.5" x14ac:dyDescent="0.25">
      <c r="A2466" s="878" t="s">
        <v>8162</v>
      </c>
      <c r="B2466" s="878" t="s">
        <v>8163</v>
      </c>
      <c r="C2466" s="879" t="s">
        <v>6008</v>
      </c>
      <c r="D2466" s="880" t="s">
        <v>41470</v>
      </c>
    </row>
    <row r="2467" spans="1:4" ht="13.5" x14ac:dyDescent="0.25">
      <c r="A2467" s="878" t="s">
        <v>8164</v>
      </c>
      <c r="B2467" s="878" t="s">
        <v>8165</v>
      </c>
      <c r="C2467" s="879" t="s">
        <v>6008</v>
      </c>
      <c r="D2467" s="880" t="s">
        <v>6827</v>
      </c>
    </row>
    <row r="2468" spans="1:4" ht="13.5" x14ac:dyDescent="0.25">
      <c r="A2468" s="878" t="s">
        <v>8166</v>
      </c>
      <c r="B2468" s="878" t="s">
        <v>8167</v>
      </c>
      <c r="C2468" s="879" t="s">
        <v>6008</v>
      </c>
      <c r="D2468" s="880" t="s">
        <v>41471</v>
      </c>
    </row>
    <row r="2469" spans="1:4" ht="13.5" x14ac:dyDescent="0.25">
      <c r="A2469" s="878" t="s">
        <v>8169</v>
      </c>
      <c r="B2469" s="878" t="s">
        <v>8170</v>
      </c>
      <c r="C2469" s="879" t="s">
        <v>6008</v>
      </c>
      <c r="D2469" s="880" t="s">
        <v>41454</v>
      </c>
    </row>
    <row r="2470" spans="1:4" ht="13.5" x14ac:dyDescent="0.25">
      <c r="A2470" s="878" t="s">
        <v>8171</v>
      </c>
      <c r="B2470" s="878" t="s">
        <v>8172</v>
      </c>
      <c r="C2470" s="879" t="s">
        <v>6008</v>
      </c>
      <c r="D2470" s="880" t="s">
        <v>41472</v>
      </c>
    </row>
    <row r="2471" spans="1:4" ht="13.5" x14ac:dyDescent="0.25">
      <c r="A2471" s="878" t="s">
        <v>8173</v>
      </c>
      <c r="B2471" s="878" t="s">
        <v>8174</v>
      </c>
      <c r="C2471" s="879" t="s">
        <v>6008</v>
      </c>
      <c r="D2471" s="880" t="s">
        <v>8140</v>
      </c>
    </row>
    <row r="2472" spans="1:4" ht="13.5" x14ac:dyDescent="0.25">
      <c r="A2472" s="878" t="s">
        <v>8175</v>
      </c>
      <c r="B2472" s="878" t="s">
        <v>8176</v>
      </c>
      <c r="C2472" s="879" t="s">
        <v>6008</v>
      </c>
      <c r="D2472" s="880" t="s">
        <v>30498</v>
      </c>
    </row>
    <row r="2473" spans="1:4" ht="13.5" x14ac:dyDescent="0.25">
      <c r="A2473" s="878" t="s">
        <v>8178</v>
      </c>
      <c r="B2473" s="878" t="s">
        <v>8179</v>
      </c>
      <c r="C2473" s="879" t="s">
        <v>6008</v>
      </c>
      <c r="D2473" s="880" t="s">
        <v>10523</v>
      </c>
    </row>
    <row r="2474" spans="1:4" ht="13.5" x14ac:dyDescent="0.25">
      <c r="A2474" s="878" t="s">
        <v>8180</v>
      </c>
      <c r="B2474" s="878" t="s">
        <v>8181</v>
      </c>
      <c r="C2474" s="879" t="s">
        <v>6008</v>
      </c>
      <c r="D2474" s="880" t="s">
        <v>16598</v>
      </c>
    </row>
    <row r="2475" spans="1:4" ht="13.5" x14ac:dyDescent="0.25">
      <c r="A2475" s="878" t="s">
        <v>8182</v>
      </c>
      <c r="B2475" s="878" t="s">
        <v>8183</v>
      </c>
      <c r="C2475" s="879" t="s">
        <v>6008</v>
      </c>
      <c r="D2475" s="880" t="s">
        <v>41473</v>
      </c>
    </row>
    <row r="2476" spans="1:4" ht="13.5" x14ac:dyDescent="0.25">
      <c r="A2476" s="878" t="s">
        <v>8185</v>
      </c>
      <c r="B2476" s="878" t="s">
        <v>8186</v>
      </c>
      <c r="C2476" s="879" t="s">
        <v>6008</v>
      </c>
      <c r="D2476" s="880" t="s">
        <v>41474</v>
      </c>
    </row>
    <row r="2477" spans="1:4" ht="13.5" x14ac:dyDescent="0.25">
      <c r="A2477" s="878" t="s">
        <v>8187</v>
      </c>
      <c r="B2477" s="878" t="s">
        <v>8188</v>
      </c>
      <c r="C2477" s="879" t="s">
        <v>6008</v>
      </c>
      <c r="D2477" s="880" t="s">
        <v>15309</v>
      </c>
    </row>
    <row r="2478" spans="1:4" ht="13.5" x14ac:dyDescent="0.25">
      <c r="A2478" s="878" t="s">
        <v>8189</v>
      </c>
      <c r="B2478" s="878" t="s">
        <v>8190</v>
      </c>
      <c r="C2478" s="879" t="s">
        <v>6008</v>
      </c>
      <c r="D2478" s="880" t="s">
        <v>10814</v>
      </c>
    </row>
    <row r="2479" spans="1:4" ht="13.5" x14ac:dyDescent="0.25">
      <c r="A2479" s="878" t="s">
        <v>8191</v>
      </c>
      <c r="B2479" s="878" t="s">
        <v>8192</v>
      </c>
      <c r="C2479" s="879" t="s">
        <v>6008</v>
      </c>
      <c r="D2479" s="880" t="s">
        <v>6351</v>
      </c>
    </row>
    <row r="2480" spans="1:4" ht="13.5" x14ac:dyDescent="0.25">
      <c r="A2480" s="878" t="s">
        <v>8193</v>
      </c>
      <c r="B2480" s="878" t="s">
        <v>30004</v>
      </c>
      <c r="C2480" s="879" t="s">
        <v>6008</v>
      </c>
      <c r="D2480" s="880" t="s">
        <v>3727</v>
      </c>
    </row>
    <row r="2481" spans="1:4" ht="13.5" x14ac:dyDescent="0.25">
      <c r="A2481" s="878" t="s">
        <v>8194</v>
      </c>
      <c r="B2481" s="878" t="s">
        <v>8195</v>
      </c>
      <c r="C2481" s="879" t="s">
        <v>6008</v>
      </c>
      <c r="D2481" s="880" t="s">
        <v>15580</v>
      </c>
    </row>
    <row r="2482" spans="1:4" ht="13.5" x14ac:dyDescent="0.25">
      <c r="A2482" s="878" t="s">
        <v>8196</v>
      </c>
      <c r="B2482" s="878" t="s">
        <v>8197</v>
      </c>
      <c r="C2482" s="879" t="s">
        <v>6008</v>
      </c>
      <c r="D2482" s="880" t="s">
        <v>41475</v>
      </c>
    </row>
    <row r="2483" spans="1:4" ht="13.5" x14ac:dyDescent="0.25">
      <c r="A2483" s="878" t="s">
        <v>8198</v>
      </c>
      <c r="B2483" s="878" t="s">
        <v>8199</v>
      </c>
      <c r="C2483" s="879" t="s">
        <v>6008</v>
      </c>
      <c r="D2483" s="880" t="s">
        <v>15580</v>
      </c>
    </row>
    <row r="2484" spans="1:4" ht="13.5" x14ac:dyDescent="0.25">
      <c r="A2484" s="878" t="s">
        <v>8200</v>
      </c>
      <c r="B2484" s="878" t="s">
        <v>8201</v>
      </c>
      <c r="C2484" s="879" t="s">
        <v>6008</v>
      </c>
      <c r="D2484" s="880" t="s">
        <v>41475</v>
      </c>
    </row>
    <row r="2485" spans="1:4" ht="13.5" x14ac:dyDescent="0.25">
      <c r="A2485" s="878" t="s">
        <v>8202</v>
      </c>
      <c r="B2485" s="878" t="s">
        <v>8203</v>
      </c>
      <c r="C2485" s="879" t="s">
        <v>6008</v>
      </c>
      <c r="D2485" s="880" t="s">
        <v>17969</v>
      </c>
    </row>
    <row r="2486" spans="1:4" ht="13.5" x14ac:dyDescent="0.25">
      <c r="A2486" s="878" t="s">
        <v>8204</v>
      </c>
      <c r="B2486" s="878" t="s">
        <v>8205</v>
      </c>
      <c r="C2486" s="879" t="s">
        <v>6008</v>
      </c>
      <c r="D2486" s="880" t="s">
        <v>41476</v>
      </c>
    </row>
    <row r="2487" spans="1:4" ht="13.5" x14ac:dyDescent="0.25">
      <c r="A2487" s="878" t="s">
        <v>8207</v>
      </c>
      <c r="B2487" s="878" t="s">
        <v>8208</v>
      </c>
      <c r="C2487" s="879" t="s">
        <v>6008</v>
      </c>
      <c r="D2487" s="880" t="s">
        <v>41477</v>
      </c>
    </row>
    <row r="2488" spans="1:4" ht="13.5" x14ac:dyDescent="0.25">
      <c r="A2488" s="878" t="s">
        <v>8210</v>
      </c>
      <c r="B2488" s="878" t="s">
        <v>8211</v>
      </c>
      <c r="C2488" s="879" t="s">
        <v>6008</v>
      </c>
      <c r="D2488" s="880" t="s">
        <v>8063</v>
      </c>
    </row>
    <row r="2489" spans="1:4" ht="13.5" x14ac:dyDescent="0.25">
      <c r="A2489" s="878" t="s">
        <v>8212</v>
      </c>
      <c r="B2489" s="878" t="s">
        <v>8213</v>
      </c>
      <c r="C2489" s="879" t="s">
        <v>6008</v>
      </c>
      <c r="D2489" s="880" t="s">
        <v>41478</v>
      </c>
    </row>
    <row r="2490" spans="1:4" ht="13.5" x14ac:dyDescent="0.25">
      <c r="A2490" s="878" t="s">
        <v>8214</v>
      </c>
      <c r="B2490" s="878" t="s">
        <v>8215</v>
      </c>
      <c r="C2490" s="879" t="s">
        <v>6008</v>
      </c>
      <c r="D2490" s="880" t="s">
        <v>4559</v>
      </c>
    </row>
    <row r="2491" spans="1:4" ht="13.5" x14ac:dyDescent="0.25">
      <c r="A2491" s="878" t="s">
        <v>8216</v>
      </c>
      <c r="B2491" s="878" t="s">
        <v>8217</v>
      </c>
      <c r="C2491" s="879" t="s">
        <v>6008</v>
      </c>
      <c r="D2491" s="880" t="s">
        <v>31175</v>
      </c>
    </row>
    <row r="2492" spans="1:4" ht="13.5" x14ac:dyDescent="0.25">
      <c r="A2492" s="878" t="s">
        <v>8218</v>
      </c>
      <c r="B2492" s="878" t="s">
        <v>8219</v>
      </c>
      <c r="C2492" s="879" t="s">
        <v>6008</v>
      </c>
      <c r="D2492" s="880" t="s">
        <v>12980</v>
      </c>
    </row>
    <row r="2493" spans="1:4" ht="13.5" x14ac:dyDescent="0.25">
      <c r="A2493" s="878" t="s">
        <v>8220</v>
      </c>
      <c r="B2493" s="878" t="s">
        <v>8221</v>
      </c>
      <c r="C2493" s="879" t="s">
        <v>6008</v>
      </c>
      <c r="D2493" s="880" t="s">
        <v>41479</v>
      </c>
    </row>
    <row r="2494" spans="1:4" ht="13.5" x14ac:dyDescent="0.25">
      <c r="A2494" s="878" t="s">
        <v>8222</v>
      </c>
      <c r="B2494" s="878" t="s">
        <v>8223</v>
      </c>
      <c r="C2494" s="879" t="s">
        <v>6008</v>
      </c>
      <c r="D2494" s="880" t="s">
        <v>14507</v>
      </c>
    </row>
    <row r="2495" spans="1:4" ht="13.5" x14ac:dyDescent="0.25">
      <c r="A2495" s="878" t="s">
        <v>8224</v>
      </c>
      <c r="B2495" s="878" t="s">
        <v>8225</v>
      </c>
      <c r="C2495" s="879" t="s">
        <v>6008</v>
      </c>
      <c r="D2495" s="880" t="s">
        <v>41460</v>
      </c>
    </row>
    <row r="2496" spans="1:4" ht="13.5" x14ac:dyDescent="0.25">
      <c r="A2496" s="878" t="s">
        <v>8226</v>
      </c>
      <c r="B2496" s="878" t="s">
        <v>8227</v>
      </c>
      <c r="C2496" s="879" t="s">
        <v>6008</v>
      </c>
      <c r="D2496" s="880" t="s">
        <v>8177</v>
      </c>
    </row>
    <row r="2497" spans="1:4" ht="13.5" x14ac:dyDescent="0.25">
      <c r="A2497" s="878" t="s">
        <v>8228</v>
      </c>
      <c r="B2497" s="878" t="s">
        <v>8229</v>
      </c>
      <c r="C2497" s="879" t="s">
        <v>6008</v>
      </c>
      <c r="D2497" s="880" t="s">
        <v>30579</v>
      </c>
    </row>
    <row r="2498" spans="1:4" ht="13.5" x14ac:dyDescent="0.25">
      <c r="A2498" s="878" t="s">
        <v>8230</v>
      </c>
      <c r="B2498" s="878" t="s">
        <v>8231</v>
      </c>
      <c r="C2498" s="879" t="s">
        <v>6008</v>
      </c>
      <c r="D2498" s="880" t="s">
        <v>40504</v>
      </c>
    </row>
    <row r="2499" spans="1:4" ht="13.5" x14ac:dyDescent="0.25">
      <c r="A2499" s="878" t="s">
        <v>8232</v>
      </c>
      <c r="B2499" s="878" t="s">
        <v>8233</v>
      </c>
      <c r="C2499" s="879" t="s">
        <v>6008</v>
      </c>
      <c r="D2499" s="880" t="s">
        <v>14414</v>
      </c>
    </row>
    <row r="2500" spans="1:4" ht="13.5" x14ac:dyDescent="0.25">
      <c r="A2500" s="878" t="s">
        <v>8235</v>
      </c>
      <c r="B2500" s="878" t="s">
        <v>8236</v>
      </c>
      <c r="C2500" s="879" t="s">
        <v>6008</v>
      </c>
      <c r="D2500" s="880" t="s">
        <v>8782</v>
      </c>
    </row>
    <row r="2501" spans="1:4" ht="13.5" x14ac:dyDescent="0.25">
      <c r="A2501" s="878" t="s">
        <v>8237</v>
      </c>
      <c r="B2501" s="878" t="s">
        <v>8238</v>
      </c>
      <c r="C2501" s="879" t="s">
        <v>6008</v>
      </c>
      <c r="D2501" s="880" t="s">
        <v>30757</v>
      </c>
    </row>
    <row r="2502" spans="1:4" ht="13.5" x14ac:dyDescent="0.25">
      <c r="A2502" s="878" t="s">
        <v>8239</v>
      </c>
      <c r="B2502" s="878" t="s">
        <v>8240</v>
      </c>
      <c r="C2502" s="879" t="s">
        <v>6008</v>
      </c>
      <c r="D2502" s="880" t="s">
        <v>15578</v>
      </c>
    </row>
    <row r="2503" spans="1:4" ht="13.5" x14ac:dyDescent="0.25">
      <c r="A2503" s="878" t="s">
        <v>8241</v>
      </c>
      <c r="B2503" s="878" t="s">
        <v>8242</v>
      </c>
      <c r="C2503" s="879" t="s">
        <v>6008</v>
      </c>
      <c r="D2503" s="880" t="s">
        <v>30811</v>
      </c>
    </row>
    <row r="2504" spans="1:4" ht="13.5" x14ac:dyDescent="0.25">
      <c r="A2504" s="878" t="s">
        <v>8243</v>
      </c>
      <c r="B2504" s="878" t="s">
        <v>8244</v>
      </c>
      <c r="C2504" s="879" t="s">
        <v>6008</v>
      </c>
      <c r="D2504" s="880" t="s">
        <v>15306</v>
      </c>
    </row>
    <row r="2505" spans="1:4" ht="13.5" x14ac:dyDescent="0.25">
      <c r="A2505" s="878" t="s">
        <v>8246</v>
      </c>
      <c r="B2505" s="878" t="s">
        <v>8247</v>
      </c>
      <c r="C2505" s="879" t="s">
        <v>6008</v>
      </c>
      <c r="D2505" s="880" t="s">
        <v>3964</v>
      </c>
    </row>
    <row r="2506" spans="1:4" ht="13.5" x14ac:dyDescent="0.25">
      <c r="A2506" s="878" t="s">
        <v>8249</v>
      </c>
      <c r="B2506" s="878" t="s">
        <v>8250</v>
      </c>
      <c r="C2506" s="879" t="s">
        <v>6008</v>
      </c>
      <c r="D2506" s="880" t="s">
        <v>3126</v>
      </c>
    </row>
    <row r="2507" spans="1:4" ht="13.5" x14ac:dyDescent="0.25">
      <c r="A2507" s="878" t="s">
        <v>8252</v>
      </c>
      <c r="B2507" s="878" t="s">
        <v>8253</v>
      </c>
      <c r="C2507" s="879" t="s">
        <v>6008</v>
      </c>
      <c r="D2507" s="880" t="s">
        <v>41480</v>
      </c>
    </row>
    <row r="2508" spans="1:4" ht="13.5" x14ac:dyDescent="0.25">
      <c r="A2508" s="878" t="s">
        <v>8254</v>
      </c>
      <c r="B2508" s="878" t="s">
        <v>8255</v>
      </c>
      <c r="C2508" s="879" t="s">
        <v>6008</v>
      </c>
      <c r="D2508" s="880" t="s">
        <v>41480</v>
      </c>
    </row>
    <row r="2509" spans="1:4" ht="13.5" x14ac:dyDescent="0.25">
      <c r="A2509" s="878" t="s">
        <v>8256</v>
      </c>
      <c r="B2509" s="878" t="s">
        <v>8257</v>
      </c>
      <c r="C2509" s="879" t="s">
        <v>6008</v>
      </c>
      <c r="D2509" s="880" t="s">
        <v>41481</v>
      </c>
    </row>
    <row r="2510" spans="1:4" ht="13.5" x14ac:dyDescent="0.25">
      <c r="A2510" s="878" t="s">
        <v>8258</v>
      </c>
      <c r="B2510" s="878" t="s">
        <v>8259</v>
      </c>
      <c r="C2510" s="879" t="s">
        <v>6008</v>
      </c>
      <c r="D2510" s="880" t="s">
        <v>41482</v>
      </c>
    </row>
    <row r="2511" spans="1:4" ht="13.5" x14ac:dyDescent="0.25">
      <c r="A2511" s="878" t="s">
        <v>8261</v>
      </c>
      <c r="B2511" s="878" t="s">
        <v>8262</v>
      </c>
      <c r="C2511" s="879" t="s">
        <v>6008</v>
      </c>
      <c r="D2511" s="880" t="s">
        <v>41483</v>
      </c>
    </row>
    <row r="2512" spans="1:4" ht="13.5" x14ac:dyDescent="0.25">
      <c r="A2512" s="878" t="s">
        <v>8263</v>
      </c>
      <c r="B2512" s="878" t="s">
        <v>8264</v>
      </c>
      <c r="C2512" s="879" t="s">
        <v>6008</v>
      </c>
      <c r="D2512" s="880" t="s">
        <v>41484</v>
      </c>
    </row>
    <row r="2513" spans="1:4" ht="13.5" x14ac:dyDescent="0.25">
      <c r="A2513" s="878" t="s">
        <v>8265</v>
      </c>
      <c r="B2513" s="878" t="s">
        <v>8266</v>
      </c>
      <c r="C2513" s="879" t="s">
        <v>6008</v>
      </c>
      <c r="D2513" s="880" t="s">
        <v>41485</v>
      </c>
    </row>
    <row r="2514" spans="1:4" ht="13.5" x14ac:dyDescent="0.25">
      <c r="A2514" s="878" t="s">
        <v>8267</v>
      </c>
      <c r="B2514" s="878" t="s">
        <v>8268</v>
      </c>
      <c r="C2514" s="879" t="s">
        <v>6008</v>
      </c>
      <c r="D2514" s="880" t="s">
        <v>14405</v>
      </c>
    </row>
    <row r="2515" spans="1:4" ht="13.5" x14ac:dyDescent="0.25">
      <c r="A2515" s="878" t="s">
        <v>8270</v>
      </c>
      <c r="B2515" s="878" t="s">
        <v>8271</v>
      </c>
      <c r="C2515" s="879" t="s">
        <v>159</v>
      </c>
      <c r="D2515" s="880" t="s">
        <v>41486</v>
      </c>
    </row>
    <row r="2516" spans="1:4" ht="13.5" x14ac:dyDescent="0.25">
      <c r="A2516" s="878" t="s">
        <v>8272</v>
      </c>
      <c r="B2516" s="878" t="s">
        <v>8273</v>
      </c>
      <c r="C2516" s="879" t="s">
        <v>159</v>
      </c>
      <c r="D2516" s="880" t="s">
        <v>41487</v>
      </c>
    </row>
    <row r="2517" spans="1:4" ht="13.5" x14ac:dyDescent="0.25">
      <c r="A2517" s="878" t="s">
        <v>8274</v>
      </c>
      <c r="B2517" s="878" t="s">
        <v>8275</v>
      </c>
      <c r="C2517" s="879" t="s">
        <v>159</v>
      </c>
      <c r="D2517" s="880" t="s">
        <v>41488</v>
      </c>
    </row>
    <row r="2518" spans="1:4" ht="13.5" x14ac:dyDescent="0.25">
      <c r="A2518" s="878" t="s">
        <v>8276</v>
      </c>
      <c r="B2518" s="878" t="s">
        <v>8277</v>
      </c>
      <c r="C2518" s="879" t="s">
        <v>159</v>
      </c>
      <c r="D2518" s="880" t="s">
        <v>41489</v>
      </c>
    </row>
    <row r="2519" spans="1:4" ht="13.5" x14ac:dyDescent="0.25">
      <c r="A2519" s="878" t="s">
        <v>8278</v>
      </c>
      <c r="B2519" s="878" t="s">
        <v>8279</v>
      </c>
      <c r="C2519" s="879" t="s">
        <v>159</v>
      </c>
      <c r="D2519" s="880" t="s">
        <v>41490</v>
      </c>
    </row>
    <row r="2520" spans="1:4" ht="13.5" x14ac:dyDescent="0.25">
      <c r="A2520" s="878" t="s">
        <v>8280</v>
      </c>
      <c r="B2520" s="878" t="s">
        <v>8281</v>
      </c>
      <c r="C2520" s="879" t="s">
        <v>159</v>
      </c>
      <c r="D2520" s="880" t="s">
        <v>41491</v>
      </c>
    </row>
    <row r="2521" spans="1:4" ht="13.5" x14ac:dyDescent="0.25">
      <c r="A2521" s="878" t="s">
        <v>8282</v>
      </c>
      <c r="B2521" s="878" t="s">
        <v>8283</v>
      </c>
      <c r="C2521" s="879" t="s">
        <v>159</v>
      </c>
      <c r="D2521" s="880" t="s">
        <v>41492</v>
      </c>
    </row>
    <row r="2522" spans="1:4" ht="13.5" x14ac:dyDescent="0.25">
      <c r="A2522" s="878" t="s">
        <v>8284</v>
      </c>
      <c r="B2522" s="878" t="s">
        <v>8285</v>
      </c>
      <c r="C2522" s="879" t="s">
        <v>159</v>
      </c>
      <c r="D2522" s="880" t="s">
        <v>41493</v>
      </c>
    </row>
    <row r="2523" spans="1:4" ht="13.5" x14ac:dyDescent="0.25">
      <c r="A2523" s="878" t="s">
        <v>8286</v>
      </c>
      <c r="B2523" s="878" t="s">
        <v>8287</v>
      </c>
      <c r="C2523" s="879" t="s">
        <v>159</v>
      </c>
      <c r="D2523" s="880" t="s">
        <v>41494</v>
      </c>
    </row>
    <row r="2524" spans="1:4" ht="13.5" x14ac:dyDescent="0.25">
      <c r="A2524" s="878" t="s">
        <v>8288</v>
      </c>
      <c r="B2524" s="878" t="s">
        <v>8289</v>
      </c>
      <c r="C2524" s="879" t="s">
        <v>159</v>
      </c>
      <c r="D2524" s="880" t="s">
        <v>41495</v>
      </c>
    </row>
    <row r="2525" spans="1:4" ht="13.5" x14ac:dyDescent="0.25">
      <c r="A2525" s="878" t="s">
        <v>8290</v>
      </c>
      <c r="B2525" s="878" t="s">
        <v>8291</v>
      </c>
      <c r="C2525" s="879" t="s">
        <v>159</v>
      </c>
      <c r="D2525" s="880" t="s">
        <v>30707</v>
      </c>
    </row>
    <row r="2526" spans="1:4" ht="13.5" x14ac:dyDescent="0.25">
      <c r="A2526" s="878" t="s">
        <v>8292</v>
      </c>
      <c r="B2526" s="878" t="s">
        <v>8293</v>
      </c>
      <c r="C2526" s="879" t="s">
        <v>159</v>
      </c>
      <c r="D2526" s="880" t="s">
        <v>41496</v>
      </c>
    </row>
    <row r="2527" spans="1:4" ht="13.5" x14ac:dyDescent="0.25">
      <c r="A2527" s="878" t="s">
        <v>8294</v>
      </c>
      <c r="B2527" s="878" t="s">
        <v>8295</v>
      </c>
      <c r="C2527" s="879" t="s">
        <v>159</v>
      </c>
      <c r="D2527" s="880" t="s">
        <v>41497</v>
      </c>
    </row>
    <row r="2528" spans="1:4" ht="13.5" x14ac:dyDescent="0.25">
      <c r="A2528" s="885" t="s">
        <v>8296</v>
      </c>
      <c r="B2528" s="885" t="s">
        <v>8297</v>
      </c>
      <c r="C2528" s="886" t="s">
        <v>159</v>
      </c>
      <c r="D2528" s="887" t="s">
        <v>41498</v>
      </c>
    </row>
    <row r="2529" spans="1:4" ht="13.5" x14ac:dyDescent="0.25">
      <c r="A2529" s="878" t="s">
        <v>8298</v>
      </c>
      <c r="B2529" s="878" t="s">
        <v>8299</v>
      </c>
      <c r="C2529" s="879" t="s">
        <v>159</v>
      </c>
      <c r="D2529" s="880" t="s">
        <v>41499</v>
      </c>
    </row>
    <row r="2530" spans="1:4" ht="13.5" x14ac:dyDescent="0.25">
      <c r="A2530" s="878" t="s">
        <v>8300</v>
      </c>
      <c r="B2530" s="878" t="s">
        <v>8301</v>
      </c>
      <c r="C2530" s="879" t="s">
        <v>159</v>
      </c>
      <c r="D2530" s="880" t="s">
        <v>41500</v>
      </c>
    </row>
    <row r="2531" spans="1:4" ht="13.5" x14ac:dyDescent="0.25">
      <c r="A2531" s="878" t="s">
        <v>8302</v>
      </c>
      <c r="B2531" s="878" t="s">
        <v>8303</v>
      </c>
      <c r="C2531" s="879" t="s">
        <v>159</v>
      </c>
      <c r="D2531" s="880" t="s">
        <v>41501</v>
      </c>
    </row>
    <row r="2532" spans="1:4" ht="13.5" x14ac:dyDescent="0.25">
      <c r="A2532" s="878" t="s">
        <v>8304</v>
      </c>
      <c r="B2532" s="878" t="s">
        <v>8305</v>
      </c>
      <c r="C2532" s="879" t="s">
        <v>159</v>
      </c>
      <c r="D2532" s="880" t="s">
        <v>41502</v>
      </c>
    </row>
    <row r="2533" spans="1:4" ht="13.5" x14ac:dyDescent="0.25">
      <c r="A2533" s="878" t="s">
        <v>8306</v>
      </c>
      <c r="B2533" s="878" t="s">
        <v>8307</v>
      </c>
      <c r="C2533" s="879" t="s">
        <v>159</v>
      </c>
      <c r="D2533" s="880" t="s">
        <v>41503</v>
      </c>
    </row>
    <row r="2534" spans="1:4" ht="13.5" x14ac:dyDescent="0.25">
      <c r="A2534" s="878" t="s">
        <v>8308</v>
      </c>
      <c r="B2534" s="878" t="s">
        <v>8309</v>
      </c>
      <c r="C2534" s="879" t="s">
        <v>159</v>
      </c>
      <c r="D2534" s="880" t="s">
        <v>41504</v>
      </c>
    </row>
    <row r="2535" spans="1:4" ht="13.5" x14ac:dyDescent="0.25">
      <c r="A2535" s="878" t="s">
        <v>8310</v>
      </c>
      <c r="B2535" s="878" t="s">
        <v>8311</v>
      </c>
      <c r="C2535" s="879" t="s">
        <v>159</v>
      </c>
      <c r="D2535" s="880" t="s">
        <v>41505</v>
      </c>
    </row>
    <row r="2536" spans="1:4" ht="13.5" x14ac:dyDescent="0.25">
      <c r="A2536" s="878" t="s">
        <v>8312</v>
      </c>
      <c r="B2536" s="878" t="s">
        <v>8313</v>
      </c>
      <c r="C2536" s="879" t="s">
        <v>159</v>
      </c>
      <c r="D2536" s="880" t="s">
        <v>41506</v>
      </c>
    </row>
    <row r="2537" spans="1:4" ht="13.5" x14ac:dyDescent="0.25">
      <c r="A2537" s="878" t="s">
        <v>8314</v>
      </c>
      <c r="B2537" s="878" t="s">
        <v>8315</v>
      </c>
      <c r="C2537" s="879" t="s">
        <v>159</v>
      </c>
      <c r="D2537" s="880" t="s">
        <v>41507</v>
      </c>
    </row>
    <row r="2538" spans="1:4" ht="13.5" x14ac:dyDescent="0.25">
      <c r="A2538" s="878" t="s">
        <v>8316</v>
      </c>
      <c r="B2538" s="878" t="s">
        <v>8317</v>
      </c>
      <c r="C2538" s="879" t="s">
        <v>159</v>
      </c>
      <c r="D2538" s="880" t="s">
        <v>41508</v>
      </c>
    </row>
    <row r="2539" spans="1:4" ht="13.5" x14ac:dyDescent="0.25">
      <c r="A2539" s="878" t="s">
        <v>8318</v>
      </c>
      <c r="B2539" s="878" t="s">
        <v>8319</v>
      </c>
      <c r="C2539" s="879" t="s">
        <v>159</v>
      </c>
      <c r="D2539" s="880" t="s">
        <v>41509</v>
      </c>
    </row>
    <row r="2540" spans="1:4" ht="13.5" x14ac:dyDescent="0.25">
      <c r="A2540" s="878" t="s">
        <v>8320</v>
      </c>
      <c r="B2540" s="878" t="s">
        <v>8321</v>
      </c>
      <c r="C2540" s="879" t="s">
        <v>159</v>
      </c>
      <c r="D2540" s="880" t="s">
        <v>41510</v>
      </c>
    </row>
    <row r="2541" spans="1:4" ht="13.5" x14ac:dyDescent="0.25">
      <c r="A2541" s="878" t="s">
        <v>8322</v>
      </c>
      <c r="B2541" s="878" t="s">
        <v>8323</v>
      </c>
      <c r="C2541" s="879" t="s">
        <v>159</v>
      </c>
      <c r="D2541" s="880" t="s">
        <v>41511</v>
      </c>
    </row>
    <row r="2542" spans="1:4" ht="13.5" x14ac:dyDescent="0.25">
      <c r="A2542" s="878" t="s">
        <v>8324</v>
      </c>
      <c r="B2542" s="878" t="s">
        <v>8325</v>
      </c>
      <c r="C2542" s="879" t="s">
        <v>159</v>
      </c>
      <c r="D2542" s="880" t="s">
        <v>30588</v>
      </c>
    </row>
    <row r="2543" spans="1:4" ht="13.5" x14ac:dyDescent="0.25">
      <c r="A2543" s="878" t="s">
        <v>8326</v>
      </c>
      <c r="B2543" s="878" t="s">
        <v>8327</v>
      </c>
      <c r="C2543" s="879" t="s">
        <v>159</v>
      </c>
      <c r="D2543" s="880" t="s">
        <v>30589</v>
      </c>
    </row>
    <row r="2544" spans="1:4" ht="13.5" x14ac:dyDescent="0.25">
      <c r="A2544" s="878" t="s">
        <v>8328</v>
      </c>
      <c r="B2544" s="878" t="s">
        <v>8329</v>
      </c>
      <c r="C2544" s="879" t="s">
        <v>159</v>
      </c>
      <c r="D2544" s="880" t="s">
        <v>30590</v>
      </c>
    </row>
    <row r="2545" spans="1:4" ht="13.5" x14ac:dyDescent="0.25">
      <c r="A2545" s="878" t="s">
        <v>8330</v>
      </c>
      <c r="B2545" s="878" t="s">
        <v>8331</v>
      </c>
      <c r="C2545" s="879" t="s">
        <v>159</v>
      </c>
      <c r="D2545" s="880" t="s">
        <v>9591</v>
      </c>
    </row>
    <row r="2546" spans="1:4" ht="13.5" x14ac:dyDescent="0.25">
      <c r="A2546" s="878" t="s">
        <v>8332</v>
      </c>
      <c r="B2546" s="878" t="s">
        <v>8333</v>
      </c>
      <c r="C2546" s="879" t="s">
        <v>159</v>
      </c>
      <c r="D2546" s="880" t="s">
        <v>30591</v>
      </c>
    </row>
    <row r="2547" spans="1:4" ht="13.5" x14ac:dyDescent="0.25">
      <c r="A2547" s="878" t="s">
        <v>8334</v>
      </c>
      <c r="B2547" s="878" t="s">
        <v>8335</v>
      </c>
      <c r="C2547" s="879" t="s">
        <v>159</v>
      </c>
      <c r="D2547" s="880" t="s">
        <v>30592</v>
      </c>
    </row>
    <row r="2548" spans="1:4" ht="13.5" x14ac:dyDescent="0.25">
      <c r="A2548" s="878" t="s">
        <v>8336</v>
      </c>
      <c r="B2548" s="878" t="s">
        <v>8337</v>
      </c>
      <c r="C2548" s="879" t="s">
        <v>159</v>
      </c>
      <c r="D2548" s="880" t="s">
        <v>30593</v>
      </c>
    </row>
    <row r="2549" spans="1:4" ht="13.5" x14ac:dyDescent="0.25">
      <c r="A2549" s="878" t="s">
        <v>8338</v>
      </c>
      <c r="B2549" s="878" t="s">
        <v>8339</v>
      </c>
      <c r="C2549" s="879" t="s">
        <v>159</v>
      </c>
      <c r="D2549" s="880" t="s">
        <v>30594</v>
      </c>
    </row>
    <row r="2550" spans="1:4" ht="13.5" x14ac:dyDescent="0.25">
      <c r="A2550" s="878" t="s">
        <v>8340</v>
      </c>
      <c r="B2550" s="878" t="s">
        <v>8341</v>
      </c>
      <c r="C2550" s="879" t="s">
        <v>159</v>
      </c>
      <c r="D2550" s="880" t="s">
        <v>30595</v>
      </c>
    </row>
    <row r="2551" spans="1:4" ht="13.5" x14ac:dyDescent="0.25">
      <c r="A2551" s="878" t="s">
        <v>8342</v>
      </c>
      <c r="B2551" s="878" t="s">
        <v>8343</v>
      </c>
      <c r="C2551" s="879" t="s">
        <v>159</v>
      </c>
      <c r="D2551" s="880" t="s">
        <v>30596</v>
      </c>
    </row>
    <row r="2552" spans="1:4" ht="13.5" x14ac:dyDescent="0.25">
      <c r="A2552" s="878" t="s">
        <v>8344</v>
      </c>
      <c r="B2552" s="878" t="s">
        <v>8345</v>
      </c>
      <c r="C2552" s="879" t="s">
        <v>159</v>
      </c>
      <c r="D2552" s="880" t="s">
        <v>30597</v>
      </c>
    </row>
    <row r="2553" spans="1:4" ht="13.5" x14ac:dyDescent="0.25">
      <c r="A2553" s="878" t="s">
        <v>8346</v>
      </c>
      <c r="B2553" s="878" t="s">
        <v>8347</v>
      </c>
      <c r="C2553" s="879" t="s">
        <v>159</v>
      </c>
      <c r="D2553" s="880" t="s">
        <v>30598</v>
      </c>
    </row>
    <row r="2554" spans="1:4" ht="13.5" x14ac:dyDescent="0.25">
      <c r="A2554" s="878" t="s">
        <v>8348</v>
      </c>
      <c r="B2554" s="878" t="s">
        <v>8349</v>
      </c>
      <c r="C2554" s="879" t="s">
        <v>159</v>
      </c>
      <c r="D2554" s="880" t="s">
        <v>41512</v>
      </c>
    </row>
    <row r="2555" spans="1:4" ht="13.5" x14ac:dyDescent="0.25">
      <c r="A2555" s="878" t="s">
        <v>8350</v>
      </c>
      <c r="B2555" s="878" t="s">
        <v>8351</v>
      </c>
      <c r="C2555" s="879" t="s">
        <v>159</v>
      </c>
      <c r="D2555" s="880" t="s">
        <v>41513</v>
      </c>
    </row>
    <row r="2556" spans="1:4" ht="13.5" x14ac:dyDescent="0.25">
      <c r="A2556" s="878" t="s">
        <v>8352</v>
      </c>
      <c r="B2556" s="878" t="s">
        <v>8353</v>
      </c>
      <c r="C2556" s="879" t="s">
        <v>159</v>
      </c>
      <c r="D2556" s="880" t="s">
        <v>41514</v>
      </c>
    </row>
    <row r="2557" spans="1:4" ht="13.5" x14ac:dyDescent="0.25">
      <c r="A2557" s="878" t="s">
        <v>8354</v>
      </c>
      <c r="B2557" s="878" t="s">
        <v>8355</v>
      </c>
      <c r="C2557" s="879" t="s">
        <v>159</v>
      </c>
      <c r="D2557" s="880" t="s">
        <v>41515</v>
      </c>
    </row>
    <row r="2558" spans="1:4" ht="13.5" x14ac:dyDescent="0.25">
      <c r="A2558" s="878" t="s">
        <v>8356</v>
      </c>
      <c r="B2558" s="878" t="s">
        <v>8357</v>
      </c>
      <c r="C2558" s="879" t="s">
        <v>159</v>
      </c>
      <c r="D2558" s="880" t="s">
        <v>41516</v>
      </c>
    </row>
    <row r="2559" spans="1:4" ht="13.5" x14ac:dyDescent="0.25">
      <c r="A2559" s="878" t="s">
        <v>8358</v>
      </c>
      <c r="B2559" s="878" t="s">
        <v>8359</v>
      </c>
      <c r="C2559" s="879" t="s">
        <v>159</v>
      </c>
      <c r="D2559" s="880" t="s">
        <v>41517</v>
      </c>
    </row>
    <row r="2560" spans="1:4" ht="13.5" x14ac:dyDescent="0.25">
      <c r="A2560" s="878" t="s">
        <v>8360</v>
      </c>
      <c r="B2560" s="878" t="s">
        <v>8361</v>
      </c>
      <c r="C2560" s="879" t="s">
        <v>159</v>
      </c>
      <c r="D2560" s="880" t="s">
        <v>41518</v>
      </c>
    </row>
    <row r="2561" spans="1:4" ht="13.5" x14ac:dyDescent="0.25">
      <c r="A2561" s="878" t="s">
        <v>8362</v>
      </c>
      <c r="B2561" s="878" t="s">
        <v>8363</v>
      </c>
      <c r="C2561" s="879" t="s">
        <v>159</v>
      </c>
      <c r="D2561" s="880" t="s">
        <v>41519</v>
      </c>
    </row>
    <row r="2562" spans="1:4" ht="13.5" x14ac:dyDescent="0.25">
      <c r="A2562" s="878" t="s">
        <v>8364</v>
      </c>
      <c r="B2562" s="878" t="s">
        <v>8365</v>
      </c>
      <c r="C2562" s="879" t="s">
        <v>159</v>
      </c>
      <c r="D2562" s="880" t="s">
        <v>41520</v>
      </c>
    </row>
    <row r="2563" spans="1:4" ht="13.5" x14ac:dyDescent="0.25">
      <c r="A2563" s="878" t="s">
        <v>8366</v>
      </c>
      <c r="B2563" s="878" t="s">
        <v>8367</v>
      </c>
      <c r="C2563" s="879" t="s">
        <v>159</v>
      </c>
      <c r="D2563" s="880" t="s">
        <v>41521</v>
      </c>
    </row>
    <row r="2564" spans="1:4" ht="13.5" x14ac:dyDescent="0.25">
      <c r="A2564" s="878" t="s">
        <v>8368</v>
      </c>
      <c r="B2564" s="878" t="s">
        <v>8369</v>
      </c>
      <c r="C2564" s="879" t="s">
        <v>159</v>
      </c>
      <c r="D2564" s="880" t="s">
        <v>41522</v>
      </c>
    </row>
    <row r="2565" spans="1:4" ht="13.5" x14ac:dyDescent="0.25">
      <c r="A2565" s="878" t="s">
        <v>8370</v>
      </c>
      <c r="B2565" s="878" t="s">
        <v>8371</v>
      </c>
      <c r="C2565" s="879" t="s">
        <v>159</v>
      </c>
      <c r="D2565" s="880" t="s">
        <v>41523</v>
      </c>
    </row>
    <row r="2566" spans="1:4" ht="13.5" x14ac:dyDescent="0.25">
      <c r="A2566" s="878" t="s">
        <v>8372</v>
      </c>
      <c r="B2566" s="878" t="s">
        <v>8373</v>
      </c>
      <c r="C2566" s="879" t="s">
        <v>159</v>
      </c>
      <c r="D2566" s="880" t="s">
        <v>41524</v>
      </c>
    </row>
    <row r="2567" spans="1:4" ht="13.5" x14ac:dyDescent="0.25">
      <c r="A2567" s="878" t="s">
        <v>8374</v>
      </c>
      <c r="B2567" s="878" t="s">
        <v>8375</v>
      </c>
      <c r="C2567" s="879" t="s">
        <v>159</v>
      </c>
      <c r="D2567" s="880" t="s">
        <v>41525</v>
      </c>
    </row>
    <row r="2568" spans="1:4" ht="13.5" x14ac:dyDescent="0.25">
      <c r="A2568" s="878" t="s">
        <v>8376</v>
      </c>
      <c r="B2568" s="878" t="s">
        <v>8377</v>
      </c>
      <c r="C2568" s="879" t="s">
        <v>159</v>
      </c>
      <c r="D2568" s="880" t="s">
        <v>41526</v>
      </c>
    </row>
    <row r="2569" spans="1:4" ht="13.5" x14ac:dyDescent="0.25">
      <c r="A2569" s="878" t="s">
        <v>8378</v>
      </c>
      <c r="B2569" s="878" t="s">
        <v>8379</v>
      </c>
      <c r="C2569" s="879" t="s">
        <v>159</v>
      </c>
      <c r="D2569" s="880" t="s">
        <v>30599</v>
      </c>
    </row>
    <row r="2570" spans="1:4" ht="13.5" x14ac:dyDescent="0.25">
      <c r="A2570" s="878" t="s">
        <v>8380</v>
      </c>
      <c r="B2570" s="878" t="s">
        <v>8381</v>
      </c>
      <c r="C2570" s="879" t="s">
        <v>159</v>
      </c>
      <c r="D2570" s="880" t="s">
        <v>30600</v>
      </c>
    </row>
    <row r="2571" spans="1:4" ht="13.5" x14ac:dyDescent="0.25">
      <c r="A2571" s="878" t="s">
        <v>8382</v>
      </c>
      <c r="B2571" s="878" t="s">
        <v>8383</v>
      </c>
      <c r="C2571" s="879" t="s">
        <v>159</v>
      </c>
      <c r="D2571" s="880" t="s">
        <v>30601</v>
      </c>
    </row>
    <row r="2572" spans="1:4" ht="13.5" x14ac:dyDescent="0.25">
      <c r="A2572" s="878" t="s">
        <v>8384</v>
      </c>
      <c r="B2572" s="878" t="s">
        <v>8385</v>
      </c>
      <c r="C2572" s="879" t="s">
        <v>159</v>
      </c>
      <c r="D2572" s="880" t="s">
        <v>30602</v>
      </c>
    </row>
    <row r="2573" spans="1:4" ht="13.5" x14ac:dyDescent="0.25">
      <c r="A2573" s="878" t="s">
        <v>8386</v>
      </c>
      <c r="B2573" s="878" t="s">
        <v>8387</v>
      </c>
      <c r="C2573" s="879" t="s">
        <v>159</v>
      </c>
      <c r="D2573" s="880" t="s">
        <v>30603</v>
      </c>
    </row>
    <row r="2574" spans="1:4" ht="13.5" x14ac:dyDescent="0.25">
      <c r="A2574" s="878" t="s">
        <v>8388</v>
      </c>
      <c r="B2574" s="878" t="s">
        <v>8389</v>
      </c>
      <c r="C2574" s="879" t="s">
        <v>159</v>
      </c>
      <c r="D2574" s="880" t="s">
        <v>30604</v>
      </c>
    </row>
    <row r="2575" spans="1:4" ht="13.5" x14ac:dyDescent="0.25">
      <c r="A2575" s="878" t="s">
        <v>8390</v>
      </c>
      <c r="B2575" s="878" t="s">
        <v>8391</v>
      </c>
      <c r="C2575" s="879" t="s">
        <v>159</v>
      </c>
      <c r="D2575" s="880" t="s">
        <v>14978</v>
      </c>
    </row>
    <row r="2576" spans="1:4" ht="13.5" x14ac:dyDescent="0.25">
      <c r="A2576" s="878" t="s">
        <v>8392</v>
      </c>
      <c r="B2576" s="878" t="s">
        <v>8393</v>
      </c>
      <c r="C2576" s="879" t="s">
        <v>159</v>
      </c>
      <c r="D2576" s="880" t="s">
        <v>30605</v>
      </c>
    </row>
    <row r="2577" spans="1:4" ht="13.5" x14ac:dyDescent="0.25">
      <c r="A2577" s="878" t="s">
        <v>8394</v>
      </c>
      <c r="B2577" s="878" t="s">
        <v>8395</v>
      </c>
      <c r="C2577" s="879" t="s">
        <v>159</v>
      </c>
      <c r="D2577" s="880" t="s">
        <v>30606</v>
      </c>
    </row>
    <row r="2578" spans="1:4" ht="13.5" x14ac:dyDescent="0.25">
      <c r="A2578" s="878" t="s">
        <v>8396</v>
      </c>
      <c r="B2578" s="878" t="s">
        <v>8397</v>
      </c>
      <c r="C2578" s="879" t="s">
        <v>159</v>
      </c>
      <c r="D2578" s="880" t="s">
        <v>30607</v>
      </c>
    </row>
    <row r="2579" spans="1:4" ht="13.5" x14ac:dyDescent="0.25">
      <c r="A2579" s="878" t="s">
        <v>8398</v>
      </c>
      <c r="B2579" s="878" t="s">
        <v>8399</v>
      </c>
      <c r="C2579" s="879" t="s">
        <v>159</v>
      </c>
      <c r="D2579" s="880" t="s">
        <v>30608</v>
      </c>
    </row>
    <row r="2580" spans="1:4" ht="13.5" x14ac:dyDescent="0.25">
      <c r="A2580" s="878" t="s">
        <v>8400</v>
      </c>
      <c r="B2580" s="878" t="s">
        <v>8401</v>
      </c>
      <c r="C2580" s="879" t="s">
        <v>159</v>
      </c>
      <c r="D2580" s="880" t="s">
        <v>30609</v>
      </c>
    </row>
    <row r="2581" spans="1:4" ht="13.5" x14ac:dyDescent="0.25">
      <c r="A2581" s="878" t="s">
        <v>8402</v>
      </c>
      <c r="B2581" s="878" t="s">
        <v>8403</v>
      </c>
      <c r="C2581" s="879" t="s">
        <v>159</v>
      </c>
      <c r="D2581" s="880" t="s">
        <v>30610</v>
      </c>
    </row>
    <row r="2582" spans="1:4" ht="13.5" x14ac:dyDescent="0.25">
      <c r="A2582" s="878" t="s">
        <v>8404</v>
      </c>
      <c r="B2582" s="878" t="s">
        <v>8405</v>
      </c>
      <c r="C2582" s="879" t="s">
        <v>159</v>
      </c>
      <c r="D2582" s="880" t="s">
        <v>30611</v>
      </c>
    </row>
    <row r="2583" spans="1:4" ht="13.5" x14ac:dyDescent="0.25">
      <c r="A2583" s="878" t="s">
        <v>8406</v>
      </c>
      <c r="B2583" s="878" t="s">
        <v>8407</v>
      </c>
      <c r="C2583" s="879" t="s">
        <v>159</v>
      </c>
      <c r="D2583" s="880" t="s">
        <v>30612</v>
      </c>
    </row>
    <row r="2584" spans="1:4" ht="13.5" x14ac:dyDescent="0.25">
      <c r="A2584" s="878" t="s">
        <v>8408</v>
      </c>
      <c r="B2584" s="878" t="s">
        <v>8409</v>
      </c>
      <c r="C2584" s="879" t="s">
        <v>159</v>
      </c>
      <c r="D2584" s="880" t="s">
        <v>30613</v>
      </c>
    </row>
    <row r="2585" spans="1:4" ht="13.5" x14ac:dyDescent="0.25">
      <c r="A2585" s="878" t="s">
        <v>8410</v>
      </c>
      <c r="B2585" s="878" t="s">
        <v>8411</v>
      </c>
      <c r="C2585" s="879" t="s">
        <v>159</v>
      </c>
      <c r="D2585" s="880" t="s">
        <v>30614</v>
      </c>
    </row>
    <row r="2586" spans="1:4" ht="13.5" x14ac:dyDescent="0.25">
      <c r="A2586" s="878" t="s">
        <v>8412</v>
      </c>
      <c r="B2586" s="878" t="s">
        <v>8413</v>
      </c>
      <c r="C2586" s="879" t="s">
        <v>159</v>
      </c>
      <c r="D2586" s="880" t="s">
        <v>30615</v>
      </c>
    </row>
    <row r="2587" spans="1:4" ht="13.5" x14ac:dyDescent="0.25">
      <c r="A2587" s="878" t="s">
        <v>8414</v>
      </c>
      <c r="B2587" s="878" t="s">
        <v>8415</v>
      </c>
      <c r="C2587" s="879" t="s">
        <v>159</v>
      </c>
      <c r="D2587" s="881" t="s">
        <v>30616</v>
      </c>
    </row>
    <row r="2588" spans="1:4" ht="13.5" x14ac:dyDescent="0.25">
      <c r="A2588" s="878" t="s">
        <v>8416</v>
      </c>
      <c r="B2588" s="878" t="s">
        <v>8417</v>
      </c>
      <c r="C2588" s="879" t="s">
        <v>159</v>
      </c>
      <c r="D2588" s="880" t="s">
        <v>30617</v>
      </c>
    </row>
    <row r="2589" spans="1:4" ht="13.5" x14ac:dyDescent="0.25">
      <c r="A2589" s="878" t="s">
        <v>8418</v>
      </c>
      <c r="B2589" s="878" t="s">
        <v>8419</v>
      </c>
      <c r="C2589" s="879" t="s">
        <v>159</v>
      </c>
      <c r="D2589" s="880" t="s">
        <v>30618</v>
      </c>
    </row>
    <row r="2590" spans="1:4" ht="13.5" x14ac:dyDescent="0.25">
      <c r="A2590" s="878" t="s">
        <v>8420</v>
      </c>
      <c r="B2590" s="878" t="s">
        <v>8421</v>
      </c>
      <c r="C2590" s="879" t="s">
        <v>159</v>
      </c>
      <c r="D2590" s="880" t="s">
        <v>30619</v>
      </c>
    </row>
    <row r="2591" spans="1:4" ht="13.5" x14ac:dyDescent="0.25">
      <c r="A2591" s="878" t="s">
        <v>8422</v>
      </c>
      <c r="B2591" s="878" t="s">
        <v>8423</v>
      </c>
      <c r="C2591" s="879" t="s">
        <v>227</v>
      </c>
      <c r="D2591" s="880" t="s">
        <v>41527</v>
      </c>
    </row>
    <row r="2592" spans="1:4" ht="13.5" x14ac:dyDescent="0.25">
      <c r="A2592" s="878" t="s">
        <v>8424</v>
      </c>
      <c r="B2592" s="878" t="s">
        <v>8425</v>
      </c>
      <c r="C2592" s="879" t="s">
        <v>227</v>
      </c>
      <c r="D2592" s="880" t="s">
        <v>41528</v>
      </c>
    </row>
    <row r="2593" spans="1:4" ht="13.5" x14ac:dyDescent="0.25">
      <c r="A2593" s="878" t="s">
        <v>8426</v>
      </c>
      <c r="B2593" s="878" t="s">
        <v>8427</v>
      </c>
      <c r="C2593" s="879" t="s">
        <v>159</v>
      </c>
      <c r="D2593" s="880" t="s">
        <v>41529</v>
      </c>
    </row>
    <row r="2594" spans="1:4" ht="13.5" x14ac:dyDescent="0.25">
      <c r="A2594" s="878" t="s">
        <v>8428</v>
      </c>
      <c r="B2594" s="878" t="s">
        <v>8429</v>
      </c>
      <c r="C2594" s="879" t="s">
        <v>159</v>
      </c>
      <c r="D2594" s="880" t="s">
        <v>41530</v>
      </c>
    </row>
    <row r="2595" spans="1:4" ht="13.5" x14ac:dyDescent="0.25">
      <c r="A2595" s="878" t="s">
        <v>8430</v>
      </c>
      <c r="B2595" s="878" t="s">
        <v>8431</v>
      </c>
      <c r="C2595" s="879" t="s">
        <v>158</v>
      </c>
      <c r="D2595" s="880" t="s">
        <v>41531</v>
      </c>
    </row>
    <row r="2596" spans="1:4" ht="13.5" x14ac:dyDescent="0.25">
      <c r="A2596" s="878" t="s">
        <v>8432</v>
      </c>
      <c r="B2596" s="878" t="s">
        <v>8433</v>
      </c>
      <c r="C2596" s="879" t="s">
        <v>158</v>
      </c>
      <c r="D2596" s="880" t="s">
        <v>41532</v>
      </c>
    </row>
    <row r="2597" spans="1:4" ht="13.5" x14ac:dyDescent="0.25">
      <c r="A2597" s="878" t="s">
        <v>8435</v>
      </c>
      <c r="B2597" s="878" t="s">
        <v>8436</v>
      </c>
      <c r="C2597" s="879" t="s">
        <v>158</v>
      </c>
      <c r="D2597" s="880" t="s">
        <v>41533</v>
      </c>
    </row>
    <row r="2598" spans="1:4" ht="13.5" x14ac:dyDescent="0.25">
      <c r="A2598" s="878" t="s">
        <v>8437</v>
      </c>
      <c r="B2598" s="878" t="s">
        <v>8438</v>
      </c>
      <c r="C2598" s="879" t="s">
        <v>158</v>
      </c>
      <c r="D2598" s="880" t="s">
        <v>41534</v>
      </c>
    </row>
    <row r="2599" spans="1:4" ht="13.5" x14ac:dyDescent="0.25">
      <c r="A2599" s="878" t="s">
        <v>8439</v>
      </c>
      <c r="B2599" s="878" t="s">
        <v>8440</v>
      </c>
      <c r="C2599" s="879" t="s">
        <v>158</v>
      </c>
      <c r="D2599" s="880" t="s">
        <v>41535</v>
      </c>
    </row>
    <row r="2600" spans="1:4" ht="13.5" x14ac:dyDescent="0.25">
      <c r="A2600" s="878" t="s">
        <v>8441</v>
      </c>
      <c r="B2600" s="878" t="s">
        <v>8442</v>
      </c>
      <c r="C2600" s="879" t="s">
        <v>158</v>
      </c>
      <c r="D2600" s="880" t="s">
        <v>30848</v>
      </c>
    </row>
    <row r="2601" spans="1:4" ht="13.5" x14ac:dyDescent="0.25">
      <c r="A2601" s="878" t="s">
        <v>8443</v>
      </c>
      <c r="B2601" s="878" t="s">
        <v>8444</v>
      </c>
      <c r="C2601" s="879" t="s">
        <v>158</v>
      </c>
      <c r="D2601" s="880" t="s">
        <v>41536</v>
      </c>
    </row>
    <row r="2602" spans="1:4" ht="13.5" x14ac:dyDescent="0.25">
      <c r="A2602" s="878" t="s">
        <v>8446</v>
      </c>
      <c r="B2602" s="878" t="s">
        <v>8447</v>
      </c>
      <c r="C2602" s="879" t="s">
        <v>158</v>
      </c>
      <c r="D2602" s="880" t="s">
        <v>30623</v>
      </c>
    </row>
    <row r="2603" spans="1:4" ht="13.5" x14ac:dyDescent="0.25">
      <c r="A2603" s="878" t="s">
        <v>8448</v>
      </c>
      <c r="B2603" s="878" t="s">
        <v>8449</v>
      </c>
      <c r="C2603" s="879" t="s">
        <v>158</v>
      </c>
      <c r="D2603" s="880" t="s">
        <v>41537</v>
      </c>
    </row>
    <row r="2604" spans="1:4" ht="13.5" x14ac:dyDescent="0.25">
      <c r="A2604" s="878" t="s">
        <v>8450</v>
      </c>
      <c r="B2604" s="878" t="s">
        <v>8451</v>
      </c>
      <c r="C2604" s="879" t="s">
        <v>158</v>
      </c>
      <c r="D2604" s="880" t="s">
        <v>41538</v>
      </c>
    </row>
    <row r="2605" spans="1:4" ht="13.5" x14ac:dyDescent="0.25">
      <c r="A2605" s="878" t="s">
        <v>8452</v>
      </c>
      <c r="B2605" s="878" t="s">
        <v>8453</v>
      </c>
      <c r="C2605" s="879" t="s">
        <v>158</v>
      </c>
      <c r="D2605" s="880" t="s">
        <v>41539</v>
      </c>
    </row>
    <row r="2606" spans="1:4" ht="13.5" x14ac:dyDescent="0.25">
      <c r="A2606" s="878" t="s">
        <v>8454</v>
      </c>
      <c r="B2606" s="878" t="s">
        <v>8455</v>
      </c>
      <c r="C2606" s="879" t="s">
        <v>158</v>
      </c>
      <c r="D2606" s="880" t="s">
        <v>41540</v>
      </c>
    </row>
    <row r="2607" spans="1:4" ht="13.5" x14ac:dyDescent="0.25">
      <c r="A2607" s="878" t="s">
        <v>8456</v>
      </c>
      <c r="B2607" s="878" t="s">
        <v>8457</v>
      </c>
      <c r="C2607" s="879" t="s">
        <v>158</v>
      </c>
      <c r="D2607" s="880" t="s">
        <v>30763</v>
      </c>
    </row>
    <row r="2608" spans="1:4" ht="13.5" x14ac:dyDescent="0.25">
      <c r="A2608" s="878" t="s">
        <v>8458</v>
      </c>
      <c r="B2608" s="878" t="s">
        <v>8459</v>
      </c>
      <c r="C2608" s="879" t="s">
        <v>158</v>
      </c>
      <c r="D2608" s="880" t="s">
        <v>41541</v>
      </c>
    </row>
    <row r="2609" spans="1:4" ht="13.5" x14ac:dyDescent="0.25">
      <c r="A2609" s="878" t="s">
        <v>8460</v>
      </c>
      <c r="B2609" s="878" t="s">
        <v>8461</v>
      </c>
      <c r="C2609" s="879" t="s">
        <v>158</v>
      </c>
      <c r="D2609" s="880" t="s">
        <v>41542</v>
      </c>
    </row>
    <row r="2610" spans="1:4" ht="13.5" x14ac:dyDescent="0.25">
      <c r="A2610" s="878" t="s">
        <v>8462</v>
      </c>
      <c r="B2610" s="878" t="s">
        <v>8463</v>
      </c>
      <c r="C2610" s="879" t="s">
        <v>158</v>
      </c>
      <c r="D2610" s="880" t="s">
        <v>41543</v>
      </c>
    </row>
    <row r="2611" spans="1:4" ht="13.5" x14ac:dyDescent="0.25">
      <c r="A2611" s="878" t="s">
        <v>8464</v>
      </c>
      <c r="B2611" s="878" t="s">
        <v>8465</v>
      </c>
      <c r="C2611" s="879" t="s">
        <v>158</v>
      </c>
      <c r="D2611" s="880" t="s">
        <v>41544</v>
      </c>
    </row>
    <row r="2612" spans="1:4" ht="13.5" x14ac:dyDescent="0.25">
      <c r="A2612" s="878" t="s">
        <v>8466</v>
      </c>
      <c r="B2612" s="878" t="s">
        <v>8467</v>
      </c>
      <c r="C2612" s="879" t="s">
        <v>158</v>
      </c>
      <c r="D2612" s="880" t="s">
        <v>41545</v>
      </c>
    </row>
    <row r="2613" spans="1:4" ht="13.5" x14ac:dyDescent="0.25">
      <c r="A2613" s="878" t="s">
        <v>8468</v>
      </c>
      <c r="B2613" s="878" t="s">
        <v>8469</v>
      </c>
      <c r="C2613" s="879" t="s">
        <v>158</v>
      </c>
      <c r="D2613" s="880" t="s">
        <v>41546</v>
      </c>
    </row>
    <row r="2614" spans="1:4" ht="13.5" x14ac:dyDescent="0.25">
      <c r="A2614" s="878" t="s">
        <v>8470</v>
      </c>
      <c r="B2614" s="878" t="s">
        <v>8471</v>
      </c>
      <c r="C2614" s="879" t="s">
        <v>158</v>
      </c>
      <c r="D2614" s="880" t="s">
        <v>30749</v>
      </c>
    </row>
    <row r="2615" spans="1:4" ht="13.5" x14ac:dyDescent="0.25">
      <c r="A2615" s="878" t="s">
        <v>8472</v>
      </c>
      <c r="B2615" s="878" t="s">
        <v>8473</v>
      </c>
      <c r="C2615" s="879" t="s">
        <v>158</v>
      </c>
      <c r="D2615" s="880" t="s">
        <v>41547</v>
      </c>
    </row>
    <row r="2616" spans="1:4" ht="13.5" x14ac:dyDescent="0.25">
      <c r="A2616" s="878" t="s">
        <v>8474</v>
      </c>
      <c r="B2616" s="878" t="s">
        <v>8475</v>
      </c>
      <c r="C2616" s="879" t="s">
        <v>158</v>
      </c>
      <c r="D2616" s="880" t="s">
        <v>41548</v>
      </c>
    </row>
    <row r="2617" spans="1:4" ht="13.5" x14ac:dyDescent="0.25">
      <c r="A2617" s="878" t="s">
        <v>8476</v>
      </c>
      <c r="B2617" s="878" t="s">
        <v>8477</v>
      </c>
      <c r="C2617" s="879" t="s">
        <v>158</v>
      </c>
      <c r="D2617" s="880" t="s">
        <v>41549</v>
      </c>
    </row>
    <row r="2618" spans="1:4" ht="13.5" x14ac:dyDescent="0.25">
      <c r="A2618" s="878" t="s">
        <v>8478</v>
      </c>
      <c r="B2618" s="878" t="s">
        <v>8479</v>
      </c>
      <c r="C2618" s="879" t="s">
        <v>158</v>
      </c>
      <c r="D2618" s="880" t="s">
        <v>30762</v>
      </c>
    </row>
    <row r="2619" spans="1:4" ht="13.5" x14ac:dyDescent="0.25">
      <c r="A2619" s="878" t="s">
        <v>8480</v>
      </c>
      <c r="B2619" s="878" t="s">
        <v>8481</v>
      </c>
      <c r="C2619" s="879" t="s">
        <v>158</v>
      </c>
      <c r="D2619" s="880" t="s">
        <v>41550</v>
      </c>
    </row>
    <row r="2620" spans="1:4" ht="13.5" x14ac:dyDescent="0.25">
      <c r="A2620" s="878" t="s">
        <v>8482</v>
      </c>
      <c r="B2620" s="878" t="s">
        <v>8483</v>
      </c>
      <c r="C2620" s="879" t="s">
        <v>158</v>
      </c>
      <c r="D2620" s="880" t="s">
        <v>41551</v>
      </c>
    </row>
    <row r="2621" spans="1:4" ht="13.5" x14ac:dyDescent="0.25">
      <c r="A2621" s="878" t="s">
        <v>8484</v>
      </c>
      <c r="B2621" s="878" t="s">
        <v>8485</v>
      </c>
      <c r="C2621" s="879" t="s">
        <v>158</v>
      </c>
      <c r="D2621" s="880" t="s">
        <v>41552</v>
      </c>
    </row>
    <row r="2622" spans="1:4" ht="13.5" x14ac:dyDescent="0.25">
      <c r="A2622" s="878" t="s">
        <v>8486</v>
      </c>
      <c r="B2622" s="878" t="s">
        <v>8487</v>
      </c>
      <c r="C2622" s="879" t="s">
        <v>159</v>
      </c>
      <c r="D2622" s="880" t="s">
        <v>41553</v>
      </c>
    </row>
    <row r="2623" spans="1:4" ht="13.5" x14ac:dyDescent="0.25">
      <c r="A2623" s="878" t="s">
        <v>8488</v>
      </c>
      <c r="B2623" s="878" t="s">
        <v>8489</v>
      </c>
      <c r="C2623" s="879" t="s">
        <v>159</v>
      </c>
      <c r="D2623" s="880" t="s">
        <v>41554</v>
      </c>
    </row>
    <row r="2624" spans="1:4" ht="13.5" x14ac:dyDescent="0.25">
      <c r="A2624" s="878" t="s">
        <v>8490</v>
      </c>
      <c r="B2624" s="878" t="s">
        <v>8491</v>
      </c>
      <c r="C2624" s="879" t="s">
        <v>159</v>
      </c>
      <c r="D2624" s="881" t="s">
        <v>41555</v>
      </c>
    </row>
    <row r="2625" spans="1:4" ht="13.5" x14ac:dyDescent="0.25">
      <c r="A2625" s="878" t="s">
        <v>8492</v>
      </c>
      <c r="B2625" s="878" t="s">
        <v>8493</v>
      </c>
      <c r="C2625" s="879" t="s">
        <v>159</v>
      </c>
      <c r="D2625" s="881" t="s">
        <v>41556</v>
      </c>
    </row>
    <row r="2626" spans="1:4" ht="13.5" x14ac:dyDescent="0.25">
      <c r="A2626" s="878" t="s">
        <v>8494</v>
      </c>
      <c r="B2626" s="878" t="s">
        <v>8495</v>
      </c>
      <c r="C2626" s="879" t="s">
        <v>159</v>
      </c>
      <c r="D2626" s="881" t="s">
        <v>41557</v>
      </c>
    </row>
    <row r="2627" spans="1:4" ht="13.5" x14ac:dyDescent="0.25">
      <c r="A2627" s="878" t="s">
        <v>8496</v>
      </c>
      <c r="B2627" s="878" t="s">
        <v>8497</v>
      </c>
      <c r="C2627" s="879" t="s">
        <v>159</v>
      </c>
      <c r="D2627" s="881" t="s">
        <v>41558</v>
      </c>
    </row>
    <row r="2628" spans="1:4" ht="13.5" x14ac:dyDescent="0.25">
      <c r="A2628" s="878" t="s">
        <v>8498</v>
      </c>
      <c r="B2628" s="878" t="s">
        <v>8499</v>
      </c>
      <c r="C2628" s="879" t="s">
        <v>159</v>
      </c>
      <c r="D2628" s="881" t="s">
        <v>41559</v>
      </c>
    </row>
    <row r="2629" spans="1:4" ht="13.5" x14ac:dyDescent="0.25">
      <c r="A2629" s="878" t="s">
        <v>8500</v>
      </c>
      <c r="B2629" s="878" t="s">
        <v>8501</v>
      </c>
      <c r="C2629" s="879" t="s">
        <v>159</v>
      </c>
      <c r="D2629" s="881" t="s">
        <v>41560</v>
      </c>
    </row>
    <row r="2630" spans="1:4" ht="13.5" x14ac:dyDescent="0.25">
      <c r="A2630" s="878" t="s">
        <v>8502</v>
      </c>
      <c r="B2630" s="878" t="s">
        <v>8503</v>
      </c>
      <c r="C2630" s="879" t="s">
        <v>227</v>
      </c>
      <c r="D2630" s="881" t="s">
        <v>41561</v>
      </c>
    </row>
    <row r="2631" spans="1:4" ht="13.5" x14ac:dyDescent="0.25">
      <c r="A2631" s="878" t="s">
        <v>8504</v>
      </c>
      <c r="B2631" s="878" t="s">
        <v>8505</v>
      </c>
      <c r="C2631" s="879" t="s">
        <v>227</v>
      </c>
      <c r="D2631" s="881" t="s">
        <v>41562</v>
      </c>
    </row>
    <row r="2632" spans="1:4" ht="13.5" x14ac:dyDescent="0.25">
      <c r="A2632" s="878" t="s">
        <v>8506</v>
      </c>
      <c r="B2632" s="878" t="s">
        <v>8507</v>
      </c>
      <c r="C2632" s="879" t="s">
        <v>227</v>
      </c>
      <c r="D2632" s="881" t="s">
        <v>41563</v>
      </c>
    </row>
    <row r="2633" spans="1:4" ht="13.5" x14ac:dyDescent="0.25">
      <c r="A2633" s="878" t="s">
        <v>8508</v>
      </c>
      <c r="B2633" s="878" t="s">
        <v>8509</v>
      </c>
      <c r="C2633" s="879" t="s">
        <v>227</v>
      </c>
      <c r="D2633" s="881" t="s">
        <v>41564</v>
      </c>
    </row>
    <row r="2634" spans="1:4" ht="13.5" x14ac:dyDescent="0.25">
      <c r="A2634" s="878" t="s">
        <v>8510</v>
      </c>
      <c r="B2634" s="878" t="s">
        <v>8511</v>
      </c>
      <c r="C2634" s="879" t="s">
        <v>227</v>
      </c>
      <c r="D2634" s="881" t="s">
        <v>41565</v>
      </c>
    </row>
    <row r="2635" spans="1:4" ht="13.5" x14ac:dyDescent="0.25">
      <c r="A2635" s="878" t="s">
        <v>8512</v>
      </c>
      <c r="B2635" s="878" t="s">
        <v>8513</v>
      </c>
      <c r="C2635" s="879" t="s">
        <v>227</v>
      </c>
      <c r="D2635" s="881" t="s">
        <v>41566</v>
      </c>
    </row>
    <row r="2636" spans="1:4" ht="13.5" x14ac:dyDescent="0.25">
      <c r="A2636" s="878" t="s">
        <v>8514</v>
      </c>
      <c r="B2636" s="878" t="s">
        <v>8515</v>
      </c>
      <c r="C2636" s="879" t="s">
        <v>227</v>
      </c>
      <c r="D2636" s="881" t="s">
        <v>41567</v>
      </c>
    </row>
    <row r="2637" spans="1:4" ht="13.5" x14ac:dyDescent="0.25">
      <c r="A2637" s="878" t="s">
        <v>8516</v>
      </c>
      <c r="B2637" s="878" t="s">
        <v>8517</v>
      </c>
      <c r="C2637" s="879" t="s">
        <v>227</v>
      </c>
      <c r="D2637" s="881" t="s">
        <v>41568</v>
      </c>
    </row>
    <row r="2638" spans="1:4" ht="13.5" x14ac:dyDescent="0.25">
      <c r="A2638" s="878" t="s">
        <v>8518</v>
      </c>
      <c r="B2638" s="878" t="s">
        <v>8519</v>
      </c>
      <c r="C2638" s="879" t="s">
        <v>227</v>
      </c>
      <c r="D2638" s="881" t="s">
        <v>41569</v>
      </c>
    </row>
    <row r="2639" spans="1:4" ht="13.5" x14ac:dyDescent="0.25">
      <c r="A2639" s="878" t="s">
        <v>8520</v>
      </c>
      <c r="B2639" s="878" t="s">
        <v>8521</v>
      </c>
      <c r="C2639" s="879" t="s">
        <v>227</v>
      </c>
      <c r="D2639" s="880" t="s">
        <v>41528</v>
      </c>
    </row>
    <row r="2640" spans="1:4" ht="13.5" x14ac:dyDescent="0.25">
      <c r="A2640" s="878" t="s">
        <v>8522</v>
      </c>
      <c r="B2640" s="878" t="s">
        <v>8523</v>
      </c>
      <c r="C2640" s="879" t="s">
        <v>227</v>
      </c>
      <c r="D2640" s="880" t="s">
        <v>41570</v>
      </c>
    </row>
    <row r="2641" spans="1:4" ht="13.5" x14ac:dyDescent="0.25">
      <c r="A2641" s="878" t="s">
        <v>8524</v>
      </c>
      <c r="B2641" s="878" t="s">
        <v>8525</v>
      </c>
      <c r="C2641" s="879" t="s">
        <v>227</v>
      </c>
      <c r="D2641" s="880" t="s">
        <v>41571</v>
      </c>
    </row>
    <row r="2642" spans="1:4" ht="13.5" x14ac:dyDescent="0.25">
      <c r="A2642" s="878" t="s">
        <v>8526</v>
      </c>
      <c r="B2642" s="878" t="s">
        <v>8527</v>
      </c>
      <c r="C2642" s="879" t="s">
        <v>158</v>
      </c>
      <c r="D2642" s="880" t="s">
        <v>41572</v>
      </c>
    </row>
    <row r="2643" spans="1:4" ht="13.5" x14ac:dyDescent="0.25">
      <c r="A2643" s="878" t="s">
        <v>8528</v>
      </c>
      <c r="B2643" s="878" t="s">
        <v>8529</v>
      </c>
      <c r="C2643" s="879" t="s">
        <v>158</v>
      </c>
      <c r="D2643" s="880" t="s">
        <v>41573</v>
      </c>
    </row>
    <row r="2644" spans="1:4" ht="13.5" x14ac:dyDescent="0.25">
      <c r="A2644" s="878" t="s">
        <v>8530</v>
      </c>
      <c r="B2644" s="878" t="s">
        <v>8531</v>
      </c>
      <c r="C2644" s="879" t="s">
        <v>158</v>
      </c>
      <c r="D2644" s="880" t="s">
        <v>41574</v>
      </c>
    </row>
    <row r="2645" spans="1:4" ht="13.5" x14ac:dyDescent="0.25">
      <c r="A2645" s="878" t="s">
        <v>8532</v>
      </c>
      <c r="B2645" s="878" t="s">
        <v>8533</v>
      </c>
      <c r="C2645" s="879" t="s">
        <v>158</v>
      </c>
      <c r="D2645" s="880" t="s">
        <v>41575</v>
      </c>
    </row>
    <row r="2646" spans="1:4" ht="13.5" x14ac:dyDescent="0.25">
      <c r="A2646" s="878" t="s">
        <v>8534</v>
      </c>
      <c r="B2646" s="878" t="s">
        <v>8535</v>
      </c>
      <c r="C2646" s="879" t="s">
        <v>158</v>
      </c>
      <c r="D2646" s="880" t="s">
        <v>41576</v>
      </c>
    </row>
    <row r="2647" spans="1:4" ht="13.5" x14ac:dyDescent="0.25">
      <c r="A2647" s="878" t="s">
        <v>8536</v>
      </c>
      <c r="B2647" s="878" t="s">
        <v>8537</v>
      </c>
      <c r="C2647" s="879" t="s">
        <v>158</v>
      </c>
      <c r="D2647" s="880" t="s">
        <v>41577</v>
      </c>
    </row>
    <row r="2648" spans="1:4" ht="13.5" x14ac:dyDescent="0.25">
      <c r="A2648" s="878" t="s">
        <v>8538</v>
      </c>
      <c r="B2648" s="878" t="s">
        <v>8539</v>
      </c>
      <c r="C2648" s="879" t="s">
        <v>158</v>
      </c>
      <c r="D2648" s="880" t="s">
        <v>41578</v>
      </c>
    </row>
    <row r="2649" spans="1:4" ht="13.5" x14ac:dyDescent="0.25">
      <c r="A2649" s="878" t="s">
        <v>8540</v>
      </c>
      <c r="B2649" s="878" t="s">
        <v>8541</v>
      </c>
      <c r="C2649" s="879" t="s">
        <v>158</v>
      </c>
      <c r="D2649" s="880" t="s">
        <v>41579</v>
      </c>
    </row>
    <row r="2650" spans="1:4" ht="13.5" x14ac:dyDescent="0.25">
      <c r="A2650" s="878" t="s">
        <v>8542</v>
      </c>
      <c r="B2650" s="878" t="s">
        <v>8543</v>
      </c>
      <c r="C2650" s="879" t="s">
        <v>158</v>
      </c>
      <c r="D2650" s="880" t="s">
        <v>41580</v>
      </c>
    </row>
    <row r="2651" spans="1:4" ht="13.5" x14ac:dyDescent="0.25">
      <c r="A2651" s="878" t="s">
        <v>8544</v>
      </c>
      <c r="B2651" s="878" t="s">
        <v>8545</v>
      </c>
      <c r="C2651" s="879" t="s">
        <v>158</v>
      </c>
      <c r="D2651" s="880" t="s">
        <v>41581</v>
      </c>
    </row>
    <row r="2652" spans="1:4" ht="13.5" x14ac:dyDescent="0.25">
      <c r="A2652" s="878" t="s">
        <v>8546</v>
      </c>
      <c r="B2652" s="878" t="s">
        <v>8547</v>
      </c>
      <c r="C2652" s="879" t="s">
        <v>158</v>
      </c>
      <c r="D2652" s="880" t="s">
        <v>41582</v>
      </c>
    </row>
    <row r="2653" spans="1:4" ht="13.5" x14ac:dyDescent="0.25">
      <c r="A2653" s="878" t="s">
        <v>8548</v>
      </c>
      <c r="B2653" s="878" t="s">
        <v>8549</v>
      </c>
      <c r="C2653" s="879" t="s">
        <v>6008</v>
      </c>
      <c r="D2653" s="880" t="s">
        <v>41485</v>
      </c>
    </row>
    <row r="2654" spans="1:4" ht="13.5" x14ac:dyDescent="0.25">
      <c r="A2654" s="878" t="s">
        <v>8551</v>
      </c>
      <c r="B2654" s="878" t="s">
        <v>30005</v>
      </c>
      <c r="C2654" s="879" t="s">
        <v>6008</v>
      </c>
      <c r="D2654" s="880" t="s">
        <v>41583</v>
      </c>
    </row>
    <row r="2655" spans="1:4" ht="13.5" x14ac:dyDescent="0.25">
      <c r="A2655" s="878" t="s">
        <v>8552</v>
      </c>
      <c r="B2655" s="878" t="s">
        <v>8553</v>
      </c>
      <c r="C2655" s="879" t="s">
        <v>6008</v>
      </c>
      <c r="D2655" s="880" t="s">
        <v>41584</v>
      </c>
    </row>
    <row r="2656" spans="1:4" ht="13.5" x14ac:dyDescent="0.25">
      <c r="A2656" s="878" t="s">
        <v>8554</v>
      </c>
      <c r="B2656" s="878" t="s">
        <v>8555</v>
      </c>
      <c r="C2656" s="879" t="s">
        <v>6008</v>
      </c>
      <c r="D2656" s="880" t="s">
        <v>41585</v>
      </c>
    </row>
    <row r="2657" spans="1:4" ht="13.5" x14ac:dyDescent="0.25">
      <c r="A2657" s="878" t="s">
        <v>8556</v>
      </c>
      <c r="B2657" s="878" t="s">
        <v>8557</v>
      </c>
      <c r="C2657" s="879" t="s">
        <v>6008</v>
      </c>
      <c r="D2657" s="880" t="s">
        <v>31037</v>
      </c>
    </row>
    <row r="2658" spans="1:4" ht="13.5" x14ac:dyDescent="0.25">
      <c r="A2658" s="878" t="s">
        <v>8558</v>
      </c>
      <c r="B2658" s="878" t="s">
        <v>30006</v>
      </c>
      <c r="C2658" s="879" t="s">
        <v>6008</v>
      </c>
      <c r="D2658" s="880" t="s">
        <v>41586</v>
      </c>
    </row>
    <row r="2659" spans="1:4" ht="13.5" x14ac:dyDescent="0.25">
      <c r="A2659" s="878" t="s">
        <v>8559</v>
      </c>
      <c r="B2659" s="878" t="s">
        <v>8560</v>
      </c>
      <c r="C2659" s="879" t="s">
        <v>6008</v>
      </c>
      <c r="D2659" s="880" t="s">
        <v>41587</v>
      </c>
    </row>
    <row r="2660" spans="1:4" ht="13.5" x14ac:dyDescent="0.25">
      <c r="A2660" s="878" t="s">
        <v>8561</v>
      </c>
      <c r="B2660" s="878" t="s">
        <v>30007</v>
      </c>
      <c r="C2660" s="879" t="s">
        <v>6008</v>
      </c>
      <c r="D2660" s="880" t="s">
        <v>11205</v>
      </c>
    </row>
    <row r="2661" spans="1:4" ht="13.5" x14ac:dyDescent="0.25">
      <c r="A2661" s="878" t="s">
        <v>8562</v>
      </c>
      <c r="B2661" s="878" t="s">
        <v>8563</v>
      </c>
      <c r="C2661" s="879" t="s">
        <v>6008</v>
      </c>
      <c r="D2661" s="880" t="s">
        <v>41588</v>
      </c>
    </row>
    <row r="2662" spans="1:4" ht="13.5" x14ac:dyDescent="0.25">
      <c r="A2662" s="878" t="s">
        <v>8564</v>
      </c>
      <c r="B2662" s="878" t="s">
        <v>30008</v>
      </c>
      <c r="C2662" s="879" t="s">
        <v>6008</v>
      </c>
      <c r="D2662" s="880" t="s">
        <v>30693</v>
      </c>
    </row>
    <row r="2663" spans="1:4" ht="13.5" x14ac:dyDescent="0.25">
      <c r="A2663" s="878" t="s">
        <v>8565</v>
      </c>
      <c r="B2663" s="878" t="s">
        <v>8566</v>
      </c>
      <c r="C2663" s="879" t="s">
        <v>6008</v>
      </c>
      <c r="D2663" s="880" t="s">
        <v>41589</v>
      </c>
    </row>
    <row r="2664" spans="1:4" ht="13.5" x14ac:dyDescent="0.25">
      <c r="A2664" s="878" t="s">
        <v>8567</v>
      </c>
      <c r="B2664" s="878" t="s">
        <v>8568</v>
      </c>
      <c r="C2664" s="879" t="s">
        <v>6008</v>
      </c>
      <c r="D2664" s="880" t="s">
        <v>14498</v>
      </c>
    </row>
    <row r="2665" spans="1:4" ht="13.5" x14ac:dyDescent="0.25">
      <c r="A2665" s="878" t="s">
        <v>8570</v>
      </c>
      <c r="B2665" s="878" t="s">
        <v>8571</v>
      </c>
      <c r="C2665" s="879" t="s">
        <v>6008</v>
      </c>
      <c r="D2665" s="880" t="s">
        <v>7493</v>
      </c>
    </row>
    <row r="2666" spans="1:4" ht="13.5" x14ac:dyDescent="0.25">
      <c r="A2666" s="878" t="s">
        <v>8572</v>
      </c>
      <c r="B2666" s="878" t="s">
        <v>8573</v>
      </c>
      <c r="C2666" s="879" t="s">
        <v>6008</v>
      </c>
      <c r="D2666" s="880" t="s">
        <v>30647</v>
      </c>
    </row>
    <row r="2667" spans="1:4" ht="13.5" x14ac:dyDescent="0.25">
      <c r="A2667" s="878" t="s">
        <v>8574</v>
      </c>
      <c r="B2667" s="878" t="s">
        <v>8575</v>
      </c>
      <c r="C2667" s="879" t="s">
        <v>6008</v>
      </c>
      <c r="D2667" s="880" t="s">
        <v>31110</v>
      </c>
    </row>
    <row r="2668" spans="1:4" ht="13.5" x14ac:dyDescent="0.25">
      <c r="A2668" s="878" t="s">
        <v>8576</v>
      </c>
      <c r="B2668" s="878" t="s">
        <v>8577</v>
      </c>
      <c r="C2668" s="879" t="s">
        <v>6008</v>
      </c>
      <c r="D2668" s="880" t="s">
        <v>30676</v>
      </c>
    </row>
    <row r="2669" spans="1:4" ht="13.5" x14ac:dyDescent="0.25">
      <c r="A2669" s="878" t="s">
        <v>8579</v>
      </c>
      <c r="B2669" s="878" t="s">
        <v>8580</v>
      </c>
      <c r="C2669" s="879" t="s">
        <v>227</v>
      </c>
      <c r="D2669" s="880" t="s">
        <v>41590</v>
      </c>
    </row>
    <row r="2670" spans="1:4" ht="13.5" x14ac:dyDescent="0.25">
      <c r="A2670" s="878" t="s">
        <v>8581</v>
      </c>
      <c r="B2670" s="878" t="s">
        <v>8582</v>
      </c>
      <c r="C2670" s="879" t="s">
        <v>227</v>
      </c>
      <c r="D2670" s="880" t="s">
        <v>41591</v>
      </c>
    </row>
    <row r="2671" spans="1:4" ht="13.5" x14ac:dyDescent="0.25">
      <c r="A2671" s="878" t="s">
        <v>8583</v>
      </c>
      <c r="B2671" s="878" t="s">
        <v>8584</v>
      </c>
      <c r="C2671" s="879" t="s">
        <v>6008</v>
      </c>
      <c r="D2671" s="880" t="s">
        <v>31170</v>
      </c>
    </row>
    <row r="2672" spans="1:4" ht="13.5" x14ac:dyDescent="0.25">
      <c r="A2672" s="878" t="s">
        <v>8586</v>
      </c>
      <c r="B2672" s="878" t="s">
        <v>8587</v>
      </c>
      <c r="C2672" s="879" t="s">
        <v>159</v>
      </c>
      <c r="D2672" s="880" t="s">
        <v>30632</v>
      </c>
    </row>
    <row r="2673" spans="1:4" ht="13.5" x14ac:dyDescent="0.25">
      <c r="A2673" s="878" t="s">
        <v>8588</v>
      </c>
      <c r="B2673" s="878" t="s">
        <v>8589</v>
      </c>
      <c r="C2673" s="879" t="s">
        <v>159</v>
      </c>
      <c r="D2673" s="880" t="s">
        <v>41592</v>
      </c>
    </row>
    <row r="2674" spans="1:4" ht="13.5" x14ac:dyDescent="0.25">
      <c r="A2674" s="878" t="s">
        <v>8590</v>
      </c>
      <c r="B2674" s="878" t="s">
        <v>8591</v>
      </c>
      <c r="C2674" s="879" t="s">
        <v>159</v>
      </c>
      <c r="D2674" s="880" t="s">
        <v>41593</v>
      </c>
    </row>
    <row r="2675" spans="1:4" ht="13.5" x14ac:dyDescent="0.25">
      <c r="A2675" s="878" t="s">
        <v>8592</v>
      </c>
      <c r="B2675" s="878" t="s">
        <v>8593</v>
      </c>
      <c r="C2675" s="879" t="s">
        <v>159</v>
      </c>
      <c r="D2675" s="880" t="s">
        <v>41594</v>
      </c>
    </row>
    <row r="2676" spans="1:4" ht="13.5" x14ac:dyDescent="0.25">
      <c r="A2676" s="878" t="s">
        <v>8594</v>
      </c>
      <c r="B2676" s="878" t="s">
        <v>8595</v>
      </c>
      <c r="C2676" s="879" t="s">
        <v>159</v>
      </c>
      <c r="D2676" s="880" t="s">
        <v>41595</v>
      </c>
    </row>
    <row r="2677" spans="1:4" ht="13.5" x14ac:dyDescent="0.25">
      <c r="A2677" s="878" t="s">
        <v>8596</v>
      </c>
      <c r="B2677" s="878" t="s">
        <v>8597</v>
      </c>
      <c r="C2677" s="879" t="s">
        <v>159</v>
      </c>
      <c r="D2677" s="880" t="s">
        <v>41596</v>
      </c>
    </row>
    <row r="2678" spans="1:4" ht="13.5" x14ac:dyDescent="0.25">
      <c r="A2678" s="878" t="s">
        <v>8598</v>
      </c>
      <c r="B2678" s="878" t="s">
        <v>8599</v>
      </c>
      <c r="C2678" s="879" t="s">
        <v>159</v>
      </c>
      <c r="D2678" s="880" t="s">
        <v>41593</v>
      </c>
    </row>
    <row r="2679" spans="1:4" ht="13.5" x14ac:dyDescent="0.25">
      <c r="A2679" s="878" t="s">
        <v>8600</v>
      </c>
      <c r="B2679" s="878" t="s">
        <v>8601</v>
      </c>
      <c r="C2679" s="879" t="s">
        <v>159</v>
      </c>
      <c r="D2679" s="880" t="s">
        <v>41597</v>
      </c>
    </row>
    <row r="2680" spans="1:4" ht="13.5" x14ac:dyDescent="0.25">
      <c r="A2680" s="878" t="s">
        <v>8602</v>
      </c>
      <c r="B2680" s="878" t="s">
        <v>8603</v>
      </c>
      <c r="C2680" s="879" t="s">
        <v>159</v>
      </c>
      <c r="D2680" s="880" t="s">
        <v>41598</v>
      </c>
    </row>
    <row r="2681" spans="1:4" ht="13.5" x14ac:dyDescent="0.25">
      <c r="A2681" s="878" t="s">
        <v>8604</v>
      </c>
      <c r="B2681" s="878" t="s">
        <v>8605</v>
      </c>
      <c r="C2681" s="879" t="s">
        <v>159</v>
      </c>
      <c r="D2681" s="880" t="s">
        <v>41599</v>
      </c>
    </row>
    <row r="2682" spans="1:4" ht="13.5" x14ac:dyDescent="0.25">
      <c r="A2682" s="878" t="s">
        <v>8606</v>
      </c>
      <c r="B2682" s="878" t="s">
        <v>8607</v>
      </c>
      <c r="C2682" s="879" t="s">
        <v>159</v>
      </c>
      <c r="D2682" s="880" t="s">
        <v>41600</v>
      </c>
    </row>
    <row r="2683" spans="1:4" ht="13.5" x14ac:dyDescent="0.25">
      <c r="A2683" s="878" t="s">
        <v>8608</v>
      </c>
      <c r="B2683" s="878" t="s">
        <v>8609</v>
      </c>
      <c r="C2683" s="879" t="s">
        <v>159</v>
      </c>
      <c r="D2683" s="880" t="s">
        <v>41601</v>
      </c>
    </row>
    <row r="2684" spans="1:4" ht="13.5" x14ac:dyDescent="0.25">
      <c r="A2684" s="878" t="s">
        <v>8610</v>
      </c>
      <c r="B2684" s="878" t="s">
        <v>8611</v>
      </c>
      <c r="C2684" s="879" t="s">
        <v>6008</v>
      </c>
      <c r="D2684" s="880" t="s">
        <v>11215</v>
      </c>
    </row>
    <row r="2685" spans="1:4" ht="13.5" x14ac:dyDescent="0.25">
      <c r="A2685" s="878" t="s">
        <v>8612</v>
      </c>
      <c r="B2685" s="878" t="s">
        <v>8613</v>
      </c>
      <c r="C2685" s="879" t="s">
        <v>6008</v>
      </c>
      <c r="D2685" s="880" t="s">
        <v>41602</v>
      </c>
    </row>
    <row r="2686" spans="1:4" ht="13.5" x14ac:dyDescent="0.25">
      <c r="A2686" s="878" t="s">
        <v>8614</v>
      </c>
      <c r="B2686" s="878" t="s">
        <v>8615</v>
      </c>
      <c r="C2686" s="879" t="s">
        <v>6008</v>
      </c>
      <c r="D2686" s="880" t="s">
        <v>41603</v>
      </c>
    </row>
    <row r="2687" spans="1:4" ht="13.5" x14ac:dyDescent="0.25">
      <c r="A2687" s="878" t="s">
        <v>8616</v>
      </c>
      <c r="B2687" s="878" t="s">
        <v>8617</v>
      </c>
      <c r="C2687" s="879" t="s">
        <v>6008</v>
      </c>
      <c r="D2687" s="880" t="s">
        <v>41604</v>
      </c>
    </row>
    <row r="2688" spans="1:4" ht="13.5" x14ac:dyDescent="0.25">
      <c r="A2688" s="878" t="s">
        <v>8618</v>
      </c>
      <c r="B2688" s="878" t="s">
        <v>8619</v>
      </c>
      <c r="C2688" s="879" t="s">
        <v>6008</v>
      </c>
      <c r="D2688" s="880" t="s">
        <v>41605</v>
      </c>
    </row>
    <row r="2689" spans="1:4" ht="13.5" x14ac:dyDescent="0.25">
      <c r="A2689" s="878" t="s">
        <v>8620</v>
      </c>
      <c r="B2689" s="878" t="s">
        <v>8621</v>
      </c>
      <c r="C2689" s="879" t="s">
        <v>6008</v>
      </c>
      <c r="D2689" s="880" t="s">
        <v>41606</v>
      </c>
    </row>
    <row r="2690" spans="1:4" ht="13.5" x14ac:dyDescent="0.25">
      <c r="A2690" s="878" t="s">
        <v>8623</v>
      </c>
      <c r="B2690" s="878" t="s">
        <v>8624</v>
      </c>
      <c r="C2690" s="879" t="s">
        <v>6008</v>
      </c>
      <c r="D2690" s="880" t="s">
        <v>41607</v>
      </c>
    </row>
    <row r="2691" spans="1:4" ht="13.5" x14ac:dyDescent="0.25">
      <c r="A2691" s="878" t="s">
        <v>8626</v>
      </c>
      <c r="B2691" s="878" t="s">
        <v>8627</v>
      </c>
      <c r="C2691" s="879" t="s">
        <v>159</v>
      </c>
      <c r="D2691" s="880" t="s">
        <v>41608</v>
      </c>
    </row>
    <row r="2692" spans="1:4" ht="13.5" x14ac:dyDescent="0.25">
      <c r="A2692" s="878" t="s">
        <v>8628</v>
      </c>
      <c r="B2692" s="878" t="s">
        <v>8629</v>
      </c>
      <c r="C2692" s="879" t="s">
        <v>159</v>
      </c>
      <c r="D2692" s="880" t="s">
        <v>41609</v>
      </c>
    </row>
    <row r="2693" spans="1:4" ht="13.5" x14ac:dyDescent="0.25">
      <c r="A2693" s="878" t="s">
        <v>8630</v>
      </c>
      <c r="B2693" s="878" t="s">
        <v>8631</v>
      </c>
      <c r="C2693" s="879" t="s">
        <v>159</v>
      </c>
      <c r="D2693" s="880" t="s">
        <v>41610</v>
      </c>
    </row>
    <row r="2694" spans="1:4" ht="13.5" x14ac:dyDescent="0.25">
      <c r="A2694" s="878" t="s">
        <v>8632</v>
      </c>
      <c r="B2694" s="878" t="s">
        <v>8633</v>
      </c>
      <c r="C2694" s="879" t="s">
        <v>159</v>
      </c>
      <c r="D2694" s="880" t="s">
        <v>41611</v>
      </c>
    </row>
    <row r="2695" spans="1:4" ht="13.5" x14ac:dyDescent="0.25">
      <c r="A2695" s="878" t="s">
        <v>8634</v>
      </c>
      <c r="B2695" s="878" t="s">
        <v>8635</v>
      </c>
      <c r="C2695" s="879" t="s">
        <v>159</v>
      </c>
      <c r="D2695" s="880" t="s">
        <v>41612</v>
      </c>
    </row>
    <row r="2696" spans="1:4" ht="13.5" x14ac:dyDescent="0.25">
      <c r="A2696" s="878" t="s">
        <v>8636</v>
      </c>
      <c r="B2696" s="878" t="s">
        <v>8637</v>
      </c>
      <c r="C2696" s="879" t="s">
        <v>159</v>
      </c>
      <c r="D2696" s="880" t="s">
        <v>41613</v>
      </c>
    </row>
    <row r="2697" spans="1:4" ht="13.5" x14ac:dyDescent="0.25">
      <c r="A2697" s="878" t="s">
        <v>8638</v>
      </c>
      <c r="B2697" s="878" t="s">
        <v>8639</v>
      </c>
      <c r="C2697" s="879" t="s">
        <v>159</v>
      </c>
      <c r="D2697" s="880" t="s">
        <v>41614</v>
      </c>
    </row>
    <row r="2698" spans="1:4" ht="13.5" x14ac:dyDescent="0.25">
      <c r="A2698" s="878" t="s">
        <v>8640</v>
      </c>
      <c r="B2698" s="878" t="s">
        <v>8641</v>
      </c>
      <c r="C2698" s="879" t="s">
        <v>159</v>
      </c>
      <c r="D2698" s="880" t="s">
        <v>41615</v>
      </c>
    </row>
    <row r="2699" spans="1:4" ht="13.5" x14ac:dyDescent="0.25">
      <c r="A2699" s="878" t="s">
        <v>8642</v>
      </c>
      <c r="B2699" s="878" t="s">
        <v>8643</v>
      </c>
      <c r="C2699" s="879" t="s">
        <v>227</v>
      </c>
      <c r="D2699" s="880" t="s">
        <v>41616</v>
      </c>
    </row>
    <row r="2700" spans="1:4" ht="13.5" x14ac:dyDescent="0.25">
      <c r="A2700" s="878" t="s">
        <v>8644</v>
      </c>
      <c r="B2700" s="878" t="s">
        <v>8645</v>
      </c>
      <c r="C2700" s="879" t="s">
        <v>227</v>
      </c>
      <c r="D2700" s="880" t="s">
        <v>12397</v>
      </c>
    </row>
    <row r="2701" spans="1:4" ht="13.5" x14ac:dyDescent="0.25">
      <c r="A2701" s="878" t="s">
        <v>8646</v>
      </c>
      <c r="B2701" s="878" t="s">
        <v>8647</v>
      </c>
      <c r="C2701" s="879" t="s">
        <v>227</v>
      </c>
      <c r="D2701" s="880" t="s">
        <v>41617</v>
      </c>
    </row>
    <row r="2702" spans="1:4" ht="13.5" x14ac:dyDescent="0.25">
      <c r="A2702" s="878" t="s">
        <v>8649</v>
      </c>
      <c r="B2702" s="878" t="s">
        <v>8650</v>
      </c>
      <c r="C2702" s="879" t="s">
        <v>227</v>
      </c>
      <c r="D2702" s="880" t="s">
        <v>41618</v>
      </c>
    </row>
    <row r="2703" spans="1:4" ht="13.5" x14ac:dyDescent="0.25">
      <c r="A2703" s="878" t="s">
        <v>8652</v>
      </c>
      <c r="B2703" s="878" t="s">
        <v>8653</v>
      </c>
      <c r="C2703" s="879" t="s">
        <v>227</v>
      </c>
      <c r="D2703" s="880" t="s">
        <v>41619</v>
      </c>
    </row>
    <row r="2704" spans="1:4" ht="13.5" x14ac:dyDescent="0.25">
      <c r="A2704" s="878" t="s">
        <v>8654</v>
      </c>
      <c r="B2704" s="878" t="s">
        <v>8655</v>
      </c>
      <c r="C2704" s="879" t="s">
        <v>226</v>
      </c>
      <c r="D2704" s="880" t="s">
        <v>30641</v>
      </c>
    </row>
    <row r="2705" spans="1:4" ht="13.5" x14ac:dyDescent="0.25">
      <c r="A2705" s="878" t="s">
        <v>8656</v>
      </c>
      <c r="B2705" s="878" t="s">
        <v>8657</v>
      </c>
      <c r="C2705" s="879" t="s">
        <v>158</v>
      </c>
      <c r="D2705" s="880" t="s">
        <v>16890</v>
      </c>
    </row>
    <row r="2706" spans="1:4" ht="13.5" x14ac:dyDescent="0.25">
      <c r="A2706" s="878" t="s">
        <v>8659</v>
      </c>
      <c r="B2706" s="878" t="s">
        <v>8660</v>
      </c>
      <c r="C2706" s="879" t="s">
        <v>227</v>
      </c>
      <c r="D2706" s="880" t="s">
        <v>40770</v>
      </c>
    </row>
    <row r="2707" spans="1:4" ht="13.5" x14ac:dyDescent="0.25">
      <c r="A2707" s="878" t="s">
        <v>8661</v>
      </c>
      <c r="B2707" s="878" t="s">
        <v>8662</v>
      </c>
      <c r="C2707" s="879" t="s">
        <v>227</v>
      </c>
      <c r="D2707" s="880" t="s">
        <v>41620</v>
      </c>
    </row>
    <row r="2708" spans="1:4" ht="13.5" x14ac:dyDescent="0.25">
      <c r="A2708" s="878" t="s">
        <v>8663</v>
      </c>
      <c r="B2708" s="878" t="s">
        <v>8664</v>
      </c>
      <c r="C2708" s="879" t="s">
        <v>227</v>
      </c>
      <c r="D2708" s="880" t="s">
        <v>41621</v>
      </c>
    </row>
    <row r="2709" spans="1:4" ht="13.5" x14ac:dyDescent="0.25">
      <c r="A2709" s="878" t="s">
        <v>8665</v>
      </c>
      <c r="B2709" s="878" t="s">
        <v>8666</v>
      </c>
      <c r="C2709" s="879" t="s">
        <v>227</v>
      </c>
      <c r="D2709" s="880" t="s">
        <v>17587</v>
      </c>
    </row>
    <row r="2710" spans="1:4" ht="13.5" x14ac:dyDescent="0.25">
      <c r="A2710" s="878" t="s">
        <v>8667</v>
      </c>
      <c r="B2710" s="878" t="s">
        <v>8668</v>
      </c>
      <c r="C2710" s="879" t="s">
        <v>227</v>
      </c>
      <c r="D2710" s="880" t="s">
        <v>30634</v>
      </c>
    </row>
    <row r="2711" spans="1:4" ht="13.5" x14ac:dyDescent="0.25">
      <c r="A2711" s="878" t="s">
        <v>8669</v>
      </c>
      <c r="B2711" s="878" t="s">
        <v>8670</v>
      </c>
      <c r="C2711" s="879" t="s">
        <v>227</v>
      </c>
      <c r="D2711" s="880" t="s">
        <v>41622</v>
      </c>
    </row>
    <row r="2712" spans="1:4" ht="13.5" x14ac:dyDescent="0.25">
      <c r="A2712" s="878" t="s">
        <v>8671</v>
      </c>
      <c r="B2712" s="878" t="s">
        <v>8672</v>
      </c>
      <c r="C2712" s="879" t="s">
        <v>227</v>
      </c>
      <c r="D2712" s="880" t="s">
        <v>41623</v>
      </c>
    </row>
    <row r="2713" spans="1:4" ht="13.5" x14ac:dyDescent="0.25">
      <c r="A2713" s="878" t="s">
        <v>8673</v>
      </c>
      <c r="B2713" s="878" t="s">
        <v>8674</v>
      </c>
      <c r="C2713" s="879" t="s">
        <v>227</v>
      </c>
      <c r="D2713" s="880" t="s">
        <v>41624</v>
      </c>
    </row>
    <row r="2714" spans="1:4" ht="13.5" x14ac:dyDescent="0.25">
      <c r="A2714" s="878" t="s">
        <v>8675</v>
      </c>
      <c r="B2714" s="878" t="s">
        <v>8676</v>
      </c>
      <c r="C2714" s="879" t="s">
        <v>227</v>
      </c>
      <c r="D2714" s="880" t="s">
        <v>41625</v>
      </c>
    </row>
    <row r="2715" spans="1:4" ht="13.5" x14ac:dyDescent="0.25">
      <c r="A2715" s="878" t="s">
        <v>8677</v>
      </c>
      <c r="B2715" s="878" t="s">
        <v>8678</v>
      </c>
      <c r="C2715" s="879" t="s">
        <v>227</v>
      </c>
      <c r="D2715" s="880" t="s">
        <v>31330</v>
      </c>
    </row>
    <row r="2716" spans="1:4" ht="13.5" x14ac:dyDescent="0.25">
      <c r="A2716" s="878" t="s">
        <v>8679</v>
      </c>
      <c r="B2716" s="878" t="s">
        <v>8680</v>
      </c>
      <c r="C2716" s="879" t="s">
        <v>227</v>
      </c>
      <c r="D2716" s="880" t="s">
        <v>41626</v>
      </c>
    </row>
    <row r="2717" spans="1:4" ht="13.5" x14ac:dyDescent="0.25">
      <c r="A2717" s="878" t="s">
        <v>8681</v>
      </c>
      <c r="B2717" s="878" t="s">
        <v>8682</v>
      </c>
      <c r="C2717" s="879" t="s">
        <v>227</v>
      </c>
      <c r="D2717" s="880" t="s">
        <v>41627</v>
      </c>
    </row>
    <row r="2718" spans="1:4" ht="13.5" x14ac:dyDescent="0.25">
      <c r="A2718" s="878" t="s">
        <v>8683</v>
      </c>
      <c r="B2718" s="878" t="s">
        <v>8684</v>
      </c>
      <c r="C2718" s="879" t="s">
        <v>227</v>
      </c>
      <c r="D2718" s="880" t="s">
        <v>41628</v>
      </c>
    </row>
    <row r="2719" spans="1:4" ht="13.5" x14ac:dyDescent="0.25">
      <c r="A2719" s="878" t="s">
        <v>8685</v>
      </c>
      <c r="B2719" s="878" t="s">
        <v>8686</v>
      </c>
      <c r="C2719" s="879" t="s">
        <v>227</v>
      </c>
      <c r="D2719" s="880" t="s">
        <v>15728</v>
      </c>
    </row>
    <row r="2720" spans="1:4" ht="13.5" x14ac:dyDescent="0.25">
      <c r="A2720" s="878" t="s">
        <v>8687</v>
      </c>
      <c r="B2720" s="878" t="s">
        <v>8688</v>
      </c>
      <c r="C2720" s="879" t="s">
        <v>227</v>
      </c>
      <c r="D2720" s="880" t="s">
        <v>10418</v>
      </c>
    </row>
    <row r="2721" spans="1:4" ht="13.5" x14ac:dyDescent="0.25">
      <c r="A2721" s="878" t="s">
        <v>8689</v>
      </c>
      <c r="B2721" s="878" t="s">
        <v>8690</v>
      </c>
      <c r="C2721" s="879" t="s">
        <v>227</v>
      </c>
      <c r="D2721" s="880" t="s">
        <v>41629</v>
      </c>
    </row>
    <row r="2722" spans="1:4" ht="13.5" x14ac:dyDescent="0.25">
      <c r="A2722" s="878" t="s">
        <v>8691</v>
      </c>
      <c r="B2722" s="878" t="s">
        <v>39764</v>
      </c>
      <c r="C2722" s="879" t="s">
        <v>158</v>
      </c>
      <c r="D2722" s="880" t="s">
        <v>41630</v>
      </c>
    </row>
    <row r="2723" spans="1:4" ht="13.5" x14ac:dyDescent="0.25">
      <c r="A2723" s="878" t="s">
        <v>8693</v>
      </c>
      <c r="B2723" s="878" t="s">
        <v>39765</v>
      </c>
      <c r="C2723" s="879" t="s">
        <v>158</v>
      </c>
      <c r="D2723" s="880" t="s">
        <v>30814</v>
      </c>
    </row>
    <row r="2724" spans="1:4" ht="13.5" x14ac:dyDescent="0.25">
      <c r="A2724" s="878" t="s">
        <v>8694</v>
      </c>
      <c r="B2724" s="878" t="s">
        <v>39766</v>
      </c>
      <c r="C2724" s="879" t="s">
        <v>158</v>
      </c>
      <c r="D2724" s="880" t="s">
        <v>41631</v>
      </c>
    </row>
    <row r="2725" spans="1:4" ht="13.5" x14ac:dyDescent="0.25">
      <c r="A2725" s="878" t="s">
        <v>8695</v>
      </c>
      <c r="B2725" s="878" t="s">
        <v>39767</v>
      </c>
      <c r="C2725" s="879" t="s">
        <v>158</v>
      </c>
      <c r="D2725" s="880" t="s">
        <v>11382</v>
      </c>
    </row>
    <row r="2726" spans="1:4" ht="13.5" x14ac:dyDescent="0.25">
      <c r="A2726" s="878" t="s">
        <v>8696</v>
      </c>
      <c r="B2726" s="878" t="s">
        <v>39768</v>
      </c>
      <c r="C2726" s="879" t="s">
        <v>158</v>
      </c>
      <c r="D2726" s="880" t="s">
        <v>14253</v>
      </c>
    </row>
    <row r="2727" spans="1:4" ht="13.5" x14ac:dyDescent="0.25">
      <c r="A2727" s="878" t="s">
        <v>8697</v>
      </c>
      <c r="B2727" s="878" t="s">
        <v>39769</v>
      </c>
      <c r="C2727" s="879" t="s">
        <v>158</v>
      </c>
      <c r="D2727" s="880" t="s">
        <v>40610</v>
      </c>
    </row>
    <row r="2728" spans="1:4" ht="13.5" x14ac:dyDescent="0.25">
      <c r="A2728" s="878" t="s">
        <v>8698</v>
      </c>
      <c r="B2728" s="878" t="s">
        <v>39770</v>
      </c>
      <c r="C2728" s="879" t="s">
        <v>158</v>
      </c>
      <c r="D2728" s="880" t="s">
        <v>6342</v>
      </c>
    </row>
    <row r="2729" spans="1:4" ht="13.5" x14ac:dyDescent="0.25">
      <c r="A2729" s="878" t="s">
        <v>8699</v>
      </c>
      <c r="B2729" s="878" t="s">
        <v>39771</v>
      </c>
      <c r="C2729" s="879" t="s">
        <v>158</v>
      </c>
      <c r="D2729" s="880" t="s">
        <v>14113</v>
      </c>
    </row>
    <row r="2730" spans="1:4" ht="13.5" x14ac:dyDescent="0.25">
      <c r="A2730" s="878" t="s">
        <v>8700</v>
      </c>
      <c r="B2730" s="878" t="s">
        <v>39772</v>
      </c>
      <c r="C2730" s="879" t="s">
        <v>158</v>
      </c>
      <c r="D2730" s="880" t="s">
        <v>31092</v>
      </c>
    </row>
    <row r="2731" spans="1:4" ht="13.5" x14ac:dyDescent="0.25">
      <c r="A2731" s="878" t="s">
        <v>8701</v>
      </c>
      <c r="B2731" s="878" t="s">
        <v>39773</v>
      </c>
      <c r="C2731" s="879" t="s">
        <v>158</v>
      </c>
      <c r="D2731" s="880" t="s">
        <v>41632</v>
      </c>
    </row>
    <row r="2732" spans="1:4" ht="13.5" x14ac:dyDescent="0.25">
      <c r="A2732" s="878" t="s">
        <v>8702</v>
      </c>
      <c r="B2732" s="878" t="s">
        <v>39774</v>
      </c>
      <c r="C2732" s="879" t="s">
        <v>158</v>
      </c>
      <c r="D2732" s="880" t="s">
        <v>40486</v>
      </c>
    </row>
    <row r="2733" spans="1:4" ht="13.5" x14ac:dyDescent="0.25">
      <c r="A2733" s="878" t="s">
        <v>8703</v>
      </c>
      <c r="B2733" s="878" t="s">
        <v>39775</v>
      </c>
      <c r="C2733" s="879" t="s">
        <v>158</v>
      </c>
      <c r="D2733" s="880" t="s">
        <v>41633</v>
      </c>
    </row>
    <row r="2734" spans="1:4" ht="13.5" x14ac:dyDescent="0.25">
      <c r="A2734" s="878" t="s">
        <v>8704</v>
      </c>
      <c r="B2734" s="878" t="s">
        <v>39776</v>
      </c>
      <c r="C2734" s="879" t="s">
        <v>158</v>
      </c>
      <c r="D2734" s="880" t="s">
        <v>41634</v>
      </c>
    </row>
    <row r="2735" spans="1:4" ht="13.5" x14ac:dyDescent="0.25">
      <c r="A2735" s="878" t="s">
        <v>8705</v>
      </c>
      <c r="B2735" s="878" t="s">
        <v>39777</v>
      </c>
      <c r="C2735" s="879" t="s">
        <v>158</v>
      </c>
      <c r="D2735" s="880" t="s">
        <v>11254</v>
      </c>
    </row>
    <row r="2736" spans="1:4" ht="13.5" x14ac:dyDescent="0.25">
      <c r="A2736" s="878" t="s">
        <v>8707</v>
      </c>
      <c r="B2736" s="878" t="s">
        <v>39778</v>
      </c>
      <c r="C2736" s="879" t="s">
        <v>158</v>
      </c>
      <c r="D2736" s="880" t="s">
        <v>6843</v>
      </c>
    </row>
    <row r="2737" spans="1:4" ht="13.5" x14ac:dyDescent="0.25">
      <c r="A2737" s="878" t="s">
        <v>8709</v>
      </c>
      <c r="B2737" s="878" t="s">
        <v>39779</v>
      </c>
      <c r="C2737" s="879" t="s">
        <v>158</v>
      </c>
      <c r="D2737" s="880" t="s">
        <v>7203</v>
      </c>
    </row>
    <row r="2738" spans="1:4" ht="13.5" x14ac:dyDescent="0.25">
      <c r="A2738" s="878" t="s">
        <v>8710</v>
      </c>
      <c r="B2738" s="878" t="s">
        <v>39780</v>
      </c>
      <c r="C2738" s="879" t="s">
        <v>158</v>
      </c>
      <c r="D2738" s="880" t="s">
        <v>30567</v>
      </c>
    </row>
    <row r="2739" spans="1:4" ht="13.5" x14ac:dyDescent="0.25">
      <c r="A2739" s="878" t="s">
        <v>8712</v>
      </c>
      <c r="B2739" s="878" t="s">
        <v>39781</v>
      </c>
      <c r="C2739" s="879" t="s">
        <v>158</v>
      </c>
      <c r="D2739" s="880" t="s">
        <v>30566</v>
      </c>
    </row>
    <row r="2740" spans="1:4" ht="13.5" x14ac:dyDescent="0.25">
      <c r="A2740" s="878" t="s">
        <v>8713</v>
      </c>
      <c r="B2740" s="878" t="s">
        <v>39782</v>
      </c>
      <c r="C2740" s="879" t="s">
        <v>158</v>
      </c>
      <c r="D2740" s="880" t="s">
        <v>41635</v>
      </c>
    </row>
    <row r="2741" spans="1:4" ht="13.5" x14ac:dyDescent="0.25">
      <c r="A2741" s="878" t="s">
        <v>8714</v>
      </c>
      <c r="B2741" s="878" t="s">
        <v>39783</v>
      </c>
      <c r="C2741" s="879" t="s">
        <v>158</v>
      </c>
      <c r="D2741" s="880" t="s">
        <v>14507</v>
      </c>
    </row>
    <row r="2742" spans="1:4" ht="13.5" x14ac:dyDescent="0.25">
      <c r="A2742" s="878" t="s">
        <v>8716</v>
      </c>
      <c r="B2742" s="878" t="s">
        <v>39784</v>
      </c>
      <c r="C2742" s="879" t="s">
        <v>158</v>
      </c>
      <c r="D2742" s="880" t="s">
        <v>41456</v>
      </c>
    </row>
    <row r="2743" spans="1:4" ht="13.5" x14ac:dyDescent="0.25">
      <c r="A2743" s="878" t="s">
        <v>8717</v>
      </c>
      <c r="B2743" s="878" t="s">
        <v>39785</v>
      </c>
      <c r="C2743" s="879" t="s">
        <v>158</v>
      </c>
      <c r="D2743" s="880" t="s">
        <v>41636</v>
      </c>
    </row>
    <row r="2744" spans="1:4" ht="13.5" x14ac:dyDescent="0.25">
      <c r="A2744" s="878" t="s">
        <v>8718</v>
      </c>
      <c r="B2744" s="878" t="s">
        <v>39786</v>
      </c>
      <c r="C2744" s="879" t="s">
        <v>158</v>
      </c>
      <c r="D2744" s="880" t="s">
        <v>41637</v>
      </c>
    </row>
    <row r="2745" spans="1:4" ht="13.5" x14ac:dyDescent="0.25">
      <c r="A2745" s="878" t="s">
        <v>8719</v>
      </c>
      <c r="B2745" s="878" t="s">
        <v>39787</v>
      </c>
      <c r="C2745" s="879" t="s">
        <v>158</v>
      </c>
      <c r="D2745" s="880" t="s">
        <v>41638</v>
      </c>
    </row>
    <row r="2746" spans="1:4" ht="13.5" x14ac:dyDescent="0.25">
      <c r="A2746" s="878" t="s">
        <v>8720</v>
      </c>
      <c r="B2746" s="878" t="s">
        <v>39788</v>
      </c>
      <c r="C2746" s="879" t="s">
        <v>158</v>
      </c>
      <c r="D2746" s="880" t="s">
        <v>31183</v>
      </c>
    </row>
    <row r="2747" spans="1:4" ht="13.5" x14ac:dyDescent="0.25">
      <c r="A2747" s="878" t="s">
        <v>8721</v>
      </c>
      <c r="B2747" s="878" t="s">
        <v>39789</v>
      </c>
      <c r="C2747" s="879" t="s">
        <v>158</v>
      </c>
      <c r="D2747" s="880" t="s">
        <v>41639</v>
      </c>
    </row>
    <row r="2748" spans="1:4" ht="13.5" x14ac:dyDescent="0.25">
      <c r="A2748" s="878" t="s">
        <v>8722</v>
      </c>
      <c r="B2748" s="878" t="s">
        <v>39790</v>
      </c>
      <c r="C2748" s="879" t="s">
        <v>158</v>
      </c>
      <c r="D2748" s="880" t="s">
        <v>10883</v>
      </c>
    </row>
    <row r="2749" spans="1:4" ht="13.5" x14ac:dyDescent="0.25">
      <c r="A2749" s="878" t="s">
        <v>8723</v>
      </c>
      <c r="B2749" s="878" t="s">
        <v>39791</v>
      </c>
      <c r="C2749" s="879" t="s">
        <v>158</v>
      </c>
      <c r="D2749" s="880" t="s">
        <v>41640</v>
      </c>
    </row>
    <row r="2750" spans="1:4" ht="13.5" x14ac:dyDescent="0.25">
      <c r="A2750" s="878" t="s">
        <v>8724</v>
      </c>
      <c r="B2750" s="878" t="s">
        <v>39792</v>
      </c>
      <c r="C2750" s="879" t="s">
        <v>158</v>
      </c>
      <c r="D2750" s="880" t="s">
        <v>8885</v>
      </c>
    </row>
    <row r="2751" spans="1:4" ht="13.5" x14ac:dyDescent="0.25">
      <c r="A2751" s="878" t="s">
        <v>8725</v>
      </c>
      <c r="B2751" s="878" t="s">
        <v>39793</v>
      </c>
      <c r="C2751" s="879" t="s">
        <v>158</v>
      </c>
      <c r="D2751" s="880" t="s">
        <v>41641</v>
      </c>
    </row>
    <row r="2752" spans="1:4" ht="13.5" x14ac:dyDescent="0.25">
      <c r="A2752" s="878" t="s">
        <v>8726</v>
      </c>
      <c r="B2752" s="878" t="s">
        <v>39794</v>
      </c>
      <c r="C2752" s="879" t="s">
        <v>158</v>
      </c>
      <c r="D2752" s="880" t="s">
        <v>41642</v>
      </c>
    </row>
    <row r="2753" spans="1:4" ht="13.5" x14ac:dyDescent="0.25">
      <c r="A2753" s="878" t="s">
        <v>8728</v>
      </c>
      <c r="B2753" s="878" t="s">
        <v>39795</v>
      </c>
      <c r="C2753" s="879" t="s">
        <v>158</v>
      </c>
      <c r="D2753" s="880" t="s">
        <v>11431</v>
      </c>
    </row>
    <row r="2754" spans="1:4" ht="13.5" x14ac:dyDescent="0.25">
      <c r="A2754" s="878" t="s">
        <v>8730</v>
      </c>
      <c r="B2754" s="878" t="s">
        <v>39796</v>
      </c>
      <c r="C2754" s="879" t="s">
        <v>158</v>
      </c>
      <c r="D2754" s="880" t="s">
        <v>30585</v>
      </c>
    </row>
    <row r="2755" spans="1:4" ht="13.5" x14ac:dyDescent="0.25">
      <c r="A2755" s="878" t="s">
        <v>8731</v>
      </c>
      <c r="B2755" s="878" t="s">
        <v>39797</v>
      </c>
      <c r="C2755" s="879" t="s">
        <v>158</v>
      </c>
      <c r="D2755" s="880" t="s">
        <v>10883</v>
      </c>
    </row>
    <row r="2756" spans="1:4" ht="13.5" x14ac:dyDescent="0.25">
      <c r="A2756" s="878" t="s">
        <v>8732</v>
      </c>
      <c r="B2756" s="878" t="s">
        <v>39798</v>
      </c>
      <c r="C2756" s="879" t="s">
        <v>158</v>
      </c>
      <c r="D2756" s="880" t="s">
        <v>18032</v>
      </c>
    </row>
    <row r="2757" spans="1:4" ht="13.5" x14ac:dyDescent="0.25">
      <c r="A2757" s="878" t="s">
        <v>8734</v>
      </c>
      <c r="B2757" s="878" t="s">
        <v>39799</v>
      </c>
      <c r="C2757" s="879" t="s">
        <v>158</v>
      </c>
      <c r="D2757" s="880" t="s">
        <v>41643</v>
      </c>
    </row>
    <row r="2758" spans="1:4" ht="13.5" x14ac:dyDescent="0.25">
      <c r="A2758" s="878" t="s">
        <v>8735</v>
      </c>
      <c r="B2758" s="878" t="s">
        <v>39800</v>
      </c>
      <c r="C2758" s="879" t="s">
        <v>158</v>
      </c>
      <c r="D2758" s="880" t="s">
        <v>41644</v>
      </c>
    </row>
    <row r="2759" spans="1:4" ht="13.5" x14ac:dyDescent="0.25">
      <c r="A2759" s="878" t="s">
        <v>8736</v>
      </c>
      <c r="B2759" s="878" t="s">
        <v>39801</v>
      </c>
      <c r="C2759" s="879" t="s">
        <v>158</v>
      </c>
      <c r="D2759" s="880" t="s">
        <v>41645</v>
      </c>
    </row>
    <row r="2760" spans="1:4" ht="13.5" x14ac:dyDescent="0.25">
      <c r="A2760" s="878" t="s">
        <v>8737</v>
      </c>
      <c r="B2760" s="878" t="s">
        <v>39802</v>
      </c>
      <c r="C2760" s="879" t="s">
        <v>158</v>
      </c>
      <c r="D2760" s="880" t="s">
        <v>30686</v>
      </c>
    </row>
    <row r="2761" spans="1:4" ht="13.5" x14ac:dyDescent="0.25">
      <c r="A2761" s="878" t="s">
        <v>8738</v>
      </c>
      <c r="B2761" s="878" t="s">
        <v>8739</v>
      </c>
      <c r="C2761" s="879" t="s">
        <v>158</v>
      </c>
      <c r="D2761" s="880" t="s">
        <v>41646</v>
      </c>
    </row>
    <row r="2762" spans="1:4" ht="13.5" x14ac:dyDescent="0.25">
      <c r="A2762" s="878" t="s">
        <v>8740</v>
      </c>
      <c r="B2762" s="878" t="s">
        <v>8741</v>
      </c>
      <c r="C2762" s="879" t="s">
        <v>158</v>
      </c>
      <c r="D2762" s="880" t="s">
        <v>41647</v>
      </c>
    </row>
    <row r="2763" spans="1:4" ht="13.5" x14ac:dyDescent="0.25">
      <c r="A2763" s="878" t="s">
        <v>8742</v>
      </c>
      <c r="B2763" s="878" t="s">
        <v>8743</v>
      </c>
      <c r="C2763" s="879" t="s">
        <v>158</v>
      </c>
      <c r="D2763" s="880" t="s">
        <v>41648</v>
      </c>
    </row>
    <row r="2764" spans="1:4" ht="13.5" x14ac:dyDescent="0.25">
      <c r="A2764" s="878" t="s">
        <v>8744</v>
      </c>
      <c r="B2764" s="878" t="s">
        <v>8745</v>
      </c>
      <c r="C2764" s="879" t="s">
        <v>158</v>
      </c>
      <c r="D2764" s="880" t="s">
        <v>31219</v>
      </c>
    </row>
    <row r="2765" spans="1:4" ht="13.5" x14ac:dyDescent="0.25">
      <c r="A2765" s="878" t="s">
        <v>8746</v>
      </c>
      <c r="B2765" s="878" t="s">
        <v>8747</v>
      </c>
      <c r="C2765" s="879" t="s">
        <v>158</v>
      </c>
      <c r="D2765" s="880" t="s">
        <v>41649</v>
      </c>
    </row>
    <row r="2766" spans="1:4" ht="13.5" x14ac:dyDescent="0.25">
      <c r="A2766" s="878" t="s">
        <v>8748</v>
      </c>
      <c r="B2766" s="878" t="s">
        <v>8749</v>
      </c>
      <c r="C2766" s="879" t="s">
        <v>158</v>
      </c>
      <c r="D2766" s="880" t="s">
        <v>41650</v>
      </c>
    </row>
    <row r="2767" spans="1:4" ht="13.5" x14ac:dyDescent="0.25">
      <c r="A2767" s="878" t="s">
        <v>8750</v>
      </c>
      <c r="B2767" s="878" t="s">
        <v>8751</v>
      </c>
      <c r="C2767" s="879" t="s">
        <v>158</v>
      </c>
      <c r="D2767" s="880" t="s">
        <v>14015</v>
      </c>
    </row>
    <row r="2768" spans="1:4" ht="13.5" x14ac:dyDescent="0.25">
      <c r="A2768" s="878" t="s">
        <v>8752</v>
      </c>
      <c r="B2768" s="878" t="s">
        <v>8753</v>
      </c>
      <c r="C2768" s="879" t="s">
        <v>158</v>
      </c>
      <c r="D2768" s="880" t="s">
        <v>31130</v>
      </c>
    </row>
    <row r="2769" spans="1:4" ht="13.5" x14ac:dyDescent="0.25">
      <c r="A2769" s="878" t="s">
        <v>8755</v>
      </c>
      <c r="B2769" s="878" t="s">
        <v>8756</v>
      </c>
      <c r="C2769" s="879" t="s">
        <v>158</v>
      </c>
      <c r="D2769" s="880" t="s">
        <v>41651</v>
      </c>
    </row>
    <row r="2770" spans="1:4" ht="13.5" x14ac:dyDescent="0.25">
      <c r="A2770" s="878" t="s">
        <v>8757</v>
      </c>
      <c r="B2770" s="878" t="s">
        <v>8758</v>
      </c>
      <c r="C2770" s="879" t="s">
        <v>158</v>
      </c>
      <c r="D2770" s="880" t="s">
        <v>41652</v>
      </c>
    </row>
    <row r="2771" spans="1:4" ht="13.5" x14ac:dyDescent="0.25">
      <c r="A2771" s="878" t="s">
        <v>8759</v>
      </c>
      <c r="B2771" s="878" t="s">
        <v>8760</v>
      </c>
      <c r="C2771" s="879" t="s">
        <v>158</v>
      </c>
      <c r="D2771" s="880" t="s">
        <v>41653</v>
      </c>
    </row>
    <row r="2772" spans="1:4" ht="13.5" x14ac:dyDescent="0.25">
      <c r="A2772" s="878" t="s">
        <v>8761</v>
      </c>
      <c r="B2772" s="878" t="s">
        <v>8762</v>
      </c>
      <c r="C2772" s="879" t="s">
        <v>158</v>
      </c>
      <c r="D2772" s="880" t="s">
        <v>10217</v>
      </c>
    </row>
    <row r="2773" spans="1:4" ht="13.5" x14ac:dyDescent="0.25">
      <c r="A2773" s="878" t="s">
        <v>8763</v>
      </c>
      <c r="B2773" s="878" t="s">
        <v>39803</v>
      </c>
      <c r="C2773" s="879" t="s">
        <v>226</v>
      </c>
      <c r="D2773" s="880" t="s">
        <v>10583</v>
      </c>
    </row>
    <row r="2774" spans="1:4" ht="13.5" x14ac:dyDescent="0.25">
      <c r="A2774" s="878" t="s">
        <v>8764</v>
      </c>
      <c r="B2774" s="878" t="s">
        <v>39804</v>
      </c>
      <c r="C2774" s="879" t="s">
        <v>226</v>
      </c>
      <c r="D2774" s="880" t="s">
        <v>41654</v>
      </c>
    </row>
    <row r="2775" spans="1:4" ht="13.5" x14ac:dyDescent="0.25">
      <c r="A2775" s="878" t="s">
        <v>8765</v>
      </c>
      <c r="B2775" s="878" t="s">
        <v>39805</v>
      </c>
      <c r="C2775" s="879" t="s">
        <v>226</v>
      </c>
      <c r="D2775" s="880" t="s">
        <v>41655</v>
      </c>
    </row>
    <row r="2776" spans="1:4" ht="13.5" x14ac:dyDescent="0.25">
      <c r="A2776" s="878" t="s">
        <v>8767</v>
      </c>
      <c r="B2776" s="878" t="s">
        <v>39806</v>
      </c>
      <c r="C2776" s="879" t="s">
        <v>226</v>
      </c>
      <c r="D2776" s="880" t="s">
        <v>41656</v>
      </c>
    </row>
    <row r="2777" spans="1:4" ht="13.5" x14ac:dyDescent="0.25">
      <c r="A2777" s="878" t="s">
        <v>8769</v>
      </c>
      <c r="B2777" s="878" t="s">
        <v>39807</v>
      </c>
      <c r="C2777" s="879" t="s">
        <v>226</v>
      </c>
      <c r="D2777" s="880" t="s">
        <v>40492</v>
      </c>
    </row>
    <row r="2778" spans="1:4" ht="13.5" x14ac:dyDescent="0.25">
      <c r="A2778" s="878" t="s">
        <v>8770</v>
      </c>
      <c r="B2778" s="878" t="s">
        <v>39808</v>
      </c>
      <c r="C2778" s="879" t="s">
        <v>226</v>
      </c>
      <c r="D2778" s="880" t="s">
        <v>41657</v>
      </c>
    </row>
    <row r="2779" spans="1:4" ht="13.5" x14ac:dyDescent="0.25">
      <c r="A2779" s="878" t="s">
        <v>8771</v>
      </c>
      <c r="B2779" s="878" t="s">
        <v>39809</v>
      </c>
      <c r="C2779" s="879" t="s">
        <v>226</v>
      </c>
      <c r="D2779" s="880" t="s">
        <v>3727</v>
      </c>
    </row>
    <row r="2780" spans="1:4" ht="13.5" x14ac:dyDescent="0.25">
      <c r="A2780" s="878" t="s">
        <v>8772</v>
      </c>
      <c r="B2780" s="878" t="s">
        <v>39810</v>
      </c>
      <c r="C2780" s="879" t="s">
        <v>226</v>
      </c>
      <c r="D2780" s="880" t="s">
        <v>6080</v>
      </c>
    </row>
    <row r="2781" spans="1:4" ht="13.5" x14ac:dyDescent="0.25">
      <c r="A2781" s="878" t="s">
        <v>8773</v>
      </c>
      <c r="B2781" s="878" t="s">
        <v>39811</v>
      </c>
      <c r="C2781" s="879" t="s">
        <v>226</v>
      </c>
      <c r="D2781" s="880" t="s">
        <v>12430</v>
      </c>
    </row>
    <row r="2782" spans="1:4" ht="13.5" x14ac:dyDescent="0.25">
      <c r="A2782" s="878" t="s">
        <v>8775</v>
      </c>
      <c r="B2782" s="878" t="s">
        <v>39812</v>
      </c>
      <c r="C2782" s="879" t="s">
        <v>226</v>
      </c>
      <c r="D2782" s="880" t="s">
        <v>14666</v>
      </c>
    </row>
    <row r="2783" spans="1:4" ht="13.5" x14ac:dyDescent="0.25">
      <c r="A2783" s="878" t="s">
        <v>8776</v>
      </c>
      <c r="B2783" s="878" t="s">
        <v>39813</v>
      </c>
      <c r="C2783" s="879" t="s">
        <v>226</v>
      </c>
      <c r="D2783" s="880" t="s">
        <v>41658</v>
      </c>
    </row>
    <row r="2784" spans="1:4" ht="13.5" x14ac:dyDescent="0.25">
      <c r="A2784" s="878" t="s">
        <v>8777</v>
      </c>
      <c r="B2784" s="878" t="s">
        <v>39814</v>
      </c>
      <c r="C2784" s="879" t="s">
        <v>226</v>
      </c>
      <c r="D2784" s="880" t="s">
        <v>41659</v>
      </c>
    </row>
    <row r="2785" spans="1:4" ht="13.5" x14ac:dyDescent="0.25">
      <c r="A2785" s="878" t="s">
        <v>8779</v>
      </c>
      <c r="B2785" s="878" t="s">
        <v>39815</v>
      </c>
      <c r="C2785" s="879" t="s">
        <v>226</v>
      </c>
      <c r="D2785" s="880" t="s">
        <v>41639</v>
      </c>
    </row>
    <row r="2786" spans="1:4" ht="13.5" x14ac:dyDescent="0.25">
      <c r="A2786" s="878" t="s">
        <v>8780</v>
      </c>
      <c r="B2786" s="878" t="s">
        <v>39816</v>
      </c>
      <c r="C2786" s="879" t="s">
        <v>226</v>
      </c>
      <c r="D2786" s="880" t="s">
        <v>12980</v>
      </c>
    </row>
    <row r="2787" spans="1:4" ht="13.5" x14ac:dyDescent="0.25">
      <c r="A2787" s="878" t="s">
        <v>8781</v>
      </c>
      <c r="B2787" s="878" t="s">
        <v>39817</v>
      </c>
      <c r="C2787" s="879" t="s">
        <v>226</v>
      </c>
      <c r="D2787" s="880" t="s">
        <v>5408</v>
      </c>
    </row>
    <row r="2788" spans="1:4" ht="13.5" x14ac:dyDescent="0.25">
      <c r="A2788" s="878" t="s">
        <v>8783</v>
      </c>
      <c r="B2788" s="878" t="s">
        <v>39818</v>
      </c>
      <c r="C2788" s="879" t="s">
        <v>226</v>
      </c>
      <c r="D2788" s="880" t="s">
        <v>41660</v>
      </c>
    </row>
    <row r="2789" spans="1:4" ht="13.5" x14ac:dyDescent="0.25">
      <c r="A2789" s="878" t="s">
        <v>8784</v>
      </c>
      <c r="B2789" s="878" t="s">
        <v>39819</v>
      </c>
      <c r="C2789" s="879" t="s">
        <v>226</v>
      </c>
      <c r="D2789" s="880" t="s">
        <v>41661</v>
      </c>
    </row>
    <row r="2790" spans="1:4" ht="13.5" x14ac:dyDescent="0.25">
      <c r="A2790" s="878" t="s">
        <v>8785</v>
      </c>
      <c r="B2790" s="878" t="s">
        <v>39820</v>
      </c>
      <c r="C2790" s="879" t="s">
        <v>226</v>
      </c>
      <c r="D2790" s="880" t="s">
        <v>30842</v>
      </c>
    </row>
    <row r="2791" spans="1:4" ht="13.5" x14ac:dyDescent="0.25">
      <c r="A2791" s="878" t="s">
        <v>8786</v>
      </c>
      <c r="B2791" s="878" t="s">
        <v>39821</v>
      </c>
      <c r="C2791" s="879" t="s">
        <v>226</v>
      </c>
      <c r="D2791" s="880" t="s">
        <v>41662</v>
      </c>
    </row>
    <row r="2792" spans="1:4" ht="13.5" x14ac:dyDescent="0.25">
      <c r="A2792" s="878" t="s">
        <v>8787</v>
      </c>
      <c r="B2792" s="878" t="s">
        <v>39822</v>
      </c>
      <c r="C2792" s="879" t="s">
        <v>226</v>
      </c>
      <c r="D2792" s="880" t="s">
        <v>41663</v>
      </c>
    </row>
    <row r="2793" spans="1:4" ht="13.5" x14ac:dyDescent="0.25">
      <c r="A2793" s="878" t="s">
        <v>8788</v>
      </c>
      <c r="B2793" s="878" t="s">
        <v>39823</v>
      </c>
      <c r="C2793" s="879" t="s">
        <v>226</v>
      </c>
      <c r="D2793" s="880" t="s">
        <v>30812</v>
      </c>
    </row>
    <row r="2794" spans="1:4" ht="13.5" x14ac:dyDescent="0.25">
      <c r="A2794" s="878" t="s">
        <v>8789</v>
      </c>
      <c r="B2794" s="878" t="s">
        <v>39824</v>
      </c>
      <c r="C2794" s="879" t="s">
        <v>226</v>
      </c>
      <c r="D2794" s="880" t="s">
        <v>41664</v>
      </c>
    </row>
    <row r="2795" spans="1:4" ht="13.5" x14ac:dyDescent="0.25">
      <c r="A2795" s="878" t="s">
        <v>8791</v>
      </c>
      <c r="B2795" s="878" t="s">
        <v>39825</v>
      </c>
      <c r="C2795" s="879" t="s">
        <v>226</v>
      </c>
      <c r="D2795" s="880" t="s">
        <v>30207</v>
      </c>
    </row>
    <row r="2796" spans="1:4" ht="13.5" x14ac:dyDescent="0.25">
      <c r="A2796" s="878" t="s">
        <v>8792</v>
      </c>
      <c r="B2796" s="878" t="s">
        <v>39826</v>
      </c>
      <c r="C2796" s="879" t="s">
        <v>226</v>
      </c>
      <c r="D2796" s="880" t="s">
        <v>41665</v>
      </c>
    </row>
    <row r="2797" spans="1:4" ht="13.5" x14ac:dyDescent="0.25">
      <c r="A2797" s="878" t="s">
        <v>8794</v>
      </c>
      <c r="B2797" s="878" t="s">
        <v>39827</v>
      </c>
      <c r="C2797" s="879" t="s">
        <v>226</v>
      </c>
      <c r="D2797" s="880" t="s">
        <v>5076</v>
      </c>
    </row>
    <row r="2798" spans="1:4" ht="13.5" x14ac:dyDescent="0.25">
      <c r="A2798" s="878" t="s">
        <v>8795</v>
      </c>
      <c r="B2798" s="878" t="s">
        <v>39828</v>
      </c>
      <c r="C2798" s="879" t="s">
        <v>226</v>
      </c>
      <c r="D2798" s="880" t="s">
        <v>41666</v>
      </c>
    </row>
    <row r="2799" spans="1:4" ht="13.5" x14ac:dyDescent="0.25">
      <c r="A2799" s="878" t="s">
        <v>8796</v>
      </c>
      <c r="B2799" s="878" t="s">
        <v>39829</v>
      </c>
      <c r="C2799" s="879" t="s">
        <v>226</v>
      </c>
      <c r="D2799" s="880" t="s">
        <v>41667</v>
      </c>
    </row>
    <row r="2800" spans="1:4" ht="13.5" x14ac:dyDescent="0.25">
      <c r="A2800" s="878" t="s">
        <v>8798</v>
      </c>
      <c r="B2800" s="878" t="s">
        <v>39830</v>
      </c>
      <c r="C2800" s="879" t="s">
        <v>226</v>
      </c>
      <c r="D2800" s="880" t="s">
        <v>41668</v>
      </c>
    </row>
    <row r="2801" spans="1:4" ht="13.5" x14ac:dyDescent="0.25">
      <c r="A2801" s="878" t="s">
        <v>8800</v>
      </c>
      <c r="B2801" s="878" t="s">
        <v>39831</v>
      </c>
      <c r="C2801" s="879" t="s">
        <v>226</v>
      </c>
      <c r="D2801" s="880" t="s">
        <v>41669</v>
      </c>
    </row>
    <row r="2802" spans="1:4" ht="13.5" x14ac:dyDescent="0.25">
      <c r="A2802" s="878" t="s">
        <v>8802</v>
      </c>
      <c r="B2802" s="878" t="s">
        <v>39832</v>
      </c>
      <c r="C2802" s="879" t="s">
        <v>226</v>
      </c>
      <c r="D2802" s="880" t="s">
        <v>41670</v>
      </c>
    </row>
    <row r="2803" spans="1:4" ht="13.5" x14ac:dyDescent="0.25">
      <c r="A2803" s="878" t="s">
        <v>8803</v>
      </c>
      <c r="B2803" s="878" t="s">
        <v>39833</v>
      </c>
      <c r="C2803" s="879" t="s">
        <v>226</v>
      </c>
      <c r="D2803" s="880" t="s">
        <v>10930</v>
      </c>
    </row>
    <row r="2804" spans="1:4" ht="13.5" x14ac:dyDescent="0.25">
      <c r="A2804" s="878" t="s">
        <v>8804</v>
      </c>
      <c r="B2804" s="878" t="s">
        <v>39834</v>
      </c>
      <c r="C2804" s="879" t="s">
        <v>226</v>
      </c>
      <c r="D2804" s="880" t="s">
        <v>41671</v>
      </c>
    </row>
    <row r="2805" spans="1:4" ht="13.5" x14ac:dyDescent="0.25">
      <c r="A2805" s="878" t="s">
        <v>8806</v>
      </c>
      <c r="B2805" s="878" t="s">
        <v>39835</v>
      </c>
      <c r="C2805" s="879" t="s">
        <v>226</v>
      </c>
      <c r="D2805" s="880" t="s">
        <v>41672</v>
      </c>
    </row>
    <row r="2806" spans="1:4" ht="13.5" x14ac:dyDescent="0.25">
      <c r="A2806" s="878" t="s">
        <v>8807</v>
      </c>
      <c r="B2806" s="878" t="s">
        <v>39836</v>
      </c>
      <c r="C2806" s="879" t="s">
        <v>226</v>
      </c>
      <c r="D2806" s="880" t="s">
        <v>31441</v>
      </c>
    </row>
    <row r="2807" spans="1:4" ht="13.5" x14ac:dyDescent="0.25">
      <c r="A2807" s="878" t="s">
        <v>8808</v>
      </c>
      <c r="B2807" s="878" t="s">
        <v>39837</v>
      </c>
      <c r="C2807" s="879" t="s">
        <v>226</v>
      </c>
      <c r="D2807" s="880" t="s">
        <v>31217</v>
      </c>
    </row>
    <row r="2808" spans="1:4" ht="13.5" x14ac:dyDescent="0.25">
      <c r="A2808" s="878" t="s">
        <v>8809</v>
      </c>
      <c r="B2808" s="878" t="s">
        <v>39838</v>
      </c>
      <c r="C2808" s="879" t="s">
        <v>226</v>
      </c>
      <c r="D2808" s="880" t="s">
        <v>41673</v>
      </c>
    </row>
    <row r="2809" spans="1:4" ht="13.5" x14ac:dyDescent="0.25">
      <c r="A2809" s="878" t="s">
        <v>8810</v>
      </c>
      <c r="B2809" s="878" t="s">
        <v>8811</v>
      </c>
      <c r="C2809" s="879" t="s">
        <v>226</v>
      </c>
      <c r="D2809" s="880" t="s">
        <v>5570</v>
      </c>
    </row>
    <row r="2810" spans="1:4" ht="13.5" x14ac:dyDescent="0.25">
      <c r="A2810" s="878" t="s">
        <v>8813</v>
      </c>
      <c r="B2810" s="878" t="s">
        <v>8814</v>
      </c>
      <c r="C2810" s="879" t="s">
        <v>226</v>
      </c>
      <c r="D2810" s="880" t="s">
        <v>41674</v>
      </c>
    </row>
    <row r="2811" spans="1:4" ht="13.5" x14ac:dyDescent="0.25">
      <c r="A2811" s="878" t="s">
        <v>8815</v>
      </c>
      <c r="B2811" s="878" t="s">
        <v>8816</v>
      </c>
      <c r="C2811" s="879" t="s">
        <v>226</v>
      </c>
      <c r="D2811" s="880" t="s">
        <v>41675</v>
      </c>
    </row>
    <row r="2812" spans="1:4" ht="13.5" x14ac:dyDescent="0.25">
      <c r="A2812" s="878" t="s">
        <v>8817</v>
      </c>
      <c r="B2812" s="878" t="s">
        <v>8818</v>
      </c>
      <c r="C2812" s="879" t="s">
        <v>226</v>
      </c>
      <c r="D2812" s="880" t="s">
        <v>41676</v>
      </c>
    </row>
    <row r="2813" spans="1:4" ht="13.5" x14ac:dyDescent="0.25">
      <c r="A2813" s="878" t="s">
        <v>8819</v>
      </c>
      <c r="B2813" s="878" t="s">
        <v>8820</v>
      </c>
      <c r="C2813" s="879" t="s">
        <v>226</v>
      </c>
      <c r="D2813" s="880" t="s">
        <v>41677</v>
      </c>
    </row>
    <row r="2814" spans="1:4" ht="13.5" x14ac:dyDescent="0.25">
      <c r="A2814" s="878" t="s">
        <v>8821</v>
      </c>
      <c r="B2814" s="878" t="s">
        <v>8822</v>
      </c>
      <c r="C2814" s="879" t="s">
        <v>226</v>
      </c>
      <c r="D2814" s="880" t="s">
        <v>9100</v>
      </c>
    </row>
    <row r="2815" spans="1:4" ht="13.5" x14ac:dyDescent="0.25">
      <c r="A2815" s="878" t="s">
        <v>8824</v>
      </c>
      <c r="B2815" s="878" t="s">
        <v>8825</v>
      </c>
      <c r="C2815" s="879" t="s">
        <v>226</v>
      </c>
      <c r="D2815" s="880" t="s">
        <v>41678</v>
      </c>
    </row>
    <row r="2816" spans="1:4" ht="13.5" x14ac:dyDescent="0.25">
      <c r="A2816" s="878" t="s">
        <v>8826</v>
      </c>
      <c r="B2816" s="878" t="s">
        <v>8827</v>
      </c>
      <c r="C2816" s="879" t="s">
        <v>226</v>
      </c>
      <c r="D2816" s="880" t="s">
        <v>7766</v>
      </c>
    </row>
    <row r="2817" spans="1:4" ht="13.5" x14ac:dyDescent="0.25">
      <c r="A2817" s="878" t="s">
        <v>8828</v>
      </c>
      <c r="B2817" s="878" t="s">
        <v>8829</v>
      </c>
      <c r="C2817" s="879" t="s">
        <v>226</v>
      </c>
      <c r="D2817" s="880" t="s">
        <v>41679</v>
      </c>
    </row>
    <row r="2818" spans="1:4" ht="13.5" x14ac:dyDescent="0.25">
      <c r="A2818" s="878" t="s">
        <v>8830</v>
      </c>
      <c r="B2818" s="878" t="s">
        <v>8831</v>
      </c>
      <c r="C2818" s="879" t="s">
        <v>226</v>
      </c>
      <c r="D2818" s="880" t="s">
        <v>41363</v>
      </c>
    </row>
    <row r="2819" spans="1:4" ht="13.5" x14ac:dyDescent="0.25">
      <c r="A2819" s="878" t="s">
        <v>8832</v>
      </c>
      <c r="B2819" s="878" t="s">
        <v>39839</v>
      </c>
      <c r="C2819" s="879" t="s">
        <v>226</v>
      </c>
      <c r="D2819" s="880" t="s">
        <v>31170</v>
      </c>
    </row>
    <row r="2820" spans="1:4" ht="13.5" x14ac:dyDescent="0.25">
      <c r="A2820" s="878" t="s">
        <v>8833</v>
      </c>
      <c r="B2820" s="878" t="s">
        <v>39840</v>
      </c>
      <c r="C2820" s="879" t="s">
        <v>226</v>
      </c>
      <c r="D2820" s="880" t="s">
        <v>41254</v>
      </c>
    </row>
    <row r="2821" spans="1:4" ht="13.5" x14ac:dyDescent="0.25">
      <c r="A2821" s="878" t="s">
        <v>8834</v>
      </c>
      <c r="B2821" s="878" t="s">
        <v>39841</v>
      </c>
      <c r="C2821" s="879" t="s">
        <v>226</v>
      </c>
      <c r="D2821" s="880" t="s">
        <v>41680</v>
      </c>
    </row>
    <row r="2822" spans="1:4" ht="13.5" x14ac:dyDescent="0.25">
      <c r="A2822" s="878" t="s">
        <v>8835</v>
      </c>
      <c r="B2822" s="878" t="s">
        <v>8836</v>
      </c>
      <c r="C2822" s="879" t="s">
        <v>226</v>
      </c>
      <c r="D2822" s="880" t="s">
        <v>31215</v>
      </c>
    </row>
    <row r="2823" spans="1:4" ht="13.5" x14ac:dyDescent="0.25">
      <c r="A2823" s="885" t="s">
        <v>8837</v>
      </c>
      <c r="B2823" s="885" t="s">
        <v>39842</v>
      </c>
      <c r="C2823" s="886" t="s">
        <v>158</v>
      </c>
      <c r="D2823" s="887" t="s">
        <v>14200</v>
      </c>
    </row>
    <row r="2824" spans="1:4" ht="13.5" x14ac:dyDescent="0.25">
      <c r="A2824" s="878" t="s">
        <v>8838</v>
      </c>
      <c r="B2824" s="878" t="s">
        <v>39843</v>
      </c>
      <c r="C2824" s="879" t="s">
        <v>158</v>
      </c>
      <c r="D2824" s="880" t="s">
        <v>15433</v>
      </c>
    </row>
    <row r="2825" spans="1:4" ht="13.5" x14ac:dyDescent="0.25">
      <c r="A2825" s="878" t="s">
        <v>8840</v>
      </c>
      <c r="B2825" s="878" t="s">
        <v>39844</v>
      </c>
      <c r="C2825" s="879" t="s">
        <v>158</v>
      </c>
      <c r="D2825" s="880" t="s">
        <v>16641</v>
      </c>
    </row>
    <row r="2826" spans="1:4" ht="13.5" x14ac:dyDescent="0.25">
      <c r="A2826" s="878" t="s">
        <v>2894</v>
      </c>
      <c r="B2826" s="878" t="s">
        <v>39845</v>
      </c>
      <c r="C2826" s="879" t="s">
        <v>158</v>
      </c>
      <c r="D2826" s="880" t="s">
        <v>41681</v>
      </c>
    </row>
    <row r="2827" spans="1:4" ht="13.5" x14ac:dyDescent="0.25">
      <c r="A2827" s="878" t="s">
        <v>8842</v>
      </c>
      <c r="B2827" s="878" t="s">
        <v>39846</v>
      </c>
      <c r="C2827" s="879" t="s">
        <v>158</v>
      </c>
      <c r="D2827" s="880" t="s">
        <v>41682</v>
      </c>
    </row>
    <row r="2828" spans="1:4" ht="13.5" x14ac:dyDescent="0.25">
      <c r="A2828" s="878" t="s">
        <v>8844</v>
      </c>
      <c r="B2828" s="878" t="s">
        <v>39847</v>
      </c>
      <c r="C2828" s="879" t="s">
        <v>158</v>
      </c>
      <c r="D2828" s="880" t="s">
        <v>31211</v>
      </c>
    </row>
    <row r="2829" spans="1:4" ht="13.5" x14ac:dyDescent="0.25">
      <c r="A2829" s="885" t="s">
        <v>8846</v>
      </c>
      <c r="B2829" s="885" t="s">
        <v>39848</v>
      </c>
      <c r="C2829" s="886" t="s">
        <v>158</v>
      </c>
      <c r="D2829" s="887" t="s">
        <v>41683</v>
      </c>
    </row>
    <row r="2830" spans="1:4" ht="13.5" x14ac:dyDescent="0.25">
      <c r="A2830" s="878" t="s">
        <v>8847</v>
      </c>
      <c r="B2830" s="878" t="s">
        <v>39849</v>
      </c>
      <c r="C2830" s="879" t="s">
        <v>158</v>
      </c>
      <c r="D2830" s="880" t="s">
        <v>30462</v>
      </c>
    </row>
    <row r="2831" spans="1:4" ht="13.5" x14ac:dyDescent="0.25">
      <c r="A2831" s="878" t="s">
        <v>8848</v>
      </c>
      <c r="B2831" s="878" t="s">
        <v>39850</v>
      </c>
      <c r="C2831" s="879" t="s">
        <v>158</v>
      </c>
      <c r="D2831" s="880" t="s">
        <v>41684</v>
      </c>
    </row>
    <row r="2832" spans="1:4" ht="13.5" x14ac:dyDescent="0.25">
      <c r="A2832" s="878" t="s">
        <v>8849</v>
      </c>
      <c r="B2832" s="878" t="s">
        <v>39851</v>
      </c>
      <c r="C2832" s="879" t="s">
        <v>158</v>
      </c>
      <c r="D2832" s="880" t="s">
        <v>8708</v>
      </c>
    </row>
    <row r="2833" spans="1:4" ht="13.5" x14ac:dyDescent="0.25">
      <c r="A2833" s="878" t="s">
        <v>8850</v>
      </c>
      <c r="B2833" s="878" t="s">
        <v>39852</v>
      </c>
      <c r="C2833" s="879" t="s">
        <v>158</v>
      </c>
      <c r="D2833" s="880" t="s">
        <v>41685</v>
      </c>
    </row>
    <row r="2834" spans="1:4" ht="13.5" x14ac:dyDescent="0.25">
      <c r="A2834" s="878" t="s">
        <v>30009</v>
      </c>
      <c r="B2834" s="878" t="s">
        <v>39853</v>
      </c>
      <c r="C2834" s="879" t="s">
        <v>158</v>
      </c>
      <c r="D2834" s="880" t="s">
        <v>31049</v>
      </c>
    </row>
    <row r="2835" spans="1:4" ht="13.5" x14ac:dyDescent="0.25">
      <c r="A2835" s="878" t="s">
        <v>8851</v>
      </c>
      <c r="B2835" s="878" t="s">
        <v>8852</v>
      </c>
      <c r="C2835" s="879" t="s">
        <v>158</v>
      </c>
      <c r="D2835" s="880" t="s">
        <v>41686</v>
      </c>
    </row>
    <row r="2836" spans="1:4" ht="13.5" x14ac:dyDescent="0.25">
      <c r="A2836" s="878" t="s">
        <v>8853</v>
      </c>
      <c r="B2836" s="878" t="s">
        <v>8854</v>
      </c>
      <c r="C2836" s="879" t="s">
        <v>158</v>
      </c>
      <c r="D2836" s="880" t="s">
        <v>15771</v>
      </c>
    </row>
    <row r="2837" spans="1:4" ht="13.5" x14ac:dyDescent="0.25">
      <c r="A2837" s="878" t="s">
        <v>8855</v>
      </c>
      <c r="B2837" s="878" t="s">
        <v>8856</v>
      </c>
      <c r="C2837" s="879" t="s">
        <v>158</v>
      </c>
      <c r="D2837" s="880" t="s">
        <v>30175</v>
      </c>
    </row>
    <row r="2838" spans="1:4" ht="13.5" x14ac:dyDescent="0.25">
      <c r="A2838" s="878" t="s">
        <v>2917</v>
      </c>
      <c r="B2838" s="878" t="s">
        <v>8857</v>
      </c>
      <c r="C2838" s="879" t="s">
        <v>158</v>
      </c>
      <c r="D2838" s="880" t="s">
        <v>6342</v>
      </c>
    </row>
    <row r="2839" spans="1:4" ht="13.5" x14ac:dyDescent="0.25">
      <c r="A2839" s="878" t="s">
        <v>8858</v>
      </c>
      <c r="B2839" s="878" t="s">
        <v>8859</v>
      </c>
      <c r="C2839" s="879" t="s">
        <v>158</v>
      </c>
      <c r="D2839" s="880" t="s">
        <v>30724</v>
      </c>
    </row>
    <row r="2840" spans="1:4" ht="13.5" x14ac:dyDescent="0.25">
      <c r="A2840" s="878" t="s">
        <v>2901</v>
      </c>
      <c r="B2840" s="878" t="s">
        <v>8860</v>
      </c>
      <c r="C2840" s="879" t="s">
        <v>158</v>
      </c>
      <c r="D2840" s="880" t="s">
        <v>16016</v>
      </c>
    </row>
    <row r="2841" spans="1:4" ht="13.5" x14ac:dyDescent="0.25">
      <c r="A2841" s="878" t="s">
        <v>8861</v>
      </c>
      <c r="B2841" s="878" t="s">
        <v>8862</v>
      </c>
      <c r="C2841" s="879" t="s">
        <v>158</v>
      </c>
      <c r="D2841" s="880" t="s">
        <v>41687</v>
      </c>
    </row>
    <row r="2842" spans="1:4" ht="13.5" x14ac:dyDescent="0.25">
      <c r="A2842" s="878" t="s">
        <v>8864</v>
      </c>
      <c r="B2842" s="878" t="s">
        <v>8865</v>
      </c>
      <c r="C2842" s="879" t="s">
        <v>158</v>
      </c>
      <c r="D2842" s="880" t="s">
        <v>31191</v>
      </c>
    </row>
    <row r="2843" spans="1:4" ht="13.5" x14ac:dyDescent="0.25">
      <c r="A2843" s="878" t="s">
        <v>8866</v>
      </c>
      <c r="B2843" s="878" t="s">
        <v>8867</v>
      </c>
      <c r="C2843" s="879" t="s">
        <v>158</v>
      </c>
      <c r="D2843" s="880" t="s">
        <v>41688</v>
      </c>
    </row>
    <row r="2844" spans="1:4" ht="13.5" x14ac:dyDescent="0.25">
      <c r="A2844" s="878" t="s">
        <v>8868</v>
      </c>
      <c r="B2844" s="878" t="s">
        <v>8869</v>
      </c>
      <c r="C2844" s="879" t="s">
        <v>158</v>
      </c>
      <c r="D2844" s="880" t="s">
        <v>41689</v>
      </c>
    </row>
    <row r="2845" spans="1:4" ht="13.5" x14ac:dyDescent="0.25">
      <c r="A2845" s="878" t="s">
        <v>8870</v>
      </c>
      <c r="B2845" s="878" t="s">
        <v>8871</v>
      </c>
      <c r="C2845" s="879" t="s">
        <v>158</v>
      </c>
      <c r="D2845" s="880" t="s">
        <v>41690</v>
      </c>
    </row>
    <row r="2846" spans="1:4" ht="13.5" x14ac:dyDescent="0.25">
      <c r="A2846" s="878" t="s">
        <v>8872</v>
      </c>
      <c r="B2846" s="878" t="s">
        <v>8873</v>
      </c>
      <c r="C2846" s="879" t="s">
        <v>158</v>
      </c>
      <c r="D2846" s="880" t="s">
        <v>41691</v>
      </c>
    </row>
    <row r="2847" spans="1:4" ht="13.5" x14ac:dyDescent="0.25">
      <c r="A2847" s="878" t="s">
        <v>8874</v>
      </c>
      <c r="B2847" s="878" t="s">
        <v>8875</v>
      </c>
      <c r="C2847" s="879" t="s">
        <v>158</v>
      </c>
      <c r="D2847" s="880" t="s">
        <v>41692</v>
      </c>
    </row>
    <row r="2848" spans="1:4" ht="13.5" x14ac:dyDescent="0.25">
      <c r="A2848" s="878" t="s">
        <v>8876</v>
      </c>
      <c r="B2848" s="878" t="s">
        <v>8877</v>
      </c>
      <c r="C2848" s="879" t="s">
        <v>158</v>
      </c>
      <c r="D2848" s="880" t="s">
        <v>41693</v>
      </c>
    </row>
    <row r="2849" spans="1:4" ht="13.5" x14ac:dyDescent="0.25">
      <c r="A2849" s="878" t="s">
        <v>8878</v>
      </c>
      <c r="B2849" s="878" t="s">
        <v>8879</v>
      </c>
      <c r="C2849" s="879" t="s">
        <v>158</v>
      </c>
      <c r="D2849" s="880" t="s">
        <v>11135</v>
      </c>
    </row>
    <row r="2850" spans="1:4" ht="13.5" x14ac:dyDescent="0.25">
      <c r="A2850" s="878" t="s">
        <v>8880</v>
      </c>
      <c r="B2850" s="878" t="s">
        <v>8881</v>
      </c>
      <c r="C2850" s="879" t="s">
        <v>158</v>
      </c>
      <c r="D2850" s="880" t="s">
        <v>30656</v>
      </c>
    </row>
    <row r="2851" spans="1:4" ht="13.5" x14ac:dyDescent="0.25">
      <c r="A2851" s="878" t="s">
        <v>8883</v>
      </c>
      <c r="B2851" s="878" t="s">
        <v>8884</v>
      </c>
      <c r="C2851" s="879" t="s">
        <v>158</v>
      </c>
      <c r="D2851" s="880" t="s">
        <v>41694</v>
      </c>
    </row>
    <row r="2852" spans="1:4" ht="13.5" x14ac:dyDescent="0.25">
      <c r="A2852" s="878" t="s">
        <v>8886</v>
      </c>
      <c r="B2852" s="878" t="s">
        <v>8887</v>
      </c>
      <c r="C2852" s="879" t="s">
        <v>158</v>
      </c>
      <c r="D2852" s="880" t="s">
        <v>41695</v>
      </c>
    </row>
    <row r="2853" spans="1:4" ht="13.5" x14ac:dyDescent="0.25">
      <c r="A2853" s="878" t="s">
        <v>8888</v>
      </c>
      <c r="B2853" s="878" t="s">
        <v>8889</v>
      </c>
      <c r="C2853" s="879" t="s">
        <v>158</v>
      </c>
      <c r="D2853" s="880" t="s">
        <v>31335</v>
      </c>
    </row>
    <row r="2854" spans="1:4" ht="13.5" x14ac:dyDescent="0.25">
      <c r="A2854" s="878" t="s">
        <v>8890</v>
      </c>
      <c r="B2854" s="878" t="s">
        <v>8891</v>
      </c>
      <c r="C2854" s="879" t="s">
        <v>158</v>
      </c>
      <c r="D2854" s="880" t="s">
        <v>41696</v>
      </c>
    </row>
    <row r="2855" spans="1:4" ht="13.5" x14ac:dyDescent="0.25">
      <c r="A2855" s="878" t="s">
        <v>8892</v>
      </c>
      <c r="B2855" s="878" t="s">
        <v>39854</v>
      </c>
      <c r="C2855" s="879" t="s">
        <v>226</v>
      </c>
      <c r="D2855" s="880" t="s">
        <v>41697</v>
      </c>
    </row>
    <row r="2856" spans="1:4" ht="13.5" x14ac:dyDescent="0.25">
      <c r="A2856" s="878" t="s">
        <v>8893</v>
      </c>
      <c r="B2856" s="878" t="s">
        <v>39855</v>
      </c>
      <c r="C2856" s="879" t="s">
        <v>226</v>
      </c>
      <c r="D2856" s="880" t="s">
        <v>14074</v>
      </c>
    </row>
    <row r="2857" spans="1:4" ht="13.5" x14ac:dyDescent="0.25">
      <c r="A2857" s="878" t="s">
        <v>8894</v>
      </c>
      <c r="B2857" s="878" t="s">
        <v>39856</v>
      </c>
      <c r="C2857" s="879" t="s">
        <v>226</v>
      </c>
      <c r="D2857" s="880" t="s">
        <v>41698</v>
      </c>
    </row>
    <row r="2858" spans="1:4" ht="13.5" x14ac:dyDescent="0.25">
      <c r="A2858" s="878" t="s">
        <v>8896</v>
      </c>
      <c r="B2858" s="878" t="s">
        <v>39857</v>
      </c>
      <c r="C2858" s="879" t="s">
        <v>226</v>
      </c>
      <c r="D2858" s="880" t="s">
        <v>11205</v>
      </c>
    </row>
    <row r="2859" spans="1:4" ht="13.5" x14ac:dyDescent="0.25">
      <c r="A2859" s="878" t="s">
        <v>8897</v>
      </c>
      <c r="B2859" s="878" t="s">
        <v>39858</v>
      </c>
      <c r="C2859" s="879" t="s">
        <v>226</v>
      </c>
      <c r="D2859" s="880" t="s">
        <v>30645</v>
      </c>
    </row>
    <row r="2860" spans="1:4" ht="13.5" x14ac:dyDescent="0.25">
      <c r="A2860" s="878" t="s">
        <v>8898</v>
      </c>
      <c r="B2860" s="878" t="s">
        <v>39859</v>
      </c>
      <c r="C2860" s="879" t="s">
        <v>226</v>
      </c>
      <c r="D2860" s="880" t="s">
        <v>30746</v>
      </c>
    </row>
    <row r="2861" spans="1:4" ht="13.5" x14ac:dyDescent="0.25">
      <c r="A2861" s="878" t="s">
        <v>8899</v>
      </c>
      <c r="B2861" s="878" t="s">
        <v>39860</v>
      </c>
      <c r="C2861" s="879" t="s">
        <v>226</v>
      </c>
      <c r="D2861" s="880" t="s">
        <v>17402</v>
      </c>
    </row>
    <row r="2862" spans="1:4" ht="13.5" x14ac:dyDescent="0.25">
      <c r="A2862" s="878" t="s">
        <v>8900</v>
      </c>
      <c r="B2862" s="878" t="s">
        <v>39861</v>
      </c>
      <c r="C2862" s="879" t="s">
        <v>226</v>
      </c>
      <c r="D2862" s="880" t="s">
        <v>41699</v>
      </c>
    </row>
    <row r="2863" spans="1:4" ht="13.5" x14ac:dyDescent="0.25">
      <c r="A2863" s="878" t="s">
        <v>8901</v>
      </c>
      <c r="B2863" s="878" t="s">
        <v>39862</v>
      </c>
      <c r="C2863" s="879" t="s">
        <v>226</v>
      </c>
      <c r="D2863" s="880" t="s">
        <v>11826</v>
      </c>
    </row>
    <row r="2864" spans="1:4" ht="13.5" x14ac:dyDescent="0.25">
      <c r="A2864" s="878" t="s">
        <v>8902</v>
      </c>
      <c r="B2864" s="878" t="s">
        <v>39863</v>
      </c>
      <c r="C2864" s="879" t="s">
        <v>226</v>
      </c>
      <c r="D2864" s="880" t="s">
        <v>11402</v>
      </c>
    </row>
    <row r="2865" spans="1:4" ht="13.5" x14ac:dyDescent="0.25">
      <c r="A2865" s="878" t="s">
        <v>8903</v>
      </c>
      <c r="B2865" s="878" t="s">
        <v>39864</v>
      </c>
      <c r="C2865" s="879" t="s">
        <v>226</v>
      </c>
      <c r="D2865" s="880" t="s">
        <v>6785</v>
      </c>
    </row>
    <row r="2866" spans="1:4" ht="13.5" x14ac:dyDescent="0.25">
      <c r="A2866" s="878" t="s">
        <v>8904</v>
      </c>
      <c r="B2866" s="878" t="s">
        <v>39865</v>
      </c>
      <c r="C2866" s="879" t="s">
        <v>226</v>
      </c>
      <c r="D2866" s="880" t="s">
        <v>41700</v>
      </c>
    </row>
    <row r="2867" spans="1:4" ht="13.5" x14ac:dyDescent="0.25">
      <c r="A2867" s="878" t="s">
        <v>8905</v>
      </c>
      <c r="B2867" s="878" t="s">
        <v>39866</v>
      </c>
      <c r="C2867" s="879" t="s">
        <v>226</v>
      </c>
      <c r="D2867" s="880" t="s">
        <v>8768</v>
      </c>
    </row>
    <row r="2868" spans="1:4" ht="13.5" x14ac:dyDescent="0.25">
      <c r="A2868" s="878" t="s">
        <v>8906</v>
      </c>
      <c r="B2868" s="878" t="s">
        <v>39867</v>
      </c>
      <c r="C2868" s="879" t="s">
        <v>226</v>
      </c>
      <c r="D2868" s="880" t="s">
        <v>41701</v>
      </c>
    </row>
    <row r="2869" spans="1:4" ht="13.5" x14ac:dyDescent="0.25">
      <c r="A2869" s="878" t="s">
        <v>8907</v>
      </c>
      <c r="B2869" s="878" t="s">
        <v>39868</v>
      </c>
      <c r="C2869" s="879" t="s">
        <v>226</v>
      </c>
      <c r="D2869" s="880" t="s">
        <v>41702</v>
      </c>
    </row>
    <row r="2870" spans="1:4" ht="13.5" x14ac:dyDescent="0.25">
      <c r="A2870" s="878" t="s">
        <v>8908</v>
      </c>
      <c r="B2870" s="878" t="s">
        <v>39869</v>
      </c>
      <c r="C2870" s="879" t="s">
        <v>226</v>
      </c>
      <c r="D2870" s="880" t="s">
        <v>41703</v>
      </c>
    </row>
    <row r="2871" spans="1:4" ht="13.5" x14ac:dyDescent="0.25">
      <c r="A2871" s="878" t="s">
        <v>8909</v>
      </c>
      <c r="B2871" s="878" t="s">
        <v>8910</v>
      </c>
      <c r="C2871" s="879" t="s">
        <v>226</v>
      </c>
      <c r="D2871" s="880" t="s">
        <v>30553</v>
      </c>
    </row>
    <row r="2872" spans="1:4" ht="13.5" x14ac:dyDescent="0.25">
      <c r="A2872" s="878" t="s">
        <v>8911</v>
      </c>
      <c r="B2872" s="878" t="s">
        <v>8912</v>
      </c>
      <c r="C2872" s="879" t="s">
        <v>226</v>
      </c>
      <c r="D2872" s="880" t="s">
        <v>30345</v>
      </c>
    </row>
    <row r="2873" spans="1:4" ht="13.5" x14ac:dyDescent="0.25">
      <c r="A2873" s="878" t="s">
        <v>8913</v>
      </c>
      <c r="B2873" s="878" t="s">
        <v>8914</v>
      </c>
      <c r="C2873" s="879" t="s">
        <v>226</v>
      </c>
      <c r="D2873" s="880" t="s">
        <v>41704</v>
      </c>
    </row>
    <row r="2874" spans="1:4" ht="13.5" x14ac:dyDescent="0.25">
      <c r="A2874" s="878" t="s">
        <v>8915</v>
      </c>
      <c r="B2874" s="878" t="s">
        <v>8916</v>
      </c>
      <c r="C2874" s="879" t="s">
        <v>226</v>
      </c>
      <c r="D2874" s="880" t="s">
        <v>41705</v>
      </c>
    </row>
    <row r="2875" spans="1:4" ht="13.5" x14ac:dyDescent="0.25">
      <c r="A2875" s="878" t="s">
        <v>8917</v>
      </c>
      <c r="B2875" s="878" t="s">
        <v>8918</v>
      </c>
      <c r="C2875" s="879" t="s">
        <v>226</v>
      </c>
      <c r="D2875" s="880" t="s">
        <v>41706</v>
      </c>
    </row>
    <row r="2876" spans="1:4" ht="13.5" x14ac:dyDescent="0.25">
      <c r="A2876" s="878" t="s">
        <v>8919</v>
      </c>
      <c r="B2876" s="878" t="s">
        <v>8920</v>
      </c>
      <c r="C2876" s="879" t="s">
        <v>226</v>
      </c>
      <c r="D2876" s="880" t="s">
        <v>30909</v>
      </c>
    </row>
    <row r="2877" spans="1:4" ht="13.5" x14ac:dyDescent="0.25">
      <c r="A2877" s="878" t="s">
        <v>8921</v>
      </c>
      <c r="B2877" s="878" t="s">
        <v>8922</v>
      </c>
      <c r="C2877" s="879" t="s">
        <v>226</v>
      </c>
      <c r="D2877" s="880" t="s">
        <v>41707</v>
      </c>
    </row>
    <row r="2878" spans="1:4" ht="13.5" x14ac:dyDescent="0.25">
      <c r="A2878" s="878" t="s">
        <v>8923</v>
      </c>
      <c r="B2878" s="878" t="s">
        <v>8924</v>
      </c>
      <c r="C2878" s="879" t="s">
        <v>226</v>
      </c>
      <c r="D2878" s="880" t="s">
        <v>41708</v>
      </c>
    </row>
    <row r="2879" spans="1:4" ht="13.5" x14ac:dyDescent="0.25">
      <c r="A2879" s="878" t="s">
        <v>8926</v>
      </c>
      <c r="B2879" s="878" t="s">
        <v>8927</v>
      </c>
      <c r="C2879" s="879" t="s">
        <v>226</v>
      </c>
      <c r="D2879" s="880" t="s">
        <v>41709</v>
      </c>
    </row>
    <row r="2880" spans="1:4" ht="13.5" x14ac:dyDescent="0.25">
      <c r="A2880" s="878" t="s">
        <v>8928</v>
      </c>
      <c r="B2880" s="878" t="s">
        <v>8929</v>
      </c>
      <c r="C2880" s="879" t="s">
        <v>226</v>
      </c>
      <c r="D2880" s="880" t="s">
        <v>41710</v>
      </c>
    </row>
    <row r="2881" spans="1:4" ht="13.5" x14ac:dyDescent="0.25">
      <c r="A2881" s="878" t="s">
        <v>8930</v>
      </c>
      <c r="B2881" s="878" t="s">
        <v>8931</v>
      </c>
      <c r="C2881" s="879" t="s">
        <v>226</v>
      </c>
      <c r="D2881" s="880" t="s">
        <v>30494</v>
      </c>
    </row>
    <row r="2882" spans="1:4" ht="13.5" x14ac:dyDescent="0.25">
      <c r="A2882" s="878" t="s">
        <v>8932</v>
      </c>
      <c r="B2882" s="878" t="s">
        <v>8933</v>
      </c>
      <c r="C2882" s="879" t="s">
        <v>226</v>
      </c>
      <c r="D2882" s="880" t="s">
        <v>41711</v>
      </c>
    </row>
    <row r="2883" spans="1:4" ht="13.5" x14ac:dyDescent="0.25">
      <c r="A2883" s="878" t="s">
        <v>8934</v>
      </c>
      <c r="B2883" s="878" t="s">
        <v>8935</v>
      </c>
      <c r="C2883" s="879" t="s">
        <v>226</v>
      </c>
      <c r="D2883" s="880" t="s">
        <v>41712</v>
      </c>
    </row>
    <row r="2884" spans="1:4" ht="13.5" x14ac:dyDescent="0.25">
      <c r="A2884" s="878" t="s">
        <v>8936</v>
      </c>
      <c r="B2884" s="878" t="s">
        <v>8937</v>
      </c>
      <c r="C2884" s="879" t="s">
        <v>226</v>
      </c>
      <c r="D2884" s="880" t="s">
        <v>41713</v>
      </c>
    </row>
    <row r="2885" spans="1:4" ht="13.5" x14ac:dyDescent="0.25">
      <c r="A2885" s="878" t="s">
        <v>8938</v>
      </c>
      <c r="B2885" s="878" t="s">
        <v>8939</v>
      </c>
      <c r="C2885" s="879" t="s">
        <v>226</v>
      </c>
      <c r="D2885" s="880" t="s">
        <v>30178</v>
      </c>
    </row>
    <row r="2886" spans="1:4" ht="13.5" x14ac:dyDescent="0.25">
      <c r="A2886" s="878" t="s">
        <v>8940</v>
      </c>
      <c r="B2886" s="878" t="s">
        <v>8941</v>
      </c>
      <c r="C2886" s="879" t="s">
        <v>226</v>
      </c>
      <c r="D2886" s="880" t="s">
        <v>31166</v>
      </c>
    </row>
    <row r="2887" spans="1:4" ht="13.5" x14ac:dyDescent="0.25">
      <c r="A2887" s="878" t="s">
        <v>8942</v>
      </c>
      <c r="B2887" s="878" t="s">
        <v>8943</v>
      </c>
      <c r="C2887" s="879" t="s">
        <v>226</v>
      </c>
      <c r="D2887" s="880" t="s">
        <v>30847</v>
      </c>
    </row>
    <row r="2888" spans="1:4" ht="13.5" x14ac:dyDescent="0.25">
      <c r="A2888" s="878" t="s">
        <v>8944</v>
      </c>
      <c r="B2888" s="878" t="s">
        <v>8945</v>
      </c>
      <c r="C2888" s="879" t="s">
        <v>226</v>
      </c>
      <c r="D2888" s="880" t="s">
        <v>31001</v>
      </c>
    </row>
    <row r="2889" spans="1:4" ht="13.5" x14ac:dyDescent="0.25">
      <c r="A2889" s="878" t="s">
        <v>8946</v>
      </c>
      <c r="B2889" s="878" t="s">
        <v>8947</v>
      </c>
      <c r="C2889" s="879" t="s">
        <v>226</v>
      </c>
      <c r="D2889" s="880" t="s">
        <v>41714</v>
      </c>
    </row>
    <row r="2890" spans="1:4" ht="13.5" x14ac:dyDescent="0.25">
      <c r="A2890" s="878" t="s">
        <v>8949</v>
      </c>
      <c r="B2890" s="878" t="s">
        <v>8950</v>
      </c>
      <c r="C2890" s="879" t="s">
        <v>226</v>
      </c>
      <c r="D2890" s="880" t="s">
        <v>41715</v>
      </c>
    </row>
    <row r="2891" spans="1:4" ht="13.5" x14ac:dyDescent="0.25">
      <c r="A2891" s="878" t="s">
        <v>8951</v>
      </c>
      <c r="B2891" s="878" t="s">
        <v>8952</v>
      </c>
      <c r="C2891" s="879" t="s">
        <v>226</v>
      </c>
      <c r="D2891" s="880" t="s">
        <v>41716</v>
      </c>
    </row>
    <row r="2892" spans="1:4" ht="13.5" x14ac:dyDescent="0.25">
      <c r="A2892" s="878" t="s">
        <v>8953</v>
      </c>
      <c r="B2892" s="878" t="s">
        <v>8954</v>
      </c>
      <c r="C2892" s="879" t="s">
        <v>226</v>
      </c>
      <c r="D2892" s="880" t="s">
        <v>41717</v>
      </c>
    </row>
    <row r="2893" spans="1:4" ht="13.5" x14ac:dyDescent="0.25">
      <c r="A2893" s="878" t="s">
        <v>8956</v>
      </c>
      <c r="B2893" s="878" t="s">
        <v>8957</v>
      </c>
      <c r="C2893" s="879" t="s">
        <v>226</v>
      </c>
      <c r="D2893" s="880" t="s">
        <v>12057</v>
      </c>
    </row>
    <row r="2894" spans="1:4" ht="13.5" x14ac:dyDescent="0.25">
      <c r="A2894" s="878" t="s">
        <v>8959</v>
      </c>
      <c r="B2894" s="878" t="s">
        <v>8960</v>
      </c>
      <c r="C2894" s="879" t="s">
        <v>226</v>
      </c>
      <c r="D2894" s="880" t="s">
        <v>10888</v>
      </c>
    </row>
    <row r="2895" spans="1:4" ht="13.5" x14ac:dyDescent="0.25">
      <c r="A2895" s="878" t="s">
        <v>8961</v>
      </c>
      <c r="B2895" s="878" t="s">
        <v>8962</v>
      </c>
      <c r="C2895" s="879" t="s">
        <v>226</v>
      </c>
      <c r="D2895" s="880" t="s">
        <v>30481</v>
      </c>
    </row>
    <row r="2896" spans="1:4" ht="13.5" x14ac:dyDescent="0.25">
      <c r="A2896" s="878" t="s">
        <v>8964</v>
      </c>
      <c r="B2896" s="878" t="s">
        <v>8965</v>
      </c>
      <c r="C2896" s="879" t="s">
        <v>226</v>
      </c>
      <c r="D2896" s="880" t="s">
        <v>30476</v>
      </c>
    </row>
    <row r="2897" spans="1:4" ht="13.5" x14ac:dyDescent="0.25">
      <c r="A2897" s="878" t="s">
        <v>8967</v>
      </c>
      <c r="B2897" s="878" t="s">
        <v>8968</v>
      </c>
      <c r="C2897" s="879" t="s">
        <v>226</v>
      </c>
      <c r="D2897" s="880" t="s">
        <v>41718</v>
      </c>
    </row>
    <row r="2898" spans="1:4" ht="13.5" x14ac:dyDescent="0.25">
      <c r="A2898" s="878" t="s">
        <v>8969</v>
      </c>
      <c r="B2898" s="878" t="s">
        <v>8970</v>
      </c>
      <c r="C2898" s="879" t="s">
        <v>226</v>
      </c>
      <c r="D2898" s="880" t="s">
        <v>41719</v>
      </c>
    </row>
    <row r="2899" spans="1:4" ht="13.5" x14ac:dyDescent="0.25">
      <c r="A2899" s="878" t="s">
        <v>8972</v>
      </c>
      <c r="B2899" s="878" t="s">
        <v>8973</v>
      </c>
      <c r="C2899" s="879" t="s">
        <v>226</v>
      </c>
      <c r="D2899" s="880" t="s">
        <v>41720</v>
      </c>
    </row>
    <row r="2900" spans="1:4" ht="13.5" x14ac:dyDescent="0.25">
      <c r="A2900" s="878" t="s">
        <v>8975</v>
      </c>
      <c r="B2900" s="878" t="s">
        <v>8976</v>
      </c>
      <c r="C2900" s="879" t="s">
        <v>226</v>
      </c>
      <c r="D2900" s="880" t="s">
        <v>41721</v>
      </c>
    </row>
    <row r="2901" spans="1:4" ht="13.5" x14ac:dyDescent="0.25">
      <c r="A2901" s="878" t="s">
        <v>8977</v>
      </c>
      <c r="B2901" s="878" t="s">
        <v>8978</v>
      </c>
      <c r="C2901" s="879" t="s">
        <v>226</v>
      </c>
      <c r="D2901" s="880" t="s">
        <v>41722</v>
      </c>
    </row>
    <row r="2902" spans="1:4" ht="13.5" x14ac:dyDescent="0.25">
      <c r="A2902" s="878" t="s">
        <v>8979</v>
      </c>
      <c r="B2902" s="878" t="s">
        <v>8980</v>
      </c>
      <c r="C2902" s="879" t="s">
        <v>226</v>
      </c>
      <c r="D2902" s="880" t="s">
        <v>41723</v>
      </c>
    </row>
    <row r="2903" spans="1:4" ht="13.5" x14ac:dyDescent="0.25">
      <c r="A2903" s="878" t="s">
        <v>8981</v>
      </c>
      <c r="B2903" s="878" t="s">
        <v>8982</v>
      </c>
      <c r="C2903" s="879" t="s">
        <v>226</v>
      </c>
      <c r="D2903" s="880" t="s">
        <v>41724</v>
      </c>
    </row>
    <row r="2904" spans="1:4" ht="13.5" x14ac:dyDescent="0.25">
      <c r="A2904" s="878" t="s">
        <v>8983</v>
      </c>
      <c r="B2904" s="878" t="s">
        <v>8984</v>
      </c>
      <c r="C2904" s="879" t="s">
        <v>226</v>
      </c>
      <c r="D2904" s="880" t="s">
        <v>41725</v>
      </c>
    </row>
    <row r="2905" spans="1:4" ht="13.5" x14ac:dyDescent="0.25">
      <c r="A2905" s="878" t="s">
        <v>8985</v>
      </c>
      <c r="B2905" s="878" t="s">
        <v>8986</v>
      </c>
      <c r="C2905" s="879" t="s">
        <v>226</v>
      </c>
      <c r="D2905" s="880" t="s">
        <v>41726</v>
      </c>
    </row>
    <row r="2906" spans="1:4" ht="13.5" x14ac:dyDescent="0.25">
      <c r="A2906" s="878" t="s">
        <v>8987</v>
      </c>
      <c r="B2906" s="878" t="s">
        <v>8988</v>
      </c>
      <c r="C2906" s="879" t="s">
        <v>226</v>
      </c>
      <c r="D2906" s="880" t="s">
        <v>41727</v>
      </c>
    </row>
    <row r="2907" spans="1:4" ht="13.5" x14ac:dyDescent="0.25">
      <c r="A2907" s="878" t="s">
        <v>8989</v>
      </c>
      <c r="B2907" s="878" t="s">
        <v>8990</v>
      </c>
      <c r="C2907" s="879" t="s">
        <v>226</v>
      </c>
      <c r="D2907" s="880" t="s">
        <v>30565</v>
      </c>
    </row>
    <row r="2908" spans="1:4" ht="13.5" x14ac:dyDescent="0.25">
      <c r="A2908" s="878" t="s">
        <v>8991</v>
      </c>
      <c r="B2908" s="878" t="s">
        <v>8992</v>
      </c>
      <c r="C2908" s="879" t="s">
        <v>226</v>
      </c>
      <c r="D2908" s="880" t="s">
        <v>41728</v>
      </c>
    </row>
    <row r="2909" spans="1:4" ht="13.5" x14ac:dyDescent="0.25">
      <c r="A2909" s="878" t="s">
        <v>8993</v>
      </c>
      <c r="B2909" s="878" t="s">
        <v>8994</v>
      </c>
      <c r="C2909" s="879" t="s">
        <v>226</v>
      </c>
      <c r="D2909" s="881" t="s">
        <v>41729</v>
      </c>
    </row>
    <row r="2910" spans="1:4" ht="13.5" x14ac:dyDescent="0.25">
      <c r="A2910" s="878" t="s">
        <v>8995</v>
      </c>
      <c r="B2910" s="878" t="s">
        <v>8996</v>
      </c>
      <c r="C2910" s="879" t="s">
        <v>226</v>
      </c>
      <c r="D2910" s="880" t="s">
        <v>41730</v>
      </c>
    </row>
    <row r="2911" spans="1:4" ht="13.5" x14ac:dyDescent="0.25">
      <c r="A2911" s="878" t="s">
        <v>8997</v>
      </c>
      <c r="B2911" s="878" t="s">
        <v>8998</v>
      </c>
      <c r="C2911" s="879" t="s">
        <v>226</v>
      </c>
      <c r="D2911" s="880" t="s">
        <v>41731</v>
      </c>
    </row>
    <row r="2912" spans="1:4" ht="13.5" x14ac:dyDescent="0.25">
      <c r="A2912" s="878" t="s">
        <v>8999</v>
      </c>
      <c r="B2912" s="878" t="s">
        <v>9000</v>
      </c>
      <c r="C2912" s="879" t="s">
        <v>226</v>
      </c>
      <c r="D2912" s="880" t="s">
        <v>41732</v>
      </c>
    </row>
    <row r="2913" spans="1:4" ht="13.5" x14ac:dyDescent="0.25">
      <c r="A2913" s="878" t="s">
        <v>9001</v>
      </c>
      <c r="B2913" s="878" t="s">
        <v>9002</v>
      </c>
      <c r="C2913" s="879" t="s">
        <v>226</v>
      </c>
      <c r="D2913" s="880" t="s">
        <v>41733</v>
      </c>
    </row>
    <row r="2914" spans="1:4" ht="13.5" x14ac:dyDescent="0.25">
      <c r="A2914" s="878" t="s">
        <v>9003</v>
      </c>
      <c r="B2914" s="878" t="s">
        <v>9004</v>
      </c>
      <c r="C2914" s="879" t="s">
        <v>226</v>
      </c>
      <c r="D2914" s="880" t="s">
        <v>41734</v>
      </c>
    </row>
    <row r="2915" spans="1:4" ht="13.5" x14ac:dyDescent="0.25">
      <c r="A2915" s="878" t="s">
        <v>9005</v>
      </c>
      <c r="B2915" s="878" t="s">
        <v>9006</v>
      </c>
      <c r="C2915" s="879" t="s">
        <v>226</v>
      </c>
      <c r="D2915" s="880" t="s">
        <v>41735</v>
      </c>
    </row>
    <row r="2916" spans="1:4" ht="13.5" x14ac:dyDescent="0.25">
      <c r="A2916" s="878" t="s">
        <v>9007</v>
      </c>
      <c r="B2916" s="878" t="s">
        <v>9008</v>
      </c>
      <c r="C2916" s="879" t="s">
        <v>226</v>
      </c>
      <c r="D2916" s="880" t="s">
        <v>30370</v>
      </c>
    </row>
    <row r="2917" spans="1:4" ht="13.5" x14ac:dyDescent="0.25">
      <c r="A2917" s="878" t="s">
        <v>9009</v>
      </c>
      <c r="B2917" s="878" t="s">
        <v>9010</v>
      </c>
      <c r="C2917" s="879" t="s">
        <v>226</v>
      </c>
      <c r="D2917" s="880" t="s">
        <v>41736</v>
      </c>
    </row>
    <row r="2918" spans="1:4" ht="13.5" x14ac:dyDescent="0.25">
      <c r="A2918" s="878" t="s">
        <v>9011</v>
      </c>
      <c r="B2918" s="878" t="s">
        <v>9012</v>
      </c>
      <c r="C2918" s="879" t="s">
        <v>226</v>
      </c>
      <c r="D2918" s="880" t="s">
        <v>31222</v>
      </c>
    </row>
    <row r="2919" spans="1:4" ht="13.5" x14ac:dyDescent="0.25">
      <c r="A2919" s="878" t="s">
        <v>9013</v>
      </c>
      <c r="B2919" s="878" t="s">
        <v>9014</v>
      </c>
      <c r="C2919" s="879" t="s">
        <v>226</v>
      </c>
      <c r="D2919" s="880" t="s">
        <v>41737</v>
      </c>
    </row>
    <row r="2920" spans="1:4" ht="13.5" x14ac:dyDescent="0.25">
      <c r="A2920" s="878" t="s">
        <v>9015</v>
      </c>
      <c r="B2920" s="878" t="s">
        <v>9016</v>
      </c>
      <c r="C2920" s="879" t="s">
        <v>226</v>
      </c>
      <c r="D2920" s="880" t="s">
        <v>41738</v>
      </c>
    </row>
    <row r="2921" spans="1:4" ht="13.5" x14ac:dyDescent="0.25">
      <c r="A2921" s="878" t="s">
        <v>9017</v>
      </c>
      <c r="B2921" s="878" t="s">
        <v>9018</v>
      </c>
      <c r="C2921" s="879" t="s">
        <v>226</v>
      </c>
      <c r="D2921" s="880" t="s">
        <v>17504</v>
      </c>
    </row>
    <row r="2922" spans="1:4" ht="13.5" x14ac:dyDescent="0.25">
      <c r="A2922" s="878" t="s">
        <v>9020</v>
      </c>
      <c r="B2922" s="878" t="s">
        <v>9021</v>
      </c>
      <c r="C2922" s="879" t="s">
        <v>226</v>
      </c>
      <c r="D2922" s="880" t="s">
        <v>41739</v>
      </c>
    </row>
    <row r="2923" spans="1:4" ht="13.5" x14ac:dyDescent="0.25">
      <c r="A2923" s="878" t="s">
        <v>9023</v>
      </c>
      <c r="B2923" s="878" t="s">
        <v>9024</v>
      </c>
      <c r="C2923" s="879" t="s">
        <v>226</v>
      </c>
      <c r="D2923" s="880" t="s">
        <v>41740</v>
      </c>
    </row>
    <row r="2924" spans="1:4" ht="13.5" x14ac:dyDescent="0.25">
      <c r="A2924" s="878" t="s">
        <v>9025</v>
      </c>
      <c r="B2924" s="878" t="s">
        <v>9026</v>
      </c>
      <c r="C2924" s="879" t="s">
        <v>226</v>
      </c>
      <c r="D2924" s="880" t="s">
        <v>41741</v>
      </c>
    </row>
    <row r="2925" spans="1:4" ht="13.5" x14ac:dyDescent="0.25">
      <c r="A2925" s="878" t="s">
        <v>9027</v>
      </c>
      <c r="B2925" s="878" t="s">
        <v>9028</v>
      </c>
      <c r="C2925" s="879" t="s">
        <v>226</v>
      </c>
      <c r="D2925" s="880" t="s">
        <v>41742</v>
      </c>
    </row>
    <row r="2926" spans="1:4" ht="13.5" x14ac:dyDescent="0.25">
      <c r="A2926" s="878" t="s">
        <v>9029</v>
      </c>
      <c r="B2926" s="878" t="s">
        <v>9030</v>
      </c>
      <c r="C2926" s="879" t="s">
        <v>226</v>
      </c>
      <c r="D2926" s="880" t="s">
        <v>41743</v>
      </c>
    </row>
    <row r="2927" spans="1:4" ht="13.5" x14ac:dyDescent="0.25">
      <c r="A2927" s="878" t="s">
        <v>9031</v>
      </c>
      <c r="B2927" s="878" t="s">
        <v>9032</v>
      </c>
      <c r="C2927" s="879" t="s">
        <v>226</v>
      </c>
      <c r="D2927" s="880" t="s">
        <v>30570</v>
      </c>
    </row>
    <row r="2928" spans="1:4" ht="13.5" x14ac:dyDescent="0.25">
      <c r="A2928" s="878" t="s">
        <v>9033</v>
      </c>
      <c r="B2928" s="878" t="s">
        <v>9034</v>
      </c>
      <c r="C2928" s="879" t="s">
        <v>226</v>
      </c>
      <c r="D2928" s="880" t="s">
        <v>7570</v>
      </c>
    </row>
    <row r="2929" spans="1:4" ht="13.5" x14ac:dyDescent="0.25">
      <c r="A2929" s="878" t="s">
        <v>9035</v>
      </c>
      <c r="B2929" s="878" t="s">
        <v>9036</v>
      </c>
      <c r="C2929" s="879" t="s">
        <v>226</v>
      </c>
      <c r="D2929" s="880" t="s">
        <v>7570</v>
      </c>
    </row>
    <row r="2930" spans="1:4" ht="13.5" x14ac:dyDescent="0.25">
      <c r="A2930" s="878" t="s">
        <v>9037</v>
      </c>
      <c r="B2930" s="878" t="s">
        <v>9038</v>
      </c>
      <c r="C2930" s="879" t="s">
        <v>226</v>
      </c>
      <c r="D2930" s="880" t="s">
        <v>41644</v>
      </c>
    </row>
    <row r="2931" spans="1:4" ht="13.5" x14ac:dyDescent="0.25">
      <c r="A2931" s="878" t="s">
        <v>9039</v>
      </c>
      <c r="B2931" s="878" t="s">
        <v>9040</v>
      </c>
      <c r="C2931" s="879" t="s">
        <v>226</v>
      </c>
      <c r="D2931" s="880" t="s">
        <v>41744</v>
      </c>
    </row>
    <row r="2932" spans="1:4" ht="13.5" x14ac:dyDescent="0.25">
      <c r="A2932" s="878" t="s">
        <v>9041</v>
      </c>
      <c r="B2932" s="878" t="s">
        <v>9042</v>
      </c>
      <c r="C2932" s="879" t="s">
        <v>226</v>
      </c>
      <c r="D2932" s="880" t="s">
        <v>41745</v>
      </c>
    </row>
    <row r="2933" spans="1:4" ht="13.5" x14ac:dyDescent="0.25">
      <c r="A2933" s="878" t="s">
        <v>9043</v>
      </c>
      <c r="B2933" s="878" t="s">
        <v>9044</v>
      </c>
      <c r="C2933" s="879" t="s">
        <v>226</v>
      </c>
      <c r="D2933" s="880" t="s">
        <v>41746</v>
      </c>
    </row>
    <row r="2934" spans="1:4" ht="13.5" x14ac:dyDescent="0.25">
      <c r="A2934" s="878" t="s">
        <v>9045</v>
      </c>
      <c r="B2934" s="878" t="s">
        <v>9046</v>
      </c>
      <c r="C2934" s="879" t="s">
        <v>226</v>
      </c>
      <c r="D2934" s="880" t="s">
        <v>41747</v>
      </c>
    </row>
    <row r="2935" spans="1:4" ht="13.5" x14ac:dyDescent="0.25">
      <c r="A2935" s="878" t="s">
        <v>9047</v>
      </c>
      <c r="B2935" s="878" t="s">
        <v>9048</v>
      </c>
      <c r="C2935" s="879" t="s">
        <v>226</v>
      </c>
      <c r="D2935" s="880" t="s">
        <v>41748</v>
      </c>
    </row>
    <row r="2936" spans="1:4" ht="13.5" x14ac:dyDescent="0.25">
      <c r="A2936" s="878" t="s">
        <v>9049</v>
      </c>
      <c r="B2936" s="878" t="s">
        <v>9050</v>
      </c>
      <c r="C2936" s="879" t="s">
        <v>226</v>
      </c>
      <c r="D2936" s="880" t="s">
        <v>41748</v>
      </c>
    </row>
    <row r="2937" spans="1:4" ht="13.5" x14ac:dyDescent="0.25">
      <c r="A2937" s="878" t="s">
        <v>2931</v>
      </c>
      <c r="B2937" s="878" t="s">
        <v>9051</v>
      </c>
      <c r="C2937" s="879" t="s">
        <v>226</v>
      </c>
      <c r="D2937" s="880" t="s">
        <v>41749</v>
      </c>
    </row>
    <row r="2938" spans="1:4" ht="13.5" x14ac:dyDescent="0.25">
      <c r="A2938" s="878" t="s">
        <v>9052</v>
      </c>
      <c r="B2938" s="878" t="s">
        <v>9053</v>
      </c>
      <c r="C2938" s="879" t="s">
        <v>226</v>
      </c>
      <c r="D2938" s="880" t="s">
        <v>41750</v>
      </c>
    </row>
    <row r="2939" spans="1:4" ht="13.5" x14ac:dyDescent="0.25">
      <c r="A2939" s="878" t="s">
        <v>9054</v>
      </c>
      <c r="B2939" s="878" t="s">
        <v>9055</v>
      </c>
      <c r="C2939" s="879" t="s">
        <v>226</v>
      </c>
      <c r="D2939" s="880" t="s">
        <v>41751</v>
      </c>
    </row>
    <row r="2940" spans="1:4" ht="13.5" x14ac:dyDescent="0.25">
      <c r="A2940" s="878" t="s">
        <v>9056</v>
      </c>
      <c r="B2940" s="878" t="s">
        <v>9057</v>
      </c>
      <c r="C2940" s="879" t="s">
        <v>226</v>
      </c>
      <c r="D2940" s="881" t="s">
        <v>41752</v>
      </c>
    </row>
    <row r="2941" spans="1:4" ht="13.5" x14ac:dyDescent="0.25">
      <c r="A2941" s="878" t="s">
        <v>9058</v>
      </c>
      <c r="B2941" s="878" t="s">
        <v>9059</v>
      </c>
      <c r="C2941" s="879" t="s">
        <v>226</v>
      </c>
      <c r="D2941" s="881" t="s">
        <v>41753</v>
      </c>
    </row>
    <row r="2942" spans="1:4" ht="13.5" x14ac:dyDescent="0.25">
      <c r="A2942" s="878" t="s">
        <v>9060</v>
      </c>
      <c r="B2942" s="878" t="s">
        <v>9061</v>
      </c>
      <c r="C2942" s="879" t="s">
        <v>226</v>
      </c>
      <c r="D2942" s="881" t="s">
        <v>41754</v>
      </c>
    </row>
    <row r="2943" spans="1:4" ht="13.5" x14ac:dyDescent="0.25">
      <c r="A2943" s="878" t="s">
        <v>9062</v>
      </c>
      <c r="B2943" s="878" t="s">
        <v>9063</v>
      </c>
      <c r="C2943" s="879" t="s">
        <v>226</v>
      </c>
      <c r="D2943" s="881" t="s">
        <v>41754</v>
      </c>
    </row>
    <row r="2944" spans="1:4" ht="13.5" x14ac:dyDescent="0.25">
      <c r="A2944" s="878" t="s">
        <v>9064</v>
      </c>
      <c r="B2944" s="878" t="s">
        <v>9065</v>
      </c>
      <c r="C2944" s="879" t="s">
        <v>226</v>
      </c>
      <c r="D2944" s="880" t="s">
        <v>41755</v>
      </c>
    </row>
    <row r="2945" spans="1:4" ht="13.5" x14ac:dyDescent="0.25">
      <c r="A2945" s="878" t="s">
        <v>9066</v>
      </c>
      <c r="B2945" s="878" t="s">
        <v>9067</v>
      </c>
      <c r="C2945" s="879" t="s">
        <v>226</v>
      </c>
      <c r="D2945" s="880" t="s">
        <v>41756</v>
      </c>
    </row>
    <row r="2946" spans="1:4" ht="13.5" x14ac:dyDescent="0.25">
      <c r="A2946" s="878" t="s">
        <v>9068</v>
      </c>
      <c r="B2946" s="878" t="s">
        <v>9069</v>
      </c>
      <c r="C2946" s="879" t="s">
        <v>226</v>
      </c>
      <c r="D2946" s="880" t="s">
        <v>41757</v>
      </c>
    </row>
    <row r="2947" spans="1:4" ht="13.5" x14ac:dyDescent="0.25">
      <c r="A2947" s="878" t="s">
        <v>9070</v>
      </c>
      <c r="B2947" s="878" t="s">
        <v>9071</v>
      </c>
      <c r="C2947" s="879" t="s">
        <v>226</v>
      </c>
      <c r="D2947" s="880" t="s">
        <v>41758</v>
      </c>
    </row>
    <row r="2948" spans="1:4" ht="13.5" x14ac:dyDescent="0.25">
      <c r="A2948" s="878" t="s">
        <v>9072</v>
      </c>
      <c r="B2948" s="878" t="s">
        <v>9073</v>
      </c>
      <c r="C2948" s="879" t="s">
        <v>226</v>
      </c>
      <c r="D2948" s="880" t="s">
        <v>41759</v>
      </c>
    </row>
    <row r="2949" spans="1:4" ht="13.5" x14ac:dyDescent="0.25">
      <c r="A2949" s="878" t="s">
        <v>9074</v>
      </c>
      <c r="B2949" s="878" t="s">
        <v>9075</v>
      </c>
      <c r="C2949" s="879" t="s">
        <v>226</v>
      </c>
      <c r="D2949" s="880" t="s">
        <v>41760</v>
      </c>
    </row>
    <row r="2950" spans="1:4" ht="13.5" x14ac:dyDescent="0.25">
      <c r="A2950" s="878" t="s">
        <v>9076</v>
      </c>
      <c r="B2950" s="878" t="s">
        <v>9077</v>
      </c>
      <c r="C2950" s="879" t="s">
        <v>226</v>
      </c>
      <c r="D2950" s="881" t="s">
        <v>30672</v>
      </c>
    </row>
    <row r="2951" spans="1:4" ht="13.5" x14ac:dyDescent="0.25">
      <c r="A2951" s="878" t="s">
        <v>9078</v>
      </c>
      <c r="B2951" s="878" t="s">
        <v>9079</v>
      </c>
      <c r="C2951" s="879" t="s">
        <v>226</v>
      </c>
      <c r="D2951" s="881" t="s">
        <v>41761</v>
      </c>
    </row>
    <row r="2952" spans="1:4" ht="13.5" x14ac:dyDescent="0.25">
      <c r="A2952" s="878" t="s">
        <v>9080</v>
      </c>
      <c r="B2952" s="878" t="s">
        <v>9081</v>
      </c>
      <c r="C2952" s="879" t="s">
        <v>226</v>
      </c>
      <c r="D2952" s="880" t="s">
        <v>41762</v>
      </c>
    </row>
    <row r="2953" spans="1:4" ht="13.5" x14ac:dyDescent="0.25">
      <c r="A2953" s="878" t="s">
        <v>9082</v>
      </c>
      <c r="B2953" s="878" t="s">
        <v>9083</v>
      </c>
      <c r="C2953" s="879" t="s">
        <v>226</v>
      </c>
      <c r="D2953" s="880" t="s">
        <v>41763</v>
      </c>
    </row>
    <row r="2954" spans="1:4" ht="13.5" x14ac:dyDescent="0.25">
      <c r="A2954" s="878" t="s">
        <v>9084</v>
      </c>
      <c r="B2954" s="878" t="s">
        <v>9085</v>
      </c>
      <c r="C2954" s="879" t="s">
        <v>226</v>
      </c>
      <c r="D2954" s="880" t="s">
        <v>30674</v>
      </c>
    </row>
    <row r="2955" spans="1:4" ht="13.5" x14ac:dyDescent="0.25">
      <c r="A2955" s="878" t="s">
        <v>9086</v>
      </c>
      <c r="B2955" s="878" t="s">
        <v>9087</v>
      </c>
      <c r="C2955" s="879" t="s">
        <v>226</v>
      </c>
      <c r="D2955" s="880" t="s">
        <v>41764</v>
      </c>
    </row>
    <row r="2956" spans="1:4" ht="13.5" x14ac:dyDescent="0.25">
      <c r="A2956" s="878" t="s">
        <v>9088</v>
      </c>
      <c r="B2956" s="878" t="s">
        <v>9089</v>
      </c>
      <c r="C2956" s="879" t="s">
        <v>226</v>
      </c>
      <c r="D2956" s="880" t="s">
        <v>41765</v>
      </c>
    </row>
    <row r="2957" spans="1:4" ht="13.5" x14ac:dyDescent="0.25">
      <c r="A2957" s="878" t="s">
        <v>9090</v>
      </c>
      <c r="B2957" s="878" t="s">
        <v>9091</v>
      </c>
      <c r="C2957" s="879" t="s">
        <v>226</v>
      </c>
      <c r="D2957" s="880" t="s">
        <v>41766</v>
      </c>
    </row>
    <row r="2958" spans="1:4" ht="13.5" x14ac:dyDescent="0.25">
      <c r="A2958" s="878" t="s">
        <v>9092</v>
      </c>
      <c r="B2958" s="878" t="s">
        <v>9093</v>
      </c>
      <c r="C2958" s="879" t="s">
        <v>226</v>
      </c>
      <c r="D2958" s="880" t="s">
        <v>41767</v>
      </c>
    </row>
    <row r="2959" spans="1:4" ht="13.5" x14ac:dyDescent="0.25">
      <c r="A2959" s="878" t="s">
        <v>9094</v>
      </c>
      <c r="B2959" s="878" t="s">
        <v>9095</v>
      </c>
      <c r="C2959" s="879" t="s">
        <v>226</v>
      </c>
      <c r="D2959" s="880" t="s">
        <v>41768</v>
      </c>
    </row>
    <row r="2960" spans="1:4" ht="13.5" x14ac:dyDescent="0.25">
      <c r="A2960" s="878" t="s">
        <v>9096</v>
      </c>
      <c r="B2960" s="878" t="s">
        <v>9097</v>
      </c>
      <c r="C2960" s="879" t="s">
        <v>226</v>
      </c>
      <c r="D2960" s="881" t="s">
        <v>8161</v>
      </c>
    </row>
    <row r="2961" spans="1:4" ht="13.5" x14ac:dyDescent="0.25">
      <c r="A2961" s="878" t="s">
        <v>9098</v>
      </c>
      <c r="B2961" s="878" t="s">
        <v>9099</v>
      </c>
      <c r="C2961" s="879" t="s">
        <v>226</v>
      </c>
      <c r="D2961" s="881" t="s">
        <v>41769</v>
      </c>
    </row>
    <row r="2962" spans="1:4" ht="13.5" x14ac:dyDescent="0.25">
      <c r="A2962" s="878" t="s">
        <v>9101</v>
      </c>
      <c r="B2962" s="878" t="s">
        <v>9102</v>
      </c>
      <c r="C2962" s="879" t="s">
        <v>226</v>
      </c>
      <c r="D2962" s="881" t="s">
        <v>41770</v>
      </c>
    </row>
    <row r="2963" spans="1:4" ht="13.5" x14ac:dyDescent="0.25">
      <c r="A2963" s="878" t="s">
        <v>9103</v>
      </c>
      <c r="B2963" s="878" t="s">
        <v>9104</v>
      </c>
      <c r="C2963" s="879" t="s">
        <v>226</v>
      </c>
      <c r="D2963" s="881" t="s">
        <v>41771</v>
      </c>
    </row>
    <row r="2964" spans="1:4" ht="13.5" x14ac:dyDescent="0.25">
      <c r="A2964" s="878" t="s">
        <v>9105</v>
      </c>
      <c r="B2964" s="878" t="s">
        <v>9106</v>
      </c>
      <c r="C2964" s="879" t="s">
        <v>226</v>
      </c>
      <c r="D2964" s="880" t="s">
        <v>41772</v>
      </c>
    </row>
    <row r="2965" spans="1:4" ht="13.5" x14ac:dyDescent="0.25">
      <c r="A2965" s="878" t="s">
        <v>9107</v>
      </c>
      <c r="B2965" s="878" t="s">
        <v>9108</v>
      </c>
      <c r="C2965" s="879" t="s">
        <v>226</v>
      </c>
      <c r="D2965" s="880" t="s">
        <v>41773</v>
      </c>
    </row>
    <row r="2966" spans="1:4" ht="13.5" x14ac:dyDescent="0.25">
      <c r="A2966" s="878" t="s">
        <v>9109</v>
      </c>
      <c r="B2966" s="878" t="s">
        <v>9110</v>
      </c>
      <c r="C2966" s="879" t="s">
        <v>226</v>
      </c>
      <c r="D2966" s="880" t="s">
        <v>41774</v>
      </c>
    </row>
    <row r="2967" spans="1:4" ht="13.5" x14ac:dyDescent="0.25">
      <c r="A2967" s="878" t="s">
        <v>9111</v>
      </c>
      <c r="B2967" s="878" t="s">
        <v>9112</v>
      </c>
      <c r="C2967" s="879" t="s">
        <v>226</v>
      </c>
      <c r="D2967" s="881" t="s">
        <v>41775</v>
      </c>
    </row>
    <row r="2968" spans="1:4" ht="13.5" x14ac:dyDescent="0.25">
      <c r="A2968" s="878" t="s">
        <v>9113</v>
      </c>
      <c r="B2968" s="878" t="s">
        <v>9114</v>
      </c>
      <c r="C2968" s="879" t="s">
        <v>226</v>
      </c>
      <c r="D2968" s="880" t="s">
        <v>41776</v>
      </c>
    </row>
    <row r="2969" spans="1:4" ht="13.5" x14ac:dyDescent="0.25">
      <c r="A2969" s="878" t="s">
        <v>9115</v>
      </c>
      <c r="B2969" s="878" t="s">
        <v>9116</v>
      </c>
      <c r="C2969" s="879" t="s">
        <v>226</v>
      </c>
      <c r="D2969" s="880" t="s">
        <v>41777</v>
      </c>
    </row>
    <row r="2970" spans="1:4" ht="13.5" x14ac:dyDescent="0.25">
      <c r="A2970" s="878" t="s">
        <v>9117</v>
      </c>
      <c r="B2970" s="878" t="s">
        <v>9118</v>
      </c>
      <c r="C2970" s="879" t="s">
        <v>226</v>
      </c>
      <c r="D2970" s="880" t="s">
        <v>41778</v>
      </c>
    </row>
    <row r="2971" spans="1:4" ht="13.5" x14ac:dyDescent="0.25">
      <c r="A2971" s="878" t="s">
        <v>9119</v>
      </c>
      <c r="B2971" s="878" t="s">
        <v>9120</v>
      </c>
      <c r="C2971" s="879" t="s">
        <v>226</v>
      </c>
      <c r="D2971" s="880" t="s">
        <v>41779</v>
      </c>
    </row>
    <row r="2972" spans="1:4" ht="13.5" x14ac:dyDescent="0.25">
      <c r="A2972" s="878" t="s">
        <v>9121</v>
      </c>
      <c r="B2972" s="878" t="s">
        <v>9122</v>
      </c>
      <c r="C2972" s="879" t="s">
        <v>226</v>
      </c>
      <c r="D2972" s="880" t="s">
        <v>41780</v>
      </c>
    </row>
    <row r="2973" spans="1:4" ht="13.5" x14ac:dyDescent="0.25">
      <c r="A2973" s="878" t="s">
        <v>9123</v>
      </c>
      <c r="B2973" s="878" t="s">
        <v>9124</v>
      </c>
      <c r="C2973" s="879" t="s">
        <v>226</v>
      </c>
      <c r="D2973" s="880" t="s">
        <v>41781</v>
      </c>
    </row>
    <row r="2974" spans="1:4" ht="13.5" x14ac:dyDescent="0.25">
      <c r="A2974" s="878" t="s">
        <v>9125</v>
      </c>
      <c r="B2974" s="878" t="s">
        <v>9126</v>
      </c>
      <c r="C2974" s="879" t="s">
        <v>226</v>
      </c>
      <c r="D2974" s="880" t="s">
        <v>41782</v>
      </c>
    </row>
    <row r="2975" spans="1:4" ht="13.5" x14ac:dyDescent="0.25">
      <c r="A2975" s="878" t="s">
        <v>9127</v>
      </c>
      <c r="B2975" s="878" t="s">
        <v>9128</v>
      </c>
      <c r="C2975" s="879" t="s">
        <v>226</v>
      </c>
      <c r="D2975" s="880" t="s">
        <v>41783</v>
      </c>
    </row>
    <row r="2976" spans="1:4" ht="13.5" x14ac:dyDescent="0.25">
      <c r="A2976" s="878" t="s">
        <v>9129</v>
      </c>
      <c r="B2976" s="878" t="s">
        <v>9130</v>
      </c>
      <c r="C2976" s="879" t="s">
        <v>226</v>
      </c>
      <c r="D2976" s="880" t="s">
        <v>30270</v>
      </c>
    </row>
    <row r="2977" spans="1:4" ht="13.5" x14ac:dyDescent="0.25">
      <c r="A2977" s="878" t="s">
        <v>9131</v>
      </c>
      <c r="B2977" s="878" t="s">
        <v>39870</v>
      </c>
      <c r="C2977" s="879" t="s">
        <v>226</v>
      </c>
      <c r="D2977" s="880" t="s">
        <v>14342</v>
      </c>
    </row>
    <row r="2978" spans="1:4" ht="13.5" x14ac:dyDescent="0.25">
      <c r="A2978" s="878" t="s">
        <v>9132</v>
      </c>
      <c r="B2978" s="878" t="s">
        <v>39871</v>
      </c>
      <c r="C2978" s="879" t="s">
        <v>226</v>
      </c>
      <c r="D2978" s="880" t="s">
        <v>10563</v>
      </c>
    </row>
    <row r="2979" spans="1:4" ht="13.5" x14ac:dyDescent="0.25">
      <c r="A2979" s="878" t="s">
        <v>9134</v>
      </c>
      <c r="B2979" s="878" t="s">
        <v>39872</v>
      </c>
      <c r="C2979" s="879" t="s">
        <v>226</v>
      </c>
      <c r="D2979" s="880" t="s">
        <v>8251</v>
      </c>
    </row>
    <row r="2980" spans="1:4" ht="13.5" x14ac:dyDescent="0.25">
      <c r="A2980" s="878" t="s">
        <v>9136</v>
      </c>
      <c r="B2980" s="878" t="s">
        <v>39873</v>
      </c>
      <c r="C2980" s="879" t="s">
        <v>226</v>
      </c>
      <c r="D2980" s="880" t="s">
        <v>4679</v>
      </c>
    </row>
    <row r="2981" spans="1:4" ht="13.5" x14ac:dyDescent="0.25">
      <c r="A2981" s="878" t="s">
        <v>9137</v>
      </c>
      <c r="B2981" s="878" t="s">
        <v>39874</v>
      </c>
      <c r="C2981" s="879" t="s">
        <v>226</v>
      </c>
      <c r="D2981" s="880" t="s">
        <v>41784</v>
      </c>
    </row>
    <row r="2982" spans="1:4" ht="13.5" x14ac:dyDescent="0.25">
      <c r="A2982" s="878" t="s">
        <v>9139</v>
      </c>
      <c r="B2982" s="878" t="s">
        <v>39875</v>
      </c>
      <c r="C2982" s="879" t="s">
        <v>226</v>
      </c>
      <c r="D2982" s="880" t="s">
        <v>31006</v>
      </c>
    </row>
    <row r="2983" spans="1:4" ht="13.5" x14ac:dyDescent="0.25">
      <c r="A2983" s="878" t="s">
        <v>9140</v>
      </c>
      <c r="B2983" s="878" t="s">
        <v>39876</v>
      </c>
      <c r="C2983" s="879" t="s">
        <v>226</v>
      </c>
      <c r="D2983" s="880" t="s">
        <v>41785</v>
      </c>
    </row>
    <row r="2984" spans="1:4" ht="13.5" x14ac:dyDescent="0.25">
      <c r="A2984" s="878" t="s">
        <v>9142</v>
      </c>
      <c r="B2984" s="878" t="s">
        <v>39877</v>
      </c>
      <c r="C2984" s="879" t="s">
        <v>226</v>
      </c>
      <c r="D2984" s="880" t="s">
        <v>31457</v>
      </c>
    </row>
    <row r="2985" spans="1:4" ht="13.5" x14ac:dyDescent="0.25">
      <c r="A2985" s="878" t="s">
        <v>9143</v>
      </c>
      <c r="B2985" s="878" t="s">
        <v>39878</v>
      </c>
      <c r="C2985" s="879" t="s">
        <v>226</v>
      </c>
      <c r="D2985" s="880" t="s">
        <v>31354</v>
      </c>
    </row>
    <row r="2986" spans="1:4" ht="13.5" x14ac:dyDescent="0.25">
      <c r="A2986" s="878" t="s">
        <v>9144</v>
      </c>
      <c r="B2986" s="878" t="s">
        <v>39879</v>
      </c>
      <c r="C2986" s="879" t="s">
        <v>226</v>
      </c>
      <c r="D2986" s="880" t="s">
        <v>40440</v>
      </c>
    </row>
    <row r="2987" spans="1:4" ht="13.5" x14ac:dyDescent="0.25">
      <c r="A2987" s="878" t="s">
        <v>9146</v>
      </c>
      <c r="B2987" s="878" t="s">
        <v>39880</v>
      </c>
      <c r="C2987" s="879" t="s">
        <v>226</v>
      </c>
      <c r="D2987" s="880" t="s">
        <v>41786</v>
      </c>
    </row>
    <row r="2988" spans="1:4" ht="13.5" x14ac:dyDescent="0.25">
      <c r="A2988" s="878" t="s">
        <v>9147</v>
      </c>
      <c r="B2988" s="878" t="s">
        <v>39881</v>
      </c>
      <c r="C2988" s="879" t="s">
        <v>226</v>
      </c>
      <c r="D2988" s="880" t="s">
        <v>41787</v>
      </c>
    </row>
    <row r="2989" spans="1:4" ht="13.5" x14ac:dyDescent="0.25">
      <c r="A2989" s="878" t="s">
        <v>9148</v>
      </c>
      <c r="B2989" s="878" t="s">
        <v>39882</v>
      </c>
      <c r="C2989" s="879" t="s">
        <v>226</v>
      </c>
      <c r="D2989" s="880" t="s">
        <v>30269</v>
      </c>
    </row>
    <row r="2990" spans="1:4" ht="13.5" x14ac:dyDescent="0.25">
      <c r="A2990" s="878" t="s">
        <v>9150</v>
      </c>
      <c r="B2990" s="878" t="s">
        <v>39883</v>
      </c>
      <c r="C2990" s="879" t="s">
        <v>226</v>
      </c>
      <c r="D2990" s="880" t="s">
        <v>41788</v>
      </c>
    </row>
    <row r="2991" spans="1:4" ht="13.5" x14ac:dyDescent="0.25">
      <c r="A2991" s="878" t="s">
        <v>9151</v>
      </c>
      <c r="B2991" s="878" t="s">
        <v>39884</v>
      </c>
      <c r="C2991" s="879" t="s">
        <v>226</v>
      </c>
      <c r="D2991" s="880" t="s">
        <v>41789</v>
      </c>
    </row>
    <row r="2992" spans="1:4" ht="13.5" x14ac:dyDescent="0.25">
      <c r="A2992" s="878" t="s">
        <v>9152</v>
      </c>
      <c r="B2992" s="878" t="s">
        <v>39885</v>
      </c>
      <c r="C2992" s="879" t="s">
        <v>226</v>
      </c>
      <c r="D2992" s="880" t="s">
        <v>41790</v>
      </c>
    </row>
    <row r="2993" spans="1:4" ht="13.5" x14ac:dyDescent="0.25">
      <c r="A2993" s="878" t="s">
        <v>9154</v>
      </c>
      <c r="B2993" s="878" t="s">
        <v>39886</v>
      </c>
      <c r="C2993" s="879" t="s">
        <v>226</v>
      </c>
      <c r="D2993" s="880" t="s">
        <v>40595</v>
      </c>
    </row>
    <row r="2994" spans="1:4" ht="13.5" x14ac:dyDescent="0.25">
      <c r="A2994" s="878" t="s">
        <v>9155</v>
      </c>
      <c r="B2994" s="878" t="s">
        <v>39887</v>
      </c>
      <c r="C2994" s="879" t="s">
        <v>226</v>
      </c>
      <c r="D2994" s="880" t="s">
        <v>30559</v>
      </c>
    </row>
    <row r="2995" spans="1:4" ht="13.5" x14ac:dyDescent="0.25">
      <c r="A2995" s="878" t="s">
        <v>9156</v>
      </c>
      <c r="B2995" s="878" t="s">
        <v>39888</v>
      </c>
      <c r="C2995" s="879" t="s">
        <v>226</v>
      </c>
      <c r="D2995" s="880" t="s">
        <v>41791</v>
      </c>
    </row>
    <row r="2996" spans="1:4" ht="13.5" x14ac:dyDescent="0.25">
      <c r="A2996" s="878" t="s">
        <v>9158</v>
      </c>
      <c r="B2996" s="878" t="s">
        <v>39889</v>
      </c>
      <c r="C2996" s="879" t="s">
        <v>226</v>
      </c>
      <c r="D2996" s="880" t="s">
        <v>41792</v>
      </c>
    </row>
    <row r="2997" spans="1:4" ht="13.5" x14ac:dyDescent="0.25">
      <c r="A2997" s="878" t="s">
        <v>9159</v>
      </c>
      <c r="B2997" s="878" t="s">
        <v>39890</v>
      </c>
      <c r="C2997" s="879" t="s">
        <v>226</v>
      </c>
      <c r="D2997" s="880" t="s">
        <v>41793</v>
      </c>
    </row>
    <row r="2998" spans="1:4" ht="13.5" x14ac:dyDescent="0.25">
      <c r="A2998" s="878" t="s">
        <v>9160</v>
      </c>
      <c r="B2998" s="878" t="s">
        <v>39891</v>
      </c>
      <c r="C2998" s="879" t="s">
        <v>226</v>
      </c>
      <c r="D2998" s="880" t="s">
        <v>9309</v>
      </c>
    </row>
    <row r="2999" spans="1:4" ht="13.5" x14ac:dyDescent="0.25">
      <c r="A2999" s="878" t="s">
        <v>9162</v>
      </c>
      <c r="B2999" s="878" t="s">
        <v>39892</v>
      </c>
      <c r="C2999" s="879" t="s">
        <v>226</v>
      </c>
      <c r="D2999" s="880" t="s">
        <v>41794</v>
      </c>
    </row>
    <row r="3000" spans="1:4" ht="13.5" x14ac:dyDescent="0.25">
      <c r="A3000" s="878" t="s">
        <v>9163</v>
      </c>
      <c r="B3000" s="878" t="s">
        <v>39893</v>
      </c>
      <c r="C3000" s="879" t="s">
        <v>226</v>
      </c>
      <c r="D3000" s="880" t="s">
        <v>41795</v>
      </c>
    </row>
    <row r="3001" spans="1:4" ht="13.5" x14ac:dyDescent="0.25">
      <c r="A3001" s="878" t="s">
        <v>9164</v>
      </c>
      <c r="B3001" s="878" t="s">
        <v>39894</v>
      </c>
      <c r="C3001" s="879" t="s">
        <v>226</v>
      </c>
      <c r="D3001" s="880" t="s">
        <v>41796</v>
      </c>
    </row>
    <row r="3002" spans="1:4" ht="13.5" x14ac:dyDescent="0.25">
      <c r="A3002" s="878" t="s">
        <v>9165</v>
      </c>
      <c r="B3002" s="878" t="s">
        <v>39895</v>
      </c>
      <c r="C3002" s="879" t="s">
        <v>226</v>
      </c>
      <c r="D3002" s="880" t="s">
        <v>41797</v>
      </c>
    </row>
    <row r="3003" spans="1:4" ht="13.5" x14ac:dyDescent="0.25">
      <c r="A3003" s="878" t="s">
        <v>9166</v>
      </c>
      <c r="B3003" s="878" t="s">
        <v>39896</v>
      </c>
      <c r="C3003" s="879" t="s">
        <v>226</v>
      </c>
      <c r="D3003" s="880" t="s">
        <v>41798</v>
      </c>
    </row>
    <row r="3004" spans="1:4" ht="13.5" x14ac:dyDescent="0.25">
      <c r="A3004" s="878" t="s">
        <v>9167</v>
      </c>
      <c r="B3004" s="878" t="s">
        <v>39897</v>
      </c>
      <c r="C3004" s="879" t="s">
        <v>226</v>
      </c>
      <c r="D3004" s="880" t="s">
        <v>41799</v>
      </c>
    </row>
    <row r="3005" spans="1:4" ht="13.5" x14ac:dyDescent="0.25">
      <c r="A3005" s="878" t="s">
        <v>9168</v>
      </c>
      <c r="B3005" s="878" t="s">
        <v>39898</v>
      </c>
      <c r="C3005" s="879" t="s">
        <v>226</v>
      </c>
      <c r="D3005" s="880" t="s">
        <v>41800</v>
      </c>
    </row>
    <row r="3006" spans="1:4" ht="13.5" x14ac:dyDescent="0.25">
      <c r="A3006" s="878" t="s">
        <v>9169</v>
      </c>
      <c r="B3006" s="878" t="s">
        <v>39899</v>
      </c>
      <c r="C3006" s="879" t="s">
        <v>226</v>
      </c>
      <c r="D3006" s="880" t="s">
        <v>41801</v>
      </c>
    </row>
    <row r="3007" spans="1:4" ht="13.5" x14ac:dyDescent="0.25">
      <c r="A3007" s="878" t="s">
        <v>9170</v>
      </c>
      <c r="B3007" s="878" t="s">
        <v>39900</v>
      </c>
      <c r="C3007" s="879" t="s">
        <v>226</v>
      </c>
      <c r="D3007" s="880" t="s">
        <v>41802</v>
      </c>
    </row>
    <row r="3008" spans="1:4" ht="13.5" x14ac:dyDescent="0.25">
      <c r="A3008" s="878" t="s">
        <v>9171</v>
      </c>
      <c r="B3008" s="878" t="s">
        <v>39901</v>
      </c>
      <c r="C3008" s="879" t="s">
        <v>226</v>
      </c>
      <c r="D3008" s="880" t="s">
        <v>41803</v>
      </c>
    </row>
    <row r="3009" spans="1:4" ht="13.5" x14ac:dyDescent="0.25">
      <c r="A3009" s="878" t="s">
        <v>9172</v>
      </c>
      <c r="B3009" s="878" t="s">
        <v>39902</v>
      </c>
      <c r="C3009" s="879" t="s">
        <v>226</v>
      </c>
      <c r="D3009" s="880" t="s">
        <v>41804</v>
      </c>
    </row>
    <row r="3010" spans="1:4" ht="13.5" x14ac:dyDescent="0.25">
      <c r="A3010" s="878" t="s">
        <v>9173</v>
      </c>
      <c r="B3010" s="878" t="s">
        <v>39903</v>
      </c>
      <c r="C3010" s="879" t="s">
        <v>226</v>
      </c>
      <c r="D3010" s="880" t="s">
        <v>31224</v>
      </c>
    </row>
    <row r="3011" spans="1:4" ht="13.5" x14ac:dyDescent="0.25">
      <c r="A3011" s="878" t="s">
        <v>9174</v>
      </c>
      <c r="B3011" s="878" t="s">
        <v>39904</v>
      </c>
      <c r="C3011" s="879" t="s">
        <v>226</v>
      </c>
      <c r="D3011" s="880" t="s">
        <v>41805</v>
      </c>
    </row>
    <row r="3012" spans="1:4" ht="13.5" x14ac:dyDescent="0.25">
      <c r="A3012" s="878" t="s">
        <v>9175</v>
      </c>
      <c r="B3012" s="878" t="s">
        <v>39905</v>
      </c>
      <c r="C3012" s="879" t="s">
        <v>226</v>
      </c>
      <c r="D3012" s="880" t="s">
        <v>40160</v>
      </c>
    </row>
    <row r="3013" spans="1:4" ht="13.5" x14ac:dyDescent="0.25">
      <c r="A3013" s="878" t="s">
        <v>9176</v>
      </c>
      <c r="B3013" s="878" t="s">
        <v>39906</v>
      </c>
      <c r="C3013" s="879" t="s">
        <v>226</v>
      </c>
      <c r="D3013" s="880" t="s">
        <v>41806</v>
      </c>
    </row>
    <row r="3014" spans="1:4" ht="13.5" x14ac:dyDescent="0.25">
      <c r="A3014" s="878" t="s">
        <v>9177</v>
      </c>
      <c r="B3014" s="878" t="s">
        <v>39907</v>
      </c>
      <c r="C3014" s="879" t="s">
        <v>226</v>
      </c>
      <c r="D3014" s="880" t="s">
        <v>41807</v>
      </c>
    </row>
    <row r="3015" spans="1:4" ht="13.5" x14ac:dyDescent="0.25">
      <c r="A3015" s="878" t="s">
        <v>9178</v>
      </c>
      <c r="B3015" s="878" t="s">
        <v>39908</v>
      </c>
      <c r="C3015" s="879" t="s">
        <v>226</v>
      </c>
      <c r="D3015" s="880" t="s">
        <v>41808</v>
      </c>
    </row>
    <row r="3016" spans="1:4" ht="13.5" x14ac:dyDescent="0.25">
      <c r="A3016" s="878" t="s">
        <v>9180</v>
      </c>
      <c r="B3016" s="878" t="s">
        <v>39909</v>
      </c>
      <c r="C3016" s="879" t="s">
        <v>226</v>
      </c>
      <c r="D3016" s="880" t="s">
        <v>41809</v>
      </c>
    </row>
    <row r="3017" spans="1:4" ht="13.5" x14ac:dyDescent="0.25">
      <c r="A3017" s="878" t="s">
        <v>9181</v>
      </c>
      <c r="B3017" s="878" t="s">
        <v>39910</v>
      </c>
      <c r="C3017" s="879" t="s">
        <v>226</v>
      </c>
      <c r="D3017" s="880" t="s">
        <v>41810</v>
      </c>
    </row>
    <row r="3018" spans="1:4" ht="13.5" x14ac:dyDescent="0.25">
      <c r="A3018" s="878" t="s">
        <v>9183</v>
      </c>
      <c r="B3018" s="878" t="s">
        <v>39911</v>
      </c>
      <c r="C3018" s="879" t="s">
        <v>226</v>
      </c>
      <c r="D3018" s="880" t="s">
        <v>30448</v>
      </c>
    </row>
    <row r="3019" spans="1:4" ht="13.5" x14ac:dyDescent="0.25">
      <c r="A3019" s="878" t="s">
        <v>9184</v>
      </c>
      <c r="B3019" s="878" t="s">
        <v>39912</v>
      </c>
      <c r="C3019" s="879" t="s">
        <v>226</v>
      </c>
      <c r="D3019" s="880" t="s">
        <v>31343</v>
      </c>
    </row>
    <row r="3020" spans="1:4" ht="13.5" x14ac:dyDescent="0.25">
      <c r="A3020" s="878" t="s">
        <v>9185</v>
      </c>
      <c r="B3020" s="878" t="s">
        <v>39913</v>
      </c>
      <c r="C3020" s="879" t="s">
        <v>226</v>
      </c>
      <c r="D3020" s="880" t="s">
        <v>41811</v>
      </c>
    </row>
    <row r="3021" spans="1:4" ht="13.5" x14ac:dyDescent="0.25">
      <c r="A3021" s="878" t="s">
        <v>9187</v>
      </c>
      <c r="B3021" s="878" t="s">
        <v>39914</v>
      </c>
      <c r="C3021" s="879" t="s">
        <v>226</v>
      </c>
      <c r="D3021" s="880" t="s">
        <v>41812</v>
      </c>
    </row>
    <row r="3022" spans="1:4" ht="13.5" x14ac:dyDescent="0.25">
      <c r="A3022" s="878" t="s">
        <v>9188</v>
      </c>
      <c r="B3022" s="878" t="s">
        <v>39915</v>
      </c>
      <c r="C3022" s="879" t="s">
        <v>226</v>
      </c>
      <c r="D3022" s="880" t="s">
        <v>31219</v>
      </c>
    </row>
    <row r="3023" spans="1:4" ht="13.5" x14ac:dyDescent="0.25">
      <c r="A3023" s="878" t="s">
        <v>9190</v>
      </c>
      <c r="B3023" s="878" t="s">
        <v>39916</v>
      </c>
      <c r="C3023" s="879" t="s">
        <v>226</v>
      </c>
      <c r="D3023" s="880" t="s">
        <v>41813</v>
      </c>
    </row>
    <row r="3024" spans="1:4" ht="13.5" x14ac:dyDescent="0.25">
      <c r="A3024" s="878" t="s">
        <v>9191</v>
      </c>
      <c r="B3024" s="878" t="s">
        <v>39917</v>
      </c>
      <c r="C3024" s="879" t="s">
        <v>226</v>
      </c>
      <c r="D3024" s="880" t="s">
        <v>41814</v>
      </c>
    </row>
    <row r="3025" spans="1:4" ht="13.5" x14ac:dyDescent="0.25">
      <c r="A3025" s="878" t="s">
        <v>9193</v>
      </c>
      <c r="B3025" s="878" t="s">
        <v>39918</v>
      </c>
      <c r="C3025" s="879" t="s">
        <v>226</v>
      </c>
      <c r="D3025" s="880" t="s">
        <v>30195</v>
      </c>
    </row>
    <row r="3026" spans="1:4" ht="13.5" x14ac:dyDescent="0.25">
      <c r="A3026" s="878" t="s">
        <v>9194</v>
      </c>
      <c r="B3026" s="878" t="s">
        <v>39919</v>
      </c>
      <c r="C3026" s="879" t="s">
        <v>226</v>
      </c>
      <c r="D3026" s="880" t="s">
        <v>15603</v>
      </c>
    </row>
    <row r="3027" spans="1:4" ht="13.5" x14ac:dyDescent="0.25">
      <c r="A3027" s="878" t="s">
        <v>9195</v>
      </c>
      <c r="B3027" s="878" t="s">
        <v>39920</v>
      </c>
      <c r="C3027" s="879" t="s">
        <v>226</v>
      </c>
      <c r="D3027" s="880" t="s">
        <v>41815</v>
      </c>
    </row>
    <row r="3028" spans="1:4" ht="13.5" x14ac:dyDescent="0.25">
      <c r="A3028" s="878" t="s">
        <v>9196</v>
      </c>
      <c r="B3028" s="878" t="s">
        <v>39921</v>
      </c>
      <c r="C3028" s="879" t="s">
        <v>226</v>
      </c>
      <c r="D3028" s="880" t="s">
        <v>30970</v>
      </c>
    </row>
    <row r="3029" spans="1:4" ht="13.5" x14ac:dyDescent="0.25">
      <c r="A3029" s="878" t="s">
        <v>9197</v>
      </c>
      <c r="B3029" s="878" t="s">
        <v>39922</v>
      </c>
      <c r="C3029" s="879" t="s">
        <v>226</v>
      </c>
      <c r="D3029" s="880" t="s">
        <v>41702</v>
      </c>
    </row>
    <row r="3030" spans="1:4" ht="13.5" x14ac:dyDescent="0.25">
      <c r="A3030" s="878" t="s">
        <v>9198</v>
      </c>
      <c r="B3030" s="878" t="s">
        <v>39923</v>
      </c>
      <c r="C3030" s="879" t="s">
        <v>226</v>
      </c>
      <c r="D3030" s="880" t="s">
        <v>30467</v>
      </c>
    </row>
    <row r="3031" spans="1:4" ht="13.5" x14ac:dyDescent="0.25">
      <c r="A3031" s="878" t="s">
        <v>9200</v>
      </c>
      <c r="B3031" s="878" t="s">
        <v>39924</v>
      </c>
      <c r="C3031" s="879" t="s">
        <v>226</v>
      </c>
      <c r="D3031" s="880" t="s">
        <v>41816</v>
      </c>
    </row>
    <row r="3032" spans="1:4" ht="13.5" x14ac:dyDescent="0.25">
      <c r="A3032" s="878" t="s">
        <v>9202</v>
      </c>
      <c r="B3032" s="878" t="s">
        <v>39925</v>
      </c>
      <c r="C3032" s="879" t="s">
        <v>226</v>
      </c>
      <c r="D3032" s="880" t="s">
        <v>12288</v>
      </c>
    </row>
    <row r="3033" spans="1:4" ht="13.5" x14ac:dyDescent="0.25">
      <c r="A3033" s="878" t="s">
        <v>9203</v>
      </c>
      <c r="B3033" s="878" t="s">
        <v>39926</v>
      </c>
      <c r="C3033" s="879" t="s">
        <v>226</v>
      </c>
      <c r="D3033" s="880" t="s">
        <v>41817</v>
      </c>
    </row>
    <row r="3034" spans="1:4" ht="13.5" x14ac:dyDescent="0.25">
      <c r="A3034" s="878" t="s">
        <v>9204</v>
      </c>
      <c r="B3034" s="878" t="s">
        <v>39927</v>
      </c>
      <c r="C3034" s="879" t="s">
        <v>226</v>
      </c>
      <c r="D3034" s="880" t="s">
        <v>31188</v>
      </c>
    </row>
    <row r="3035" spans="1:4" ht="13.5" x14ac:dyDescent="0.25">
      <c r="A3035" s="878" t="s">
        <v>9205</v>
      </c>
      <c r="B3035" s="878" t="s">
        <v>39928</v>
      </c>
      <c r="C3035" s="879" t="s">
        <v>226</v>
      </c>
      <c r="D3035" s="880" t="s">
        <v>41818</v>
      </c>
    </row>
    <row r="3036" spans="1:4" ht="13.5" x14ac:dyDescent="0.25">
      <c r="A3036" s="878" t="s">
        <v>9207</v>
      </c>
      <c r="B3036" s="878" t="s">
        <v>39929</v>
      </c>
      <c r="C3036" s="879" t="s">
        <v>226</v>
      </c>
      <c r="D3036" s="880" t="s">
        <v>41819</v>
      </c>
    </row>
    <row r="3037" spans="1:4" ht="13.5" x14ac:dyDescent="0.25">
      <c r="A3037" s="878" t="s">
        <v>9208</v>
      </c>
      <c r="B3037" s="878" t="s">
        <v>39930</v>
      </c>
      <c r="C3037" s="879" t="s">
        <v>226</v>
      </c>
      <c r="D3037" s="880" t="s">
        <v>30741</v>
      </c>
    </row>
    <row r="3038" spans="1:4" ht="13.5" x14ac:dyDescent="0.25">
      <c r="A3038" s="878" t="s">
        <v>9210</v>
      </c>
      <c r="B3038" s="878" t="s">
        <v>39931</v>
      </c>
      <c r="C3038" s="879" t="s">
        <v>226</v>
      </c>
      <c r="D3038" s="880" t="s">
        <v>41820</v>
      </c>
    </row>
    <row r="3039" spans="1:4" ht="13.5" x14ac:dyDescent="0.25">
      <c r="A3039" s="878" t="s">
        <v>9211</v>
      </c>
      <c r="B3039" s="878" t="s">
        <v>39932</v>
      </c>
      <c r="C3039" s="879" t="s">
        <v>226</v>
      </c>
      <c r="D3039" s="880" t="s">
        <v>41821</v>
      </c>
    </row>
    <row r="3040" spans="1:4" ht="13.5" x14ac:dyDescent="0.25">
      <c r="A3040" s="878" t="s">
        <v>9212</v>
      </c>
      <c r="B3040" s="878" t="s">
        <v>39933</v>
      </c>
      <c r="C3040" s="879" t="s">
        <v>226</v>
      </c>
      <c r="D3040" s="880" t="s">
        <v>41822</v>
      </c>
    </row>
    <row r="3041" spans="1:4" ht="13.5" x14ac:dyDescent="0.25">
      <c r="A3041" s="878" t="s">
        <v>9213</v>
      </c>
      <c r="B3041" s="878" t="s">
        <v>39934</v>
      </c>
      <c r="C3041" s="879" t="s">
        <v>226</v>
      </c>
      <c r="D3041" s="880" t="s">
        <v>41823</v>
      </c>
    </row>
    <row r="3042" spans="1:4" ht="13.5" x14ac:dyDescent="0.25">
      <c r="A3042" s="878" t="s">
        <v>9214</v>
      </c>
      <c r="B3042" s="878" t="s">
        <v>39935</v>
      </c>
      <c r="C3042" s="879" t="s">
        <v>226</v>
      </c>
      <c r="D3042" s="880" t="s">
        <v>41824</v>
      </c>
    </row>
    <row r="3043" spans="1:4" ht="13.5" x14ac:dyDescent="0.25">
      <c r="A3043" s="878" t="s">
        <v>9216</v>
      </c>
      <c r="B3043" s="878" t="s">
        <v>39936</v>
      </c>
      <c r="C3043" s="879" t="s">
        <v>226</v>
      </c>
      <c r="D3043" s="880" t="s">
        <v>41825</v>
      </c>
    </row>
    <row r="3044" spans="1:4" ht="13.5" x14ac:dyDescent="0.25">
      <c r="A3044" s="878" t="s">
        <v>9217</v>
      </c>
      <c r="B3044" s="878" t="s">
        <v>39937</v>
      </c>
      <c r="C3044" s="879" t="s">
        <v>226</v>
      </c>
      <c r="D3044" s="880" t="s">
        <v>41826</v>
      </c>
    </row>
    <row r="3045" spans="1:4" ht="13.5" x14ac:dyDescent="0.25">
      <c r="A3045" s="878" t="s">
        <v>9218</v>
      </c>
      <c r="B3045" s="878" t="s">
        <v>39938</v>
      </c>
      <c r="C3045" s="879" t="s">
        <v>226</v>
      </c>
      <c r="D3045" s="880" t="s">
        <v>41827</v>
      </c>
    </row>
    <row r="3046" spans="1:4" ht="13.5" x14ac:dyDescent="0.25">
      <c r="A3046" s="878" t="s">
        <v>9219</v>
      </c>
      <c r="B3046" s="878" t="s">
        <v>39939</v>
      </c>
      <c r="C3046" s="879" t="s">
        <v>226</v>
      </c>
      <c r="D3046" s="880" t="s">
        <v>31251</v>
      </c>
    </row>
    <row r="3047" spans="1:4" ht="13.5" x14ac:dyDescent="0.25">
      <c r="A3047" s="878" t="s">
        <v>9220</v>
      </c>
      <c r="B3047" s="878" t="s">
        <v>39940</v>
      </c>
      <c r="C3047" s="879" t="s">
        <v>226</v>
      </c>
      <c r="D3047" s="880" t="s">
        <v>41828</v>
      </c>
    </row>
    <row r="3048" spans="1:4" ht="13.5" x14ac:dyDescent="0.25">
      <c r="A3048" s="878" t="s">
        <v>9221</v>
      </c>
      <c r="B3048" s="878" t="s">
        <v>39941</v>
      </c>
      <c r="C3048" s="879" t="s">
        <v>226</v>
      </c>
      <c r="D3048" s="880" t="s">
        <v>31045</v>
      </c>
    </row>
    <row r="3049" spans="1:4" ht="13.5" x14ac:dyDescent="0.25">
      <c r="A3049" s="878" t="s">
        <v>9222</v>
      </c>
      <c r="B3049" s="878" t="s">
        <v>39942</v>
      </c>
      <c r="C3049" s="879" t="s">
        <v>226</v>
      </c>
      <c r="D3049" s="880" t="s">
        <v>30531</v>
      </c>
    </row>
    <row r="3050" spans="1:4" ht="13.5" x14ac:dyDescent="0.25">
      <c r="A3050" s="878" t="s">
        <v>9223</v>
      </c>
      <c r="B3050" s="878" t="s">
        <v>39943</v>
      </c>
      <c r="C3050" s="879" t="s">
        <v>226</v>
      </c>
      <c r="D3050" s="880" t="s">
        <v>41829</v>
      </c>
    </row>
    <row r="3051" spans="1:4" ht="13.5" x14ac:dyDescent="0.25">
      <c r="A3051" s="878" t="s">
        <v>9224</v>
      </c>
      <c r="B3051" s="878" t="s">
        <v>39944</v>
      </c>
      <c r="C3051" s="879" t="s">
        <v>226</v>
      </c>
      <c r="D3051" s="880" t="s">
        <v>41830</v>
      </c>
    </row>
    <row r="3052" spans="1:4" ht="13.5" x14ac:dyDescent="0.25">
      <c r="A3052" s="878" t="s">
        <v>9225</v>
      </c>
      <c r="B3052" s="878" t="s">
        <v>39945</v>
      </c>
      <c r="C3052" s="879" t="s">
        <v>226</v>
      </c>
      <c r="D3052" s="880" t="s">
        <v>41831</v>
      </c>
    </row>
    <row r="3053" spans="1:4" ht="13.5" x14ac:dyDescent="0.25">
      <c r="A3053" s="878" t="s">
        <v>9226</v>
      </c>
      <c r="B3053" s="878" t="s">
        <v>39946</v>
      </c>
      <c r="C3053" s="879" t="s">
        <v>226</v>
      </c>
      <c r="D3053" s="880" t="s">
        <v>41832</v>
      </c>
    </row>
    <row r="3054" spans="1:4" ht="13.5" x14ac:dyDescent="0.25">
      <c r="A3054" s="878" t="s">
        <v>9227</v>
      </c>
      <c r="B3054" s="878" t="s">
        <v>39947</v>
      </c>
      <c r="C3054" s="879" t="s">
        <v>226</v>
      </c>
      <c r="D3054" s="880" t="s">
        <v>40201</v>
      </c>
    </row>
    <row r="3055" spans="1:4" ht="13.5" x14ac:dyDescent="0.25">
      <c r="A3055" s="878" t="s">
        <v>9228</v>
      </c>
      <c r="B3055" s="878" t="s">
        <v>39948</v>
      </c>
      <c r="C3055" s="879" t="s">
        <v>226</v>
      </c>
      <c r="D3055" s="880" t="s">
        <v>41833</v>
      </c>
    </row>
    <row r="3056" spans="1:4" ht="13.5" x14ac:dyDescent="0.25">
      <c r="A3056" s="878" t="s">
        <v>9229</v>
      </c>
      <c r="B3056" s="878" t="s">
        <v>39949</v>
      </c>
      <c r="C3056" s="879" t="s">
        <v>226</v>
      </c>
      <c r="D3056" s="880" t="s">
        <v>41834</v>
      </c>
    </row>
    <row r="3057" spans="1:4" ht="13.5" x14ac:dyDescent="0.25">
      <c r="A3057" s="878" t="s">
        <v>9230</v>
      </c>
      <c r="B3057" s="878" t="s">
        <v>39950</v>
      </c>
      <c r="C3057" s="879" t="s">
        <v>226</v>
      </c>
      <c r="D3057" s="880" t="s">
        <v>41835</v>
      </c>
    </row>
    <row r="3058" spans="1:4" ht="13.5" x14ac:dyDescent="0.25">
      <c r="A3058" s="878" t="s">
        <v>9231</v>
      </c>
      <c r="B3058" s="878" t="s">
        <v>39951</v>
      </c>
      <c r="C3058" s="879" t="s">
        <v>226</v>
      </c>
      <c r="D3058" s="880" t="s">
        <v>41836</v>
      </c>
    </row>
    <row r="3059" spans="1:4" ht="13.5" x14ac:dyDescent="0.25">
      <c r="A3059" s="878" t="s">
        <v>9232</v>
      </c>
      <c r="B3059" s="878" t="s">
        <v>39952</v>
      </c>
      <c r="C3059" s="879" t="s">
        <v>226</v>
      </c>
      <c r="D3059" s="880" t="s">
        <v>41837</v>
      </c>
    </row>
    <row r="3060" spans="1:4" ht="13.5" x14ac:dyDescent="0.25">
      <c r="A3060" s="878" t="s">
        <v>9233</v>
      </c>
      <c r="B3060" s="878" t="s">
        <v>39953</v>
      </c>
      <c r="C3060" s="879" t="s">
        <v>226</v>
      </c>
      <c r="D3060" s="880" t="s">
        <v>41629</v>
      </c>
    </row>
    <row r="3061" spans="1:4" ht="13.5" x14ac:dyDescent="0.25">
      <c r="A3061" s="878" t="s">
        <v>9234</v>
      </c>
      <c r="B3061" s="878" t="s">
        <v>39954</v>
      </c>
      <c r="C3061" s="879" t="s">
        <v>226</v>
      </c>
      <c r="D3061" s="880" t="s">
        <v>41627</v>
      </c>
    </row>
    <row r="3062" spans="1:4" ht="13.5" x14ac:dyDescent="0.25">
      <c r="A3062" s="878" t="s">
        <v>9235</v>
      </c>
      <c r="B3062" s="878" t="s">
        <v>39955</v>
      </c>
      <c r="C3062" s="879" t="s">
        <v>226</v>
      </c>
      <c r="D3062" s="880" t="s">
        <v>41838</v>
      </c>
    </row>
    <row r="3063" spans="1:4" ht="13.5" x14ac:dyDescent="0.25">
      <c r="A3063" s="878" t="s">
        <v>9236</v>
      </c>
      <c r="B3063" s="878" t="s">
        <v>39956</v>
      </c>
      <c r="C3063" s="879" t="s">
        <v>226</v>
      </c>
      <c r="D3063" s="880" t="s">
        <v>41839</v>
      </c>
    </row>
    <row r="3064" spans="1:4" ht="13.5" x14ac:dyDescent="0.25">
      <c r="A3064" s="878" t="s">
        <v>9237</v>
      </c>
      <c r="B3064" s="878" t="s">
        <v>39957</v>
      </c>
      <c r="C3064" s="879" t="s">
        <v>226</v>
      </c>
      <c r="D3064" s="880" t="s">
        <v>41840</v>
      </c>
    </row>
    <row r="3065" spans="1:4" ht="13.5" x14ac:dyDescent="0.25">
      <c r="A3065" s="878" t="s">
        <v>9238</v>
      </c>
      <c r="B3065" s="878" t="s">
        <v>39958</v>
      </c>
      <c r="C3065" s="879" t="s">
        <v>226</v>
      </c>
      <c r="D3065" s="880" t="s">
        <v>15061</v>
      </c>
    </row>
    <row r="3066" spans="1:4" ht="13.5" x14ac:dyDescent="0.25">
      <c r="A3066" s="878" t="s">
        <v>9239</v>
      </c>
      <c r="B3066" s="878" t="s">
        <v>39959</v>
      </c>
      <c r="C3066" s="879" t="s">
        <v>226</v>
      </c>
      <c r="D3066" s="880" t="s">
        <v>41841</v>
      </c>
    </row>
    <row r="3067" spans="1:4" ht="13.5" x14ac:dyDescent="0.25">
      <c r="A3067" s="878" t="s">
        <v>9240</v>
      </c>
      <c r="B3067" s="878" t="s">
        <v>9241</v>
      </c>
      <c r="C3067" s="879" t="s">
        <v>226</v>
      </c>
      <c r="D3067" s="880" t="s">
        <v>41842</v>
      </c>
    </row>
    <row r="3068" spans="1:4" ht="13.5" x14ac:dyDescent="0.25">
      <c r="A3068" s="878" t="s">
        <v>9242</v>
      </c>
      <c r="B3068" s="878" t="s">
        <v>9243</v>
      </c>
      <c r="C3068" s="879" t="s">
        <v>226</v>
      </c>
      <c r="D3068" s="880" t="s">
        <v>41843</v>
      </c>
    </row>
    <row r="3069" spans="1:4" ht="13.5" x14ac:dyDescent="0.25">
      <c r="A3069" s="878" t="s">
        <v>9244</v>
      </c>
      <c r="B3069" s="878" t="s">
        <v>9245</v>
      </c>
      <c r="C3069" s="879" t="s">
        <v>226</v>
      </c>
      <c r="D3069" s="880" t="s">
        <v>41844</v>
      </c>
    </row>
    <row r="3070" spans="1:4" ht="13.5" x14ac:dyDescent="0.25">
      <c r="A3070" s="878" t="s">
        <v>9246</v>
      </c>
      <c r="B3070" s="878" t="s">
        <v>9247</v>
      </c>
      <c r="C3070" s="879" t="s">
        <v>226</v>
      </c>
      <c r="D3070" s="880" t="s">
        <v>41845</v>
      </c>
    </row>
    <row r="3071" spans="1:4" ht="13.5" x14ac:dyDescent="0.25">
      <c r="A3071" s="878" t="s">
        <v>9248</v>
      </c>
      <c r="B3071" s="878" t="s">
        <v>9249</v>
      </c>
      <c r="C3071" s="879" t="s">
        <v>226</v>
      </c>
      <c r="D3071" s="880" t="s">
        <v>41846</v>
      </c>
    </row>
    <row r="3072" spans="1:4" ht="13.5" x14ac:dyDescent="0.25">
      <c r="A3072" s="878" t="s">
        <v>9250</v>
      </c>
      <c r="B3072" s="878" t="s">
        <v>9251</v>
      </c>
      <c r="C3072" s="879" t="s">
        <v>226</v>
      </c>
      <c r="D3072" s="880" t="s">
        <v>41847</v>
      </c>
    </row>
    <row r="3073" spans="1:4" ht="13.5" x14ac:dyDescent="0.25">
      <c r="A3073" s="878" t="s">
        <v>9252</v>
      </c>
      <c r="B3073" s="878" t="s">
        <v>9253</v>
      </c>
      <c r="C3073" s="879" t="s">
        <v>226</v>
      </c>
      <c r="D3073" s="880" t="s">
        <v>41848</v>
      </c>
    </row>
    <row r="3074" spans="1:4" ht="13.5" x14ac:dyDescent="0.25">
      <c r="A3074" s="878" t="s">
        <v>9254</v>
      </c>
      <c r="B3074" s="878" t="s">
        <v>9255</v>
      </c>
      <c r="C3074" s="879" t="s">
        <v>226</v>
      </c>
      <c r="D3074" s="880" t="s">
        <v>41849</v>
      </c>
    </row>
    <row r="3075" spans="1:4" ht="13.5" x14ac:dyDescent="0.25">
      <c r="A3075" s="878" t="s">
        <v>9256</v>
      </c>
      <c r="B3075" s="878" t="s">
        <v>9257</v>
      </c>
      <c r="C3075" s="879" t="s">
        <v>226</v>
      </c>
      <c r="D3075" s="880" t="s">
        <v>41850</v>
      </c>
    </row>
    <row r="3076" spans="1:4" ht="13.5" x14ac:dyDescent="0.25">
      <c r="A3076" s="878" t="s">
        <v>9258</v>
      </c>
      <c r="B3076" s="878" t="s">
        <v>9259</v>
      </c>
      <c r="C3076" s="879" t="s">
        <v>226</v>
      </c>
      <c r="D3076" s="880" t="s">
        <v>41851</v>
      </c>
    </row>
    <row r="3077" spans="1:4" ht="13.5" x14ac:dyDescent="0.25">
      <c r="A3077" s="878" t="s">
        <v>9260</v>
      </c>
      <c r="B3077" s="878" t="s">
        <v>9261</v>
      </c>
      <c r="C3077" s="879" t="s">
        <v>226</v>
      </c>
      <c r="D3077" s="880" t="s">
        <v>41852</v>
      </c>
    </row>
    <row r="3078" spans="1:4" ht="13.5" x14ac:dyDescent="0.25">
      <c r="A3078" s="878" t="s">
        <v>9262</v>
      </c>
      <c r="B3078" s="878" t="s">
        <v>9263</v>
      </c>
      <c r="C3078" s="879" t="s">
        <v>226</v>
      </c>
      <c r="D3078" s="880" t="s">
        <v>41853</v>
      </c>
    </row>
    <row r="3079" spans="1:4" ht="13.5" x14ac:dyDescent="0.25">
      <c r="A3079" s="878" t="s">
        <v>9264</v>
      </c>
      <c r="B3079" s="878" t="s">
        <v>9265</v>
      </c>
      <c r="C3079" s="879" t="s">
        <v>226</v>
      </c>
      <c r="D3079" s="880" t="s">
        <v>41854</v>
      </c>
    </row>
    <row r="3080" spans="1:4" ht="13.5" x14ac:dyDescent="0.25">
      <c r="A3080" s="878" t="s">
        <v>9267</v>
      </c>
      <c r="B3080" s="878" t="s">
        <v>9268</v>
      </c>
      <c r="C3080" s="879" t="s">
        <v>226</v>
      </c>
      <c r="D3080" s="880" t="s">
        <v>41855</v>
      </c>
    </row>
    <row r="3081" spans="1:4" ht="13.5" x14ac:dyDescent="0.25">
      <c r="A3081" s="878" t="s">
        <v>9269</v>
      </c>
      <c r="B3081" s="878" t="s">
        <v>9270</v>
      </c>
      <c r="C3081" s="879" t="s">
        <v>226</v>
      </c>
      <c r="D3081" s="880" t="s">
        <v>41856</v>
      </c>
    </row>
    <row r="3082" spans="1:4" ht="13.5" x14ac:dyDescent="0.25">
      <c r="A3082" s="878" t="s">
        <v>9272</v>
      </c>
      <c r="B3082" s="878" t="s">
        <v>9273</v>
      </c>
      <c r="C3082" s="879" t="s">
        <v>226</v>
      </c>
      <c r="D3082" s="880" t="s">
        <v>30546</v>
      </c>
    </row>
    <row r="3083" spans="1:4" ht="13.5" x14ac:dyDescent="0.25">
      <c r="A3083" s="878" t="s">
        <v>9274</v>
      </c>
      <c r="B3083" s="878" t="s">
        <v>9275</v>
      </c>
      <c r="C3083" s="879" t="s">
        <v>226</v>
      </c>
      <c r="D3083" s="880" t="s">
        <v>41857</v>
      </c>
    </row>
    <row r="3084" spans="1:4" ht="13.5" x14ac:dyDescent="0.25">
      <c r="A3084" s="878" t="s">
        <v>9276</v>
      </c>
      <c r="B3084" s="878" t="s">
        <v>9277</v>
      </c>
      <c r="C3084" s="879" t="s">
        <v>226</v>
      </c>
      <c r="D3084" s="880" t="s">
        <v>11816</v>
      </c>
    </row>
    <row r="3085" spans="1:4" ht="13.5" x14ac:dyDescent="0.25">
      <c r="A3085" s="878" t="s">
        <v>9278</v>
      </c>
      <c r="B3085" s="878" t="s">
        <v>9279</v>
      </c>
      <c r="C3085" s="879" t="s">
        <v>226</v>
      </c>
      <c r="D3085" s="880" t="s">
        <v>31008</v>
      </c>
    </row>
    <row r="3086" spans="1:4" ht="13.5" x14ac:dyDescent="0.25">
      <c r="A3086" s="878" t="s">
        <v>9280</v>
      </c>
      <c r="B3086" s="878" t="s">
        <v>9281</v>
      </c>
      <c r="C3086" s="879" t="s">
        <v>226</v>
      </c>
      <c r="D3086" s="880" t="s">
        <v>41858</v>
      </c>
    </row>
    <row r="3087" spans="1:4" ht="13.5" x14ac:dyDescent="0.25">
      <c r="A3087" s="878" t="s">
        <v>9282</v>
      </c>
      <c r="B3087" s="878" t="s">
        <v>9283</v>
      </c>
      <c r="C3087" s="879" t="s">
        <v>226</v>
      </c>
      <c r="D3087" s="880" t="s">
        <v>41859</v>
      </c>
    </row>
    <row r="3088" spans="1:4" ht="13.5" x14ac:dyDescent="0.25">
      <c r="A3088" s="878" t="s">
        <v>9284</v>
      </c>
      <c r="B3088" s="878" t="s">
        <v>9285</v>
      </c>
      <c r="C3088" s="879" t="s">
        <v>226</v>
      </c>
      <c r="D3088" s="880" t="s">
        <v>9502</v>
      </c>
    </row>
    <row r="3089" spans="1:4" ht="13.5" x14ac:dyDescent="0.25">
      <c r="A3089" s="878" t="s">
        <v>9286</v>
      </c>
      <c r="B3089" s="878" t="s">
        <v>9287</v>
      </c>
      <c r="C3089" s="879" t="s">
        <v>226</v>
      </c>
      <c r="D3089" s="880" t="s">
        <v>30622</v>
      </c>
    </row>
    <row r="3090" spans="1:4" ht="13.5" x14ac:dyDescent="0.25">
      <c r="A3090" s="878" t="s">
        <v>9288</v>
      </c>
      <c r="B3090" s="878" t="s">
        <v>9289</v>
      </c>
      <c r="C3090" s="879" t="s">
        <v>226</v>
      </c>
      <c r="D3090" s="880" t="s">
        <v>30357</v>
      </c>
    </row>
    <row r="3091" spans="1:4" ht="13.5" x14ac:dyDescent="0.25">
      <c r="A3091" s="878" t="s">
        <v>9291</v>
      </c>
      <c r="B3091" s="878" t="s">
        <v>9292</v>
      </c>
      <c r="C3091" s="879" t="s">
        <v>226</v>
      </c>
      <c r="D3091" s="880" t="s">
        <v>31144</v>
      </c>
    </row>
    <row r="3092" spans="1:4" ht="13.5" x14ac:dyDescent="0.25">
      <c r="A3092" s="878" t="s">
        <v>9293</v>
      </c>
      <c r="B3092" s="878" t="s">
        <v>9294</v>
      </c>
      <c r="C3092" s="879" t="s">
        <v>226</v>
      </c>
      <c r="D3092" s="880" t="s">
        <v>30484</v>
      </c>
    </row>
    <row r="3093" spans="1:4" ht="13.5" x14ac:dyDescent="0.25">
      <c r="A3093" s="878" t="s">
        <v>9295</v>
      </c>
      <c r="B3093" s="878" t="s">
        <v>9296</v>
      </c>
      <c r="C3093" s="879" t="s">
        <v>226</v>
      </c>
      <c r="D3093" s="880" t="s">
        <v>40522</v>
      </c>
    </row>
    <row r="3094" spans="1:4" ht="13.5" x14ac:dyDescent="0.25">
      <c r="A3094" s="878" t="s">
        <v>9297</v>
      </c>
      <c r="B3094" s="878" t="s">
        <v>9298</v>
      </c>
      <c r="C3094" s="879" t="s">
        <v>226</v>
      </c>
      <c r="D3094" s="880" t="s">
        <v>41842</v>
      </c>
    </row>
    <row r="3095" spans="1:4" ht="13.5" x14ac:dyDescent="0.25">
      <c r="A3095" s="878" t="s">
        <v>9299</v>
      </c>
      <c r="B3095" s="878" t="s">
        <v>9300</v>
      </c>
      <c r="C3095" s="879" t="s">
        <v>226</v>
      </c>
      <c r="D3095" s="880" t="s">
        <v>30764</v>
      </c>
    </row>
    <row r="3096" spans="1:4" ht="13.5" x14ac:dyDescent="0.25">
      <c r="A3096" s="878" t="s">
        <v>9301</v>
      </c>
      <c r="B3096" s="878" t="s">
        <v>9302</v>
      </c>
      <c r="C3096" s="879" t="s">
        <v>226</v>
      </c>
      <c r="D3096" s="881" t="s">
        <v>41860</v>
      </c>
    </row>
    <row r="3097" spans="1:4" ht="13.5" x14ac:dyDescent="0.25">
      <c r="A3097" s="878" t="s">
        <v>9303</v>
      </c>
      <c r="B3097" s="878" t="s">
        <v>9304</v>
      </c>
      <c r="C3097" s="879" t="s">
        <v>226</v>
      </c>
      <c r="D3097" s="881" t="s">
        <v>41861</v>
      </c>
    </row>
    <row r="3098" spans="1:4" ht="13.5" x14ac:dyDescent="0.25">
      <c r="A3098" s="878" t="s">
        <v>9305</v>
      </c>
      <c r="B3098" s="878" t="s">
        <v>9306</v>
      </c>
      <c r="C3098" s="879" t="s">
        <v>226</v>
      </c>
      <c r="D3098" s="881" t="s">
        <v>41862</v>
      </c>
    </row>
    <row r="3099" spans="1:4" ht="13.5" x14ac:dyDescent="0.25">
      <c r="A3099" s="878" t="s">
        <v>9307</v>
      </c>
      <c r="B3099" s="878" t="s">
        <v>9308</v>
      </c>
      <c r="C3099" s="879" t="s">
        <v>226</v>
      </c>
      <c r="D3099" s="881" t="s">
        <v>41863</v>
      </c>
    </row>
    <row r="3100" spans="1:4" ht="13.5" x14ac:dyDescent="0.25">
      <c r="A3100" s="878" t="s">
        <v>9310</v>
      </c>
      <c r="B3100" s="878" t="s">
        <v>9311</v>
      </c>
      <c r="C3100" s="879" t="s">
        <v>226</v>
      </c>
      <c r="D3100" s="881" t="s">
        <v>41864</v>
      </c>
    </row>
    <row r="3101" spans="1:4" ht="13.5" x14ac:dyDescent="0.25">
      <c r="A3101" s="878" t="s">
        <v>9312</v>
      </c>
      <c r="B3101" s="878" t="s">
        <v>9313</v>
      </c>
      <c r="C3101" s="879" t="s">
        <v>226</v>
      </c>
      <c r="D3101" s="881" t="s">
        <v>41865</v>
      </c>
    </row>
    <row r="3102" spans="1:4" ht="13.5" x14ac:dyDescent="0.25">
      <c r="A3102" s="878" t="s">
        <v>9314</v>
      </c>
      <c r="B3102" s="878" t="s">
        <v>9315</v>
      </c>
      <c r="C3102" s="879" t="s">
        <v>226</v>
      </c>
      <c r="D3102" s="881" t="s">
        <v>41866</v>
      </c>
    </row>
    <row r="3103" spans="1:4" ht="13.5" x14ac:dyDescent="0.25">
      <c r="A3103" s="878" t="s">
        <v>9316</v>
      </c>
      <c r="B3103" s="878" t="s">
        <v>9317</v>
      </c>
      <c r="C3103" s="879" t="s">
        <v>226</v>
      </c>
      <c r="D3103" s="881" t="s">
        <v>41867</v>
      </c>
    </row>
    <row r="3104" spans="1:4" ht="13.5" x14ac:dyDescent="0.25">
      <c r="A3104" s="878" t="s">
        <v>9318</v>
      </c>
      <c r="B3104" s="878" t="s">
        <v>9319</v>
      </c>
      <c r="C3104" s="879" t="s">
        <v>226</v>
      </c>
      <c r="D3104" s="881" t="s">
        <v>41868</v>
      </c>
    </row>
    <row r="3105" spans="1:4" ht="13.5" x14ac:dyDescent="0.25">
      <c r="A3105" s="878" t="s">
        <v>9320</v>
      </c>
      <c r="B3105" s="878" t="s">
        <v>9321</v>
      </c>
      <c r="C3105" s="879" t="s">
        <v>226</v>
      </c>
      <c r="D3105" s="881" t="s">
        <v>41869</v>
      </c>
    </row>
    <row r="3106" spans="1:4" ht="13.5" x14ac:dyDescent="0.25">
      <c r="A3106" s="878" t="s">
        <v>9322</v>
      </c>
      <c r="B3106" s="878" t="s">
        <v>9323</v>
      </c>
      <c r="C3106" s="879" t="s">
        <v>226</v>
      </c>
      <c r="D3106" s="881" t="s">
        <v>41870</v>
      </c>
    </row>
    <row r="3107" spans="1:4" ht="13.5" x14ac:dyDescent="0.25">
      <c r="A3107" s="878" t="s">
        <v>9324</v>
      </c>
      <c r="B3107" s="878" t="s">
        <v>9325</v>
      </c>
      <c r="C3107" s="879" t="s">
        <v>226</v>
      </c>
      <c r="D3107" s="881" t="s">
        <v>41871</v>
      </c>
    </row>
    <row r="3108" spans="1:4" ht="13.5" x14ac:dyDescent="0.25">
      <c r="A3108" s="878" t="s">
        <v>9326</v>
      </c>
      <c r="B3108" s="878" t="s">
        <v>9327</v>
      </c>
      <c r="C3108" s="879" t="s">
        <v>226</v>
      </c>
      <c r="D3108" s="881" t="s">
        <v>41872</v>
      </c>
    </row>
    <row r="3109" spans="1:4" ht="13.5" x14ac:dyDescent="0.25">
      <c r="A3109" s="878" t="s">
        <v>9328</v>
      </c>
      <c r="B3109" s="878" t="s">
        <v>9329</v>
      </c>
      <c r="C3109" s="879" t="s">
        <v>226</v>
      </c>
      <c r="D3109" s="881" t="s">
        <v>41873</v>
      </c>
    </row>
    <row r="3110" spans="1:4" ht="13.5" x14ac:dyDescent="0.25">
      <c r="A3110" s="878" t="s">
        <v>9330</v>
      </c>
      <c r="B3110" s="878" t="s">
        <v>9331</v>
      </c>
      <c r="C3110" s="879" t="s">
        <v>226</v>
      </c>
      <c r="D3110" s="881" t="s">
        <v>41874</v>
      </c>
    </row>
    <row r="3111" spans="1:4" ht="13.5" x14ac:dyDescent="0.25">
      <c r="A3111" s="878" t="s">
        <v>9332</v>
      </c>
      <c r="B3111" s="878" t="s">
        <v>9333</v>
      </c>
      <c r="C3111" s="879" t="s">
        <v>226</v>
      </c>
      <c r="D3111" s="881" t="s">
        <v>41875</v>
      </c>
    </row>
    <row r="3112" spans="1:4" ht="13.5" x14ac:dyDescent="0.25">
      <c r="A3112" s="878" t="s">
        <v>2927</v>
      </c>
      <c r="B3112" s="878" t="s">
        <v>9334</v>
      </c>
      <c r="C3112" s="879" t="s">
        <v>226</v>
      </c>
      <c r="D3112" s="881" t="s">
        <v>41876</v>
      </c>
    </row>
    <row r="3113" spans="1:4" ht="13.5" x14ac:dyDescent="0.25">
      <c r="A3113" s="878" t="s">
        <v>9335</v>
      </c>
      <c r="B3113" s="878" t="s">
        <v>9336</v>
      </c>
      <c r="C3113" s="879" t="s">
        <v>226</v>
      </c>
      <c r="D3113" s="881" t="s">
        <v>41877</v>
      </c>
    </row>
    <row r="3114" spans="1:4" ht="13.5" x14ac:dyDescent="0.25">
      <c r="A3114" s="878" t="s">
        <v>9337</v>
      </c>
      <c r="B3114" s="878" t="s">
        <v>9338</v>
      </c>
      <c r="C3114" s="879" t="s">
        <v>226</v>
      </c>
      <c r="D3114" s="881" t="s">
        <v>41878</v>
      </c>
    </row>
    <row r="3115" spans="1:4" ht="13.5" x14ac:dyDescent="0.25">
      <c r="A3115" s="878" t="s">
        <v>9339</v>
      </c>
      <c r="B3115" s="878" t="s">
        <v>9340</v>
      </c>
      <c r="C3115" s="879" t="s">
        <v>226</v>
      </c>
      <c r="D3115" s="881" t="s">
        <v>41879</v>
      </c>
    </row>
    <row r="3116" spans="1:4" ht="13.5" x14ac:dyDescent="0.25">
      <c r="A3116" s="878" t="s">
        <v>9341</v>
      </c>
      <c r="B3116" s="878" t="s">
        <v>9342</v>
      </c>
      <c r="C3116" s="879" t="s">
        <v>226</v>
      </c>
      <c r="D3116" s="881" t="s">
        <v>41880</v>
      </c>
    </row>
    <row r="3117" spans="1:4" ht="13.5" x14ac:dyDescent="0.25">
      <c r="A3117" s="878" t="s">
        <v>9343</v>
      </c>
      <c r="B3117" s="878" t="s">
        <v>9344</v>
      </c>
      <c r="C3117" s="879" t="s">
        <v>226</v>
      </c>
      <c r="D3117" s="881" t="s">
        <v>41881</v>
      </c>
    </row>
    <row r="3118" spans="1:4" ht="13.5" x14ac:dyDescent="0.25">
      <c r="A3118" s="878" t="s">
        <v>9345</v>
      </c>
      <c r="B3118" s="878" t="s">
        <v>9346</v>
      </c>
      <c r="C3118" s="879" t="s">
        <v>226</v>
      </c>
      <c r="D3118" s="881" t="s">
        <v>41882</v>
      </c>
    </row>
    <row r="3119" spans="1:4" ht="13.5" x14ac:dyDescent="0.25">
      <c r="A3119" s="878" t="s">
        <v>9347</v>
      </c>
      <c r="B3119" s="878" t="s">
        <v>9348</v>
      </c>
      <c r="C3119" s="879" t="s">
        <v>226</v>
      </c>
      <c r="D3119" s="881" t="s">
        <v>41883</v>
      </c>
    </row>
    <row r="3120" spans="1:4" ht="13.5" x14ac:dyDescent="0.25">
      <c r="A3120" s="878" t="s">
        <v>9349</v>
      </c>
      <c r="B3120" s="878" t="s">
        <v>9350</v>
      </c>
      <c r="C3120" s="879" t="s">
        <v>226</v>
      </c>
      <c r="D3120" s="880" t="s">
        <v>41884</v>
      </c>
    </row>
    <row r="3121" spans="1:4" ht="13.5" x14ac:dyDescent="0.25">
      <c r="A3121" s="878" t="s">
        <v>9351</v>
      </c>
      <c r="B3121" s="878" t="s">
        <v>9352</v>
      </c>
      <c r="C3121" s="879" t="s">
        <v>226</v>
      </c>
      <c r="D3121" s="880" t="s">
        <v>41885</v>
      </c>
    </row>
    <row r="3122" spans="1:4" ht="13.5" x14ac:dyDescent="0.25">
      <c r="A3122" s="878" t="s">
        <v>9353</v>
      </c>
      <c r="B3122" s="878" t="s">
        <v>9354</v>
      </c>
      <c r="C3122" s="879" t="s">
        <v>226</v>
      </c>
      <c r="D3122" s="880" t="s">
        <v>41886</v>
      </c>
    </row>
    <row r="3123" spans="1:4" ht="13.5" x14ac:dyDescent="0.25">
      <c r="A3123" s="878" t="s">
        <v>9355</v>
      </c>
      <c r="B3123" s="878" t="s">
        <v>9356</v>
      </c>
      <c r="C3123" s="879" t="s">
        <v>226</v>
      </c>
      <c r="D3123" s="880" t="s">
        <v>41887</v>
      </c>
    </row>
    <row r="3124" spans="1:4" ht="13.5" x14ac:dyDescent="0.25">
      <c r="A3124" s="878" t="s">
        <v>9357</v>
      </c>
      <c r="B3124" s="878" t="s">
        <v>9358</v>
      </c>
      <c r="C3124" s="879" t="s">
        <v>226</v>
      </c>
      <c r="D3124" s="880" t="s">
        <v>41888</v>
      </c>
    </row>
    <row r="3125" spans="1:4" ht="13.5" x14ac:dyDescent="0.25">
      <c r="A3125" s="878" t="s">
        <v>9359</v>
      </c>
      <c r="B3125" s="878" t="s">
        <v>9360</v>
      </c>
      <c r="C3125" s="879" t="s">
        <v>226</v>
      </c>
      <c r="D3125" s="880" t="s">
        <v>41889</v>
      </c>
    </row>
    <row r="3126" spans="1:4" ht="13.5" x14ac:dyDescent="0.25">
      <c r="A3126" s="878" t="s">
        <v>9361</v>
      </c>
      <c r="B3126" s="878" t="s">
        <v>9362</v>
      </c>
      <c r="C3126" s="879" t="s">
        <v>226</v>
      </c>
      <c r="D3126" s="880" t="s">
        <v>41890</v>
      </c>
    </row>
    <row r="3127" spans="1:4" ht="13.5" x14ac:dyDescent="0.25">
      <c r="A3127" s="878" t="s">
        <v>9363</v>
      </c>
      <c r="B3127" s="878" t="s">
        <v>9364</v>
      </c>
      <c r="C3127" s="879" t="s">
        <v>226</v>
      </c>
      <c r="D3127" s="880" t="s">
        <v>41891</v>
      </c>
    </row>
    <row r="3128" spans="1:4" ht="13.5" x14ac:dyDescent="0.25">
      <c r="A3128" s="878" t="s">
        <v>9365</v>
      </c>
      <c r="B3128" s="878" t="s">
        <v>9366</v>
      </c>
      <c r="C3128" s="879" t="s">
        <v>226</v>
      </c>
      <c r="D3128" s="880" t="s">
        <v>41892</v>
      </c>
    </row>
    <row r="3129" spans="1:4" ht="13.5" x14ac:dyDescent="0.25">
      <c r="A3129" s="878" t="s">
        <v>9367</v>
      </c>
      <c r="B3129" s="878" t="s">
        <v>9368</v>
      </c>
      <c r="C3129" s="879" t="s">
        <v>226</v>
      </c>
      <c r="D3129" s="881" t="s">
        <v>41893</v>
      </c>
    </row>
    <row r="3130" spans="1:4" ht="13.5" x14ac:dyDescent="0.25">
      <c r="A3130" s="878" t="s">
        <v>9369</v>
      </c>
      <c r="B3130" s="878" t="s">
        <v>9370</v>
      </c>
      <c r="C3130" s="879" t="s">
        <v>226</v>
      </c>
      <c r="D3130" s="881" t="s">
        <v>41894</v>
      </c>
    </row>
    <row r="3131" spans="1:4" ht="13.5" x14ac:dyDescent="0.25">
      <c r="A3131" s="878" t="s">
        <v>9371</v>
      </c>
      <c r="B3131" s="878" t="s">
        <v>9372</v>
      </c>
      <c r="C3131" s="879" t="s">
        <v>226</v>
      </c>
      <c r="D3131" s="881" t="s">
        <v>41895</v>
      </c>
    </row>
    <row r="3132" spans="1:4" ht="13.5" x14ac:dyDescent="0.25">
      <c r="A3132" s="878" t="s">
        <v>9373</v>
      </c>
      <c r="B3132" s="878" t="s">
        <v>9374</v>
      </c>
      <c r="C3132" s="879" t="s">
        <v>226</v>
      </c>
      <c r="D3132" s="880" t="s">
        <v>41896</v>
      </c>
    </row>
    <row r="3133" spans="1:4" ht="13.5" x14ac:dyDescent="0.25">
      <c r="A3133" s="878" t="s">
        <v>9375</v>
      </c>
      <c r="B3133" s="878" t="s">
        <v>9376</v>
      </c>
      <c r="C3133" s="879" t="s">
        <v>226</v>
      </c>
      <c r="D3133" s="881" t="s">
        <v>41897</v>
      </c>
    </row>
    <row r="3134" spans="1:4" ht="13.5" x14ac:dyDescent="0.25">
      <c r="A3134" s="878" t="s">
        <v>9377</v>
      </c>
      <c r="B3134" s="878" t="s">
        <v>9378</v>
      </c>
      <c r="C3134" s="879" t="s">
        <v>226</v>
      </c>
      <c r="D3134" s="881" t="s">
        <v>41898</v>
      </c>
    </row>
    <row r="3135" spans="1:4" ht="13.5" x14ac:dyDescent="0.25">
      <c r="A3135" s="878" t="s">
        <v>9379</v>
      </c>
      <c r="B3135" s="878" t="s">
        <v>9380</v>
      </c>
      <c r="C3135" s="879" t="s">
        <v>226</v>
      </c>
      <c r="D3135" s="881" t="s">
        <v>41899</v>
      </c>
    </row>
    <row r="3136" spans="1:4" ht="13.5" x14ac:dyDescent="0.25">
      <c r="A3136" s="878" t="s">
        <v>9381</v>
      </c>
      <c r="B3136" s="878" t="s">
        <v>9382</v>
      </c>
      <c r="C3136" s="879" t="s">
        <v>226</v>
      </c>
      <c r="D3136" s="881" t="s">
        <v>41900</v>
      </c>
    </row>
    <row r="3137" spans="1:4" ht="13.5" x14ac:dyDescent="0.25">
      <c r="A3137" s="878" t="s">
        <v>9383</v>
      </c>
      <c r="B3137" s="878" t="s">
        <v>9384</v>
      </c>
      <c r="C3137" s="879" t="s">
        <v>226</v>
      </c>
      <c r="D3137" s="881" t="s">
        <v>41901</v>
      </c>
    </row>
    <row r="3138" spans="1:4" ht="13.5" x14ac:dyDescent="0.25">
      <c r="A3138" s="878" t="s">
        <v>9385</v>
      </c>
      <c r="B3138" s="878" t="s">
        <v>9386</v>
      </c>
      <c r="C3138" s="879" t="s">
        <v>226</v>
      </c>
      <c r="D3138" s="881" t="s">
        <v>41902</v>
      </c>
    </row>
    <row r="3139" spans="1:4" ht="13.5" x14ac:dyDescent="0.25">
      <c r="A3139" s="878" t="s">
        <v>9387</v>
      </c>
      <c r="B3139" s="878" t="s">
        <v>9388</v>
      </c>
      <c r="C3139" s="879" t="s">
        <v>226</v>
      </c>
      <c r="D3139" s="881" t="s">
        <v>41903</v>
      </c>
    </row>
    <row r="3140" spans="1:4" ht="13.5" x14ac:dyDescent="0.25">
      <c r="A3140" s="878" t="s">
        <v>9389</v>
      </c>
      <c r="B3140" s="878" t="s">
        <v>9390</v>
      </c>
      <c r="C3140" s="879" t="s">
        <v>226</v>
      </c>
      <c r="D3140" s="881" t="s">
        <v>41904</v>
      </c>
    </row>
    <row r="3141" spans="1:4" ht="13.5" x14ac:dyDescent="0.25">
      <c r="A3141" s="878" t="s">
        <v>9391</v>
      </c>
      <c r="B3141" s="878" t="s">
        <v>9392</v>
      </c>
      <c r="C3141" s="879" t="s">
        <v>226</v>
      </c>
      <c r="D3141" s="881" t="s">
        <v>41905</v>
      </c>
    </row>
    <row r="3142" spans="1:4" ht="13.5" x14ac:dyDescent="0.25">
      <c r="A3142" s="878" t="s">
        <v>9393</v>
      </c>
      <c r="B3142" s="878" t="s">
        <v>9394</v>
      </c>
      <c r="C3142" s="879" t="s">
        <v>226</v>
      </c>
      <c r="D3142" s="881" t="s">
        <v>41906</v>
      </c>
    </row>
    <row r="3143" spans="1:4" ht="13.5" x14ac:dyDescent="0.25">
      <c r="A3143" s="878" t="s">
        <v>9395</v>
      </c>
      <c r="B3143" s="878" t="s">
        <v>9396</v>
      </c>
      <c r="C3143" s="879" t="s">
        <v>226</v>
      </c>
      <c r="D3143" s="881" t="s">
        <v>41907</v>
      </c>
    </row>
    <row r="3144" spans="1:4" ht="13.5" x14ac:dyDescent="0.25">
      <c r="A3144" s="878" t="s">
        <v>9397</v>
      </c>
      <c r="B3144" s="878" t="s">
        <v>9398</v>
      </c>
      <c r="C3144" s="879" t="s">
        <v>226</v>
      </c>
      <c r="D3144" s="880" t="s">
        <v>41908</v>
      </c>
    </row>
    <row r="3145" spans="1:4" ht="13.5" x14ac:dyDescent="0.25">
      <c r="A3145" s="878" t="s">
        <v>9399</v>
      </c>
      <c r="B3145" s="878" t="s">
        <v>9400</v>
      </c>
      <c r="C3145" s="879" t="s">
        <v>226</v>
      </c>
      <c r="D3145" s="880" t="s">
        <v>41909</v>
      </c>
    </row>
    <row r="3146" spans="1:4" ht="13.5" x14ac:dyDescent="0.25">
      <c r="A3146" s="878" t="s">
        <v>9401</v>
      </c>
      <c r="B3146" s="878" t="s">
        <v>9402</v>
      </c>
      <c r="C3146" s="879" t="s">
        <v>226</v>
      </c>
      <c r="D3146" s="880" t="s">
        <v>41910</v>
      </c>
    </row>
    <row r="3147" spans="1:4" ht="13.5" x14ac:dyDescent="0.25">
      <c r="A3147" s="878" t="s">
        <v>9403</v>
      </c>
      <c r="B3147" s="878" t="s">
        <v>9404</v>
      </c>
      <c r="C3147" s="879" t="s">
        <v>226</v>
      </c>
      <c r="D3147" s="880" t="s">
        <v>41911</v>
      </c>
    </row>
    <row r="3148" spans="1:4" ht="13.5" x14ac:dyDescent="0.25">
      <c r="A3148" s="878" t="s">
        <v>9405</v>
      </c>
      <c r="B3148" s="878" t="s">
        <v>9406</v>
      </c>
      <c r="C3148" s="879" t="s">
        <v>226</v>
      </c>
      <c r="D3148" s="880" t="s">
        <v>41912</v>
      </c>
    </row>
    <row r="3149" spans="1:4" ht="13.5" x14ac:dyDescent="0.25">
      <c r="A3149" s="878" t="s">
        <v>9407</v>
      </c>
      <c r="B3149" s="878" t="s">
        <v>9408</v>
      </c>
      <c r="C3149" s="879" t="s">
        <v>226</v>
      </c>
      <c r="D3149" s="880" t="s">
        <v>41913</v>
      </c>
    </row>
    <row r="3150" spans="1:4" ht="13.5" x14ac:dyDescent="0.25">
      <c r="A3150" s="878" t="s">
        <v>9409</v>
      </c>
      <c r="B3150" s="878" t="s">
        <v>9410</v>
      </c>
      <c r="C3150" s="879" t="s">
        <v>226</v>
      </c>
      <c r="D3150" s="880" t="s">
        <v>41914</v>
      </c>
    </row>
    <row r="3151" spans="1:4" ht="13.5" x14ac:dyDescent="0.25">
      <c r="A3151" s="878" t="s">
        <v>9411</v>
      </c>
      <c r="B3151" s="878" t="s">
        <v>9412</v>
      </c>
      <c r="C3151" s="879" t="s">
        <v>226</v>
      </c>
      <c r="D3151" s="880" t="s">
        <v>41915</v>
      </c>
    </row>
    <row r="3152" spans="1:4" ht="13.5" x14ac:dyDescent="0.25">
      <c r="A3152" s="878" t="s">
        <v>9413</v>
      </c>
      <c r="B3152" s="878" t="s">
        <v>9414</v>
      </c>
      <c r="C3152" s="879" t="s">
        <v>226</v>
      </c>
      <c r="D3152" s="880" t="s">
        <v>41916</v>
      </c>
    </row>
    <row r="3153" spans="1:4" ht="13.5" x14ac:dyDescent="0.25">
      <c r="A3153" s="878" t="s">
        <v>9415</v>
      </c>
      <c r="B3153" s="878" t="s">
        <v>9416</v>
      </c>
      <c r="C3153" s="879" t="s">
        <v>226</v>
      </c>
      <c r="D3153" s="880" t="s">
        <v>41917</v>
      </c>
    </row>
    <row r="3154" spans="1:4" ht="13.5" x14ac:dyDescent="0.25">
      <c r="A3154" s="878" t="s">
        <v>9417</v>
      </c>
      <c r="B3154" s="878" t="s">
        <v>9418</v>
      </c>
      <c r="C3154" s="879" t="s">
        <v>226</v>
      </c>
      <c r="D3154" s="880" t="s">
        <v>41918</v>
      </c>
    </row>
    <row r="3155" spans="1:4" ht="13.5" x14ac:dyDescent="0.25">
      <c r="A3155" s="878" t="s">
        <v>9419</v>
      </c>
      <c r="B3155" s="878" t="s">
        <v>9420</v>
      </c>
      <c r="C3155" s="879" t="s">
        <v>226</v>
      </c>
      <c r="D3155" s="880" t="s">
        <v>41919</v>
      </c>
    </row>
    <row r="3156" spans="1:4" ht="13.5" x14ac:dyDescent="0.25">
      <c r="A3156" s="878" t="s">
        <v>9421</v>
      </c>
      <c r="B3156" s="878" t="s">
        <v>9422</v>
      </c>
      <c r="C3156" s="879" t="s">
        <v>226</v>
      </c>
      <c r="D3156" s="880" t="s">
        <v>41920</v>
      </c>
    </row>
    <row r="3157" spans="1:4" ht="13.5" x14ac:dyDescent="0.25">
      <c r="A3157" s="878" t="s">
        <v>9423</v>
      </c>
      <c r="B3157" s="878" t="s">
        <v>9424</v>
      </c>
      <c r="C3157" s="879" t="s">
        <v>226</v>
      </c>
      <c r="D3157" s="880" t="s">
        <v>41921</v>
      </c>
    </row>
    <row r="3158" spans="1:4" ht="13.5" x14ac:dyDescent="0.25">
      <c r="A3158" s="878" t="s">
        <v>9425</v>
      </c>
      <c r="B3158" s="878" t="s">
        <v>9426</v>
      </c>
      <c r="C3158" s="879" t="s">
        <v>226</v>
      </c>
      <c r="D3158" s="880" t="s">
        <v>30885</v>
      </c>
    </row>
    <row r="3159" spans="1:4" ht="13.5" x14ac:dyDescent="0.25">
      <c r="A3159" s="878" t="s">
        <v>9427</v>
      </c>
      <c r="B3159" s="878" t="s">
        <v>9428</v>
      </c>
      <c r="C3159" s="879" t="s">
        <v>226</v>
      </c>
      <c r="D3159" s="880" t="s">
        <v>41922</v>
      </c>
    </row>
    <row r="3160" spans="1:4" ht="13.5" x14ac:dyDescent="0.25">
      <c r="A3160" s="878" t="s">
        <v>9429</v>
      </c>
      <c r="B3160" s="878" t="s">
        <v>9430</v>
      </c>
      <c r="C3160" s="879" t="s">
        <v>226</v>
      </c>
      <c r="D3160" s="880" t="s">
        <v>41923</v>
      </c>
    </row>
    <row r="3161" spans="1:4" ht="13.5" x14ac:dyDescent="0.25">
      <c r="A3161" s="878" t="s">
        <v>9431</v>
      </c>
      <c r="B3161" s="878" t="s">
        <v>9432</v>
      </c>
      <c r="C3161" s="879" t="s">
        <v>226</v>
      </c>
      <c r="D3161" s="880" t="s">
        <v>41924</v>
      </c>
    </row>
    <row r="3162" spans="1:4" ht="13.5" x14ac:dyDescent="0.25">
      <c r="A3162" s="878" t="s">
        <v>9433</v>
      </c>
      <c r="B3162" s="878" t="s">
        <v>9434</v>
      </c>
      <c r="C3162" s="879" t="s">
        <v>226</v>
      </c>
      <c r="D3162" s="880" t="s">
        <v>30781</v>
      </c>
    </row>
    <row r="3163" spans="1:4" ht="13.5" x14ac:dyDescent="0.25">
      <c r="A3163" s="878" t="s">
        <v>9435</v>
      </c>
      <c r="B3163" s="878" t="s">
        <v>9436</v>
      </c>
      <c r="C3163" s="879" t="s">
        <v>226</v>
      </c>
      <c r="D3163" s="880" t="s">
        <v>41925</v>
      </c>
    </row>
    <row r="3164" spans="1:4" ht="13.5" x14ac:dyDescent="0.25">
      <c r="A3164" s="878" t="s">
        <v>9437</v>
      </c>
      <c r="B3164" s="878" t="s">
        <v>9438</v>
      </c>
      <c r="C3164" s="879" t="s">
        <v>226</v>
      </c>
      <c r="D3164" s="880" t="s">
        <v>41926</v>
      </c>
    </row>
    <row r="3165" spans="1:4" ht="13.5" x14ac:dyDescent="0.25">
      <c r="A3165" s="878" t="s">
        <v>9439</v>
      </c>
      <c r="B3165" s="878" t="s">
        <v>9440</v>
      </c>
      <c r="C3165" s="879" t="s">
        <v>226</v>
      </c>
      <c r="D3165" s="880" t="s">
        <v>41927</v>
      </c>
    </row>
    <row r="3166" spans="1:4" ht="13.5" x14ac:dyDescent="0.25">
      <c r="A3166" s="878" t="s">
        <v>9441</v>
      </c>
      <c r="B3166" s="878" t="s">
        <v>9442</v>
      </c>
      <c r="C3166" s="879" t="s">
        <v>226</v>
      </c>
      <c r="D3166" s="880" t="s">
        <v>12905</v>
      </c>
    </row>
    <row r="3167" spans="1:4" ht="13.5" x14ac:dyDescent="0.25">
      <c r="A3167" s="878" t="s">
        <v>9444</v>
      </c>
      <c r="B3167" s="878" t="s">
        <v>9445</v>
      </c>
      <c r="C3167" s="879" t="s">
        <v>226</v>
      </c>
      <c r="D3167" s="880" t="s">
        <v>41928</v>
      </c>
    </row>
    <row r="3168" spans="1:4" ht="13.5" x14ac:dyDescent="0.25">
      <c r="A3168" s="878" t="s">
        <v>9446</v>
      </c>
      <c r="B3168" s="878" t="s">
        <v>9447</v>
      </c>
      <c r="C3168" s="879" t="s">
        <v>158</v>
      </c>
      <c r="D3168" s="880" t="s">
        <v>41929</v>
      </c>
    </row>
    <row r="3169" spans="1:4" ht="13.5" x14ac:dyDescent="0.25">
      <c r="A3169" s="878" t="s">
        <v>9448</v>
      </c>
      <c r="B3169" s="878" t="s">
        <v>9449</v>
      </c>
      <c r="C3169" s="879" t="s">
        <v>158</v>
      </c>
      <c r="D3169" s="880" t="s">
        <v>41930</v>
      </c>
    </row>
    <row r="3170" spans="1:4" ht="13.5" x14ac:dyDescent="0.25">
      <c r="A3170" s="878" t="s">
        <v>9450</v>
      </c>
      <c r="B3170" s="878" t="s">
        <v>9451</v>
      </c>
      <c r="C3170" s="879" t="s">
        <v>158</v>
      </c>
      <c r="D3170" s="880" t="s">
        <v>5888</v>
      </c>
    </row>
    <row r="3171" spans="1:4" ht="13.5" x14ac:dyDescent="0.25">
      <c r="A3171" s="878" t="s">
        <v>9452</v>
      </c>
      <c r="B3171" s="878" t="s">
        <v>9453</v>
      </c>
      <c r="C3171" s="879" t="s">
        <v>158</v>
      </c>
      <c r="D3171" s="880" t="s">
        <v>30199</v>
      </c>
    </row>
    <row r="3172" spans="1:4" ht="13.5" x14ac:dyDescent="0.25">
      <c r="A3172" s="878" t="s">
        <v>9454</v>
      </c>
      <c r="B3172" s="878" t="s">
        <v>9455</v>
      </c>
      <c r="C3172" s="879" t="s">
        <v>158</v>
      </c>
      <c r="D3172" s="880" t="s">
        <v>30311</v>
      </c>
    </row>
    <row r="3173" spans="1:4" ht="13.5" x14ac:dyDescent="0.25">
      <c r="A3173" s="878" t="s">
        <v>9456</v>
      </c>
      <c r="B3173" s="878" t="s">
        <v>9457</v>
      </c>
      <c r="C3173" s="879" t="s">
        <v>158</v>
      </c>
      <c r="D3173" s="880" t="s">
        <v>41677</v>
      </c>
    </row>
    <row r="3174" spans="1:4" ht="13.5" x14ac:dyDescent="0.25">
      <c r="A3174" s="878" t="s">
        <v>9458</v>
      </c>
      <c r="B3174" s="878" t="s">
        <v>9459</v>
      </c>
      <c r="C3174" s="879" t="s">
        <v>158</v>
      </c>
      <c r="D3174" s="880" t="s">
        <v>41931</v>
      </c>
    </row>
    <row r="3175" spans="1:4" ht="13.5" x14ac:dyDescent="0.25">
      <c r="A3175" s="878" t="s">
        <v>9460</v>
      </c>
      <c r="B3175" s="878" t="s">
        <v>9461</v>
      </c>
      <c r="C3175" s="879" t="s">
        <v>158</v>
      </c>
      <c r="D3175" s="880" t="s">
        <v>41932</v>
      </c>
    </row>
    <row r="3176" spans="1:4" ht="13.5" x14ac:dyDescent="0.25">
      <c r="A3176" s="878" t="s">
        <v>9462</v>
      </c>
      <c r="B3176" s="878" t="s">
        <v>9463</v>
      </c>
      <c r="C3176" s="879" t="s">
        <v>226</v>
      </c>
      <c r="D3176" s="880" t="s">
        <v>41933</v>
      </c>
    </row>
    <row r="3177" spans="1:4" ht="13.5" x14ac:dyDescent="0.25">
      <c r="A3177" s="878" t="s">
        <v>9464</v>
      </c>
      <c r="B3177" s="878" t="s">
        <v>9465</v>
      </c>
      <c r="C3177" s="879" t="s">
        <v>226</v>
      </c>
      <c r="D3177" s="880" t="s">
        <v>41934</v>
      </c>
    </row>
    <row r="3178" spans="1:4" ht="13.5" x14ac:dyDescent="0.25">
      <c r="A3178" s="878" t="s">
        <v>9466</v>
      </c>
      <c r="B3178" s="878" t="s">
        <v>9467</v>
      </c>
      <c r="C3178" s="879" t="s">
        <v>226</v>
      </c>
      <c r="D3178" s="880" t="s">
        <v>41935</v>
      </c>
    </row>
    <row r="3179" spans="1:4" ht="13.5" x14ac:dyDescent="0.25">
      <c r="A3179" s="878" t="s">
        <v>9468</v>
      </c>
      <c r="B3179" s="878" t="s">
        <v>9469</v>
      </c>
      <c r="C3179" s="879" t="s">
        <v>226</v>
      </c>
      <c r="D3179" s="880" t="s">
        <v>41936</v>
      </c>
    </row>
    <row r="3180" spans="1:4" ht="13.5" x14ac:dyDescent="0.25">
      <c r="A3180" s="878" t="s">
        <v>9470</v>
      </c>
      <c r="B3180" s="878" t="s">
        <v>9471</v>
      </c>
      <c r="C3180" s="879" t="s">
        <v>226</v>
      </c>
      <c r="D3180" s="880" t="s">
        <v>41937</v>
      </c>
    </row>
    <row r="3181" spans="1:4" ht="13.5" x14ac:dyDescent="0.25">
      <c r="A3181" s="878" t="s">
        <v>9472</v>
      </c>
      <c r="B3181" s="878" t="s">
        <v>9473</v>
      </c>
      <c r="C3181" s="879" t="s">
        <v>226</v>
      </c>
      <c r="D3181" s="880" t="s">
        <v>41938</v>
      </c>
    </row>
    <row r="3182" spans="1:4" ht="13.5" x14ac:dyDescent="0.25">
      <c r="A3182" s="878" t="s">
        <v>2928</v>
      </c>
      <c r="B3182" s="878" t="s">
        <v>9474</v>
      </c>
      <c r="C3182" s="879" t="s">
        <v>226</v>
      </c>
      <c r="D3182" s="880" t="s">
        <v>41939</v>
      </c>
    </row>
    <row r="3183" spans="1:4" ht="13.5" x14ac:dyDescent="0.25">
      <c r="A3183" s="878" t="s">
        <v>9475</v>
      </c>
      <c r="B3183" s="878" t="s">
        <v>9476</v>
      </c>
      <c r="C3183" s="879" t="s">
        <v>226</v>
      </c>
      <c r="D3183" s="880" t="s">
        <v>41940</v>
      </c>
    </row>
    <row r="3184" spans="1:4" ht="13.5" x14ac:dyDescent="0.25">
      <c r="A3184" s="878" t="s">
        <v>9477</v>
      </c>
      <c r="B3184" s="878" t="s">
        <v>9478</v>
      </c>
      <c r="C3184" s="879" t="s">
        <v>226</v>
      </c>
      <c r="D3184" s="880" t="s">
        <v>41941</v>
      </c>
    </row>
    <row r="3185" spans="1:4" ht="13.5" x14ac:dyDescent="0.25">
      <c r="A3185" s="878" t="s">
        <v>9479</v>
      </c>
      <c r="B3185" s="878" t="s">
        <v>9480</v>
      </c>
      <c r="C3185" s="879" t="s">
        <v>226</v>
      </c>
      <c r="D3185" s="880" t="s">
        <v>41942</v>
      </c>
    </row>
    <row r="3186" spans="1:4" ht="13.5" x14ac:dyDescent="0.25">
      <c r="A3186" s="878" t="s">
        <v>9481</v>
      </c>
      <c r="B3186" s="878" t="s">
        <v>9482</v>
      </c>
      <c r="C3186" s="879" t="s">
        <v>226</v>
      </c>
      <c r="D3186" s="880" t="s">
        <v>30699</v>
      </c>
    </row>
    <row r="3187" spans="1:4" ht="13.5" x14ac:dyDescent="0.25">
      <c r="A3187" s="878" t="s">
        <v>9483</v>
      </c>
      <c r="B3187" s="878" t="s">
        <v>9484</v>
      </c>
      <c r="C3187" s="879" t="s">
        <v>226</v>
      </c>
      <c r="D3187" s="880" t="s">
        <v>30700</v>
      </c>
    </row>
    <row r="3188" spans="1:4" ht="13.5" x14ac:dyDescent="0.25">
      <c r="A3188" s="878" t="s">
        <v>9485</v>
      </c>
      <c r="B3188" s="878" t="s">
        <v>9486</v>
      </c>
      <c r="C3188" s="879" t="s">
        <v>226</v>
      </c>
      <c r="D3188" s="880" t="s">
        <v>8948</v>
      </c>
    </row>
    <row r="3189" spans="1:4" ht="13.5" x14ac:dyDescent="0.25">
      <c r="A3189" s="878" t="s">
        <v>9487</v>
      </c>
      <c r="B3189" s="878" t="s">
        <v>9488</v>
      </c>
      <c r="C3189" s="879" t="s">
        <v>226</v>
      </c>
      <c r="D3189" s="880" t="s">
        <v>30701</v>
      </c>
    </row>
    <row r="3190" spans="1:4" ht="13.5" x14ac:dyDescent="0.25">
      <c r="A3190" s="878" t="s">
        <v>9489</v>
      </c>
      <c r="B3190" s="878" t="s">
        <v>9490</v>
      </c>
      <c r="C3190" s="879" t="s">
        <v>226</v>
      </c>
      <c r="D3190" s="880" t="s">
        <v>30702</v>
      </c>
    </row>
    <row r="3191" spans="1:4" ht="13.5" x14ac:dyDescent="0.25">
      <c r="A3191" s="878" t="s">
        <v>9491</v>
      </c>
      <c r="B3191" s="878" t="s">
        <v>9492</v>
      </c>
      <c r="C3191" s="879" t="s">
        <v>226</v>
      </c>
      <c r="D3191" s="880" t="s">
        <v>30703</v>
      </c>
    </row>
    <row r="3192" spans="1:4" ht="13.5" x14ac:dyDescent="0.25">
      <c r="A3192" s="882" t="s">
        <v>9493</v>
      </c>
      <c r="B3192" s="882" t="s">
        <v>9494</v>
      </c>
      <c r="C3192" s="883" t="s">
        <v>226</v>
      </c>
      <c r="D3192" s="888" t="s">
        <v>8955</v>
      </c>
    </row>
    <row r="3193" spans="1:4" ht="13.5" x14ac:dyDescent="0.25">
      <c r="A3193" s="882" t="s">
        <v>9495</v>
      </c>
      <c r="B3193" s="882" t="s">
        <v>9496</v>
      </c>
      <c r="C3193" s="883" t="s">
        <v>226</v>
      </c>
      <c r="D3193" s="888" t="s">
        <v>30704</v>
      </c>
    </row>
    <row r="3194" spans="1:4" ht="13.5" x14ac:dyDescent="0.25">
      <c r="A3194" s="878" t="s">
        <v>9497</v>
      </c>
      <c r="B3194" s="878" t="s">
        <v>9498</v>
      </c>
      <c r="C3194" s="879" t="s">
        <v>226</v>
      </c>
      <c r="D3194" s="880" t="s">
        <v>30678</v>
      </c>
    </row>
    <row r="3195" spans="1:4" ht="13.5" x14ac:dyDescent="0.25">
      <c r="A3195" s="878" t="s">
        <v>9500</v>
      </c>
      <c r="B3195" s="878" t="s">
        <v>9501</v>
      </c>
      <c r="C3195" s="879" t="s">
        <v>226</v>
      </c>
      <c r="D3195" s="880" t="s">
        <v>9290</v>
      </c>
    </row>
    <row r="3196" spans="1:4" ht="13.5" x14ac:dyDescent="0.25">
      <c r="A3196" s="878" t="s">
        <v>9503</v>
      </c>
      <c r="B3196" s="878" t="s">
        <v>9504</v>
      </c>
      <c r="C3196" s="879" t="s">
        <v>226</v>
      </c>
      <c r="D3196" s="880" t="s">
        <v>30705</v>
      </c>
    </row>
    <row r="3197" spans="1:4" ht="13.5" x14ac:dyDescent="0.25">
      <c r="A3197" s="878" t="s">
        <v>9505</v>
      </c>
      <c r="B3197" s="878" t="s">
        <v>9506</v>
      </c>
      <c r="C3197" s="879" t="s">
        <v>226</v>
      </c>
      <c r="D3197" s="880" t="s">
        <v>41943</v>
      </c>
    </row>
    <row r="3198" spans="1:4" ht="13.5" x14ac:dyDescent="0.25">
      <c r="A3198" s="878" t="s">
        <v>9507</v>
      </c>
      <c r="B3198" s="878" t="s">
        <v>9508</v>
      </c>
      <c r="C3198" s="879" t="s">
        <v>226</v>
      </c>
      <c r="D3198" s="881" t="s">
        <v>41944</v>
      </c>
    </row>
    <row r="3199" spans="1:4" ht="13.5" x14ac:dyDescent="0.25">
      <c r="A3199" s="878" t="s">
        <v>9509</v>
      </c>
      <c r="B3199" s="878" t="s">
        <v>9510</v>
      </c>
      <c r="C3199" s="879" t="s">
        <v>226</v>
      </c>
      <c r="D3199" s="881" t="s">
        <v>41945</v>
      </c>
    </row>
    <row r="3200" spans="1:4" ht="13.5" x14ac:dyDescent="0.25">
      <c r="A3200" s="878" t="s">
        <v>2906</v>
      </c>
      <c r="B3200" s="878" t="s">
        <v>9511</v>
      </c>
      <c r="C3200" s="879" t="s">
        <v>226</v>
      </c>
      <c r="D3200" s="880" t="s">
        <v>41946</v>
      </c>
    </row>
    <row r="3201" spans="1:4" ht="13.5" x14ac:dyDescent="0.25">
      <c r="A3201" s="878" t="s">
        <v>9512</v>
      </c>
      <c r="B3201" s="878" t="s">
        <v>9513</v>
      </c>
      <c r="C3201" s="879" t="s">
        <v>226</v>
      </c>
      <c r="D3201" s="880" t="s">
        <v>41947</v>
      </c>
    </row>
    <row r="3202" spans="1:4" ht="13.5" x14ac:dyDescent="0.25">
      <c r="A3202" s="878" t="s">
        <v>9514</v>
      </c>
      <c r="B3202" s="878" t="s">
        <v>9515</v>
      </c>
      <c r="C3202" s="879" t="s">
        <v>226</v>
      </c>
      <c r="D3202" s="880" t="s">
        <v>41948</v>
      </c>
    </row>
    <row r="3203" spans="1:4" ht="13.5" x14ac:dyDescent="0.25">
      <c r="A3203" s="878" t="s">
        <v>9516</v>
      </c>
      <c r="B3203" s="878" t="s">
        <v>9517</v>
      </c>
      <c r="C3203" s="879" t="s">
        <v>226</v>
      </c>
      <c r="D3203" s="880" t="s">
        <v>41949</v>
      </c>
    </row>
    <row r="3204" spans="1:4" ht="13.5" x14ac:dyDescent="0.25">
      <c r="A3204" s="878" t="s">
        <v>2907</v>
      </c>
      <c r="B3204" s="878" t="s">
        <v>9518</v>
      </c>
      <c r="C3204" s="879" t="s">
        <v>226</v>
      </c>
      <c r="D3204" s="880" t="s">
        <v>41950</v>
      </c>
    </row>
    <row r="3205" spans="1:4" ht="13.5" x14ac:dyDescent="0.25">
      <c r="A3205" s="878" t="s">
        <v>9519</v>
      </c>
      <c r="B3205" s="878" t="s">
        <v>9520</v>
      </c>
      <c r="C3205" s="879" t="s">
        <v>226</v>
      </c>
      <c r="D3205" s="880" t="s">
        <v>41951</v>
      </c>
    </row>
    <row r="3206" spans="1:4" ht="13.5" x14ac:dyDescent="0.25">
      <c r="A3206" s="878" t="s">
        <v>9521</v>
      </c>
      <c r="B3206" s="878" t="s">
        <v>9522</v>
      </c>
      <c r="C3206" s="879" t="s">
        <v>226</v>
      </c>
      <c r="D3206" s="880" t="s">
        <v>41952</v>
      </c>
    </row>
    <row r="3207" spans="1:4" ht="13.5" x14ac:dyDescent="0.25">
      <c r="A3207" s="878" t="s">
        <v>9523</v>
      </c>
      <c r="B3207" s="878" t="s">
        <v>9524</v>
      </c>
      <c r="C3207" s="879" t="s">
        <v>226</v>
      </c>
      <c r="D3207" s="880" t="s">
        <v>41953</v>
      </c>
    </row>
    <row r="3208" spans="1:4" ht="13.5" x14ac:dyDescent="0.25">
      <c r="A3208" s="878" t="s">
        <v>9525</v>
      </c>
      <c r="B3208" s="878" t="s">
        <v>9526</v>
      </c>
      <c r="C3208" s="879" t="s">
        <v>226</v>
      </c>
      <c r="D3208" s="880" t="s">
        <v>41954</v>
      </c>
    </row>
    <row r="3209" spans="1:4" ht="13.5" x14ac:dyDescent="0.25">
      <c r="A3209" s="878" t="s">
        <v>9527</v>
      </c>
      <c r="B3209" s="878" t="s">
        <v>9528</v>
      </c>
      <c r="C3209" s="879" t="s">
        <v>226</v>
      </c>
      <c r="D3209" s="880" t="s">
        <v>12353</v>
      </c>
    </row>
    <row r="3210" spans="1:4" ht="13.5" x14ac:dyDescent="0.25">
      <c r="A3210" s="878" t="s">
        <v>9529</v>
      </c>
      <c r="B3210" s="878" t="s">
        <v>9530</v>
      </c>
      <c r="C3210" s="879" t="s">
        <v>226</v>
      </c>
      <c r="D3210" s="880" t="s">
        <v>30706</v>
      </c>
    </row>
    <row r="3211" spans="1:4" ht="13.5" x14ac:dyDescent="0.25">
      <c r="A3211" s="878" t="s">
        <v>9531</v>
      </c>
      <c r="B3211" s="878" t="s">
        <v>9532</v>
      </c>
      <c r="C3211" s="879" t="s">
        <v>226</v>
      </c>
      <c r="D3211" s="880" t="s">
        <v>13047</v>
      </c>
    </row>
    <row r="3212" spans="1:4" ht="13.5" x14ac:dyDescent="0.25">
      <c r="A3212" s="878" t="s">
        <v>9533</v>
      </c>
      <c r="B3212" s="878" t="s">
        <v>9534</v>
      </c>
      <c r="C3212" s="879" t="s">
        <v>226</v>
      </c>
      <c r="D3212" s="880" t="s">
        <v>41955</v>
      </c>
    </row>
    <row r="3213" spans="1:4" ht="13.5" x14ac:dyDescent="0.25">
      <c r="A3213" s="878" t="s">
        <v>9535</v>
      </c>
      <c r="B3213" s="878" t="s">
        <v>9536</v>
      </c>
      <c r="C3213" s="879" t="s">
        <v>226</v>
      </c>
      <c r="D3213" s="880" t="s">
        <v>40292</v>
      </c>
    </row>
    <row r="3214" spans="1:4" ht="13.5" x14ac:dyDescent="0.25">
      <c r="A3214" s="878" t="s">
        <v>9537</v>
      </c>
      <c r="B3214" s="878" t="s">
        <v>9538</v>
      </c>
      <c r="C3214" s="879" t="s">
        <v>226</v>
      </c>
      <c r="D3214" s="880" t="s">
        <v>41956</v>
      </c>
    </row>
    <row r="3215" spans="1:4" ht="13.5" x14ac:dyDescent="0.25">
      <c r="A3215" s="878" t="s">
        <v>9539</v>
      </c>
      <c r="B3215" s="878" t="s">
        <v>9540</v>
      </c>
      <c r="C3215" s="879" t="s">
        <v>226</v>
      </c>
      <c r="D3215" s="880" t="s">
        <v>41957</v>
      </c>
    </row>
    <row r="3216" spans="1:4" ht="13.5" x14ac:dyDescent="0.25">
      <c r="A3216" s="878" t="s">
        <v>9541</v>
      </c>
      <c r="B3216" s="878" t="s">
        <v>9542</v>
      </c>
      <c r="C3216" s="879" t="s">
        <v>226</v>
      </c>
      <c r="D3216" s="880" t="s">
        <v>41958</v>
      </c>
    </row>
    <row r="3217" spans="1:4" ht="13.5" x14ac:dyDescent="0.25">
      <c r="A3217" s="878" t="s">
        <v>9543</v>
      </c>
      <c r="B3217" s="878" t="s">
        <v>9544</v>
      </c>
      <c r="C3217" s="879" t="s">
        <v>226</v>
      </c>
      <c r="D3217" s="880" t="s">
        <v>41959</v>
      </c>
    </row>
    <row r="3218" spans="1:4" ht="13.5" x14ac:dyDescent="0.25">
      <c r="A3218" s="878" t="s">
        <v>9545</v>
      </c>
      <c r="B3218" s="878" t="s">
        <v>9546</v>
      </c>
      <c r="C3218" s="879" t="s">
        <v>226</v>
      </c>
      <c r="D3218" s="880" t="s">
        <v>41960</v>
      </c>
    </row>
    <row r="3219" spans="1:4" ht="13.5" x14ac:dyDescent="0.25">
      <c r="A3219" s="878" t="s">
        <v>9547</v>
      </c>
      <c r="B3219" s="878" t="s">
        <v>9548</v>
      </c>
      <c r="C3219" s="879" t="s">
        <v>226</v>
      </c>
      <c r="D3219" s="880" t="s">
        <v>41961</v>
      </c>
    </row>
    <row r="3220" spans="1:4" ht="13.5" x14ac:dyDescent="0.25">
      <c r="A3220" s="878" t="s">
        <v>9549</v>
      </c>
      <c r="B3220" s="878" t="s">
        <v>9550</v>
      </c>
      <c r="C3220" s="879" t="s">
        <v>226</v>
      </c>
      <c r="D3220" s="880" t="s">
        <v>41962</v>
      </c>
    </row>
    <row r="3221" spans="1:4" ht="13.5" x14ac:dyDescent="0.25">
      <c r="A3221" s="878" t="s">
        <v>9551</v>
      </c>
      <c r="B3221" s="878" t="s">
        <v>9552</v>
      </c>
      <c r="C3221" s="879" t="s">
        <v>226</v>
      </c>
      <c r="D3221" s="880" t="s">
        <v>41963</v>
      </c>
    </row>
    <row r="3222" spans="1:4" ht="13.5" x14ac:dyDescent="0.25">
      <c r="A3222" s="878" t="s">
        <v>9553</v>
      </c>
      <c r="B3222" s="878" t="s">
        <v>9554</v>
      </c>
      <c r="C3222" s="879" t="s">
        <v>226</v>
      </c>
      <c r="D3222" s="880" t="s">
        <v>41964</v>
      </c>
    </row>
    <row r="3223" spans="1:4" ht="13.5" x14ac:dyDescent="0.25">
      <c r="A3223" s="878" t="s">
        <v>9555</v>
      </c>
      <c r="B3223" s="878" t="s">
        <v>9556</v>
      </c>
      <c r="C3223" s="879" t="s">
        <v>226</v>
      </c>
      <c r="D3223" s="880" t="s">
        <v>41965</v>
      </c>
    </row>
    <row r="3224" spans="1:4" ht="13.5" x14ac:dyDescent="0.25">
      <c r="A3224" s="878" t="s">
        <v>9557</v>
      </c>
      <c r="B3224" s="878" t="s">
        <v>9558</v>
      </c>
      <c r="C3224" s="879" t="s">
        <v>226</v>
      </c>
      <c r="D3224" s="880" t="s">
        <v>41966</v>
      </c>
    </row>
    <row r="3225" spans="1:4" ht="13.5" x14ac:dyDescent="0.25">
      <c r="A3225" s="878" t="s">
        <v>9559</v>
      </c>
      <c r="B3225" s="878" t="s">
        <v>9560</v>
      </c>
      <c r="C3225" s="879" t="s">
        <v>226</v>
      </c>
      <c r="D3225" s="880" t="s">
        <v>41967</v>
      </c>
    </row>
    <row r="3226" spans="1:4" ht="13.5" x14ac:dyDescent="0.25">
      <c r="A3226" s="878" t="s">
        <v>9561</v>
      </c>
      <c r="B3226" s="878" t="s">
        <v>9562</v>
      </c>
      <c r="C3226" s="879" t="s">
        <v>226</v>
      </c>
      <c r="D3226" s="880" t="s">
        <v>41968</v>
      </c>
    </row>
    <row r="3227" spans="1:4" ht="13.5" x14ac:dyDescent="0.25">
      <c r="A3227" s="878" t="s">
        <v>9563</v>
      </c>
      <c r="B3227" s="878" t="s">
        <v>9564</v>
      </c>
      <c r="C3227" s="879" t="s">
        <v>226</v>
      </c>
      <c r="D3227" s="881" t="s">
        <v>41969</v>
      </c>
    </row>
    <row r="3228" spans="1:4" ht="13.5" x14ac:dyDescent="0.25">
      <c r="A3228" s="878" t="s">
        <v>9565</v>
      </c>
      <c r="B3228" s="878" t="s">
        <v>9566</v>
      </c>
      <c r="C3228" s="879" t="s">
        <v>226</v>
      </c>
      <c r="D3228" s="880" t="s">
        <v>41970</v>
      </c>
    </row>
    <row r="3229" spans="1:4" ht="13.5" x14ac:dyDescent="0.25">
      <c r="A3229" s="878" t="s">
        <v>9567</v>
      </c>
      <c r="B3229" s="878" t="s">
        <v>9568</v>
      </c>
      <c r="C3229" s="879" t="s">
        <v>226</v>
      </c>
      <c r="D3229" s="880" t="s">
        <v>41971</v>
      </c>
    </row>
    <row r="3230" spans="1:4" ht="13.5" x14ac:dyDescent="0.25">
      <c r="A3230" s="878" t="s">
        <v>9569</v>
      </c>
      <c r="B3230" s="878" t="s">
        <v>9570</v>
      </c>
      <c r="C3230" s="879" t="s">
        <v>226</v>
      </c>
      <c r="D3230" s="880" t="s">
        <v>41972</v>
      </c>
    </row>
    <row r="3231" spans="1:4" ht="13.5" x14ac:dyDescent="0.25">
      <c r="A3231" s="878" t="s">
        <v>9571</v>
      </c>
      <c r="B3231" s="878" t="s">
        <v>9572</v>
      </c>
      <c r="C3231" s="879" t="s">
        <v>226</v>
      </c>
      <c r="D3231" s="880" t="s">
        <v>41973</v>
      </c>
    </row>
    <row r="3232" spans="1:4" ht="13.5" x14ac:dyDescent="0.25">
      <c r="A3232" s="878" t="s">
        <v>9573</v>
      </c>
      <c r="B3232" s="878" t="s">
        <v>9574</v>
      </c>
      <c r="C3232" s="879" t="s">
        <v>226</v>
      </c>
      <c r="D3232" s="881" t="s">
        <v>41974</v>
      </c>
    </row>
    <row r="3233" spans="1:4" ht="13.5" x14ac:dyDescent="0.25">
      <c r="A3233" s="878" t="s">
        <v>9575</v>
      </c>
      <c r="B3233" s="878" t="s">
        <v>9576</v>
      </c>
      <c r="C3233" s="879" t="s">
        <v>226</v>
      </c>
      <c r="D3233" s="880" t="s">
        <v>41975</v>
      </c>
    </row>
    <row r="3234" spans="1:4" ht="13.5" x14ac:dyDescent="0.25">
      <c r="A3234" s="878" t="s">
        <v>9577</v>
      </c>
      <c r="B3234" s="878" t="s">
        <v>9578</v>
      </c>
      <c r="C3234" s="879" t="s">
        <v>226</v>
      </c>
      <c r="D3234" s="880" t="s">
        <v>41976</v>
      </c>
    </row>
    <row r="3235" spans="1:4" ht="13.5" x14ac:dyDescent="0.25">
      <c r="A3235" s="878" t="s">
        <v>9579</v>
      </c>
      <c r="B3235" s="878" t="s">
        <v>9580</v>
      </c>
      <c r="C3235" s="879" t="s">
        <v>226</v>
      </c>
      <c r="D3235" s="881" t="s">
        <v>41977</v>
      </c>
    </row>
    <row r="3236" spans="1:4" ht="13.5" x14ac:dyDescent="0.25">
      <c r="A3236" s="878" t="s">
        <v>9581</v>
      </c>
      <c r="B3236" s="878" t="s">
        <v>9582</v>
      </c>
      <c r="C3236" s="879" t="s">
        <v>226</v>
      </c>
      <c r="D3236" s="880" t="s">
        <v>41978</v>
      </c>
    </row>
    <row r="3237" spans="1:4" ht="13.5" x14ac:dyDescent="0.25">
      <c r="A3237" s="878" t="s">
        <v>9583</v>
      </c>
      <c r="B3237" s="878" t="s">
        <v>9584</v>
      </c>
      <c r="C3237" s="879" t="s">
        <v>226</v>
      </c>
      <c r="D3237" s="880" t="s">
        <v>41979</v>
      </c>
    </row>
    <row r="3238" spans="1:4" ht="13.5" x14ac:dyDescent="0.25">
      <c r="A3238" s="878" t="s">
        <v>9585</v>
      </c>
      <c r="B3238" s="878" t="s">
        <v>9586</v>
      </c>
      <c r="C3238" s="879" t="s">
        <v>226</v>
      </c>
      <c r="D3238" s="881" t="s">
        <v>41980</v>
      </c>
    </row>
    <row r="3239" spans="1:4" ht="13.5" x14ac:dyDescent="0.25">
      <c r="A3239" s="878" t="s">
        <v>9587</v>
      </c>
      <c r="B3239" s="878" t="s">
        <v>9588</v>
      </c>
      <c r="C3239" s="879" t="s">
        <v>226</v>
      </c>
      <c r="D3239" s="880" t="s">
        <v>41981</v>
      </c>
    </row>
    <row r="3240" spans="1:4" ht="13.5" x14ac:dyDescent="0.25">
      <c r="A3240" s="878" t="s">
        <v>9589</v>
      </c>
      <c r="B3240" s="878" t="s">
        <v>9590</v>
      </c>
      <c r="C3240" s="879" t="s">
        <v>226</v>
      </c>
      <c r="D3240" s="880" t="s">
        <v>41982</v>
      </c>
    </row>
    <row r="3241" spans="1:4" ht="13.5" x14ac:dyDescent="0.25">
      <c r="A3241" s="878" t="s">
        <v>9592</v>
      </c>
      <c r="B3241" s="878" t="s">
        <v>9593</v>
      </c>
      <c r="C3241" s="879" t="s">
        <v>226</v>
      </c>
      <c r="D3241" s="880" t="s">
        <v>41983</v>
      </c>
    </row>
    <row r="3242" spans="1:4" ht="13.5" x14ac:dyDescent="0.25">
      <c r="A3242" s="878" t="s">
        <v>9594</v>
      </c>
      <c r="B3242" s="878" t="s">
        <v>9595</v>
      </c>
      <c r="C3242" s="879" t="s">
        <v>226</v>
      </c>
      <c r="D3242" s="881" t="s">
        <v>41984</v>
      </c>
    </row>
    <row r="3243" spans="1:4" ht="13.5" x14ac:dyDescent="0.25">
      <c r="A3243" s="878" t="s">
        <v>9596</v>
      </c>
      <c r="B3243" s="878" t="s">
        <v>9597</v>
      </c>
      <c r="C3243" s="879" t="s">
        <v>226</v>
      </c>
      <c r="D3243" s="880" t="s">
        <v>41985</v>
      </c>
    </row>
    <row r="3244" spans="1:4" ht="13.5" x14ac:dyDescent="0.25">
      <c r="A3244" s="878" t="s">
        <v>9598</v>
      </c>
      <c r="B3244" s="878" t="s">
        <v>9599</v>
      </c>
      <c r="C3244" s="879" t="s">
        <v>226</v>
      </c>
      <c r="D3244" s="880" t="s">
        <v>41986</v>
      </c>
    </row>
    <row r="3245" spans="1:4" ht="13.5" x14ac:dyDescent="0.25">
      <c r="A3245" s="878" t="s">
        <v>9600</v>
      </c>
      <c r="B3245" s="878" t="s">
        <v>9601</v>
      </c>
      <c r="C3245" s="879" t="s">
        <v>226</v>
      </c>
      <c r="D3245" s="881" t="s">
        <v>41987</v>
      </c>
    </row>
    <row r="3246" spans="1:4" ht="13.5" x14ac:dyDescent="0.25">
      <c r="A3246" s="878" t="s">
        <v>9602</v>
      </c>
      <c r="B3246" s="878" t="s">
        <v>9603</v>
      </c>
      <c r="C3246" s="879" t="s">
        <v>226</v>
      </c>
      <c r="D3246" s="880" t="s">
        <v>41988</v>
      </c>
    </row>
    <row r="3247" spans="1:4" ht="13.5" x14ac:dyDescent="0.25">
      <c r="A3247" s="878" t="s">
        <v>9604</v>
      </c>
      <c r="B3247" s="878" t="s">
        <v>9605</v>
      </c>
      <c r="C3247" s="879" t="s">
        <v>226</v>
      </c>
      <c r="D3247" s="881" t="s">
        <v>41989</v>
      </c>
    </row>
    <row r="3248" spans="1:4" ht="13.5" x14ac:dyDescent="0.25">
      <c r="A3248" s="878" t="s">
        <v>9606</v>
      </c>
      <c r="B3248" s="878" t="s">
        <v>9607</v>
      </c>
      <c r="C3248" s="879" t="s">
        <v>226</v>
      </c>
      <c r="D3248" s="880" t="s">
        <v>41990</v>
      </c>
    </row>
    <row r="3249" spans="1:4" ht="13.5" x14ac:dyDescent="0.25">
      <c r="A3249" s="878" t="s">
        <v>9608</v>
      </c>
      <c r="B3249" s="878" t="s">
        <v>9609</v>
      </c>
      <c r="C3249" s="879" t="s">
        <v>226</v>
      </c>
      <c r="D3249" s="881" t="s">
        <v>41991</v>
      </c>
    </row>
    <row r="3250" spans="1:4" ht="13.5" x14ac:dyDescent="0.25">
      <c r="A3250" s="878" t="s">
        <v>9610</v>
      </c>
      <c r="B3250" s="878" t="s">
        <v>9611</v>
      </c>
      <c r="C3250" s="879" t="s">
        <v>226</v>
      </c>
      <c r="D3250" s="881" t="s">
        <v>40706</v>
      </c>
    </row>
    <row r="3251" spans="1:4" ht="13.5" x14ac:dyDescent="0.25">
      <c r="A3251" s="878" t="s">
        <v>9612</v>
      </c>
      <c r="B3251" s="878" t="s">
        <v>9613</v>
      </c>
      <c r="C3251" s="879" t="s">
        <v>226</v>
      </c>
      <c r="D3251" s="881" t="s">
        <v>41992</v>
      </c>
    </row>
    <row r="3252" spans="1:4" ht="13.5" x14ac:dyDescent="0.25">
      <c r="A3252" s="878" t="s">
        <v>9614</v>
      </c>
      <c r="B3252" s="878" t="s">
        <v>9615</v>
      </c>
      <c r="C3252" s="879" t="s">
        <v>226</v>
      </c>
      <c r="D3252" s="881" t="s">
        <v>41993</v>
      </c>
    </row>
    <row r="3253" spans="1:4" ht="13.5" x14ac:dyDescent="0.25">
      <c r="A3253" s="878" t="s">
        <v>9616</v>
      </c>
      <c r="B3253" s="878" t="s">
        <v>9617</v>
      </c>
      <c r="C3253" s="879" t="s">
        <v>226</v>
      </c>
      <c r="D3253" s="880" t="s">
        <v>41994</v>
      </c>
    </row>
    <row r="3254" spans="1:4" ht="13.5" x14ac:dyDescent="0.25">
      <c r="A3254" s="878" t="s">
        <v>9618</v>
      </c>
      <c r="B3254" s="878" t="s">
        <v>9619</v>
      </c>
      <c r="C3254" s="879" t="s">
        <v>226</v>
      </c>
      <c r="D3254" s="880" t="s">
        <v>41995</v>
      </c>
    </row>
    <row r="3255" spans="1:4" ht="13.5" x14ac:dyDescent="0.25">
      <c r="A3255" s="878" t="s">
        <v>9620</v>
      </c>
      <c r="B3255" s="878" t="s">
        <v>9621</v>
      </c>
      <c r="C3255" s="879" t="s">
        <v>226</v>
      </c>
      <c r="D3255" s="880" t="s">
        <v>41225</v>
      </c>
    </row>
    <row r="3256" spans="1:4" ht="13.5" x14ac:dyDescent="0.25">
      <c r="A3256" s="878" t="s">
        <v>9622</v>
      </c>
      <c r="B3256" s="878" t="s">
        <v>9623</v>
      </c>
      <c r="C3256" s="879" t="s">
        <v>226</v>
      </c>
      <c r="D3256" s="880" t="s">
        <v>41996</v>
      </c>
    </row>
    <row r="3257" spans="1:4" ht="13.5" x14ac:dyDescent="0.25">
      <c r="A3257" s="878" t="s">
        <v>9624</v>
      </c>
      <c r="B3257" s="878" t="s">
        <v>9625</v>
      </c>
      <c r="C3257" s="879" t="s">
        <v>226</v>
      </c>
      <c r="D3257" s="880" t="s">
        <v>41997</v>
      </c>
    </row>
    <row r="3258" spans="1:4" ht="13.5" x14ac:dyDescent="0.25">
      <c r="A3258" s="878" t="s">
        <v>9626</v>
      </c>
      <c r="B3258" s="878" t="s">
        <v>9627</v>
      </c>
      <c r="C3258" s="879" t="s">
        <v>226</v>
      </c>
      <c r="D3258" s="880" t="s">
        <v>41998</v>
      </c>
    </row>
    <row r="3259" spans="1:4" ht="13.5" x14ac:dyDescent="0.25">
      <c r="A3259" s="878" t="s">
        <v>9628</v>
      </c>
      <c r="B3259" s="878" t="s">
        <v>9629</v>
      </c>
      <c r="C3259" s="879" t="s">
        <v>226</v>
      </c>
      <c r="D3259" s="881" t="s">
        <v>41999</v>
      </c>
    </row>
    <row r="3260" spans="1:4" ht="13.5" x14ac:dyDescent="0.25">
      <c r="A3260" s="878" t="s">
        <v>9630</v>
      </c>
      <c r="B3260" s="878" t="s">
        <v>9631</v>
      </c>
      <c r="C3260" s="879" t="s">
        <v>226</v>
      </c>
      <c r="D3260" s="881" t="s">
        <v>31106</v>
      </c>
    </row>
    <row r="3261" spans="1:4" ht="13.5" x14ac:dyDescent="0.25">
      <c r="A3261" s="878" t="s">
        <v>9632</v>
      </c>
      <c r="B3261" s="878" t="s">
        <v>9633</v>
      </c>
      <c r="C3261" s="879" t="s">
        <v>226</v>
      </c>
      <c r="D3261" s="881" t="s">
        <v>42000</v>
      </c>
    </row>
    <row r="3262" spans="1:4" ht="13.5" x14ac:dyDescent="0.25">
      <c r="A3262" s="878" t="s">
        <v>9634</v>
      </c>
      <c r="B3262" s="878" t="s">
        <v>9635</v>
      </c>
      <c r="C3262" s="879" t="s">
        <v>226</v>
      </c>
      <c r="D3262" s="881" t="s">
        <v>42001</v>
      </c>
    </row>
    <row r="3263" spans="1:4" ht="13.5" x14ac:dyDescent="0.25">
      <c r="A3263" s="878" t="s">
        <v>9636</v>
      </c>
      <c r="B3263" s="878" t="s">
        <v>9637</v>
      </c>
      <c r="C3263" s="879" t="s">
        <v>226</v>
      </c>
      <c r="D3263" s="881" t="s">
        <v>42002</v>
      </c>
    </row>
    <row r="3264" spans="1:4" ht="13.5" x14ac:dyDescent="0.25">
      <c r="A3264" s="878" t="s">
        <v>9638</v>
      </c>
      <c r="B3264" s="878" t="s">
        <v>9639</v>
      </c>
      <c r="C3264" s="879" t="s">
        <v>226</v>
      </c>
      <c r="D3264" s="881" t="s">
        <v>42003</v>
      </c>
    </row>
    <row r="3265" spans="1:4" ht="13.5" x14ac:dyDescent="0.25">
      <c r="A3265" s="878" t="s">
        <v>9640</v>
      </c>
      <c r="B3265" s="878" t="s">
        <v>9641</v>
      </c>
      <c r="C3265" s="879" t="s">
        <v>226</v>
      </c>
      <c r="D3265" s="881" t="s">
        <v>42004</v>
      </c>
    </row>
    <row r="3266" spans="1:4" ht="13.5" x14ac:dyDescent="0.25">
      <c r="A3266" s="878" t="s">
        <v>9642</v>
      </c>
      <c r="B3266" s="878" t="s">
        <v>9643</v>
      </c>
      <c r="C3266" s="879" t="s">
        <v>226</v>
      </c>
      <c r="D3266" s="880" t="s">
        <v>42005</v>
      </c>
    </row>
    <row r="3267" spans="1:4" ht="13.5" x14ac:dyDescent="0.25">
      <c r="A3267" s="878" t="s">
        <v>9644</v>
      </c>
      <c r="B3267" s="878" t="s">
        <v>9645</v>
      </c>
      <c r="C3267" s="879" t="s">
        <v>226</v>
      </c>
      <c r="D3267" s="880" t="s">
        <v>42006</v>
      </c>
    </row>
    <row r="3268" spans="1:4" ht="13.5" x14ac:dyDescent="0.25">
      <c r="A3268" s="878" t="s">
        <v>9646</v>
      </c>
      <c r="B3268" s="878" t="s">
        <v>9647</v>
      </c>
      <c r="C3268" s="879" t="s">
        <v>226</v>
      </c>
      <c r="D3268" s="881" t="s">
        <v>42007</v>
      </c>
    </row>
    <row r="3269" spans="1:4" ht="13.5" x14ac:dyDescent="0.25">
      <c r="A3269" s="878" t="s">
        <v>9648</v>
      </c>
      <c r="B3269" s="878" t="s">
        <v>9649</v>
      </c>
      <c r="C3269" s="879" t="s">
        <v>226</v>
      </c>
      <c r="D3269" s="881" t="s">
        <v>42008</v>
      </c>
    </row>
    <row r="3270" spans="1:4" ht="13.5" x14ac:dyDescent="0.25">
      <c r="A3270" s="878" t="s">
        <v>9650</v>
      </c>
      <c r="B3270" s="878" t="s">
        <v>9651</v>
      </c>
      <c r="C3270" s="879" t="s">
        <v>226</v>
      </c>
      <c r="D3270" s="881" t="s">
        <v>42009</v>
      </c>
    </row>
    <row r="3271" spans="1:4" ht="13.5" x14ac:dyDescent="0.25">
      <c r="A3271" s="878" t="s">
        <v>9652</v>
      </c>
      <c r="B3271" s="878" t="s">
        <v>9653</v>
      </c>
      <c r="C3271" s="879" t="s">
        <v>226</v>
      </c>
      <c r="D3271" s="880" t="s">
        <v>42010</v>
      </c>
    </row>
    <row r="3272" spans="1:4" ht="13.5" x14ac:dyDescent="0.25">
      <c r="A3272" s="878" t="s">
        <v>9654</v>
      </c>
      <c r="B3272" s="878" t="s">
        <v>9655</v>
      </c>
      <c r="C3272" s="879" t="s">
        <v>226</v>
      </c>
      <c r="D3272" s="880" t="s">
        <v>42011</v>
      </c>
    </row>
    <row r="3273" spans="1:4" ht="13.5" x14ac:dyDescent="0.25">
      <c r="A3273" s="878" t="s">
        <v>9656</v>
      </c>
      <c r="B3273" s="878" t="s">
        <v>9657</v>
      </c>
      <c r="C3273" s="879" t="s">
        <v>226</v>
      </c>
      <c r="D3273" s="880" t="s">
        <v>42012</v>
      </c>
    </row>
    <row r="3274" spans="1:4" ht="13.5" x14ac:dyDescent="0.25">
      <c r="A3274" s="878" t="s">
        <v>9658</v>
      </c>
      <c r="B3274" s="878" t="s">
        <v>9659</v>
      </c>
      <c r="C3274" s="879" t="s">
        <v>226</v>
      </c>
      <c r="D3274" s="880" t="s">
        <v>42013</v>
      </c>
    </row>
    <row r="3275" spans="1:4" ht="13.5" x14ac:dyDescent="0.25">
      <c r="A3275" s="878" t="s">
        <v>9660</v>
      </c>
      <c r="B3275" s="878" t="s">
        <v>9661</v>
      </c>
      <c r="C3275" s="879" t="s">
        <v>226</v>
      </c>
      <c r="D3275" s="880" t="s">
        <v>42014</v>
      </c>
    </row>
    <row r="3276" spans="1:4" ht="13.5" x14ac:dyDescent="0.25">
      <c r="A3276" s="878" t="s">
        <v>9662</v>
      </c>
      <c r="B3276" s="878" t="s">
        <v>9663</v>
      </c>
      <c r="C3276" s="879" t="s">
        <v>226</v>
      </c>
      <c r="D3276" s="880" t="s">
        <v>42015</v>
      </c>
    </row>
    <row r="3277" spans="1:4" ht="13.5" x14ac:dyDescent="0.25">
      <c r="A3277" s="878" t="s">
        <v>9664</v>
      </c>
      <c r="B3277" s="878" t="s">
        <v>9665</v>
      </c>
      <c r="C3277" s="879" t="s">
        <v>226</v>
      </c>
      <c r="D3277" s="880" t="s">
        <v>42016</v>
      </c>
    </row>
    <row r="3278" spans="1:4" ht="13.5" x14ac:dyDescent="0.25">
      <c r="A3278" s="878" t="s">
        <v>9666</v>
      </c>
      <c r="B3278" s="878" t="s">
        <v>9667</v>
      </c>
      <c r="C3278" s="879" t="s">
        <v>226</v>
      </c>
      <c r="D3278" s="880" t="s">
        <v>42017</v>
      </c>
    </row>
    <row r="3279" spans="1:4" ht="13.5" x14ac:dyDescent="0.25">
      <c r="A3279" s="878" t="s">
        <v>9668</v>
      </c>
      <c r="B3279" s="878" t="s">
        <v>9669</v>
      </c>
      <c r="C3279" s="879" t="s">
        <v>226</v>
      </c>
      <c r="D3279" s="880" t="s">
        <v>42018</v>
      </c>
    </row>
    <row r="3280" spans="1:4" ht="13.5" x14ac:dyDescent="0.25">
      <c r="A3280" s="878" t="s">
        <v>9670</v>
      </c>
      <c r="B3280" s="878" t="s">
        <v>9671</v>
      </c>
      <c r="C3280" s="879" t="s">
        <v>226</v>
      </c>
      <c r="D3280" s="880" t="s">
        <v>42019</v>
      </c>
    </row>
    <row r="3281" spans="1:4" ht="13.5" x14ac:dyDescent="0.25">
      <c r="A3281" s="878" t="s">
        <v>9672</v>
      </c>
      <c r="B3281" s="878" t="s">
        <v>9673</v>
      </c>
      <c r="C3281" s="879" t="s">
        <v>226</v>
      </c>
      <c r="D3281" s="880" t="s">
        <v>42020</v>
      </c>
    </row>
    <row r="3282" spans="1:4" ht="13.5" x14ac:dyDescent="0.25">
      <c r="A3282" s="878" t="s">
        <v>9674</v>
      </c>
      <c r="B3282" s="878" t="s">
        <v>9675</v>
      </c>
      <c r="C3282" s="879" t="s">
        <v>226</v>
      </c>
      <c r="D3282" s="880" t="s">
        <v>42021</v>
      </c>
    </row>
    <row r="3283" spans="1:4" ht="13.5" x14ac:dyDescent="0.25">
      <c r="A3283" s="878" t="s">
        <v>9676</v>
      </c>
      <c r="B3283" s="878" t="s">
        <v>9677</v>
      </c>
      <c r="C3283" s="879" t="s">
        <v>226</v>
      </c>
      <c r="D3283" s="880" t="s">
        <v>42022</v>
      </c>
    </row>
    <row r="3284" spans="1:4" ht="13.5" x14ac:dyDescent="0.25">
      <c r="A3284" s="878" t="s">
        <v>9678</v>
      </c>
      <c r="B3284" s="878" t="s">
        <v>9679</v>
      </c>
      <c r="C3284" s="879" t="s">
        <v>226</v>
      </c>
      <c r="D3284" s="880" t="s">
        <v>42023</v>
      </c>
    </row>
    <row r="3285" spans="1:4" ht="13.5" x14ac:dyDescent="0.25">
      <c r="A3285" s="878" t="s">
        <v>9680</v>
      </c>
      <c r="B3285" s="878" t="s">
        <v>9681</v>
      </c>
      <c r="C3285" s="879" t="s">
        <v>226</v>
      </c>
      <c r="D3285" s="880" t="s">
        <v>42024</v>
      </c>
    </row>
    <row r="3286" spans="1:4" ht="13.5" x14ac:dyDescent="0.25">
      <c r="A3286" s="878" t="s">
        <v>9682</v>
      </c>
      <c r="B3286" s="878" t="s">
        <v>9683</v>
      </c>
      <c r="C3286" s="879" t="s">
        <v>226</v>
      </c>
      <c r="D3286" s="880" t="s">
        <v>42025</v>
      </c>
    </row>
    <row r="3287" spans="1:4" ht="13.5" x14ac:dyDescent="0.25">
      <c r="A3287" s="878" t="s">
        <v>9684</v>
      </c>
      <c r="B3287" s="878" t="s">
        <v>9685</v>
      </c>
      <c r="C3287" s="879" t="s">
        <v>158</v>
      </c>
      <c r="D3287" s="880" t="s">
        <v>31173</v>
      </c>
    </row>
    <row r="3288" spans="1:4" ht="13.5" x14ac:dyDescent="0.25">
      <c r="A3288" s="878" t="s">
        <v>9686</v>
      </c>
      <c r="B3288" s="878" t="s">
        <v>9687</v>
      </c>
      <c r="C3288" s="879" t="s">
        <v>158</v>
      </c>
      <c r="D3288" s="880" t="s">
        <v>42026</v>
      </c>
    </row>
    <row r="3289" spans="1:4" ht="13.5" x14ac:dyDescent="0.25">
      <c r="A3289" s="878" t="s">
        <v>9688</v>
      </c>
      <c r="B3289" s="878" t="s">
        <v>9689</v>
      </c>
      <c r="C3289" s="879" t="s">
        <v>158</v>
      </c>
      <c r="D3289" s="880" t="s">
        <v>42027</v>
      </c>
    </row>
    <row r="3290" spans="1:4" ht="13.5" x14ac:dyDescent="0.25">
      <c r="A3290" s="878" t="s">
        <v>9690</v>
      </c>
      <c r="B3290" s="878" t="s">
        <v>9691</v>
      </c>
      <c r="C3290" s="879" t="s">
        <v>158</v>
      </c>
      <c r="D3290" s="880" t="s">
        <v>42028</v>
      </c>
    </row>
    <row r="3291" spans="1:4" ht="13.5" x14ac:dyDescent="0.25">
      <c r="A3291" s="878" t="s">
        <v>9692</v>
      </c>
      <c r="B3291" s="878" t="s">
        <v>9693</v>
      </c>
      <c r="C3291" s="879" t="s">
        <v>158</v>
      </c>
      <c r="D3291" s="880" t="s">
        <v>42029</v>
      </c>
    </row>
    <row r="3292" spans="1:4" ht="13.5" x14ac:dyDescent="0.25">
      <c r="A3292" s="878" t="s">
        <v>9694</v>
      </c>
      <c r="B3292" s="878" t="s">
        <v>9695</v>
      </c>
      <c r="C3292" s="879" t="s">
        <v>158</v>
      </c>
      <c r="D3292" s="880" t="s">
        <v>42030</v>
      </c>
    </row>
    <row r="3293" spans="1:4" ht="13.5" x14ac:dyDescent="0.25">
      <c r="A3293" s="878" t="s">
        <v>9696</v>
      </c>
      <c r="B3293" s="878" t="s">
        <v>9697</v>
      </c>
      <c r="C3293" s="879" t="s">
        <v>158</v>
      </c>
      <c r="D3293" s="880" t="s">
        <v>42031</v>
      </c>
    </row>
    <row r="3294" spans="1:4" ht="13.5" x14ac:dyDescent="0.25">
      <c r="A3294" s="878" t="s">
        <v>9698</v>
      </c>
      <c r="B3294" s="878" t="s">
        <v>9699</v>
      </c>
      <c r="C3294" s="879" t="s">
        <v>158</v>
      </c>
      <c r="D3294" s="880" t="s">
        <v>31329</v>
      </c>
    </row>
    <row r="3295" spans="1:4" ht="13.5" x14ac:dyDescent="0.25">
      <c r="A3295" s="878" t="s">
        <v>9700</v>
      </c>
      <c r="B3295" s="878" t="s">
        <v>9701</v>
      </c>
      <c r="C3295" s="879" t="s">
        <v>158</v>
      </c>
      <c r="D3295" s="880" t="s">
        <v>30562</v>
      </c>
    </row>
    <row r="3296" spans="1:4" ht="13.5" x14ac:dyDescent="0.25">
      <c r="A3296" s="878" t="s">
        <v>9702</v>
      </c>
      <c r="B3296" s="878" t="s">
        <v>9703</v>
      </c>
      <c r="C3296" s="879" t="s">
        <v>226</v>
      </c>
      <c r="D3296" s="880" t="s">
        <v>31141</v>
      </c>
    </row>
    <row r="3297" spans="1:4" ht="13.5" x14ac:dyDescent="0.25">
      <c r="A3297" s="878" t="s">
        <v>9704</v>
      </c>
      <c r="B3297" s="878" t="s">
        <v>9705</v>
      </c>
      <c r="C3297" s="879" t="s">
        <v>226</v>
      </c>
      <c r="D3297" s="880" t="s">
        <v>30423</v>
      </c>
    </row>
    <row r="3298" spans="1:4" ht="13.5" x14ac:dyDescent="0.25">
      <c r="A3298" s="878" t="s">
        <v>9706</v>
      </c>
      <c r="B3298" s="878" t="s">
        <v>9707</v>
      </c>
      <c r="C3298" s="879" t="s">
        <v>226</v>
      </c>
      <c r="D3298" s="880" t="s">
        <v>42032</v>
      </c>
    </row>
    <row r="3299" spans="1:4" ht="13.5" x14ac:dyDescent="0.25">
      <c r="A3299" s="878" t="s">
        <v>9708</v>
      </c>
      <c r="B3299" s="878" t="s">
        <v>9709</v>
      </c>
      <c r="C3299" s="879" t="s">
        <v>226</v>
      </c>
      <c r="D3299" s="881" t="s">
        <v>42033</v>
      </c>
    </row>
    <row r="3300" spans="1:4" ht="13.5" x14ac:dyDescent="0.25">
      <c r="A3300" s="878" t="s">
        <v>9710</v>
      </c>
      <c r="B3300" s="878" t="s">
        <v>9711</v>
      </c>
      <c r="C3300" s="879" t="s">
        <v>226</v>
      </c>
      <c r="D3300" s="880" t="s">
        <v>42034</v>
      </c>
    </row>
    <row r="3301" spans="1:4" ht="13.5" x14ac:dyDescent="0.25">
      <c r="A3301" s="878" t="s">
        <v>9712</v>
      </c>
      <c r="B3301" s="878" t="s">
        <v>9713</v>
      </c>
      <c r="C3301" s="879" t="s">
        <v>226</v>
      </c>
      <c r="D3301" s="881" t="s">
        <v>42023</v>
      </c>
    </row>
    <row r="3302" spans="1:4" ht="13.5" x14ac:dyDescent="0.25">
      <c r="A3302" s="878" t="s">
        <v>9714</v>
      </c>
      <c r="B3302" s="878" t="s">
        <v>9715</v>
      </c>
      <c r="C3302" s="879" t="s">
        <v>226</v>
      </c>
      <c r="D3302" s="880" t="s">
        <v>42035</v>
      </c>
    </row>
    <row r="3303" spans="1:4" ht="13.5" x14ac:dyDescent="0.25">
      <c r="A3303" s="878" t="s">
        <v>9717</v>
      </c>
      <c r="B3303" s="878" t="s">
        <v>9718</v>
      </c>
      <c r="C3303" s="879" t="s">
        <v>159</v>
      </c>
      <c r="D3303" s="880" t="s">
        <v>42036</v>
      </c>
    </row>
    <row r="3304" spans="1:4" ht="13.5" x14ac:dyDescent="0.25">
      <c r="A3304" s="878" t="s">
        <v>9719</v>
      </c>
      <c r="B3304" s="878" t="s">
        <v>9720</v>
      </c>
      <c r="C3304" s="879" t="s">
        <v>159</v>
      </c>
      <c r="D3304" s="880" t="s">
        <v>42037</v>
      </c>
    </row>
    <row r="3305" spans="1:4" ht="13.5" x14ac:dyDescent="0.25">
      <c r="A3305" s="878" t="s">
        <v>9721</v>
      </c>
      <c r="B3305" s="878" t="s">
        <v>9722</v>
      </c>
      <c r="C3305" s="879" t="s">
        <v>226</v>
      </c>
      <c r="D3305" s="880" t="s">
        <v>30713</v>
      </c>
    </row>
    <row r="3306" spans="1:4" ht="13.5" x14ac:dyDescent="0.25">
      <c r="A3306" s="878" t="s">
        <v>9723</v>
      </c>
      <c r="B3306" s="878" t="s">
        <v>9724</v>
      </c>
      <c r="C3306" s="879" t="s">
        <v>226</v>
      </c>
      <c r="D3306" s="880" t="s">
        <v>42038</v>
      </c>
    </row>
    <row r="3307" spans="1:4" ht="13.5" x14ac:dyDescent="0.25">
      <c r="A3307" s="878" t="s">
        <v>9725</v>
      </c>
      <c r="B3307" s="878" t="s">
        <v>9726</v>
      </c>
      <c r="C3307" s="879" t="s">
        <v>226</v>
      </c>
      <c r="D3307" s="880" t="s">
        <v>42039</v>
      </c>
    </row>
    <row r="3308" spans="1:4" ht="13.5" x14ac:dyDescent="0.25">
      <c r="A3308" s="878" t="s">
        <v>9727</v>
      </c>
      <c r="B3308" s="878" t="s">
        <v>9728</v>
      </c>
      <c r="C3308" s="879" t="s">
        <v>226</v>
      </c>
      <c r="D3308" s="880" t="s">
        <v>42040</v>
      </c>
    </row>
    <row r="3309" spans="1:4" ht="13.5" x14ac:dyDescent="0.25">
      <c r="A3309" s="878" t="s">
        <v>9729</v>
      </c>
      <c r="B3309" s="878" t="s">
        <v>9730</v>
      </c>
      <c r="C3309" s="879" t="s">
        <v>226</v>
      </c>
      <c r="D3309" s="881" t="s">
        <v>42041</v>
      </c>
    </row>
    <row r="3310" spans="1:4" ht="13.5" x14ac:dyDescent="0.25">
      <c r="A3310" s="878" t="s">
        <v>9731</v>
      </c>
      <c r="B3310" s="878" t="s">
        <v>9732</v>
      </c>
      <c r="C3310" s="879" t="s">
        <v>226</v>
      </c>
      <c r="D3310" s="880" t="s">
        <v>42042</v>
      </c>
    </row>
    <row r="3311" spans="1:4" ht="13.5" x14ac:dyDescent="0.25">
      <c r="A3311" s="878" t="s">
        <v>9733</v>
      </c>
      <c r="B3311" s="878" t="s">
        <v>9734</v>
      </c>
      <c r="C3311" s="879" t="s">
        <v>226</v>
      </c>
      <c r="D3311" s="880" t="s">
        <v>42043</v>
      </c>
    </row>
    <row r="3312" spans="1:4" ht="13.5" x14ac:dyDescent="0.25">
      <c r="A3312" s="878" t="s">
        <v>9735</v>
      </c>
      <c r="B3312" s="878" t="s">
        <v>9736</v>
      </c>
      <c r="C3312" s="879" t="s">
        <v>226</v>
      </c>
      <c r="D3312" s="880" t="s">
        <v>42044</v>
      </c>
    </row>
    <row r="3313" spans="1:4" ht="13.5" x14ac:dyDescent="0.25">
      <c r="A3313" s="878" t="s">
        <v>9737</v>
      </c>
      <c r="B3313" s="878" t="s">
        <v>9738</v>
      </c>
      <c r="C3313" s="879" t="s">
        <v>226</v>
      </c>
      <c r="D3313" s="881" t="s">
        <v>42045</v>
      </c>
    </row>
    <row r="3314" spans="1:4" ht="13.5" x14ac:dyDescent="0.25">
      <c r="A3314" s="878" t="s">
        <v>9739</v>
      </c>
      <c r="B3314" s="878" t="s">
        <v>9740</v>
      </c>
      <c r="C3314" s="879" t="s">
        <v>226</v>
      </c>
      <c r="D3314" s="880" t="s">
        <v>42046</v>
      </c>
    </row>
    <row r="3315" spans="1:4" ht="13.5" x14ac:dyDescent="0.25">
      <c r="A3315" s="878" t="s">
        <v>9741</v>
      </c>
      <c r="B3315" s="878" t="s">
        <v>9742</v>
      </c>
      <c r="C3315" s="879" t="s">
        <v>226</v>
      </c>
      <c r="D3315" s="880" t="s">
        <v>42047</v>
      </c>
    </row>
    <row r="3316" spans="1:4" ht="13.5" x14ac:dyDescent="0.25">
      <c r="A3316" s="878" t="s">
        <v>9743</v>
      </c>
      <c r="B3316" s="878" t="s">
        <v>9744</v>
      </c>
      <c r="C3316" s="879" t="s">
        <v>226</v>
      </c>
      <c r="D3316" s="880" t="s">
        <v>30714</v>
      </c>
    </row>
    <row r="3317" spans="1:4" ht="13.5" x14ac:dyDescent="0.25">
      <c r="A3317" s="878" t="s">
        <v>9745</v>
      </c>
      <c r="B3317" s="878" t="s">
        <v>9746</v>
      </c>
      <c r="C3317" s="879" t="s">
        <v>226</v>
      </c>
      <c r="D3317" s="880" t="s">
        <v>42048</v>
      </c>
    </row>
    <row r="3318" spans="1:4" ht="13.5" x14ac:dyDescent="0.25">
      <c r="A3318" s="878" t="s">
        <v>9747</v>
      </c>
      <c r="B3318" s="878" t="s">
        <v>9748</v>
      </c>
      <c r="C3318" s="879" t="s">
        <v>226</v>
      </c>
      <c r="D3318" s="880" t="s">
        <v>30715</v>
      </c>
    </row>
    <row r="3319" spans="1:4" ht="13.5" x14ac:dyDescent="0.25">
      <c r="A3319" s="878" t="s">
        <v>9749</v>
      </c>
      <c r="B3319" s="878" t="s">
        <v>9750</v>
      </c>
      <c r="C3319" s="879" t="s">
        <v>158</v>
      </c>
      <c r="D3319" s="880" t="s">
        <v>13897</v>
      </c>
    </row>
    <row r="3320" spans="1:4" ht="13.5" x14ac:dyDescent="0.25">
      <c r="A3320" s="878" t="s">
        <v>9751</v>
      </c>
      <c r="B3320" s="878" t="s">
        <v>9752</v>
      </c>
      <c r="C3320" s="879" t="s">
        <v>158</v>
      </c>
      <c r="D3320" s="880" t="s">
        <v>40426</v>
      </c>
    </row>
    <row r="3321" spans="1:4" ht="13.5" x14ac:dyDescent="0.25">
      <c r="A3321" s="878" t="s">
        <v>9754</v>
      </c>
      <c r="B3321" s="878" t="s">
        <v>9755</v>
      </c>
      <c r="C3321" s="879" t="s">
        <v>158</v>
      </c>
      <c r="D3321" s="880" t="s">
        <v>42049</v>
      </c>
    </row>
    <row r="3322" spans="1:4" ht="13.5" x14ac:dyDescent="0.25">
      <c r="A3322" s="878" t="s">
        <v>9756</v>
      </c>
      <c r="B3322" s="878" t="s">
        <v>9757</v>
      </c>
      <c r="C3322" s="879" t="s">
        <v>158</v>
      </c>
      <c r="D3322" s="880" t="s">
        <v>40492</v>
      </c>
    </row>
    <row r="3323" spans="1:4" ht="13.5" x14ac:dyDescent="0.25">
      <c r="A3323" s="878" t="s">
        <v>9759</v>
      </c>
      <c r="B3323" s="878" t="s">
        <v>9760</v>
      </c>
      <c r="C3323" s="879" t="s">
        <v>158</v>
      </c>
      <c r="D3323" s="880" t="s">
        <v>42050</v>
      </c>
    </row>
    <row r="3324" spans="1:4" ht="13.5" x14ac:dyDescent="0.25">
      <c r="A3324" s="878" t="s">
        <v>9761</v>
      </c>
      <c r="B3324" s="878" t="s">
        <v>9762</v>
      </c>
      <c r="C3324" s="879" t="s">
        <v>158</v>
      </c>
      <c r="D3324" s="880" t="s">
        <v>42051</v>
      </c>
    </row>
    <row r="3325" spans="1:4" ht="13.5" x14ac:dyDescent="0.25">
      <c r="A3325" s="878" t="s">
        <v>9764</v>
      </c>
      <c r="B3325" s="878" t="s">
        <v>9765</v>
      </c>
      <c r="C3325" s="879" t="s">
        <v>158</v>
      </c>
      <c r="D3325" s="880" t="s">
        <v>41927</v>
      </c>
    </row>
    <row r="3326" spans="1:4" ht="13.5" x14ac:dyDescent="0.25">
      <c r="A3326" s="878" t="s">
        <v>9766</v>
      </c>
      <c r="B3326" s="878" t="s">
        <v>9767</v>
      </c>
      <c r="C3326" s="879" t="s">
        <v>158</v>
      </c>
      <c r="D3326" s="880" t="s">
        <v>42052</v>
      </c>
    </row>
    <row r="3327" spans="1:4" ht="13.5" x14ac:dyDescent="0.25">
      <c r="A3327" s="878" t="s">
        <v>9768</v>
      </c>
      <c r="B3327" s="878" t="s">
        <v>9769</v>
      </c>
      <c r="C3327" s="879" t="s">
        <v>158</v>
      </c>
      <c r="D3327" s="880" t="s">
        <v>30697</v>
      </c>
    </row>
    <row r="3328" spans="1:4" ht="13.5" x14ac:dyDescent="0.25">
      <c r="A3328" s="878" t="s">
        <v>9771</v>
      </c>
      <c r="B3328" s="878" t="s">
        <v>9772</v>
      </c>
      <c r="C3328" s="879" t="s">
        <v>158</v>
      </c>
      <c r="D3328" s="880" t="s">
        <v>42053</v>
      </c>
    </row>
    <row r="3329" spans="1:4" ht="13.5" x14ac:dyDescent="0.25">
      <c r="A3329" s="878" t="s">
        <v>9773</v>
      </c>
      <c r="B3329" s="878" t="s">
        <v>9774</v>
      </c>
      <c r="C3329" s="879" t="s">
        <v>158</v>
      </c>
      <c r="D3329" s="880" t="s">
        <v>42054</v>
      </c>
    </row>
    <row r="3330" spans="1:4" ht="13.5" x14ac:dyDescent="0.25">
      <c r="A3330" s="878" t="s">
        <v>9775</v>
      </c>
      <c r="B3330" s="878" t="s">
        <v>9776</v>
      </c>
      <c r="C3330" s="879" t="s">
        <v>158</v>
      </c>
      <c r="D3330" s="880" t="s">
        <v>42055</v>
      </c>
    </row>
    <row r="3331" spans="1:4" ht="13.5" x14ac:dyDescent="0.25">
      <c r="A3331" s="878" t="s">
        <v>9777</v>
      </c>
      <c r="B3331" s="878" t="s">
        <v>9778</v>
      </c>
      <c r="C3331" s="879" t="s">
        <v>158</v>
      </c>
      <c r="D3331" s="880" t="s">
        <v>31310</v>
      </c>
    </row>
    <row r="3332" spans="1:4" ht="13.5" x14ac:dyDescent="0.25">
      <c r="A3332" s="878" t="s">
        <v>9779</v>
      </c>
      <c r="B3332" s="878" t="s">
        <v>9780</v>
      </c>
      <c r="C3332" s="879" t="s">
        <v>158</v>
      </c>
      <c r="D3332" s="880" t="s">
        <v>31172</v>
      </c>
    </row>
    <row r="3333" spans="1:4" ht="13.5" x14ac:dyDescent="0.25">
      <c r="A3333" s="878" t="s">
        <v>9781</v>
      </c>
      <c r="B3333" s="878" t="s">
        <v>9782</v>
      </c>
      <c r="C3333" s="879" t="s">
        <v>158</v>
      </c>
      <c r="D3333" s="880" t="s">
        <v>42056</v>
      </c>
    </row>
    <row r="3334" spans="1:4" ht="13.5" x14ac:dyDescent="0.25">
      <c r="A3334" s="878" t="s">
        <v>9783</v>
      </c>
      <c r="B3334" s="878" t="s">
        <v>9784</v>
      </c>
      <c r="C3334" s="879" t="s">
        <v>158</v>
      </c>
      <c r="D3334" s="880" t="s">
        <v>4696</v>
      </c>
    </row>
    <row r="3335" spans="1:4" ht="13.5" x14ac:dyDescent="0.25">
      <c r="A3335" s="878" t="s">
        <v>9785</v>
      </c>
      <c r="B3335" s="878" t="s">
        <v>9786</v>
      </c>
      <c r="C3335" s="879" t="s">
        <v>158</v>
      </c>
      <c r="D3335" s="880" t="s">
        <v>42057</v>
      </c>
    </row>
    <row r="3336" spans="1:4" ht="13.5" x14ac:dyDescent="0.25">
      <c r="A3336" s="878" t="s">
        <v>9788</v>
      </c>
      <c r="B3336" s="878" t="s">
        <v>9789</v>
      </c>
      <c r="C3336" s="879" t="s">
        <v>158</v>
      </c>
      <c r="D3336" s="880" t="s">
        <v>42058</v>
      </c>
    </row>
    <row r="3337" spans="1:4" ht="13.5" x14ac:dyDescent="0.25">
      <c r="A3337" s="878" t="s">
        <v>9790</v>
      </c>
      <c r="B3337" s="878" t="s">
        <v>9791</v>
      </c>
      <c r="C3337" s="879" t="s">
        <v>158</v>
      </c>
      <c r="D3337" s="880" t="s">
        <v>42059</v>
      </c>
    </row>
    <row r="3338" spans="1:4" ht="13.5" x14ac:dyDescent="0.25">
      <c r="A3338" s="878" t="s">
        <v>9792</v>
      </c>
      <c r="B3338" s="878" t="s">
        <v>9793</v>
      </c>
      <c r="C3338" s="879" t="s">
        <v>158</v>
      </c>
      <c r="D3338" s="880" t="s">
        <v>14414</v>
      </c>
    </row>
    <row r="3339" spans="1:4" ht="13.5" x14ac:dyDescent="0.25">
      <c r="A3339" s="878" t="s">
        <v>9794</v>
      </c>
      <c r="B3339" s="878" t="s">
        <v>9795</v>
      </c>
      <c r="C3339" s="879" t="s">
        <v>158</v>
      </c>
      <c r="D3339" s="880" t="s">
        <v>40025</v>
      </c>
    </row>
    <row r="3340" spans="1:4" ht="13.5" x14ac:dyDescent="0.25">
      <c r="A3340" s="878" t="s">
        <v>9797</v>
      </c>
      <c r="B3340" s="878" t="s">
        <v>9798</v>
      </c>
      <c r="C3340" s="879" t="s">
        <v>158</v>
      </c>
      <c r="D3340" s="880" t="s">
        <v>42060</v>
      </c>
    </row>
    <row r="3341" spans="1:4" ht="13.5" x14ac:dyDescent="0.25">
      <c r="A3341" s="878" t="s">
        <v>9799</v>
      </c>
      <c r="B3341" s="878" t="s">
        <v>9800</v>
      </c>
      <c r="C3341" s="879" t="s">
        <v>158</v>
      </c>
      <c r="D3341" s="880" t="s">
        <v>8790</v>
      </c>
    </row>
    <row r="3342" spans="1:4" ht="13.5" x14ac:dyDescent="0.25">
      <c r="A3342" s="878" t="s">
        <v>9801</v>
      </c>
      <c r="B3342" s="878" t="s">
        <v>9802</v>
      </c>
      <c r="C3342" s="879" t="s">
        <v>158</v>
      </c>
      <c r="D3342" s="880" t="s">
        <v>6009</v>
      </c>
    </row>
    <row r="3343" spans="1:4" ht="13.5" x14ac:dyDescent="0.25">
      <c r="A3343" s="878" t="s">
        <v>9803</v>
      </c>
      <c r="B3343" s="878" t="s">
        <v>9804</v>
      </c>
      <c r="C3343" s="879" t="s">
        <v>158</v>
      </c>
      <c r="D3343" s="880" t="s">
        <v>30509</v>
      </c>
    </row>
    <row r="3344" spans="1:4" ht="13.5" x14ac:dyDescent="0.25">
      <c r="A3344" s="878" t="s">
        <v>9805</v>
      </c>
      <c r="B3344" s="878" t="s">
        <v>9806</v>
      </c>
      <c r="C3344" s="879" t="s">
        <v>158</v>
      </c>
      <c r="D3344" s="880" t="s">
        <v>18032</v>
      </c>
    </row>
    <row r="3345" spans="1:4" ht="13.5" x14ac:dyDescent="0.25">
      <c r="A3345" s="878" t="s">
        <v>9808</v>
      </c>
      <c r="B3345" s="878" t="s">
        <v>9809</v>
      </c>
      <c r="C3345" s="879" t="s">
        <v>158</v>
      </c>
      <c r="D3345" s="880" t="s">
        <v>31168</v>
      </c>
    </row>
    <row r="3346" spans="1:4" ht="13.5" x14ac:dyDescent="0.25">
      <c r="A3346" s="878" t="s">
        <v>9811</v>
      </c>
      <c r="B3346" s="878" t="s">
        <v>9812</v>
      </c>
      <c r="C3346" s="879" t="s">
        <v>158</v>
      </c>
      <c r="D3346" s="880" t="s">
        <v>42061</v>
      </c>
    </row>
    <row r="3347" spans="1:4" ht="13.5" x14ac:dyDescent="0.25">
      <c r="A3347" s="878" t="s">
        <v>9814</v>
      </c>
      <c r="B3347" s="878" t="s">
        <v>9815</v>
      </c>
      <c r="C3347" s="879" t="s">
        <v>158</v>
      </c>
      <c r="D3347" s="880" t="s">
        <v>5517</v>
      </c>
    </row>
    <row r="3348" spans="1:4" ht="13.5" x14ac:dyDescent="0.25">
      <c r="A3348" s="878" t="s">
        <v>9816</v>
      </c>
      <c r="B3348" s="878" t="s">
        <v>9817</v>
      </c>
      <c r="C3348" s="879" t="s">
        <v>158</v>
      </c>
      <c r="D3348" s="880" t="s">
        <v>31282</v>
      </c>
    </row>
    <row r="3349" spans="1:4" ht="13.5" x14ac:dyDescent="0.25">
      <c r="A3349" s="878" t="s">
        <v>9818</v>
      </c>
      <c r="B3349" s="878" t="s">
        <v>9819</v>
      </c>
      <c r="C3349" s="879" t="s">
        <v>158</v>
      </c>
      <c r="D3349" s="880" t="s">
        <v>40525</v>
      </c>
    </row>
    <row r="3350" spans="1:4" ht="13.5" x14ac:dyDescent="0.25">
      <c r="A3350" s="878" t="s">
        <v>9821</v>
      </c>
      <c r="B3350" s="878" t="s">
        <v>9822</v>
      </c>
      <c r="C3350" s="879" t="s">
        <v>158</v>
      </c>
      <c r="D3350" s="880" t="s">
        <v>4441</v>
      </c>
    </row>
    <row r="3351" spans="1:4" ht="13.5" x14ac:dyDescent="0.25">
      <c r="A3351" s="878" t="s">
        <v>9823</v>
      </c>
      <c r="B3351" s="878" t="s">
        <v>9824</v>
      </c>
      <c r="C3351" s="879" t="s">
        <v>158</v>
      </c>
      <c r="D3351" s="880" t="s">
        <v>40966</v>
      </c>
    </row>
    <row r="3352" spans="1:4" ht="13.5" x14ac:dyDescent="0.25">
      <c r="A3352" s="878" t="s">
        <v>9826</v>
      </c>
      <c r="B3352" s="878" t="s">
        <v>9827</v>
      </c>
      <c r="C3352" s="879" t="s">
        <v>158</v>
      </c>
      <c r="D3352" s="880" t="s">
        <v>31286</v>
      </c>
    </row>
    <row r="3353" spans="1:4" ht="13.5" x14ac:dyDescent="0.25">
      <c r="A3353" s="878" t="s">
        <v>9828</v>
      </c>
      <c r="B3353" s="878" t="s">
        <v>9829</v>
      </c>
      <c r="C3353" s="879" t="s">
        <v>158</v>
      </c>
      <c r="D3353" s="880" t="s">
        <v>41662</v>
      </c>
    </row>
    <row r="3354" spans="1:4" ht="13.5" x14ac:dyDescent="0.25">
      <c r="A3354" s="878" t="s">
        <v>9831</v>
      </c>
      <c r="B3354" s="878" t="s">
        <v>9832</v>
      </c>
      <c r="C3354" s="879" t="s">
        <v>158</v>
      </c>
      <c r="D3354" s="880" t="s">
        <v>42062</v>
      </c>
    </row>
    <row r="3355" spans="1:4" ht="13.5" x14ac:dyDescent="0.25">
      <c r="A3355" s="878" t="s">
        <v>9833</v>
      </c>
      <c r="B3355" s="878" t="s">
        <v>9834</v>
      </c>
      <c r="C3355" s="879" t="s">
        <v>226</v>
      </c>
      <c r="D3355" s="880" t="s">
        <v>30725</v>
      </c>
    </row>
    <row r="3356" spans="1:4" ht="13.5" x14ac:dyDescent="0.25">
      <c r="A3356" s="878" t="s">
        <v>9835</v>
      </c>
      <c r="B3356" s="878" t="s">
        <v>9836</v>
      </c>
      <c r="C3356" s="879" t="s">
        <v>226</v>
      </c>
      <c r="D3356" s="880" t="s">
        <v>30726</v>
      </c>
    </row>
    <row r="3357" spans="1:4" ht="13.5" x14ac:dyDescent="0.25">
      <c r="A3357" s="878" t="s">
        <v>9837</v>
      </c>
      <c r="B3357" s="878" t="s">
        <v>9838</v>
      </c>
      <c r="C3357" s="879" t="s">
        <v>226</v>
      </c>
      <c r="D3357" s="880" t="s">
        <v>42063</v>
      </c>
    </row>
    <row r="3358" spans="1:4" ht="13.5" x14ac:dyDescent="0.25">
      <c r="A3358" s="878" t="s">
        <v>9839</v>
      </c>
      <c r="B3358" s="878" t="s">
        <v>9840</v>
      </c>
      <c r="C3358" s="879" t="s">
        <v>226</v>
      </c>
      <c r="D3358" s="880" t="s">
        <v>42064</v>
      </c>
    </row>
    <row r="3359" spans="1:4" ht="13.5" x14ac:dyDescent="0.25">
      <c r="A3359" s="878" t="s">
        <v>9841</v>
      </c>
      <c r="B3359" s="878" t="s">
        <v>9842</v>
      </c>
      <c r="C3359" s="879" t="s">
        <v>226</v>
      </c>
      <c r="D3359" s="880" t="s">
        <v>42065</v>
      </c>
    </row>
    <row r="3360" spans="1:4" ht="13.5" x14ac:dyDescent="0.25">
      <c r="A3360" s="878" t="s">
        <v>9843</v>
      </c>
      <c r="B3360" s="878" t="s">
        <v>9844</v>
      </c>
      <c r="C3360" s="879" t="s">
        <v>226</v>
      </c>
      <c r="D3360" s="880" t="s">
        <v>42066</v>
      </c>
    </row>
    <row r="3361" spans="1:4" ht="13.5" x14ac:dyDescent="0.25">
      <c r="A3361" s="878" t="s">
        <v>9845</v>
      </c>
      <c r="B3361" s="878" t="s">
        <v>9846</v>
      </c>
      <c r="C3361" s="879" t="s">
        <v>226</v>
      </c>
      <c r="D3361" s="881" t="s">
        <v>42067</v>
      </c>
    </row>
    <row r="3362" spans="1:4" ht="13.5" x14ac:dyDescent="0.25">
      <c r="A3362" s="878" t="s">
        <v>9847</v>
      </c>
      <c r="B3362" s="878" t="s">
        <v>9848</v>
      </c>
      <c r="C3362" s="879" t="s">
        <v>226</v>
      </c>
      <c r="D3362" s="881" t="s">
        <v>42068</v>
      </c>
    </row>
    <row r="3363" spans="1:4" ht="13.5" x14ac:dyDescent="0.25">
      <c r="A3363" s="878" t="s">
        <v>9849</v>
      </c>
      <c r="B3363" s="878" t="s">
        <v>9850</v>
      </c>
      <c r="C3363" s="879" t="s">
        <v>226</v>
      </c>
      <c r="D3363" s="881" t="s">
        <v>42069</v>
      </c>
    </row>
    <row r="3364" spans="1:4" ht="13.5" x14ac:dyDescent="0.25">
      <c r="A3364" s="878" t="s">
        <v>9851</v>
      </c>
      <c r="B3364" s="878" t="s">
        <v>9852</v>
      </c>
      <c r="C3364" s="879" t="s">
        <v>227</v>
      </c>
      <c r="D3364" s="881" t="s">
        <v>42070</v>
      </c>
    </row>
    <row r="3365" spans="1:4" ht="13.5" x14ac:dyDescent="0.25">
      <c r="A3365" s="878" t="s">
        <v>9853</v>
      </c>
      <c r="B3365" s="878" t="s">
        <v>9854</v>
      </c>
      <c r="C3365" s="879" t="s">
        <v>226</v>
      </c>
      <c r="D3365" s="881" t="s">
        <v>42071</v>
      </c>
    </row>
    <row r="3366" spans="1:4" ht="13.5" x14ac:dyDescent="0.25">
      <c r="A3366" s="878" t="s">
        <v>9855</v>
      </c>
      <c r="B3366" s="878" t="s">
        <v>9856</v>
      </c>
      <c r="C3366" s="879" t="s">
        <v>226</v>
      </c>
      <c r="D3366" s="881" t="s">
        <v>42072</v>
      </c>
    </row>
    <row r="3367" spans="1:4" ht="13.5" x14ac:dyDescent="0.25">
      <c r="A3367" s="878" t="s">
        <v>9857</v>
      </c>
      <c r="B3367" s="878" t="s">
        <v>9858</v>
      </c>
      <c r="C3367" s="879" t="s">
        <v>226</v>
      </c>
      <c r="D3367" s="881" t="s">
        <v>42073</v>
      </c>
    </row>
    <row r="3368" spans="1:4" ht="13.5" x14ac:dyDescent="0.25">
      <c r="A3368" s="878" t="s">
        <v>9859</v>
      </c>
      <c r="B3368" s="878" t="s">
        <v>9860</v>
      </c>
      <c r="C3368" s="879" t="s">
        <v>226</v>
      </c>
      <c r="D3368" s="881" t="s">
        <v>42074</v>
      </c>
    </row>
    <row r="3369" spans="1:4" ht="13.5" x14ac:dyDescent="0.25">
      <c r="A3369" s="878" t="s">
        <v>9861</v>
      </c>
      <c r="B3369" s="878" t="s">
        <v>9862</v>
      </c>
      <c r="C3369" s="879" t="s">
        <v>226</v>
      </c>
      <c r="D3369" s="881" t="s">
        <v>42075</v>
      </c>
    </row>
    <row r="3370" spans="1:4" ht="13.5" x14ac:dyDescent="0.25">
      <c r="A3370" s="878" t="s">
        <v>9863</v>
      </c>
      <c r="B3370" s="878" t="s">
        <v>9864</v>
      </c>
      <c r="C3370" s="879" t="s">
        <v>226</v>
      </c>
      <c r="D3370" s="881" t="s">
        <v>42076</v>
      </c>
    </row>
    <row r="3371" spans="1:4" ht="13.5" x14ac:dyDescent="0.25">
      <c r="A3371" s="878" t="s">
        <v>9865</v>
      </c>
      <c r="B3371" s="878" t="s">
        <v>9866</v>
      </c>
      <c r="C3371" s="879" t="s">
        <v>226</v>
      </c>
      <c r="D3371" s="881" t="s">
        <v>42077</v>
      </c>
    </row>
    <row r="3372" spans="1:4" ht="13.5" x14ac:dyDescent="0.25">
      <c r="A3372" s="878" t="s">
        <v>9867</v>
      </c>
      <c r="B3372" s="878" t="s">
        <v>9868</v>
      </c>
      <c r="C3372" s="879" t="s">
        <v>226</v>
      </c>
      <c r="D3372" s="881" t="s">
        <v>42078</v>
      </c>
    </row>
    <row r="3373" spans="1:4" ht="13.5" x14ac:dyDescent="0.25">
      <c r="A3373" s="878" t="s">
        <v>9869</v>
      </c>
      <c r="B3373" s="878" t="s">
        <v>9870</v>
      </c>
      <c r="C3373" s="879" t="s">
        <v>226</v>
      </c>
      <c r="D3373" s="881" t="s">
        <v>42079</v>
      </c>
    </row>
    <row r="3374" spans="1:4" ht="13.5" x14ac:dyDescent="0.25">
      <c r="A3374" s="878" t="s">
        <v>9871</v>
      </c>
      <c r="B3374" s="878" t="s">
        <v>9872</v>
      </c>
      <c r="C3374" s="879" t="s">
        <v>226</v>
      </c>
      <c r="D3374" s="881" t="s">
        <v>42080</v>
      </c>
    </row>
    <row r="3375" spans="1:4" ht="13.5" x14ac:dyDescent="0.25">
      <c r="A3375" s="878" t="s">
        <v>9873</v>
      </c>
      <c r="B3375" s="878" t="s">
        <v>9874</v>
      </c>
      <c r="C3375" s="879" t="s">
        <v>226</v>
      </c>
      <c r="D3375" s="881" t="s">
        <v>42081</v>
      </c>
    </row>
    <row r="3376" spans="1:4" ht="13.5" x14ac:dyDescent="0.25">
      <c r="A3376" s="878" t="s">
        <v>9875</v>
      </c>
      <c r="B3376" s="878" t="s">
        <v>9876</v>
      </c>
      <c r="C3376" s="879" t="s">
        <v>226</v>
      </c>
      <c r="D3376" s="881" t="s">
        <v>42082</v>
      </c>
    </row>
    <row r="3377" spans="1:4" ht="13.5" x14ac:dyDescent="0.25">
      <c r="A3377" s="878" t="s">
        <v>9877</v>
      </c>
      <c r="B3377" s="878" t="s">
        <v>9878</v>
      </c>
      <c r="C3377" s="879" t="s">
        <v>226</v>
      </c>
      <c r="D3377" s="881" t="s">
        <v>42083</v>
      </c>
    </row>
    <row r="3378" spans="1:4" ht="13.5" x14ac:dyDescent="0.25">
      <c r="A3378" s="878" t="s">
        <v>9879</v>
      </c>
      <c r="B3378" s="878" t="s">
        <v>9880</v>
      </c>
      <c r="C3378" s="879" t="s">
        <v>226</v>
      </c>
      <c r="D3378" s="881" t="s">
        <v>42084</v>
      </c>
    </row>
    <row r="3379" spans="1:4" ht="13.5" x14ac:dyDescent="0.25">
      <c r="A3379" s="878" t="s">
        <v>9881</v>
      </c>
      <c r="B3379" s="878" t="s">
        <v>9882</v>
      </c>
      <c r="C3379" s="879" t="s">
        <v>226</v>
      </c>
      <c r="D3379" s="881" t="s">
        <v>42085</v>
      </c>
    </row>
    <row r="3380" spans="1:4" ht="13.5" x14ac:dyDescent="0.25">
      <c r="A3380" s="878" t="s">
        <v>9883</v>
      </c>
      <c r="B3380" s="878" t="s">
        <v>9884</v>
      </c>
      <c r="C3380" s="879" t="s">
        <v>226</v>
      </c>
      <c r="D3380" s="881" t="s">
        <v>42086</v>
      </c>
    </row>
    <row r="3381" spans="1:4" ht="13.5" x14ac:dyDescent="0.25">
      <c r="A3381" s="878" t="s">
        <v>9885</v>
      </c>
      <c r="B3381" s="878" t="s">
        <v>9886</v>
      </c>
      <c r="C3381" s="879" t="s">
        <v>226</v>
      </c>
      <c r="D3381" s="881" t="s">
        <v>42087</v>
      </c>
    </row>
    <row r="3382" spans="1:4" ht="13.5" x14ac:dyDescent="0.25">
      <c r="A3382" s="878" t="s">
        <v>9887</v>
      </c>
      <c r="B3382" s="878" t="s">
        <v>9888</v>
      </c>
      <c r="C3382" s="879" t="s">
        <v>226</v>
      </c>
      <c r="D3382" s="881" t="s">
        <v>42088</v>
      </c>
    </row>
    <row r="3383" spans="1:4" ht="13.5" x14ac:dyDescent="0.25">
      <c r="A3383" s="878" t="s">
        <v>9889</v>
      </c>
      <c r="B3383" s="878" t="s">
        <v>9890</v>
      </c>
      <c r="C3383" s="879" t="s">
        <v>226</v>
      </c>
      <c r="D3383" s="881" t="s">
        <v>42089</v>
      </c>
    </row>
    <row r="3384" spans="1:4" ht="13.5" x14ac:dyDescent="0.25">
      <c r="A3384" s="878" t="s">
        <v>9891</v>
      </c>
      <c r="B3384" s="878" t="s">
        <v>9892</v>
      </c>
      <c r="C3384" s="879" t="s">
        <v>226</v>
      </c>
      <c r="D3384" s="881" t="s">
        <v>42090</v>
      </c>
    </row>
    <row r="3385" spans="1:4" ht="13.5" x14ac:dyDescent="0.25">
      <c r="A3385" s="878" t="s">
        <v>9893</v>
      </c>
      <c r="B3385" s="878" t="s">
        <v>9894</v>
      </c>
      <c r="C3385" s="879" t="s">
        <v>226</v>
      </c>
      <c r="D3385" s="881" t="s">
        <v>42091</v>
      </c>
    </row>
    <row r="3386" spans="1:4" ht="13.5" x14ac:dyDescent="0.25">
      <c r="A3386" s="878" t="s">
        <v>9895</v>
      </c>
      <c r="B3386" s="878" t="s">
        <v>9896</v>
      </c>
      <c r="C3386" s="879" t="s">
        <v>226</v>
      </c>
      <c r="D3386" s="881" t="s">
        <v>42092</v>
      </c>
    </row>
    <row r="3387" spans="1:4" ht="13.5" x14ac:dyDescent="0.25">
      <c r="A3387" s="878" t="s">
        <v>9897</v>
      </c>
      <c r="B3387" s="878" t="s">
        <v>9898</v>
      </c>
      <c r="C3387" s="879" t="s">
        <v>226</v>
      </c>
      <c r="D3387" s="881" t="s">
        <v>42093</v>
      </c>
    </row>
    <row r="3388" spans="1:4" ht="13.5" x14ac:dyDescent="0.25">
      <c r="A3388" s="878" t="s">
        <v>9899</v>
      </c>
      <c r="B3388" s="878" t="s">
        <v>9900</v>
      </c>
      <c r="C3388" s="879" t="s">
        <v>226</v>
      </c>
      <c r="D3388" s="881" t="s">
        <v>42094</v>
      </c>
    </row>
    <row r="3389" spans="1:4" ht="13.5" x14ac:dyDescent="0.25">
      <c r="A3389" s="878" t="s">
        <v>9901</v>
      </c>
      <c r="B3389" s="878" t="s">
        <v>9902</v>
      </c>
      <c r="C3389" s="879" t="s">
        <v>226</v>
      </c>
      <c r="D3389" s="881" t="s">
        <v>42095</v>
      </c>
    </row>
    <row r="3390" spans="1:4" ht="13.5" x14ac:dyDescent="0.25">
      <c r="A3390" s="878" t="s">
        <v>9903</v>
      </c>
      <c r="B3390" s="878" t="s">
        <v>9904</v>
      </c>
      <c r="C3390" s="879" t="s">
        <v>226</v>
      </c>
      <c r="D3390" s="881" t="s">
        <v>42096</v>
      </c>
    </row>
    <row r="3391" spans="1:4" ht="13.5" x14ac:dyDescent="0.25">
      <c r="A3391" s="878" t="s">
        <v>9905</v>
      </c>
      <c r="B3391" s="878" t="s">
        <v>9906</v>
      </c>
      <c r="C3391" s="879" t="s">
        <v>226</v>
      </c>
      <c r="D3391" s="881" t="s">
        <v>42097</v>
      </c>
    </row>
    <row r="3392" spans="1:4" ht="13.5" x14ac:dyDescent="0.25">
      <c r="A3392" s="878" t="s">
        <v>9907</v>
      </c>
      <c r="B3392" s="878" t="s">
        <v>9908</v>
      </c>
      <c r="C3392" s="879" t="s">
        <v>226</v>
      </c>
      <c r="D3392" s="881" t="s">
        <v>42098</v>
      </c>
    </row>
    <row r="3393" spans="1:4" ht="13.5" x14ac:dyDescent="0.25">
      <c r="A3393" s="878" t="s">
        <v>9909</v>
      </c>
      <c r="B3393" s="878" t="s">
        <v>9910</v>
      </c>
      <c r="C3393" s="879" t="s">
        <v>226</v>
      </c>
      <c r="D3393" s="881" t="s">
        <v>42099</v>
      </c>
    </row>
    <row r="3394" spans="1:4" ht="13.5" x14ac:dyDescent="0.25">
      <c r="A3394" s="878" t="s">
        <v>9911</v>
      </c>
      <c r="B3394" s="878" t="s">
        <v>9912</v>
      </c>
      <c r="C3394" s="879" t="s">
        <v>226</v>
      </c>
      <c r="D3394" s="881" t="s">
        <v>42100</v>
      </c>
    </row>
    <row r="3395" spans="1:4" ht="13.5" x14ac:dyDescent="0.25">
      <c r="A3395" s="878" t="s">
        <v>9913</v>
      </c>
      <c r="B3395" s="878" t="s">
        <v>9914</v>
      </c>
      <c r="C3395" s="879" t="s">
        <v>226</v>
      </c>
      <c r="D3395" s="881" t="s">
        <v>42101</v>
      </c>
    </row>
    <row r="3396" spans="1:4" ht="13.5" x14ac:dyDescent="0.25">
      <c r="A3396" s="878" t="s">
        <v>9915</v>
      </c>
      <c r="B3396" s="878" t="s">
        <v>9916</v>
      </c>
      <c r="C3396" s="879" t="s">
        <v>226</v>
      </c>
      <c r="D3396" s="880" t="s">
        <v>42102</v>
      </c>
    </row>
    <row r="3397" spans="1:4" ht="13.5" x14ac:dyDescent="0.25">
      <c r="A3397" s="878" t="s">
        <v>9917</v>
      </c>
      <c r="B3397" s="878" t="s">
        <v>9918</v>
      </c>
      <c r="C3397" s="879" t="s">
        <v>226</v>
      </c>
      <c r="D3397" s="880" t="s">
        <v>42103</v>
      </c>
    </row>
    <row r="3398" spans="1:4" ht="13.5" x14ac:dyDescent="0.25">
      <c r="A3398" s="878" t="s">
        <v>9919</v>
      </c>
      <c r="B3398" s="878" t="s">
        <v>9920</v>
      </c>
      <c r="C3398" s="879" t="s">
        <v>226</v>
      </c>
      <c r="D3398" s="880" t="s">
        <v>42104</v>
      </c>
    </row>
    <row r="3399" spans="1:4" ht="13.5" x14ac:dyDescent="0.25">
      <c r="A3399" s="878" t="s">
        <v>9921</v>
      </c>
      <c r="B3399" s="878" t="s">
        <v>9922</v>
      </c>
      <c r="C3399" s="879" t="s">
        <v>226</v>
      </c>
      <c r="D3399" s="880" t="s">
        <v>42105</v>
      </c>
    </row>
    <row r="3400" spans="1:4" ht="13.5" x14ac:dyDescent="0.25">
      <c r="A3400" s="878" t="s">
        <v>9923</v>
      </c>
      <c r="B3400" s="878" t="s">
        <v>9924</v>
      </c>
      <c r="C3400" s="879" t="s">
        <v>226</v>
      </c>
      <c r="D3400" s="880" t="s">
        <v>42106</v>
      </c>
    </row>
    <row r="3401" spans="1:4" ht="13.5" x14ac:dyDescent="0.25">
      <c r="A3401" s="878" t="s">
        <v>9925</v>
      </c>
      <c r="B3401" s="878" t="s">
        <v>9926</v>
      </c>
      <c r="C3401" s="879" t="s">
        <v>158</v>
      </c>
      <c r="D3401" s="881" t="s">
        <v>42107</v>
      </c>
    </row>
    <row r="3402" spans="1:4" ht="13.5" x14ac:dyDescent="0.25">
      <c r="A3402" s="878" t="s">
        <v>9927</v>
      </c>
      <c r="B3402" s="878" t="s">
        <v>9928</v>
      </c>
      <c r="C3402" s="879" t="s">
        <v>158</v>
      </c>
      <c r="D3402" s="881" t="s">
        <v>42108</v>
      </c>
    </row>
    <row r="3403" spans="1:4" ht="13.5" x14ac:dyDescent="0.25">
      <c r="A3403" s="878" t="s">
        <v>9929</v>
      </c>
      <c r="B3403" s="878" t="s">
        <v>9930</v>
      </c>
      <c r="C3403" s="879" t="s">
        <v>158</v>
      </c>
      <c r="D3403" s="880" t="s">
        <v>42109</v>
      </c>
    </row>
    <row r="3404" spans="1:4" ht="13.5" x14ac:dyDescent="0.25">
      <c r="A3404" s="878" t="s">
        <v>9931</v>
      </c>
      <c r="B3404" s="878" t="s">
        <v>9932</v>
      </c>
      <c r="C3404" s="879" t="s">
        <v>158</v>
      </c>
      <c r="D3404" s="880" t="s">
        <v>42110</v>
      </c>
    </row>
    <row r="3405" spans="1:4" ht="13.5" x14ac:dyDescent="0.25">
      <c r="A3405" s="878" t="s">
        <v>9933</v>
      </c>
      <c r="B3405" s="878" t="s">
        <v>9934</v>
      </c>
      <c r="C3405" s="879" t="s">
        <v>226</v>
      </c>
      <c r="D3405" s="880" t="s">
        <v>42111</v>
      </c>
    </row>
    <row r="3406" spans="1:4" ht="13.5" x14ac:dyDescent="0.25">
      <c r="A3406" s="878" t="s">
        <v>9935</v>
      </c>
      <c r="B3406" s="878" t="s">
        <v>9936</v>
      </c>
      <c r="C3406" s="879" t="s">
        <v>226</v>
      </c>
      <c r="D3406" s="880" t="s">
        <v>42112</v>
      </c>
    </row>
    <row r="3407" spans="1:4" ht="13.5" x14ac:dyDescent="0.25">
      <c r="A3407" s="878" t="s">
        <v>9937</v>
      </c>
      <c r="B3407" s="878" t="s">
        <v>9938</v>
      </c>
      <c r="C3407" s="879" t="s">
        <v>158</v>
      </c>
      <c r="D3407" s="880" t="s">
        <v>42113</v>
      </c>
    </row>
    <row r="3408" spans="1:4" ht="13.5" x14ac:dyDescent="0.25">
      <c r="A3408" s="878" t="s">
        <v>9939</v>
      </c>
      <c r="B3408" s="878" t="s">
        <v>9940</v>
      </c>
      <c r="C3408" s="879" t="s">
        <v>158</v>
      </c>
      <c r="D3408" s="880" t="s">
        <v>42114</v>
      </c>
    </row>
    <row r="3409" spans="1:4" ht="13.5" x14ac:dyDescent="0.25">
      <c r="A3409" s="878" t="s">
        <v>9941</v>
      </c>
      <c r="B3409" s="878" t="s">
        <v>9942</v>
      </c>
      <c r="C3409" s="879" t="s">
        <v>158</v>
      </c>
      <c r="D3409" s="881" t="s">
        <v>4303</v>
      </c>
    </row>
    <row r="3410" spans="1:4" ht="13.5" x14ac:dyDescent="0.25">
      <c r="A3410" s="878" t="s">
        <v>9943</v>
      </c>
      <c r="B3410" s="878" t="s">
        <v>9944</v>
      </c>
      <c r="C3410" s="879" t="s">
        <v>158</v>
      </c>
      <c r="D3410" s="880" t="s">
        <v>30174</v>
      </c>
    </row>
    <row r="3411" spans="1:4" ht="13.5" x14ac:dyDescent="0.25">
      <c r="A3411" s="878" t="s">
        <v>9945</v>
      </c>
      <c r="B3411" s="878" t="s">
        <v>9946</v>
      </c>
      <c r="C3411" s="879" t="s">
        <v>158</v>
      </c>
      <c r="D3411" s="880" t="s">
        <v>42115</v>
      </c>
    </row>
    <row r="3412" spans="1:4" ht="13.5" x14ac:dyDescent="0.25">
      <c r="A3412" s="878" t="s">
        <v>9947</v>
      </c>
      <c r="B3412" s="878" t="s">
        <v>9948</v>
      </c>
      <c r="C3412" s="879" t="s">
        <v>158</v>
      </c>
      <c r="D3412" s="881" t="s">
        <v>4082</v>
      </c>
    </row>
    <row r="3413" spans="1:4" ht="13.5" x14ac:dyDescent="0.25">
      <c r="A3413" s="878" t="s">
        <v>9950</v>
      </c>
      <c r="B3413" s="878" t="s">
        <v>9951</v>
      </c>
      <c r="C3413" s="879" t="s">
        <v>158</v>
      </c>
      <c r="D3413" s="880" t="s">
        <v>30386</v>
      </c>
    </row>
    <row r="3414" spans="1:4" ht="13.5" x14ac:dyDescent="0.25">
      <c r="A3414" s="878" t="s">
        <v>9953</v>
      </c>
      <c r="B3414" s="878" t="s">
        <v>9954</v>
      </c>
      <c r="C3414" s="879" t="s">
        <v>226</v>
      </c>
      <c r="D3414" s="880" t="s">
        <v>42116</v>
      </c>
    </row>
    <row r="3415" spans="1:4" ht="13.5" x14ac:dyDescent="0.25">
      <c r="A3415" s="878" t="s">
        <v>9955</v>
      </c>
      <c r="B3415" s="878" t="s">
        <v>9956</v>
      </c>
      <c r="C3415" s="879" t="s">
        <v>226</v>
      </c>
      <c r="D3415" s="880" t="s">
        <v>42117</v>
      </c>
    </row>
    <row r="3416" spans="1:4" ht="13.5" x14ac:dyDescent="0.25">
      <c r="A3416" s="878" t="s">
        <v>9957</v>
      </c>
      <c r="B3416" s="878" t="s">
        <v>9958</v>
      </c>
      <c r="C3416" s="879" t="s">
        <v>226</v>
      </c>
      <c r="D3416" s="880" t="s">
        <v>42118</v>
      </c>
    </row>
    <row r="3417" spans="1:4" ht="13.5" x14ac:dyDescent="0.25">
      <c r="A3417" s="878" t="s">
        <v>9959</v>
      </c>
      <c r="B3417" s="878" t="s">
        <v>9960</v>
      </c>
      <c r="C3417" s="879" t="s">
        <v>226</v>
      </c>
      <c r="D3417" s="880" t="s">
        <v>42119</v>
      </c>
    </row>
    <row r="3418" spans="1:4" ht="13.5" x14ac:dyDescent="0.25">
      <c r="A3418" s="878" t="s">
        <v>9961</v>
      </c>
      <c r="B3418" s="878" t="s">
        <v>9962</v>
      </c>
      <c r="C3418" s="879" t="s">
        <v>226</v>
      </c>
      <c r="D3418" s="880" t="s">
        <v>42120</v>
      </c>
    </row>
    <row r="3419" spans="1:4" ht="13.5" x14ac:dyDescent="0.25">
      <c r="A3419" s="878" t="s">
        <v>9963</v>
      </c>
      <c r="B3419" s="878" t="s">
        <v>9964</v>
      </c>
      <c r="C3419" s="879" t="s">
        <v>226</v>
      </c>
      <c r="D3419" s="880" t="s">
        <v>42121</v>
      </c>
    </row>
    <row r="3420" spans="1:4" ht="13.5" x14ac:dyDescent="0.25">
      <c r="A3420" s="878" t="s">
        <v>9965</v>
      </c>
      <c r="B3420" s="878" t="s">
        <v>9966</v>
      </c>
      <c r="C3420" s="879" t="s">
        <v>226</v>
      </c>
      <c r="D3420" s="880" t="s">
        <v>30838</v>
      </c>
    </row>
    <row r="3421" spans="1:4" ht="13.5" x14ac:dyDescent="0.25">
      <c r="A3421" s="878" t="s">
        <v>9967</v>
      </c>
      <c r="B3421" s="878" t="s">
        <v>9968</v>
      </c>
      <c r="C3421" s="879" t="s">
        <v>226</v>
      </c>
      <c r="D3421" s="880" t="s">
        <v>42122</v>
      </c>
    </row>
    <row r="3422" spans="1:4" ht="13.5" x14ac:dyDescent="0.25">
      <c r="A3422" s="878" t="s">
        <v>9969</v>
      </c>
      <c r="B3422" s="878" t="s">
        <v>9970</v>
      </c>
      <c r="C3422" s="879" t="s">
        <v>158</v>
      </c>
      <c r="D3422" s="880" t="s">
        <v>42123</v>
      </c>
    </row>
    <row r="3423" spans="1:4" ht="13.5" x14ac:dyDescent="0.25">
      <c r="A3423" s="878" t="s">
        <v>9971</v>
      </c>
      <c r="B3423" s="878" t="s">
        <v>9972</v>
      </c>
      <c r="C3423" s="879" t="s">
        <v>158</v>
      </c>
      <c r="D3423" s="880" t="s">
        <v>4615</v>
      </c>
    </row>
    <row r="3424" spans="1:4" ht="13.5" x14ac:dyDescent="0.25">
      <c r="A3424" s="878" t="s">
        <v>9973</v>
      </c>
      <c r="B3424" s="878" t="s">
        <v>9974</v>
      </c>
      <c r="C3424" s="879" t="s">
        <v>226</v>
      </c>
      <c r="D3424" s="880" t="s">
        <v>42124</v>
      </c>
    </row>
    <row r="3425" spans="1:4" ht="13.5" x14ac:dyDescent="0.25">
      <c r="A3425" s="878" t="s">
        <v>9975</v>
      </c>
      <c r="B3425" s="878" t="s">
        <v>9976</v>
      </c>
      <c r="C3425" s="879" t="s">
        <v>158</v>
      </c>
      <c r="D3425" s="880" t="s">
        <v>40094</v>
      </c>
    </row>
    <row r="3426" spans="1:4" ht="13.5" x14ac:dyDescent="0.25">
      <c r="A3426" s="878" t="s">
        <v>9977</v>
      </c>
      <c r="B3426" s="878" t="s">
        <v>9978</v>
      </c>
      <c r="C3426" s="879" t="s">
        <v>158</v>
      </c>
      <c r="D3426" s="880" t="s">
        <v>42125</v>
      </c>
    </row>
    <row r="3427" spans="1:4" ht="13.5" x14ac:dyDescent="0.25">
      <c r="A3427" s="878" t="s">
        <v>9979</v>
      </c>
      <c r="B3427" s="878" t="s">
        <v>9980</v>
      </c>
      <c r="C3427" s="879" t="s">
        <v>158</v>
      </c>
      <c r="D3427" s="880" t="s">
        <v>42126</v>
      </c>
    </row>
    <row r="3428" spans="1:4" ht="13.5" x14ac:dyDescent="0.25">
      <c r="A3428" s="878" t="s">
        <v>9981</v>
      </c>
      <c r="B3428" s="878" t="s">
        <v>9982</v>
      </c>
      <c r="C3428" s="879" t="s">
        <v>158</v>
      </c>
      <c r="D3428" s="880" t="s">
        <v>42127</v>
      </c>
    </row>
    <row r="3429" spans="1:4" ht="13.5" x14ac:dyDescent="0.25">
      <c r="A3429" s="878" t="s">
        <v>9983</v>
      </c>
      <c r="B3429" s="878" t="s">
        <v>9984</v>
      </c>
      <c r="C3429" s="879" t="s">
        <v>158</v>
      </c>
      <c r="D3429" s="880" t="s">
        <v>31109</v>
      </c>
    </row>
    <row r="3430" spans="1:4" ht="13.5" x14ac:dyDescent="0.25">
      <c r="A3430" s="878" t="s">
        <v>9985</v>
      </c>
      <c r="B3430" s="878" t="s">
        <v>9986</v>
      </c>
      <c r="C3430" s="879" t="s">
        <v>158</v>
      </c>
      <c r="D3430" s="880" t="s">
        <v>8269</v>
      </c>
    </row>
    <row r="3431" spans="1:4" ht="13.5" x14ac:dyDescent="0.25">
      <c r="A3431" s="878" t="s">
        <v>9987</v>
      </c>
      <c r="B3431" s="878" t="s">
        <v>9988</v>
      </c>
      <c r="C3431" s="879" t="s">
        <v>158</v>
      </c>
      <c r="D3431" s="880" t="s">
        <v>3509</v>
      </c>
    </row>
    <row r="3432" spans="1:4" ht="13.5" x14ac:dyDescent="0.25">
      <c r="A3432" s="878" t="s">
        <v>9989</v>
      </c>
      <c r="B3432" s="878" t="s">
        <v>9990</v>
      </c>
      <c r="C3432" s="879" t="s">
        <v>158</v>
      </c>
      <c r="D3432" s="880" t="s">
        <v>12934</v>
      </c>
    </row>
    <row r="3433" spans="1:4" ht="13.5" x14ac:dyDescent="0.25">
      <c r="A3433" s="878" t="s">
        <v>9992</v>
      </c>
      <c r="B3433" s="878" t="s">
        <v>9993</v>
      </c>
      <c r="C3433" s="879" t="s">
        <v>158</v>
      </c>
      <c r="D3433" s="880" t="s">
        <v>30551</v>
      </c>
    </row>
    <row r="3434" spans="1:4" ht="13.5" x14ac:dyDescent="0.25">
      <c r="A3434" s="878" t="s">
        <v>9994</v>
      </c>
      <c r="B3434" s="878" t="s">
        <v>9995</v>
      </c>
      <c r="C3434" s="879" t="s">
        <v>158</v>
      </c>
      <c r="D3434" s="880" t="s">
        <v>14368</v>
      </c>
    </row>
    <row r="3435" spans="1:4" ht="13.5" x14ac:dyDescent="0.25">
      <c r="A3435" s="878" t="s">
        <v>9996</v>
      </c>
      <c r="B3435" s="878" t="s">
        <v>9997</v>
      </c>
      <c r="C3435" s="879" t="s">
        <v>158</v>
      </c>
      <c r="D3435" s="880" t="s">
        <v>42035</v>
      </c>
    </row>
    <row r="3436" spans="1:4" ht="13.5" x14ac:dyDescent="0.25">
      <c r="A3436" s="878" t="s">
        <v>9998</v>
      </c>
      <c r="B3436" s="878" t="s">
        <v>9999</v>
      </c>
      <c r="C3436" s="879" t="s">
        <v>158</v>
      </c>
      <c r="D3436" s="880" t="s">
        <v>42128</v>
      </c>
    </row>
    <row r="3437" spans="1:4" ht="13.5" x14ac:dyDescent="0.25">
      <c r="A3437" s="878" t="s">
        <v>10000</v>
      </c>
      <c r="B3437" s="878" t="s">
        <v>10001</v>
      </c>
      <c r="C3437" s="879" t="s">
        <v>158</v>
      </c>
      <c r="D3437" s="880" t="s">
        <v>42129</v>
      </c>
    </row>
    <row r="3438" spans="1:4" ht="13.5" x14ac:dyDescent="0.25">
      <c r="A3438" s="878" t="s">
        <v>10002</v>
      </c>
      <c r="B3438" s="878" t="s">
        <v>10003</v>
      </c>
      <c r="C3438" s="879" t="s">
        <v>158</v>
      </c>
      <c r="D3438" s="880" t="s">
        <v>30666</v>
      </c>
    </row>
    <row r="3439" spans="1:4" ht="13.5" x14ac:dyDescent="0.25">
      <c r="A3439" s="878" t="s">
        <v>10004</v>
      </c>
      <c r="B3439" s="878" t="s">
        <v>10005</v>
      </c>
      <c r="C3439" s="879" t="s">
        <v>158</v>
      </c>
      <c r="D3439" s="880" t="s">
        <v>42130</v>
      </c>
    </row>
    <row r="3440" spans="1:4" ht="13.5" x14ac:dyDescent="0.25">
      <c r="A3440" s="878" t="s">
        <v>10006</v>
      </c>
      <c r="B3440" s="878" t="s">
        <v>10007</v>
      </c>
      <c r="C3440" s="879" t="s">
        <v>158</v>
      </c>
      <c r="D3440" s="880" t="s">
        <v>42131</v>
      </c>
    </row>
    <row r="3441" spans="1:4" ht="13.5" x14ac:dyDescent="0.25">
      <c r="A3441" s="878" t="s">
        <v>10008</v>
      </c>
      <c r="B3441" s="878" t="s">
        <v>10009</v>
      </c>
      <c r="C3441" s="879" t="s">
        <v>158</v>
      </c>
      <c r="D3441" s="880" t="s">
        <v>42132</v>
      </c>
    </row>
    <row r="3442" spans="1:4" ht="13.5" x14ac:dyDescent="0.25">
      <c r="A3442" s="878" t="s">
        <v>10010</v>
      </c>
      <c r="B3442" s="878" t="s">
        <v>10011</v>
      </c>
      <c r="C3442" s="879" t="s">
        <v>158</v>
      </c>
      <c r="D3442" s="880" t="s">
        <v>42133</v>
      </c>
    </row>
    <row r="3443" spans="1:4" ht="13.5" x14ac:dyDescent="0.25">
      <c r="A3443" s="878" t="s">
        <v>10012</v>
      </c>
      <c r="B3443" s="878" t="s">
        <v>10013</v>
      </c>
      <c r="C3443" s="879" t="s">
        <v>158</v>
      </c>
      <c r="D3443" s="880" t="s">
        <v>42134</v>
      </c>
    </row>
    <row r="3444" spans="1:4" ht="13.5" x14ac:dyDescent="0.25">
      <c r="A3444" s="878" t="s">
        <v>10014</v>
      </c>
      <c r="B3444" s="878" t="s">
        <v>10015</v>
      </c>
      <c r="C3444" s="879" t="s">
        <v>158</v>
      </c>
      <c r="D3444" s="880" t="s">
        <v>42135</v>
      </c>
    </row>
    <row r="3445" spans="1:4" ht="13.5" x14ac:dyDescent="0.25">
      <c r="A3445" s="878" t="s">
        <v>10016</v>
      </c>
      <c r="B3445" s="878" t="s">
        <v>10017</v>
      </c>
      <c r="C3445" s="879" t="s">
        <v>158</v>
      </c>
      <c r="D3445" s="880" t="s">
        <v>30762</v>
      </c>
    </row>
    <row r="3446" spans="1:4" ht="13.5" x14ac:dyDescent="0.25">
      <c r="A3446" s="878" t="s">
        <v>10018</v>
      </c>
      <c r="B3446" s="878" t="s">
        <v>10019</v>
      </c>
      <c r="C3446" s="879" t="s">
        <v>158</v>
      </c>
      <c r="D3446" s="880" t="s">
        <v>42136</v>
      </c>
    </row>
    <row r="3447" spans="1:4" ht="13.5" x14ac:dyDescent="0.25">
      <c r="A3447" s="878" t="s">
        <v>10020</v>
      </c>
      <c r="B3447" s="878" t="s">
        <v>10021</v>
      </c>
      <c r="C3447" s="879" t="s">
        <v>158</v>
      </c>
      <c r="D3447" s="880" t="s">
        <v>42137</v>
      </c>
    </row>
    <row r="3448" spans="1:4" ht="13.5" x14ac:dyDescent="0.25">
      <c r="A3448" s="878" t="s">
        <v>10022</v>
      </c>
      <c r="B3448" s="878" t="s">
        <v>10023</v>
      </c>
      <c r="C3448" s="879" t="s">
        <v>158</v>
      </c>
      <c r="D3448" s="880" t="s">
        <v>30626</v>
      </c>
    </row>
    <row r="3449" spans="1:4" ht="13.5" x14ac:dyDescent="0.25">
      <c r="A3449" s="878" t="s">
        <v>10024</v>
      </c>
      <c r="B3449" s="878" t="s">
        <v>10025</v>
      </c>
      <c r="C3449" s="879" t="s">
        <v>158</v>
      </c>
      <c r="D3449" s="880" t="s">
        <v>31118</v>
      </c>
    </row>
    <row r="3450" spans="1:4" ht="13.5" x14ac:dyDescent="0.25">
      <c r="A3450" s="878" t="s">
        <v>10027</v>
      </c>
      <c r="B3450" s="878" t="s">
        <v>10028</v>
      </c>
      <c r="C3450" s="879" t="s">
        <v>158</v>
      </c>
      <c r="D3450" s="880" t="s">
        <v>30332</v>
      </c>
    </row>
    <row r="3451" spans="1:4" ht="13.5" x14ac:dyDescent="0.25">
      <c r="A3451" s="878" t="s">
        <v>10029</v>
      </c>
      <c r="B3451" s="878" t="s">
        <v>10030</v>
      </c>
      <c r="C3451" s="879" t="s">
        <v>158</v>
      </c>
      <c r="D3451" s="880" t="s">
        <v>30657</v>
      </c>
    </row>
    <row r="3452" spans="1:4" ht="13.5" x14ac:dyDescent="0.25">
      <c r="A3452" s="878" t="s">
        <v>10031</v>
      </c>
      <c r="B3452" s="878" t="s">
        <v>10032</v>
      </c>
      <c r="C3452" s="879" t="s">
        <v>158</v>
      </c>
      <c r="D3452" s="880" t="s">
        <v>42138</v>
      </c>
    </row>
    <row r="3453" spans="1:4" ht="13.5" x14ac:dyDescent="0.25">
      <c r="A3453" s="878" t="s">
        <v>10033</v>
      </c>
      <c r="B3453" s="878" t="s">
        <v>10034</v>
      </c>
      <c r="C3453" s="879" t="s">
        <v>158</v>
      </c>
      <c r="D3453" s="880" t="s">
        <v>42139</v>
      </c>
    </row>
    <row r="3454" spans="1:4" ht="13.5" x14ac:dyDescent="0.25">
      <c r="A3454" s="878" t="s">
        <v>10035</v>
      </c>
      <c r="B3454" s="878" t="s">
        <v>10036</v>
      </c>
      <c r="C3454" s="879" t="s">
        <v>158</v>
      </c>
      <c r="D3454" s="880" t="s">
        <v>42140</v>
      </c>
    </row>
    <row r="3455" spans="1:4" ht="13.5" x14ac:dyDescent="0.25">
      <c r="A3455" s="878" t="s">
        <v>10037</v>
      </c>
      <c r="B3455" s="878" t="s">
        <v>10038</v>
      </c>
      <c r="C3455" s="879" t="s">
        <v>158</v>
      </c>
      <c r="D3455" s="880" t="s">
        <v>31202</v>
      </c>
    </row>
    <row r="3456" spans="1:4" ht="13.5" x14ac:dyDescent="0.25">
      <c r="A3456" s="878" t="s">
        <v>10039</v>
      </c>
      <c r="B3456" s="878" t="s">
        <v>10040</v>
      </c>
      <c r="C3456" s="879" t="s">
        <v>158</v>
      </c>
      <c r="D3456" s="880" t="s">
        <v>42141</v>
      </c>
    </row>
    <row r="3457" spans="1:4" ht="13.5" x14ac:dyDescent="0.25">
      <c r="A3457" s="878" t="s">
        <v>10041</v>
      </c>
      <c r="B3457" s="878" t="s">
        <v>10042</v>
      </c>
      <c r="C3457" s="879" t="s">
        <v>158</v>
      </c>
      <c r="D3457" s="880" t="s">
        <v>42142</v>
      </c>
    </row>
    <row r="3458" spans="1:4" ht="13.5" x14ac:dyDescent="0.25">
      <c r="A3458" s="878" t="s">
        <v>10043</v>
      </c>
      <c r="B3458" s="878" t="s">
        <v>10044</v>
      </c>
      <c r="C3458" s="879" t="s">
        <v>158</v>
      </c>
      <c r="D3458" s="880" t="s">
        <v>42143</v>
      </c>
    </row>
    <row r="3459" spans="1:4" ht="13.5" x14ac:dyDescent="0.25">
      <c r="A3459" s="878" t="s">
        <v>10045</v>
      </c>
      <c r="B3459" s="878" t="s">
        <v>10046</v>
      </c>
      <c r="C3459" s="879" t="s">
        <v>158</v>
      </c>
      <c r="D3459" s="880" t="s">
        <v>8708</v>
      </c>
    </row>
    <row r="3460" spans="1:4" ht="13.5" x14ac:dyDescent="0.25">
      <c r="A3460" s="878" t="s">
        <v>10047</v>
      </c>
      <c r="B3460" s="878" t="s">
        <v>10048</v>
      </c>
      <c r="C3460" s="879" t="s">
        <v>158</v>
      </c>
      <c r="D3460" s="880" t="s">
        <v>30795</v>
      </c>
    </row>
    <row r="3461" spans="1:4" ht="13.5" x14ac:dyDescent="0.25">
      <c r="A3461" s="878" t="s">
        <v>10049</v>
      </c>
      <c r="B3461" s="878" t="s">
        <v>10050</v>
      </c>
      <c r="C3461" s="879" t="s">
        <v>158</v>
      </c>
      <c r="D3461" s="880" t="s">
        <v>11033</v>
      </c>
    </row>
    <row r="3462" spans="1:4" ht="13.5" x14ac:dyDescent="0.25">
      <c r="A3462" s="878" t="s">
        <v>10051</v>
      </c>
      <c r="B3462" s="878" t="s">
        <v>10052</v>
      </c>
      <c r="C3462" s="879" t="s">
        <v>158</v>
      </c>
      <c r="D3462" s="880" t="s">
        <v>30740</v>
      </c>
    </row>
    <row r="3463" spans="1:4" ht="13.5" x14ac:dyDescent="0.25">
      <c r="A3463" s="878" t="s">
        <v>10053</v>
      </c>
      <c r="B3463" s="878" t="s">
        <v>10054</v>
      </c>
      <c r="C3463" s="879" t="s">
        <v>158</v>
      </c>
      <c r="D3463" s="880" t="s">
        <v>42144</v>
      </c>
    </row>
    <row r="3464" spans="1:4" ht="13.5" x14ac:dyDescent="0.25">
      <c r="A3464" s="878" t="s">
        <v>10055</v>
      </c>
      <c r="B3464" s="878" t="s">
        <v>10056</v>
      </c>
      <c r="C3464" s="879" t="s">
        <v>158</v>
      </c>
      <c r="D3464" s="880" t="s">
        <v>42145</v>
      </c>
    </row>
    <row r="3465" spans="1:4" ht="13.5" x14ac:dyDescent="0.25">
      <c r="A3465" s="878" t="s">
        <v>10058</v>
      </c>
      <c r="B3465" s="878" t="s">
        <v>10059</v>
      </c>
      <c r="C3465" s="879" t="s">
        <v>158</v>
      </c>
      <c r="D3465" s="880" t="s">
        <v>42146</v>
      </c>
    </row>
    <row r="3466" spans="1:4" ht="13.5" x14ac:dyDescent="0.25">
      <c r="A3466" s="878" t="s">
        <v>10060</v>
      </c>
      <c r="B3466" s="878" t="s">
        <v>10061</v>
      </c>
      <c r="C3466" s="879" t="s">
        <v>158</v>
      </c>
      <c r="D3466" s="880" t="s">
        <v>42147</v>
      </c>
    </row>
    <row r="3467" spans="1:4" ht="13.5" x14ac:dyDescent="0.25">
      <c r="A3467" s="878" t="s">
        <v>10062</v>
      </c>
      <c r="B3467" s="878" t="s">
        <v>10063</v>
      </c>
      <c r="C3467" s="879" t="s">
        <v>158</v>
      </c>
      <c r="D3467" s="880" t="s">
        <v>30200</v>
      </c>
    </row>
    <row r="3468" spans="1:4" ht="13.5" x14ac:dyDescent="0.25">
      <c r="A3468" s="878" t="s">
        <v>10064</v>
      </c>
      <c r="B3468" s="878" t="s">
        <v>10065</v>
      </c>
      <c r="C3468" s="879" t="s">
        <v>158</v>
      </c>
      <c r="D3468" s="880" t="s">
        <v>41622</v>
      </c>
    </row>
    <row r="3469" spans="1:4" ht="13.5" x14ac:dyDescent="0.25">
      <c r="A3469" s="878" t="s">
        <v>10066</v>
      </c>
      <c r="B3469" s="878" t="s">
        <v>10067</v>
      </c>
      <c r="C3469" s="879" t="s">
        <v>158</v>
      </c>
      <c r="D3469" s="880" t="s">
        <v>30682</v>
      </c>
    </row>
    <row r="3470" spans="1:4" ht="13.5" x14ac:dyDescent="0.25">
      <c r="A3470" s="878" t="s">
        <v>10068</v>
      </c>
      <c r="B3470" s="878" t="s">
        <v>10069</v>
      </c>
      <c r="C3470" s="879" t="s">
        <v>158</v>
      </c>
      <c r="D3470" s="880" t="s">
        <v>42148</v>
      </c>
    </row>
    <row r="3471" spans="1:4" ht="13.5" x14ac:dyDescent="0.25">
      <c r="A3471" s="878" t="s">
        <v>10070</v>
      </c>
      <c r="B3471" s="878" t="s">
        <v>10071</v>
      </c>
      <c r="C3471" s="879" t="s">
        <v>158</v>
      </c>
      <c r="D3471" s="880" t="s">
        <v>42149</v>
      </c>
    </row>
    <row r="3472" spans="1:4" ht="13.5" x14ac:dyDescent="0.25">
      <c r="A3472" s="878" t="s">
        <v>10072</v>
      </c>
      <c r="B3472" s="878" t="s">
        <v>10073</v>
      </c>
      <c r="C3472" s="879" t="s">
        <v>158</v>
      </c>
      <c r="D3472" s="880" t="s">
        <v>42150</v>
      </c>
    </row>
    <row r="3473" spans="1:4" ht="13.5" x14ac:dyDescent="0.25">
      <c r="A3473" s="878" t="s">
        <v>10074</v>
      </c>
      <c r="B3473" s="878" t="s">
        <v>10075</v>
      </c>
      <c r="C3473" s="879" t="s">
        <v>158</v>
      </c>
      <c r="D3473" s="880" t="s">
        <v>42151</v>
      </c>
    </row>
    <row r="3474" spans="1:4" ht="13.5" x14ac:dyDescent="0.25">
      <c r="A3474" s="878" t="s">
        <v>10076</v>
      </c>
      <c r="B3474" s="878" t="s">
        <v>10077</v>
      </c>
      <c r="C3474" s="879" t="s">
        <v>158</v>
      </c>
      <c r="D3474" s="880" t="s">
        <v>42152</v>
      </c>
    </row>
    <row r="3475" spans="1:4" ht="13.5" x14ac:dyDescent="0.25">
      <c r="A3475" s="878" t="s">
        <v>10078</v>
      </c>
      <c r="B3475" s="878" t="s">
        <v>10079</v>
      </c>
      <c r="C3475" s="879" t="s">
        <v>158</v>
      </c>
      <c r="D3475" s="880" t="s">
        <v>42153</v>
      </c>
    </row>
    <row r="3476" spans="1:4" ht="13.5" x14ac:dyDescent="0.25">
      <c r="A3476" s="878" t="s">
        <v>10080</v>
      </c>
      <c r="B3476" s="878" t="s">
        <v>10081</v>
      </c>
      <c r="C3476" s="879" t="s">
        <v>158</v>
      </c>
      <c r="D3476" s="880" t="s">
        <v>42154</v>
      </c>
    </row>
    <row r="3477" spans="1:4" ht="13.5" x14ac:dyDescent="0.25">
      <c r="A3477" s="878" t="s">
        <v>10082</v>
      </c>
      <c r="B3477" s="878" t="s">
        <v>10083</v>
      </c>
      <c r="C3477" s="879" t="s">
        <v>158</v>
      </c>
      <c r="D3477" s="880" t="s">
        <v>42155</v>
      </c>
    </row>
    <row r="3478" spans="1:4" ht="13.5" x14ac:dyDescent="0.25">
      <c r="A3478" s="878" t="s">
        <v>10084</v>
      </c>
      <c r="B3478" s="878" t="s">
        <v>10085</v>
      </c>
      <c r="C3478" s="879" t="s">
        <v>158</v>
      </c>
      <c r="D3478" s="880" t="s">
        <v>42156</v>
      </c>
    </row>
    <row r="3479" spans="1:4" ht="13.5" x14ac:dyDescent="0.25">
      <c r="A3479" s="878" t="s">
        <v>10086</v>
      </c>
      <c r="B3479" s="878" t="s">
        <v>10087</v>
      </c>
      <c r="C3479" s="879" t="s">
        <v>158</v>
      </c>
      <c r="D3479" s="880" t="s">
        <v>42157</v>
      </c>
    </row>
    <row r="3480" spans="1:4" ht="13.5" x14ac:dyDescent="0.25">
      <c r="A3480" s="878" t="s">
        <v>10088</v>
      </c>
      <c r="B3480" s="878" t="s">
        <v>10089</v>
      </c>
      <c r="C3480" s="879" t="s">
        <v>158</v>
      </c>
      <c r="D3480" s="880" t="s">
        <v>42158</v>
      </c>
    </row>
    <row r="3481" spans="1:4" ht="13.5" x14ac:dyDescent="0.25">
      <c r="A3481" s="878" t="s">
        <v>10090</v>
      </c>
      <c r="B3481" s="878" t="s">
        <v>10091</v>
      </c>
      <c r="C3481" s="879" t="s">
        <v>158</v>
      </c>
      <c r="D3481" s="880" t="s">
        <v>42159</v>
      </c>
    </row>
    <row r="3482" spans="1:4" ht="13.5" x14ac:dyDescent="0.25">
      <c r="A3482" s="878" t="s">
        <v>10092</v>
      </c>
      <c r="B3482" s="878" t="s">
        <v>10093</v>
      </c>
      <c r="C3482" s="879" t="s">
        <v>158</v>
      </c>
      <c r="D3482" s="880" t="s">
        <v>42160</v>
      </c>
    </row>
    <row r="3483" spans="1:4" ht="13.5" x14ac:dyDescent="0.25">
      <c r="A3483" s="878" t="s">
        <v>10094</v>
      </c>
      <c r="B3483" s="878" t="s">
        <v>10095</v>
      </c>
      <c r="C3483" s="879" t="s">
        <v>158</v>
      </c>
      <c r="D3483" s="880" t="s">
        <v>42161</v>
      </c>
    </row>
    <row r="3484" spans="1:4" ht="13.5" x14ac:dyDescent="0.25">
      <c r="A3484" s="878" t="s">
        <v>10096</v>
      </c>
      <c r="B3484" s="878" t="s">
        <v>10097</v>
      </c>
      <c r="C3484" s="879" t="s">
        <v>158</v>
      </c>
      <c r="D3484" s="880" t="s">
        <v>30434</v>
      </c>
    </row>
    <row r="3485" spans="1:4" ht="13.5" x14ac:dyDescent="0.25">
      <c r="A3485" s="878" t="s">
        <v>10098</v>
      </c>
      <c r="B3485" s="878" t="s">
        <v>10099</v>
      </c>
      <c r="C3485" s="879" t="s">
        <v>158</v>
      </c>
      <c r="D3485" s="880" t="s">
        <v>42162</v>
      </c>
    </row>
    <row r="3486" spans="1:4" ht="13.5" x14ac:dyDescent="0.25">
      <c r="A3486" s="878" t="s">
        <v>10100</v>
      </c>
      <c r="B3486" s="878" t="s">
        <v>10101</v>
      </c>
      <c r="C3486" s="879" t="s">
        <v>158</v>
      </c>
      <c r="D3486" s="880" t="s">
        <v>42163</v>
      </c>
    </row>
    <row r="3487" spans="1:4" ht="13.5" x14ac:dyDescent="0.25">
      <c r="A3487" s="878" t="s">
        <v>10102</v>
      </c>
      <c r="B3487" s="878" t="s">
        <v>10103</v>
      </c>
      <c r="C3487" s="879" t="s">
        <v>158</v>
      </c>
      <c r="D3487" s="880" t="s">
        <v>42164</v>
      </c>
    </row>
    <row r="3488" spans="1:4" ht="13.5" x14ac:dyDescent="0.25">
      <c r="A3488" s="878" t="s">
        <v>10104</v>
      </c>
      <c r="B3488" s="878" t="s">
        <v>10105</v>
      </c>
      <c r="C3488" s="879" t="s">
        <v>158</v>
      </c>
      <c r="D3488" s="880" t="s">
        <v>42165</v>
      </c>
    </row>
    <row r="3489" spans="1:4" ht="13.5" x14ac:dyDescent="0.25">
      <c r="A3489" s="878" t="s">
        <v>10106</v>
      </c>
      <c r="B3489" s="878" t="s">
        <v>10107</v>
      </c>
      <c r="C3489" s="879" t="s">
        <v>158</v>
      </c>
      <c r="D3489" s="880" t="s">
        <v>42166</v>
      </c>
    </row>
    <row r="3490" spans="1:4" ht="13.5" x14ac:dyDescent="0.25">
      <c r="A3490" s="878" t="s">
        <v>10108</v>
      </c>
      <c r="B3490" s="878" t="s">
        <v>10109</v>
      </c>
      <c r="C3490" s="879" t="s">
        <v>158</v>
      </c>
      <c r="D3490" s="880" t="s">
        <v>42167</v>
      </c>
    </row>
    <row r="3491" spans="1:4" ht="13.5" x14ac:dyDescent="0.25">
      <c r="A3491" s="878" t="s">
        <v>10110</v>
      </c>
      <c r="B3491" s="878" t="s">
        <v>10111</v>
      </c>
      <c r="C3491" s="879" t="s">
        <v>158</v>
      </c>
      <c r="D3491" s="880" t="s">
        <v>31331</v>
      </c>
    </row>
    <row r="3492" spans="1:4" ht="13.5" x14ac:dyDescent="0.25">
      <c r="A3492" s="878" t="s">
        <v>10112</v>
      </c>
      <c r="B3492" s="878" t="s">
        <v>10113</v>
      </c>
      <c r="C3492" s="879" t="s">
        <v>158</v>
      </c>
      <c r="D3492" s="880" t="s">
        <v>42168</v>
      </c>
    </row>
    <row r="3493" spans="1:4" ht="13.5" x14ac:dyDescent="0.25">
      <c r="A3493" s="878" t="s">
        <v>10114</v>
      </c>
      <c r="B3493" s="878" t="s">
        <v>10115</v>
      </c>
      <c r="C3493" s="879" t="s">
        <v>158</v>
      </c>
      <c r="D3493" s="880" t="s">
        <v>42169</v>
      </c>
    </row>
    <row r="3494" spans="1:4" ht="13.5" x14ac:dyDescent="0.25">
      <c r="A3494" s="878" t="s">
        <v>10116</v>
      </c>
      <c r="B3494" s="878" t="s">
        <v>10117</v>
      </c>
      <c r="C3494" s="879" t="s">
        <v>158</v>
      </c>
      <c r="D3494" s="880" t="s">
        <v>42170</v>
      </c>
    </row>
    <row r="3495" spans="1:4" ht="13.5" x14ac:dyDescent="0.25">
      <c r="A3495" s="878" t="s">
        <v>10118</v>
      </c>
      <c r="B3495" s="878" t="s">
        <v>10119</v>
      </c>
      <c r="C3495" s="879" t="s">
        <v>158</v>
      </c>
      <c r="D3495" s="880" t="s">
        <v>42171</v>
      </c>
    </row>
    <row r="3496" spans="1:4" ht="13.5" x14ac:dyDescent="0.25">
      <c r="A3496" s="878" t="s">
        <v>10120</v>
      </c>
      <c r="B3496" s="878" t="s">
        <v>10121</v>
      </c>
      <c r="C3496" s="879" t="s">
        <v>158</v>
      </c>
      <c r="D3496" s="880" t="s">
        <v>42172</v>
      </c>
    </row>
    <row r="3497" spans="1:4" ht="13.5" x14ac:dyDescent="0.25">
      <c r="A3497" s="878" t="s">
        <v>10122</v>
      </c>
      <c r="B3497" s="878" t="s">
        <v>10123</v>
      </c>
      <c r="C3497" s="879" t="s">
        <v>158</v>
      </c>
      <c r="D3497" s="880" t="s">
        <v>42173</v>
      </c>
    </row>
    <row r="3498" spans="1:4" ht="13.5" x14ac:dyDescent="0.25">
      <c r="A3498" s="878" t="s">
        <v>10124</v>
      </c>
      <c r="B3498" s="878" t="s">
        <v>10125</v>
      </c>
      <c r="C3498" s="879" t="s">
        <v>158</v>
      </c>
      <c r="D3498" s="880" t="s">
        <v>42174</v>
      </c>
    </row>
    <row r="3499" spans="1:4" ht="13.5" x14ac:dyDescent="0.25">
      <c r="A3499" s="878" t="s">
        <v>10126</v>
      </c>
      <c r="B3499" s="878" t="s">
        <v>10127</v>
      </c>
      <c r="C3499" s="879" t="s">
        <v>158</v>
      </c>
      <c r="D3499" s="880" t="s">
        <v>42175</v>
      </c>
    </row>
    <row r="3500" spans="1:4" ht="13.5" x14ac:dyDescent="0.25">
      <c r="A3500" s="878" t="s">
        <v>10128</v>
      </c>
      <c r="B3500" s="878" t="s">
        <v>10129</v>
      </c>
      <c r="C3500" s="879" t="s">
        <v>158</v>
      </c>
      <c r="D3500" s="880" t="s">
        <v>30831</v>
      </c>
    </row>
    <row r="3501" spans="1:4" ht="13.5" x14ac:dyDescent="0.25">
      <c r="A3501" s="878" t="s">
        <v>10130</v>
      </c>
      <c r="B3501" s="878" t="s">
        <v>10131</v>
      </c>
      <c r="C3501" s="879" t="s">
        <v>158</v>
      </c>
      <c r="D3501" s="880" t="s">
        <v>42176</v>
      </c>
    </row>
    <row r="3502" spans="1:4" ht="13.5" x14ac:dyDescent="0.25">
      <c r="A3502" s="878" t="s">
        <v>10132</v>
      </c>
      <c r="B3502" s="878" t="s">
        <v>10133</v>
      </c>
      <c r="C3502" s="879" t="s">
        <v>158</v>
      </c>
      <c r="D3502" s="880" t="s">
        <v>42177</v>
      </c>
    </row>
    <row r="3503" spans="1:4" ht="13.5" x14ac:dyDescent="0.25">
      <c r="A3503" s="878" t="s">
        <v>10134</v>
      </c>
      <c r="B3503" s="878" t="s">
        <v>10135</v>
      </c>
      <c r="C3503" s="879" t="s">
        <v>158</v>
      </c>
      <c r="D3503" s="880" t="s">
        <v>31081</v>
      </c>
    </row>
    <row r="3504" spans="1:4" ht="13.5" x14ac:dyDescent="0.25">
      <c r="A3504" s="878" t="s">
        <v>10136</v>
      </c>
      <c r="B3504" s="878" t="s">
        <v>10137</v>
      </c>
      <c r="C3504" s="879" t="s">
        <v>158</v>
      </c>
      <c r="D3504" s="880" t="s">
        <v>42178</v>
      </c>
    </row>
    <row r="3505" spans="1:4" ht="13.5" x14ac:dyDescent="0.25">
      <c r="A3505" s="878" t="s">
        <v>10138</v>
      </c>
      <c r="B3505" s="878" t="s">
        <v>10139</v>
      </c>
      <c r="C3505" s="879" t="s">
        <v>158</v>
      </c>
      <c r="D3505" s="880" t="s">
        <v>42179</v>
      </c>
    </row>
    <row r="3506" spans="1:4" ht="13.5" x14ac:dyDescent="0.25">
      <c r="A3506" s="878" t="s">
        <v>10140</v>
      </c>
      <c r="B3506" s="878" t="s">
        <v>10141</v>
      </c>
      <c r="C3506" s="879" t="s">
        <v>158</v>
      </c>
      <c r="D3506" s="880" t="s">
        <v>42180</v>
      </c>
    </row>
    <row r="3507" spans="1:4" ht="13.5" x14ac:dyDescent="0.25">
      <c r="A3507" s="878" t="s">
        <v>10142</v>
      </c>
      <c r="B3507" s="878" t="s">
        <v>10143</v>
      </c>
      <c r="C3507" s="879" t="s">
        <v>158</v>
      </c>
      <c r="D3507" s="880" t="s">
        <v>42181</v>
      </c>
    </row>
    <row r="3508" spans="1:4" ht="13.5" x14ac:dyDescent="0.25">
      <c r="A3508" s="878" t="s">
        <v>10144</v>
      </c>
      <c r="B3508" s="878" t="s">
        <v>10145</v>
      </c>
      <c r="C3508" s="879" t="s">
        <v>158</v>
      </c>
      <c r="D3508" s="880" t="s">
        <v>42182</v>
      </c>
    </row>
    <row r="3509" spans="1:4" ht="13.5" x14ac:dyDescent="0.25">
      <c r="A3509" s="878" t="s">
        <v>10146</v>
      </c>
      <c r="B3509" s="878" t="s">
        <v>10147</v>
      </c>
      <c r="C3509" s="879" t="s">
        <v>158</v>
      </c>
      <c r="D3509" s="880" t="s">
        <v>42183</v>
      </c>
    </row>
    <row r="3510" spans="1:4" ht="13.5" x14ac:dyDescent="0.25">
      <c r="A3510" s="878" t="s">
        <v>10148</v>
      </c>
      <c r="B3510" s="878" t="s">
        <v>10149</v>
      </c>
      <c r="C3510" s="879" t="s">
        <v>158</v>
      </c>
      <c r="D3510" s="880" t="s">
        <v>42184</v>
      </c>
    </row>
    <row r="3511" spans="1:4" ht="13.5" x14ac:dyDescent="0.25">
      <c r="A3511" s="878" t="s">
        <v>10150</v>
      </c>
      <c r="B3511" s="878" t="s">
        <v>10151</v>
      </c>
      <c r="C3511" s="879" t="s">
        <v>158</v>
      </c>
      <c r="D3511" s="880" t="s">
        <v>30760</v>
      </c>
    </row>
    <row r="3512" spans="1:4" ht="13.5" x14ac:dyDescent="0.25">
      <c r="A3512" s="878" t="s">
        <v>10152</v>
      </c>
      <c r="B3512" s="878" t="s">
        <v>10153</v>
      </c>
      <c r="C3512" s="879" t="s">
        <v>158</v>
      </c>
      <c r="D3512" s="880" t="s">
        <v>42185</v>
      </c>
    </row>
    <row r="3513" spans="1:4" ht="13.5" x14ac:dyDescent="0.25">
      <c r="A3513" s="878" t="s">
        <v>10154</v>
      </c>
      <c r="B3513" s="878" t="s">
        <v>10155</v>
      </c>
      <c r="C3513" s="879" t="s">
        <v>158</v>
      </c>
      <c r="D3513" s="880" t="s">
        <v>42186</v>
      </c>
    </row>
    <row r="3514" spans="1:4" ht="13.5" x14ac:dyDescent="0.25">
      <c r="A3514" s="878" t="s">
        <v>10156</v>
      </c>
      <c r="B3514" s="878" t="s">
        <v>10157</v>
      </c>
      <c r="C3514" s="879" t="s">
        <v>158</v>
      </c>
      <c r="D3514" s="880" t="s">
        <v>42187</v>
      </c>
    </row>
    <row r="3515" spans="1:4" ht="13.5" x14ac:dyDescent="0.25">
      <c r="A3515" s="878" t="s">
        <v>10158</v>
      </c>
      <c r="B3515" s="878" t="s">
        <v>10159</v>
      </c>
      <c r="C3515" s="879" t="s">
        <v>158</v>
      </c>
      <c r="D3515" s="880" t="s">
        <v>42188</v>
      </c>
    </row>
    <row r="3516" spans="1:4" ht="13.5" x14ac:dyDescent="0.25">
      <c r="A3516" s="878" t="s">
        <v>10160</v>
      </c>
      <c r="B3516" s="878" t="s">
        <v>10161</v>
      </c>
      <c r="C3516" s="879" t="s">
        <v>158</v>
      </c>
      <c r="D3516" s="880" t="s">
        <v>31030</v>
      </c>
    </row>
    <row r="3517" spans="1:4" ht="13.5" x14ac:dyDescent="0.25">
      <c r="A3517" s="878" t="s">
        <v>10162</v>
      </c>
      <c r="B3517" s="878" t="s">
        <v>10163</v>
      </c>
      <c r="C3517" s="879" t="s">
        <v>158</v>
      </c>
      <c r="D3517" s="880" t="s">
        <v>42189</v>
      </c>
    </row>
    <row r="3518" spans="1:4" ht="13.5" x14ac:dyDescent="0.25">
      <c r="A3518" s="878" t="s">
        <v>10164</v>
      </c>
      <c r="B3518" s="878" t="s">
        <v>10165</v>
      </c>
      <c r="C3518" s="879" t="s">
        <v>158</v>
      </c>
      <c r="D3518" s="880" t="s">
        <v>42190</v>
      </c>
    </row>
    <row r="3519" spans="1:4" ht="13.5" x14ac:dyDescent="0.25">
      <c r="A3519" s="878" t="s">
        <v>10166</v>
      </c>
      <c r="B3519" s="878" t="s">
        <v>10167</v>
      </c>
      <c r="C3519" s="879" t="s">
        <v>158</v>
      </c>
      <c r="D3519" s="880" t="s">
        <v>42191</v>
      </c>
    </row>
    <row r="3520" spans="1:4" ht="13.5" x14ac:dyDescent="0.25">
      <c r="A3520" s="878" t="s">
        <v>10168</v>
      </c>
      <c r="B3520" s="878" t="s">
        <v>10169</v>
      </c>
      <c r="C3520" s="879" t="s">
        <v>158</v>
      </c>
      <c r="D3520" s="880" t="s">
        <v>42192</v>
      </c>
    </row>
    <row r="3521" spans="1:4" ht="13.5" x14ac:dyDescent="0.25">
      <c r="A3521" s="878" t="s">
        <v>10170</v>
      </c>
      <c r="B3521" s="878" t="s">
        <v>10171</v>
      </c>
      <c r="C3521" s="879" t="s">
        <v>158</v>
      </c>
      <c r="D3521" s="880" t="s">
        <v>42193</v>
      </c>
    </row>
    <row r="3522" spans="1:4" ht="13.5" x14ac:dyDescent="0.25">
      <c r="A3522" s="878" t="s">
        <v>10172</v>
      </c>
      <c r="B3522" s="878" t="s">
        <v>10173</v>
      </c>
      <c r="C3522" s="879" t="s">
        <v>158</v>
      </c>
      <c r="D3522" s="880" t="s">
        <v>42194</v>
      </c>
    </row>
    <row r="3523" spans="1:4" ht="13.5" x14ac:dyDescent="0.25">
      <c r="A3523" s="878" t="s">
        <v>10174</v>
      </c>
      <c r="B3523" s="878" t="s">
        <v>10175</v>
      </c>
      <c r="C3523" s="879" t="s">
        <v>158</v>
      </c>
      <c r="D3523" s="880" t="s">
        <v>42195</v>
      </c>
    </row>
    <row r="3524" spans="1:4" ht="13.5" x14ac:dyDescent="0.25">
      <c r="A3524" s="878" t="s">
        <v>10176</v>
      </c>
      <c r="B3524" s="878" t="s">
        <v>10177</v>
      </c>
      <c r="C3524" s="879" t="s">
        <v>158</v>
      </c>
      <c r="D3524" s="880" t="s">
        <v>30411</v>
      </c>
    </row>
    <row r="3525" spans="1:4" ht="13.5" x14ac:dyDescent="0.25">
      <c r="A3525" s="878" t="s">
        <v>10178</v>
      </c>
      <c r="B3525" s="878" t="s">
        <v>10179</v>
      </c>
      <c r="C3525" s="879" t="s">
        <v>158</v>
      </c>
      <c r="D3525" s="880" t="s">
        <v>42196</v>
      </c>
    </row>
    <row r="3526" spans="1:4" ht="13.5" x14ac:dyDescent="0.25">
      <c r="A3526" s="878" t="s">
        <v>10180</v>
      </c>
      <c r="B3526" s="878" t="s">
        <v>10181</v>
      </c>
      <c r="C3526" s="879" t="s">
        <v>158</v>
      </c>
      <c r="D3526" s="880" t="s">
        <v>42197</v>
      </c>
    </row>
    <row r="3527" spans="1:4" ht="13.5" x14ac:dyDescent="0.25">
      <c r="A3527" s="878" t="s">
        <v>10182</v>
      </c>
      <c r="B3527" s="878" t="s">
        <v>10183</v>
      </c>
      <c r="C3527" s="879" t="s">
        <v>158</v>
      </c>
      <c r="D3527" s="880" t="s">
        <v>42198</v>
      </c>
    </row>
    <row r="3528" spans="1:4" ht="13.5" x14ac:dyDescent="0.25">
      <c r="A3528" s="878" t="s">
        <v>10184</v>
      </c>
      <c r="B3528" s="878" t="s">
        <v>10185</v>
      </c>
      <c r="C3528" s="879" t="s">
        <v>158</v>
      </c>
      <c r="D3528" s="880" t="s">
        <v>42199</v>
      </c>
    </row>
    <row r="3529" spans="1:4" ht="13.5" x14ac:dyDescent="0.25">
      <c r="A3529" s="878" t="s">
        <v>10186</v>
      </c>
      <c r="B3529" s="878" t="s">
        <v>10187</v>
      </c>
      <c r="C3529" s="879" t="s">
        <v>158</v>
      </c>
      <c r="D3529" s="880" t="s">
        <v>42200</v>
      </c>
    </row>
    <row r="3530" spans="1:4" ht="13.5" x14ac:dyDescent="0.25">
      <c r="A3530" s="878" t="s">
        <v>10188</v>
      </c>
      <c r="B3530" s="878" t="s">
        <v>10189</v>
      </c>
      <c r="C3530" s="879" t="s">
        <v>158</v>
      </c>
      <c r="D3530" s="880" t="s">
        <v>30374</v>
      </c>
    </row>
    <row r="3531" spans="1:4" ht="13.5" x14ac:dyDescent="0.25">
      <c r="A3531" s="878" t="s">
        <v>10190</v>
      </c>
      <c r="B3531" s="878" t="s">
        <v>10191</v>
      </c>
      <c r="C3531" s="879" t="s">
        <v>158</v>
      </c>
      <c r="D3531" s="880" t="s">
        <v>42201</v>
      </c>
    </row>
    <row r="3532" spans="1:4" ht="13.5" x14ac:dyDescent="0.25">
      <c r="A3532" s="878" t="s">
        <v>10192</v>
      </c>
      <c r="B3532" s="878" t="s">
        <v>10193</v>
      </c>
      <c r="C3532" s="879" t="s">
        <v>158</v>
      </c>
      <c r="D3532" s="880" t="s">
        <v>42202</v>
      </c>
    </row>
    <row r="3533" spans="1:4" ht="13.5" x14ac:dyDescent="0.25">
      <c r="A3533" s="878" t="s">
        <v>10194</v>
      </c>
      <c r="B3533" s="878" t="s">
        <v>10195</v>
      </c>
      <c r="C3533" s="879" t="s">
        <v>158</v>
      </c>
      <c r="D3533" s="880" t="s">
        <v>42203</v>
      </c>
    </row>
    <row r="3534" spans="1:4" ht="13.5" x14ac:dyDescent="0.25">
      <c r="A3534" s="878" t="s">
        <v>10196</v>
      </c>
      <c r="B3534" s="878" t="s">
        <v>10197</v>
      </c>
      <c r="C3534" s="879" t="s">
        <v>158</v>
      </c>
      <c r="D3534" s="880" t="s">
        <v>42204</v>
      </c>
    </row>
    <row r="3535" spans="1:4" ht="13.5" x14ac:dyDescent="0.25">
      <c r="A3535" s="878" t="s">
        <v>10198</v>
      </c>
      <c r="B3535" s="878" t="s">
        <v>10199</v>
      </c>
      <c r="C3535" s="879" t="s">
        <v>158</v>
      </c>
      <c r="D3535" s="880" t="s">
        <v>31026</v>
      </c>
    </row>
    <row r="3536" spans="1:4" ht="13.5" x14ac:dyDescent="0.25">
      <c r="A3536" s="878" t="s">
        <v>10200</v>
      </c>
      <c r="B3536" s="878" t="s">
        <v>10201</v>
      </c>
      <c r="C3536" s="879" t="s">
        <v>158</v>
      </c>
      <c r="D3536" s="880" t="s">
        <v>42205</v>
      </c>
    </row>
    <row r="3537" spans="1:4" ht="13.5" x14ac:dyDescent="0.25">
      <c r="A3537" s="878" t="s">
        <v>10202</v>
      </c>
      <c r="B3537" s="878" t="s">
        <v>10203</v>
      </c>
      <c r="C3537" s="879" t="s">
        <v>158</v>
      </c>
      <c r="D3537" s="880" t="s">
        <v>42206</v>
      </c>
    </row>
    <row r="3538" spans="1:4" ht="13.5" x14ac:dyDescent="0.25">
      <c r="A3538" s="878" t="s">
        <v>10204</v>
      </c>
      <c r="B3538" s="878" t="s">
        <v>10205</v>
      </c>
      <c r="C3538" s="879" t="s">
        <v>158</v>
      </c>
      <c r="D3538" s="880" t="s">
        <v>42207</v>
      </c>
    </row>
    <row r="3539" spans="1:4" ht="13.5" x14ac:dyDescent="0.25">
      <c r="A3539" s="878" t="s">
        <v>10206</v>
      </c>
      <c r="B3539" s="878" t="s">
        <v>10207</v>
      </c>
      <c r="C3539" s="879" t="s">
        <v>158</v>
      </c>
      <c r="D3539" s="880" t="s">
        <v>41733</v>
      </c>
    </row>
    <row r="3540" spans="1:4" ht="13.5" x14ac:dyDescent="0.25">
      <c r="A3540" s="878" t="s">
        <v>10208</v>
      </c>
      <c r="B3540" s="878" t="s">
        <v>10209</v>
      </c>
      <c r="C3540" s="879" t="s">
        <v>158</v>
      </c>
      <c r="D3540" s="880" t="s">
        <v>42208</v>
      </c>
    </row>
    <row r="3541" spans="1:4" ht="13.5" x14ac:dyDescent="0.25">
      <c r="A3541" s="878" t="s">
        <v>10210</v>
      </c>
      <c r="B3541" s="878" t="s">
        <v>10211</v>
      </c>
      <c r="C3541" s="879" t="s">
        <v>158</v>
      </c>
      <c r="D3541" s="880" t="s">
        <v>42209</v>
      </c>
    </row>
    <row r="3542" spans="1:4" ht="13.5" x14ac:dyDescent="0.25">
      <c r="A3542" s="878" t="s">
        <v>10213</v>
      </c>
      <c r="B3542" s="878" t="s">
        <v>10214</v>
      </c>
      <c r="C3542" s="879" t="s">
        <v>158</v>
      </c>
      <c r="D3542" s="880" t="s">
        <v>11387</v>
      </c>
    </row>
    <row r="3543" spans="1:4" ht="13.5" x14ac:dyDescent="0.25">
      <c r="A3543" s="878" t="s">
        <v>10215</v>
      </c>
      <c r="B3543" s="878" t="s">
        <v>10216</v>
      </c>
      <c r="C3543" s="879" t="s">
        <v>158</v>
      </c>
      <c r="D3543" s="880" t="s">
        <v>31344</v>
      </c>
    </row>
    <row r="3544" spans="1:4" ht="13.5" x14ac:dyDescent="0.25">
      <c r="A3544" s="878" t="s">
        <v>10218</v>
      </c>
      <c r="B3544" s="878" t="s">
        <v>10219</v>
      </c>
      <c r="C3544" s="879" t="s">
        <v>158</v>
      </c>
      <c r="D3544" s="880" t="s">
        <v>30998</v>
      </c>
    </row>
    <row r="3545" spans="1:4" ht="13.5" x14ac:dyDescent="0.25">
      <c r="A3545" s="878" t="s">
        <v>10220</v>
      </c>
      <c r="B3545" s="878" t="s">
        <v>10221</v>
      </c>
      <c r="C3545" s="879" t="s">
        <v>158</v>
      </c>
      <c r="D3545" s="880" t="s">
        <v>42210</v>
      </c>
    </row>
    <row r="3546" spans="1:4" ht="13.5" x14ac:dyDescent="0.25">
      <c r="A3546" s="878" t="s">
        <v>10222</v>
      </c>
      <c r="B3546" s="878" t="s">
        <v>10223</v>
      </c>
      <c r="C3546" s="879" t="s">
        <v>158</v>
      </c>
      <c r="D3546" s="880" t="s">
        <v>42211</v>
      </c>
    </row>
    <row r="3547" spans="1:4" ht="13.5" x14ac:dyDescent="0.25">
      <c r="A3547" s="878" t="s">
        <v>10224</v>
      </c>
      <c r="B3547" s="878" t="s">
        <v>10225</v>
      </c>
      <c r="C3547" s="879" t="s">
        <v>158</v>
      </c>
      <c r="D3547" s="880" t="s">
        <v>42212</v>
      </c>
    </row>
    <row r="3548" spans="1:4" ht="13.5" x14ac:dyDescent="0.25">
      <c r="A3548" s="878" t="s">
        <v>10226</v>
      </c>
      <c r="B3548" s="878" t="s">
        <v>10227</v>
      </c>
      <c r="C3548" s="879" t="s">
        <v>158</v>
      </c>
      <c r="D3548" s="880" t="s">
        <v>42213</v>
      </c>
    </row>
    <row r="3549" spans="1:4" ht="13.5" x14ac:dyDescent="0.25">
      <c r="A3549" s="878" t="s">
        <v>10228</v>
      </c>
      <c r="B3549" s="878" t="s">
        <v>10229</v>
      </c>
      <c r="C3549" s="879" t="s">
        <v>158</v>
      </c>
      <c r="D3549" s="880" t="s">
        <v>42214</v>
      </c>
    </row>
    <row r="3550" spans="1:4" ht="13.5" x14ac:dyDescent="0.25">
      <c r="A3550" s="878" t="s">
        <v>10230</v>
      </c>
      <c r="B3550" s="878" t="s">
        <v>10231</v>
      </c>
      <c r="C3550" s="879" t="s">
        <v>158</v>
      </c>
      <c r="D3550" s="880" t="s">
        <v>42215</v>
      </c>
    </row>
    <row r="3551" spans="1:4" ht="13.5" x14ac:dyDescent="0.25">
      <c r="A3551" s="878" t="s">
        <v>10232</v>
      </c>
      <c r="B3551" s="878" t="s">
        <v>10233</v>
      </c>
      <c r="C3551" s="879" t="s">
        <v>158</v>
      </c>
      <c r="D3551" s="880" t="s">
        <v>42216</v>
      </c>
    </row>
    <row r="3552" spans="1:4" ht="13.5" x14ac:dyDescent="0.25">
      <c r="A3552" s="878" t="s">
        <v>10234</v>
      </c>
      <c r="B3552" s="878" t="s">
        <v>10235</v>
      </c>
      <c r="C3552" s="879" t="s">
        <v>158</v>
      </c>
      <c r="D3552" s="880" t="s">
        <v>42217</v>
      </c>
    </row>
    <row r="3553" spans="1:4" ht="13.5" x14ac:dyDescent="0.25">
      <c r="A3553" s="878" t="s">
        <v>10236</v>
      </c>
      <c r="B3553" s="878" t="s">
        <v>10237</v>
      </c>
      <c r="C3553" s="879" t="s">
        <v>158</v>
      </c>
      <c r="D3553" s="880" t="s">
        <v>42218</v>
      </c>
    </row>
    <row r="3554" spans="1:4" ht="13.5" x14ac:dyDescent="0.25">
      <c r="A3554" s="878" t="s">
        <v>10238</v>
      </c>
      <c r="B3554" s="878" t="s">
        <v>10239</v>
      </c>
      <c r="C3554" s="879" t="s">
        <v>158</v>
      </c>
      <c r="D3554" s="880" t="s">
        <v>42219</v>
      </c>
    </row>
    <row r="3555" spans="1:4" ht="13.5" x14ac:dyDescent="0.25">
      <c r="A3555" s="878" t="s">
        <v>10240</v>
      </c>
      <c r="B3555" s="878" t="s">
        <v>10241</v>
      </c>
      <c r="C3555" s="879" t="s">
        <v>158</v>
      </c>
      <c r="D3555" s="880" t="s">
        <v>42220</v>
      </c>
    </row>
    <row r="3556" spans="1:4" ht="13.5" x14ac:dyDescent="0.25">
      <c r="A3556" s="878" t="s">
        <v>10242</v>
      </c>
      <c r="B3556" s="878" t="s">
        <v>10243</v>
      </c>
      <c r="C3556" s="879" t="s">
        <v>158</v>
      </c>
      <c r="D3556" s="880" t="s">
        <v>42221</v>
      </c>
    </row>
    <row r="3557" spans="1:4" ht="13.5" x14ac:dyDescent="0.25">
      <c r="A3557" s="878" t="s">
        <v>10244</v>
      </c>
      <c r="B3557" s="878" t="s">
        <v>10245</v>
      </c>
      <c r="C3557" s="879" t="s">
        <v>158</v>
      </c>
      <c r="D3557" s="880" t="s">
        <v>42222</v>
      </c>
    </row>
    <row r="3558" spans="1:4" ht="13.5" x14ac:dyDescent="0.25">
      <c r="A3558" s="878" t="s">
        <v>10246</v>
      </c>
      <c r="B3558" s="878" t="s">
        <v>10247</v>
      </c>
      <c r="C3558" s="879" t="s">
        <v>158</v>
      </c>
      <c r="D3558" s="880" t="s">
        <v>41709</v>
      </c>
    </row>
    <row r="3559" spans="1:4" ht="13.5" x14ac:dyDescent="0.25">
      <c r="A3559" s="878" t="s">
        <v>10249</v>
      </c>
      <c r="B3559" s="878" t="s">
        <v>10250</v>
      </c>
      <c r="C3559" s="879" t="s">
        <v>158</v>
      </c>
      <c r="D3559" s="880" t="s">
        <v>31013</v>
      </c>
    </row>
    <row r="3560" spans="1:4" ht="13.5" x14ac:dyDescent="0.25">
      <c r="A3560" s="878" t="s">
        <v>10251</v>
      </c>
      <c r="B3560" s="878" t="s">
        <v>10252</v>
      </c>
      <c r="C3560" s="879" t="s">
        <v>158</v>
      </c>
      <c r="D3560" s="880" t="s">
        <v>42223</v>
      </c>
    </row>
    <row r="3561" spans="1:4" ht="13.5" x14ac:dyDescent="0.25">
      <c r="A3561" s="878" t="s">
        <v>10254</v>
      </c>
      <c r="B3561" s="878" t="s">
        <v>10255</v>
      </c>
      <c r="C3561" s="879" t="s">
        <v>158</v>
      </c>
      <c r="D3561" s="880" t="s">
        <v>42224</v>
      </c>
    </row>
    <row r="3562" spans="1:4" ht="13.5" x14ac:dyDescent="0.25">
      <c r="A3562" s="878" t="s">
        <v>10256</v>
      </c>
      <c r="B3562" s="878" t="s">
        <v>10257</v>
      </c>
      <c r="C3562" s="879" t="s">
        <v>158</v>
      </c>
      <c r="D3562" s="880" t="s">
        <v>31215</v>
      </c>
    </row>
    <row r="3563" spans="1:4" ht="13.5" x14ac:dyDescent="0.25">
      <c r="A3563" s="878" t="s">
        <v>10258</v>
      </c>
      <c r="B3563" s="878" t="s">
        <v>10259</v>
      </c>
      <c r="C3563" s="879" t="s">
        <v>158</v>
      </c>
      <c r="D3563" s="880" t="s">
        <v>12223</v>
      </c>
    </row>
    <row r="3564" spans="1:4" ht="13.5" x14ac:dyDescent="0.25">
      <c r="A3564" s="878" t="s">
        <v>10260</v>
      </c>
      <c r="B3564" s="878" t="s">
        <v>10261</v>
      </c>
      <c r="C3564" s="879" t="s">
        <v>158</v>
      </c>
      <c r="D3564" s="880" t="s">
        <v>41736</v>
      </c>
    </row>
    <row r="3565" spans="1:4" ht="13.5" x14ac:dyDescent="0.25">
      <c r="A3565" s="878" t="s">
        <v>10262</v>
      </c>
      <c r="B3565" s="878" t="s">
        <v>10263</v>
      </c>
      <c r="C3565" s="879" t="s">
        <v>158</v>
      </c>
      <c r="D3565" s="880" t="s">
        <v>12779</v>
      </c>
    </row>
    <row r="3566" spans="1:4" ht="13.5" x14ac:dyDescent="0.25">
      <c r="A3566" s="878" t="s">
        <v>10264</v>
      </c>
      <c r="B3566" s="878" t="s">
        <v>10265</v>
      </c>
      <c r="C3566" s="879" t="s">
        <v>158</v>
      </c>
      <c r="D3566" s="880" t="s">
        <v>5076</v>
      </c>
    </row>
    <row r="3567" spans="1:4" ht="13.5" x14ac:dyDescent="0.25">
      <c r="A3567" s="878" t="s">
        <v>10267</v>
      </c>
      <c r="B3567" s="878" t="s">
        <v>10268</v>
      </c>
      <c r="C3567" s="879" t="s">
        <v>158</v>
      </c>
      <c r="D3567" s="880" t="s">
        <v>42225</v>
      </c>
    </row>
    <row r="3568" spans="1:4" ht="13.5" x14ac:dyDescent="0.25">
      <c r="A3568" s="878" t="s">
        <v>10269</v>
      </c>
      <c r="B3568" s="878" t="s">
        <v>10270</v>
      </c>
      <c r="C3568" s="879" t="s">
        <v>158</v>
      </c>
      <c r="D3568" s="880" t="s">
        <v>42226</v>
      </c>
    </row>
    <row r="3569" spans="1:4" ht="13.5" x14ac:dyDescent="0.25">
      <c r="A3569" s="878" t="s">
        <v>10271</v>
      </c>
      <c r="B3569" s="878" t="s">
        <v>10272</v>
      </c>
      <c r="C3569" s="879" t="s">
        <v>158</v>
      </c>
      <c r="D3569" s="880" t="s">
        <v>42227</v>
      </c>
    </row>
    <row r="3570" spans="1:4" ht="13.5" x14ac:dyDescent="0.25">
      <c r="A3570" s="878" t="s">
        <v>10273</v>
      </c>
      <c r="B3570" s="878" t="s">
        <v>10274</v>
      </c>
      <c r="C3570" s="879" t="s">
        <v>158</v>
      </c>
      <c r="D3570" s="880" t="s">
        <v>42228</v>
      </c>
    </row>
    <row r="3571" spans="1:4" ht="13.5" x14ac:dyDescent="0.25">
      <c r="A3571" s="878" t="s">
        <v>10275</v>
      </c>
      <c r="B3571" s="878" t="s">
        <v>10276</v>
      </c>
      <c r="C3571" s="879" t="s">
        <v>158</v>
      </c>
      <c r="D3571" s="880" t="s">
        <v>42229</v>
      </c>
    </row>
    <row r="3572" spans="1:4" ht="13.5" x14ac:dyDescent="0.25">
      <c r="A3572" s="878" t="s">
        <v>10277</v>
      </c>
      <c r="B3572" s="878" t="s">
        <v>10278</v>
      </c>
      <c r="C3572" s="879" t="s">
        <v>158</v>
      </c>
      <c r="D3572" s="880" t="s">
        <v>42230</v>
      </c>
    </row>
    <row r="3573" spans="1:4" ht="13.5" x14ac:dyDescent="0.25">
      <c r="A3573" s="878" t="s">
        <v>10279</v>
      </c>
      <c r="B3573" s="878" t="s">
        <v>10280</v>
      </c>
      <c r="C3573" s="879" t="s">
        <v>158</v>
      </c>
      <c r="D3573" s="880" t="s">
        <v>42231</v>
      </c>
    </row>
    <row r="3574" spans="1:4" ht="13.5" x14ac:dyDescent="0.25">
      <c r="A3574" s="878" t="s">
        <v>10281</v>
      </c>
      <c r="B3574" s="878" t="s">
        <v>10282</v>
      </c>
      <c r="C3574" s="879" t="s">
        <v>158</v>
      </c>
      <c r="D3574" s="880" t="s">
        <v>31032</v>
      </c>
    </row>
    <row r="3575" spans="1:4" ht="13.5" x14ac:dyDescent="0.25">
      <c r="A3575" s="878" t="s">
        <v>10283</v>
      </c>
      <c r="B3575" s="878" t="s">
        <v>10284</v>
      </c>
      <c r="C3575" s="879" t="s">
        <v>158</v>
      </c>
      <c r="D3575" s="880" t="s">
        <v>42232</v>
      </c>
    </row>
    <row r="3576" spans="1:4" ht="13.5" x14ac:dyDescent="0.25">
      <c r="A3576" s="878" t="s">
        <v>10285</v>
      </c>
      <c r="B3576" s="878" t="s">
        <v>10286</v>
      </c>
      <c r="C3576" s="879" t="s">
        <v>158</v>
      </c>
      <c r="D3576" s="880" t="s">
        <v>42233</v>
      </c>
    </row>
    <row r="3577" spans="1:4" ht="13.5" x14ac:dyDescent="0.25">
      <c r="A3577" s="878" t="s">
        <v>10287</v>
      </c>
      <c r="B3577" s="878" t="s">
        <v>10288</v>
      </c>
      <c r="C3577" s="879" t="s">
        <v>158</v>
      </c>
      <c r="D3577" s="880" t="s">
        <v>4982</v>
      </c>
    </row>
    <row r="3578" spans="1:4" ht="13.5" x14ac:dyDescent="0.25">
      <c r="A3578" s="878" t="s">
        <v>10289</v>
      </c>
      <c r="B3578" s="878" t="s">
        <v>10290</v>
      </c>
      <c r="C3578" s="879" t="s">
        <v>158</v>
      </c>
      <c r="D3578" s="880" t="s">
        <v>31073</v>
      </c>
    </row>
    <row r="3579" spans="1:4" ht="13.5" x14ac:dyDescent="0.25">
      <c r="A3579" s="878" t="s">
        <v>10291</v>
      </c>
      <c r="B3579" s="878" t="s">
        <v>10292</v>
      </c>
      <c r="C3579" s="879" t="s">
        <v>158</v>
      </c>
      <c r="D3579" s="880" t="s">
        <v>42234</v>
      </c>
    </row>
    <row r="3580" spans="1:4" ht="13.5" x14ac:dyDescent="0.25">
      <c r="A3580" s="878" t="s">
        <v>10293</v>
      </c>
      <c r="B3580" s="878" t="s">
        <v>10294</v>
      </c>
      <c r="C3580" s="879" t="s">
        <v>158</v>
      </c>
      <c r="D3580" s="880" t="s">
        <v>42235</v>
      </c>
    </row>
    <row r="3581" spans="1:4" ht="13.5" x14ac:dyDescent="0.25">
      <c r="A3581" s="878" t="s">
        <v>10295</v>
      </c>
      <c r="B3581" s="878" t="s">
        <v>10296</v>
      </c>
      <c r="C3581" s="879" t="s">
        <v>158</v>
      </c>
      <c r="D3581" s="880" t="s">
        <v>42236</v>
      </c>
    </row>
    <row r="3582" spans="1:4" ht="13.5" x14ac:dyDescent="0.25">
      <c r="A3582" s="878" t="s">
        <v>10297</v>
      </c>
      <c r="B3582" s="878" t="s">
        <v>10298</v>
      </c>
      <c r="C3582" s="879" t="s">
        <v>158</v>
      </c>
      <c r="D3582" s="880" t="s">
        <v>30572</v>
      </c>
    </row>
    <row r="3583" spans="1:4" ht="13.5" x14ac:dyDescent="0.25">
      <c r="A3583" s="878" t="s">
        <v>10300</v>
      </c>
      <c r="B3583" s="878" t="s">
        <v>10301</v>
      </c>
      <c r="C3583" s="879" t="s">
        <v>158</v>
      </c>
      <c r="D3583" s="880" t="s">
        <v>42237</v>
      </c>
    </row>
    <row r="3584" spans="1:4" ht="13.5" x14ac:dyDescent="0.25">
      <c r="A3584" s="878" t="s">
        <v>10302</v>
      </c>
      <c r="B3584" s="878" t="s">
        <v>10303</v>
      </c>
      <c r="C3584" s="879" t="s">
        <v>158</v>
      </c>
      <c r="D3584" s="880" t="s">
        <v>42238</v>
      </c>
    </row>
    <row r="3585" spans="1:4" ht="13.5" x14ac:dyDescent="0.25">
      <c r="A3585" s="878" t="s">
        <v>10304</v>
      </c>
      <c r="B3585" s="878" t="s">
        <v>10305</v>
      </c>
      <c r="C3585" s="879" t="s">
        <v>158</v>
      </c>
      <c r="D3585" s="880" t="s">
        <v>10718</v>
      </c>
    </row>
    <row r="3586" spans="1:4" ht="13.5" x14ac:dyDescent="0.25">
      <c r="A3586" s="878" t="s">
        <v>10306</v>
      </c>
      <c r="B3586" s="878" t="s">
        <v>10307</v>
      </c>
      <c r="C3586" s="879" t="s">
        <v>158</v>
      </c>
      <c r="D3586" s="880" t="s">
        <v>30660</v>
      </c>
    </row>
    <row r="3587" spans="1:4" ht="13.5" x14ac:dyDescent="0.25">
      <c r="A3587" s="878" t="s">
        <v>10308</v>
      </c>
      <c r="B3587" s="878" t="s">
        <v>10309</v>
      </c>
      <c r="C3587" s="879" t="s">
        <v>158</v>
      </c>
      <c r="D3587" s="880" t="s">
        <v>42239</v>
      </c>
    </row>
    <row r="3588" spans="1:4" ht="13.5" x14ac:dyDescent="0.25">
      <c r="A3588" s="878" t="s">
        <v>10310</v>
      </c>
      <c r="B3588" s="878" t="s">
        <v>10311</v>
      </c>
      <c r="C3588" s="879" t="s">
        <v>158</v>
      </c>
      <c r="D3588" s="880" t="s">
        <v>41286</v>
      </c>
    </row>
    <row r="3589" spans="1:4" ht="13.5" x14ac:dyDescent="0.25">
      <c r="A3589" s="878" t="s">
        <v>10312</v>
      </c>
      <c r="B3589" s="878" t="s">
        <v>10313</v>
      </c>
      <c r="C3589" s="879" t="s">
        <v>158</v>
      </c>
      <c r="D3589" s="880" t="s">
        <v>30215</v>
      </c>
    </row>
    <row r="3590" spans="1:4" ht="13.5" x14ac:dyDescent="0.25">
      <c r="A3590" s="878" t="s">
        <v>10314</v>
      </c>
      <c r="B3590" s="878" t="s">
        <v>10315</v>
      </c>
      <c r="C3590" s="879" t="s">
        <v>158</v>
      </c>
      <c r="D3590" s="880" t="s">
        <v>42240</v>
      </c>
    </row>
    <row r="3591" spans="1:4" ht="13.5" x14ac:dyDescent="0.25">
      <c r="A3591" s="878" t="s">
        <v>10316</v>
      </c>
      <c r="B3591" s="878" t="s">
        <v>10317</v>
      </c>
      <c r="C3591" s="879" t="s">
        <v>158</v>
      </c>
      <c r="D3591" s="880" t="s">
        <v>42241</v>
      </c>
    </row>
    <row r="3592" spans="1:4" ht="13.5" x14ac:dyDescent="0.25">
      <c r="A3592" s="878" t="s">
        <v>10318</v>
      </c>
      <c r="B3592" s="878" t="s">
        <v>10319</v>
      </c>
      <c r="C3592" s="879" t="s">
        <v>158</v>
      </c>
      <c r="D3592" s="880" t="s">
        <v>10930</v>
      </c>
    </row>
    <row r="3593" spans="1:4" ht="13.5" x14ac:dyDescent="0.25">
      <c r="A3593" s="878" t="s">
        <v>10321</v>
      </c>
      <c r="B3593" s="878" t="s">
        <v>10322</v>
      </c>
      <c r="C3593" s="879" t="s">
        <v>158</v>
      </c>
      <c r="D3593" s="880" t="s">
        <v>31296</v>
      </c>
    </row>
    <row r="3594" spans="1:4" ht="13.5" x14ac:dyDescent="0.25">
      <c r="A3594" s="878" t="s">
        <v>10323</v>
      </c>
      <c r="B3594" s="878" t="s">
        <v>10324</v>
      </c>
      <c r="C3594" s="879" t="s">
        <v>158</v>
      </c>
      <c r="D3594" s="880" t="s">
        <v>42242</v>
      </c>
    </row>
    <row r="3595" spans="1:4" ht="13.5" x14ac:dyDescent="0.25">
      <c r="A3595" s="878" t="s">
        <v>10326</v>
      </c>
      <c r="B3595" s="878" t="s">
        <v>10327</v>
      </c>
      <c r="C3595" s="879" t="s">
        <v>158</v>
      </c>
      <c r="D3595" s="880" t="s">
        <v>42243</v>
      </c>
    </row>
    <row r="3596" spans="1:4" ht="13.5" x14ac:dyDescent="0.25">
      <c r="A3596" s="878" t="s">
        <v>10328</v>
      </c>
      <c r="B3596" s="878" t="s">
        <v>10329</v>
      </c>
      <c r="C3596" s="879" t="s">
        <v>158</v>
      </c>
      <c r="D3596" s="880" t="s">
        <v>42244</v>
      </c>
    </row>
    <row r="3597" spans="1:4" ht="13.5" x14ac:dyDescent="0.25">
      <c r="A3597" s="878" t="s">
        <v>10330</v>
      </c>
      <c r="B3597" s="878" t="s">
        <v>10331</v>
      </c>
      <c r="C3597" s="879" t="s">
        <v>158</v>
      </c>
      <c r="D3597" s="880" t="s">
        <v>42245</v>
      </c>
    </row>
    <row r="3598" spans="1:4" ht="13.5" x14ac:dyDescent="0.25">
      <c r="A3598" s="878" t="s">
        <v>10332</v>
      </c>
      <c r="B3598" s="878" t="s">
        <v>10333</v>
      </c>
      <c r="C3598" s="879" t="s">
        <v>158</v>
      </c>
      <c r="D3598" s="880" t="s">
        <v>42246</v>
      </c>
    </row>
    <row r="3599" spans="1:4" ht="13.5" x14ac:dyDescent="0.25">
      <c r="A3599" s="878" t="s">
        <v>10334</v>
      </c>
      <c r="B3599" s="878" t="s">
        <v>10335</v>
      </c>
      <c r="C3599" s="879" t="s">
        <v>158</v>
      </c>
      <c r="D3599" s="880" t="s">
        <v>42247</v>
      </c>
    </row>
    <row r="3600" spans="1:4" ht="13.5" x14ac:dyDescent="0.25">
      <c r="A3600" s="878" t="s">
        <v>10336</v>
      </c>
      <c r="B3600" s="878" t="s">
        <v>30010</v>
      </c>
      <c r="C3600" s="879" t="s">
        <v>158</v>
      </c>
      <c r="D3600" s="880" t="s">
        <v>3186</v>
      </c>
    </row>
    <row r="3601" spans="1:4" ht="13.5" x14ac:dyDescent="0.25">
      <c r="A3601" s="878" t="s">
        <v>10337</v>
      </c>
      <c r="B3601" s="878" t="s">
        <v>30011</v>
      </c>
      <c r="C3601" s="879" t="s">
        <v>158</v>
      </c>
      <c r="D3601" s="880" t="s">
        <v>40491</v>
      </c>
    </row>
    <row r="3602" spans="1:4" ht="13.5" x14ac:dyDescent="0.25">
      <c r="A3602" s="878" t="s">
        <v>10338</v>
      </c>
      <c r="B3602" s="878" t="s">
        <v>30012</v>
      </c>
      <c r="C3602" s="879" t="s">
        <v>158</v>
      </c>
      <c r="D3602" s="880" t="s">
        <v>42248</v>
      </c>
    </row>
    <row r="3603" spans="1:4" ht="13.5" x14ac:dyDescent="0.25">
      <c r="A3603" s="878" t="s">
        <v>10339</v>
      </c>
      <c r="B3603" s="878" t="s">
        <v>30013</v>
      </c>
      <c r="C3603" s="879" t="s">
        <v>158</v>
      </c>
      <c r="D3603" s="880" t="s">
        <v>42249</v>
      </c>
    </row>
    <row r="3604" spans="1:4" ht="13.5" x14ac:dyDescent="0.25">
      <c r="A3604" s="878" t="s">
        <v>10341</v>
      </c>
      <c r="B3604" s="878" t="s">
        <v>10342</v>
      </c>
      <c r="C3604" s="879" t="s">
        <v>158</v>
      </c>
      <c r="D3604" s="880" t="s">
        <v>41856</v>
      </c>
    </row>
    <row r="3605" spans="1:4" ht="13.5" x14ac:dyDescent="0.25">
      <c r="A3605" s="878" t="s">
        <v>10343</v>
      </c>
      <c r="B3605" s="878" t="s">
        <v>10344</v>
      </c>
      <c r="C3605" s="879" t="s">
        <v>158</v>
      </c>
      <c r="D3605" s="880" t="s">
        <v>42250</v>
      </c>
    </row>
    <row r="3606" spans="1:4" ht="13.5" x14ac:dyDescent="0.25">
      <c r="A3606" s="878" t="s">
        <v>10345</v>
      </c>
      <c r="B3606" s="878" t="s">
        <v>10346</v>
      </c>
      <c r="C3606" s="879" t="s">
        <v>158</v>
      </c>
      <c r="D3606" s="880" t="s">
        <v>30500</v>
      </c>
    </row>
    <row r="3607" spans="1:4" ht="13.5" x14ac:dyDescent="0.25">
      <c r="A3607" s="878" t="s">
        <v>10347</v>
      </c>
      <c r="B3607" s="878" t="s">
        <v>10348</v>
      </c>
      <c r="C3607" s="879" t="s">
        <v>158</v>
      </c>
      <c r="D3607" s="880" t="s">
        <v>42251</v>
      </c>
    </row>
    <row r="3608" spans="1:4" ht="13.5" x14ac:dyDescent="0.25">
      <c r="A3608" s="878" t="s">
        <v>10349</v>
      </c>
      <c r="B3608" s="878" t="s">
        <v>10350</v>
      </c>
      <c r="C3608" s="879" t="s">
        <v>158</v>
      </c>
      <c r="D3608" s="880" t="s">
        <v>42252</v>
      </c>
    </row>
    <row r="3609" spans="1:4" ht="13.5" x14ac:dyDescent="0.25">
      <c r="A3609" s="878" t="s">
        <v>10351</v>
      </c>
      <c r="B3609" s="878" t="s">
        <v>10352</v>
      </c>
      <c r="C3609" s="879" t="s">
        <v>158</v>
      </c>
      <c r="D3609" s="880" t="s">
        <v>42026</v>
      </c>
    </row>
    <row r="3610" spans="1:4" ht="13.5" x14ac:dyDescent="0.25">
      <c r="A3610" s="878" t="s">
        <v>10353</v>
      </c>
      <c r="B3610" s="878" t="s">
        <v>10354</v>
      </c>
      <c r="C3610" s="879" t="s">
        <v>158</v>
      </c>
      <c r="D3610" s="880" t="s">
        <v>42253</v>
      </c>
    </row>
    <row r="3611" spans="1:4" ht="13.5" x14ac:dyDescent="0.25">
      <c r="A3611" s="878" t="s">
        <v>10355</v>
      </c>
      <c r="B3611" s="878" t="s">
        <v>10356</v>
      </c>
      <c r="C3611" s="879" t="s">
        <v>158</v>
      </c>
      <c r="D3611" s="880" t="s">
        <v>42254</v>
      </c>
    </row>
    <row r="3612" spans="1:4" ht="13.5" x14ac:dyDescent="0.25">
      <c r="A3612" s="878" t="s">
        <v>10357</v>
      </c>
      <c r="B3612" s="878" t="s">
        <v>10358</v>
      </c>
      <c r="C3612" s="879" t="s">
        <v>158</v>
      </c>
      <c r="D3612" s="880" t="s">
        <v>42255</v>
      </c>
    </row>
    <row r="3613" spans="1:4" ht="13.5" x14ac:dyDescent="0.25">
      <c r="A3613" s="878" t="s">
        <v>10359</v>
      </c>
      <c r="B3613" s="878" t="s">
        <v>10360</v>
      </c>
      <c r="C3613" s="879" t="s">
        <v>158</v>
      </c>
      <c r="D3613" s="880" t="s">
        <v>42256</v>
      </c>
    </row>
    <row r="3614" spans="1:4" ht="13.5" x14ac:dyDescent="0.25">
      <c r="A3614" s="878" t="s">
        <v>10361</v>
      </c>
      <c r="B3614" s="878" t="s">
        <v>10362</v>
      </c>
      <c r="C3614" s="879" t="s">
        <v>158</v>
      </c>
      <c r="D3614" s="880" t="s">
        <v>42257</v>
      </c>
    </row>
    <row r="3615" spans="1:4" ht="13.5" x14ac:dyDescent="0.25">
      <c r="A3615" s="878" t="s">
        <v>10363</v>
      </c>
      <c r="B3615" s="878" t="s">
        <v>10364</v>
      </c>
      <c r="C3615" s="879" t="s">
        <v>158</v>
      </c>
      <c r="D3615" s="880" t="s">
        <v>42258</v>
      </c>
    </row>
    <row r="3616" spans="1:4" ht="13.5" x14ac:dyDescent="0.25">
      <c r="A3616" s="878" t="s">
        <v>10365</v>
      </c>
      <c r="B3616" s="878" t="s">
        <v>10366</v>
      </c>
      <c r="C3616" s="879" t="s">
        <v>158</v>
      </c>
      <c r="D3616" s="880" t="s">
        <v>42160</v>
      </c>
    </row>
    <row r="3617" spans="1:4" ht="13.5" x14ac:dyDescent="0.25">
      <c r="A3617" s="878" t="s">
        <v>10367</v>
      </c>
      <c r="B3617" s="878" t="s">
        <v>10368</v>
      </c>
      <c r="C3617" s="879" t="s">
        <v>158</v>
      </c>
      <c r="D3617" s="880" t="s">
        <v>42259</v>
      </c>
    </row>
    <row r="3618" spans="1:4" ht="13.5" x14ac:dyDescent="0.25">
      <c r="A3618" s="878" t="s">
        <v>10369</v>
      </c>
      <c r="B3618" s="878" t="s">
        <v>10370</v>
      </c>
      <c r="C3618" s="879" t="s">
        <v>158</v>
      </c>
      <c r="D3618" s="880" t="s">
        <v>42260</v>
      </c>
    </row>
    <row r="3619" spans="1:4" ht="13.5" x14ac:dyDescent="0.25">
      <c r="A3619" s="878" t="s">
        <v>10371</v>
      </c>
      <c r="B3619" s="878" t="s">
        <v>10372</v>
      </c>
      <c r="C3619" s="879" t="s">
        <v>158</v>
      </c>
      <c r="D3619" s="880" t="s">
        <v>42261</v>
      </c>
    </row>
    <row r="3620" spans="1:4" ht="13.5" x14ac:dyDescent="0.25">
      <c r="A3620" s="878" t="s">
        <v>10373</v>
      </c>
      <c r="B3620" s="878" t="s">
        <v>10374</v>
      </c>
      <c r="C3620" s="879" t="s">
        <v>158</v>
      </c>
      <c r="D3620" s="880" t="s">
        <v>42262</v>
      </c>
    </row>
    <row r="3621" spans="1:4" ht="13.5" x14ac:dyDescent="0.25">
      <c r="A3621" s="878" t="s">
        <v>10375</v>
      </c>
      <c r="B3621" s="878" t="s">
        <v>10376</v>
      </c>
      <c r="C3621" s="879" t="s">
        <v>158</v>
      </c>
      <c r="D3621" s="880" t="s">
        <v>42263</v>
      </c>
    </row>
    <row r="3622" spans="1:4" ht="13.5" x14ac:dyDescent="0.25">
      <c r="A3622" s="878" t="s">
        <v>10377</v>
      </c>
      <c r="B3622" s="878" t="s">
        <v>10378</v>
      </c>
      <c r="C3622" s="879" t="s">
        <v>158</v>
      </c>
      <c r="D3622" s="880" t="s">
        <v>42264</v>
      </c>
    </row>
    <row r="3623" spans="1:4" ht="13.5" x14ac:dyDescent="0.25">
      <c r="A3623" s="878" t="s">
        <v>10379</v>
      </c>
      <c r="B3623" s="878" t="s">
        <v>10380</v>
      </c>
      <c r="C3623" s="879" t="s">
        <v>158</v>
      </c>
      <c r="D3623" s="880" t="s">
        <v>42265</v>
      </c>
    </row>
    <row r="3624" spans="1:4" ht="13.5" x14ac:dyDescent="0.25">
      <c r="A3624" s="878" t="s">
        <v>10381</v>
      </c>
      <c r="B3624" s="878" t="s">
        <v>10382</v>
      </c>
      <c r="C3624" s="879" t="s">
        <v>158</v>
      </c>
      <c r="D3624" s="880" t="s">
        <v>42266</v>
      </c>
    </row>
    <row r="3625" spans="1:4" ht="13.5" x14ac:dyDescent="0.25">
      <c r="A3625" s="878" t="s">
        <v>10383</v>
      </c>
      <c r="B3625" s="878" t="s">
        <v>10384</v>
      </c>
      <c r="C3625" s="879" t="s">
        <v>158</v>
      </c>
      <c r="D3625" s="880" t="s">
        <v>42267</v>
      </c>
    </row>
    <row r="3626" spans="1:4" ht="13.5" x14ac:dyDescent="0.25">
      <c r="A3626" s="878" t="s">
        <v>10385</v>
      </c>
      <c r="B3626" s="878" t="s">
        <v>10386</v>
      </c>
      <c r="C3626" s="879" t="s">
        <v>158</v>
      </c>
      <c r="D3626" s="880" t="s">
        <v>42268</v>
      </c>
    </row>
    <row r="3627" spans="1:4" ht="13.5" x14ac:dyDescent="0.25">
      <c r="A3627" s="878" t="s">
        <v>10387</v>
      </c>
      <c r="B3627" s="878" t="s">
        <v>10388</v>
      </c>
      <c r="C3627" s="879" t="s">
        <v>158</v>
      </c>
      <c r="D3627" s="880" t="s">
        <v>42269</v>
      </c>
    </row>
    <row r="3628" spans="1:4" ht="13.5" x14ac:dyDescent="0.25">
      <c r="A3628" s="878" t="s">
        <v>10389</v>
      </c>
      <c r="B3628" s="878" t="s">
        <v>10390</v>
      </c>
      <c r="C3628" s="879" t="s">
        <v>158</v>
      </c>
      <c r="D3628" s="880" t="s">
        <v>42270</v>
      </c>
    </row>
    <row r="3629" spans="1:4" ht="13.5" x14ac:dyDescent="0.25">
      <c r="A3629" s="878" t="s">
        <v>10391</v>
      </c>
      <c r="B3629" s="878" t="s">
        <v>10392</v>
      </c>
      <c r="C3629" s="879" t="s">
        <v>158</v>
      </c>
      <c r="D3629" s="880" t="s">
        <v>42271</v>
      </c>
    </row>
    <row r="3630" spans="1:4" ht="13.5" x14ac:dyDescent="0.25">
      <c r="A3630" s="878" t="s">
        <v>10393</v>
      </c>
      <c r="B3630" s="878" t="s">
        <v>10394</v>
      </c>
      <c r="C3630" s="879" t="s">
        <v>158</v>
      </c>
      <c r="D3630" s="880" t="s">
        <v>42272</v>
      </c>
    </row>
    <row r="3631" spans="1:4" ht="13.5" x14ac:dyDescent="0.25">
      <c r="A3631" s="878" t="s">
        <v>10395</v>
      </c>
      <c r="B3631" s="878" t="s">
        <v>10396</v>
      </c>
      <c r="C3631" s="879" t="s">
        <v>158</v>
      </c>
      <c r="D3631" s="880" t="s">
        <v>42273</v>
      </c>
    </row>
    <row r="3632" spans="1:4" ht="13.5" x14ac:dyDescent="0.25">
      <c r="A3632" s="878" t="s">
        <v>10397</v>
      </c>
      <c r="B3632" s="878" t="s">
        <v>10398</v>
      </c>
      <c r="C3632" s="879" t="s">
        <v>158</v>
      </c>
      <c r="D3632" s="880" t="s">
        <v>42274</v>
      </c>
    </row>
    <row r="3633" spans="1:4" ht="13.5" x14ac:dyDescent="0.25">
      <c r="A3633" s="878" t="s">
        <v>10399</v>
      </c>
      <c r="B3633" s="878" t="s">
        <v>10400</v>
      </c>
      <c r="C3633" s="879" t="s">
        <v>226</v>
      </c>
      <c r="D3633" s="880" t="s">
        <v>42275</v>
      </c>
    </row>
    <row r="3634" spans="1:4" ht="13.5" x14ac:dyDescent="0.25">
      <c r="A3634" s="878" t="s">
        <v>10401</v>
      </c>
      <c r="B3634" s="878" t="s">
        <v>10402</v>
      </c>
      <c r="C3634" s="879" t="s">
        <v>158</v>
      </c>
      <c r="D3634" s="880" t="s">
        <v>42276</v>
      </c>
    </row>
    <row r="3635" spans="1:4" ht="13.5" x14ac:dyDescent="0.25">
      <c r="A3635" s="878" t="s">
        <v>10403</v>
      </c>
      <c r="B3635" s="878" t="s">
        <v>10404</v>
      </c>
      <c r="C3635" s="879" t="s">
        <v>158</v>
      </c>
      <c r="D3635" s="880" t="s">
        <v>42277</v>
      </c>
    </row>
    <row r="3636" spans="1:4" ht="13.5" x14ac:dyDescent="0.25">
      <c r="A3636" s="878" t="s">
        <v>10406</v>
      </c>
      <c r="B3636" s="878" t="s">
        <v>10407</v>
      </c>
      <c r="C3636" s="879" t="s">
        <v>158</v>
      </c>
      <c r="D3636" s="880" t="s">
        <v>42278</v>
      </c>
    </row>
    <row r="3637" spans="1:4" ht="13.5" x14ac:dyDescent="0.25">
      <c r="A3637" s="878" t="s">
        <v>10408</v>
      </c>
      <c r="B3637" s="878" t="s">
        <v>10409</v>
      </c>
      <c r="C3637" s="879" t="s">
        <v>158</v>
      </c>
      <c r="D3637" s="880" t="s">
        <v>42279</v>
      </c>
    </row>
    <row r="3638" spans="1:4" ht="13.5" x14ac:dyDescent="0.25">
      <c r="A3638" s="878" t="s">
        <v>10410</v>
      </c>
      <c r="B3638" s="878" t="s">
        <v>10411</v>
      </c>
      <c r="C3638" s="879" t="s">
        <v>158</v>
      </c>
      <c r="D3638" s="880" t="s">
        <v>42280</v>
      </c>
    </row>
    <row r="3639" spans="1:4" ht="13.5" x14ac:dyDescent="0.25">
      <c r="A3639" s="878" t="s">
        <v>10412</v>
      </c>
      <c r="B3639" s="878" t="s">
        <v>10413</v>
      </c>
      <c r="C3639" s="879" t="s">
        <v>158</v>
      </c>
      <c r="D3639" s="880" t="s">
        <v>42281</v>
      </c>
    </row>
    <row r="3640" spans="1:4" ht="13.5" x14ac:dyDescent="0.25">
      <c r="A3640" s="878" t="s">
        <v>10414</v>
      </c>
      <c r="B3640" s="878" t="s">
        <v>10415</v>
      </c>
      <c r="C3640" s="879" t="s">
        <v>158</v>
      </c>
      <c r="D3640" s="880" t="s">
        <v>42282</v>
      </c>
    </row>
    <row r="3641" spans="1:4" ht="13.5" x14ac:dyDescent="0.25">
      <c r="A3641" s="878" t="s">
        <v>10416</v>
      </c>
      <c r="B3641" s="878" t="s">
        <v>10417</v>
      </c>
      <c r="C3641" s="879" t="s">
        <v>158</v>
      </c>
      <c r="D3641" s="880" t="s">
        <v>42283</v>
      </c>
    </row>
    <row r="3642" spans="1:4" ht="13.5" x14ac:dyDescent="0.25">
      <c r="A3642" s="878" t="s">
        <v>10419</v>
      </c>
      <c r="B3642" s="878" t="s">
        <v>10420</v>
      </c>
      <c r="C3642" s="879" t="s">
        <v>158</v>
      </c>
      <c r="D3642" s="880" t="s">
        <v>42284</v>
      </c>
    </row>
    <row r="3643" spans="1:4" ht="13.5" x14ac:dyDescent="0.25">
      <c r="A3643" s="878" t="s">
        <v>10421</v>
      </c>
      <c r="B3643" s="878" t="s">
        <v>10422</v>
      </c>
      <c r="C3643" s="879" t="s">
        <v>158</v>
      </c>
      <c r="D3643" s="880" t="s">
        <v>42285</v>
      </c>
    </row>
    <row r="3644" spans="1:4" ht="13.5" x14ac:dyDescent="0.25">
      <c r="A3644" s="878" t="s">
        <v>10423</v>
      </c>
      <c r="B3644" s="878" t="s">
        <v>10424</v>
      </c>
      <c r="C3644" s="879" t="s">
        <v>158</v>
      </c>
      <c r="D3644" s="880" t="s">
        <v>42286</v>
      </c>
    </row>
    <row r="3645" spans="1:4" ht="13.5" x14ac:dyDescent="0.25">
      <c r="A3645" s="878" t="s">
        <v>10425</v>
      </c>
      <c r="B3645" s="878" t="s">
        <v>10426</v>
      </c>
      <c r="C3645" s="879" t="s">
        <v>158</v>
      </c>
      <c r="D3645" s="880" t="s">
        <v>9499</v>
      </c>
    </row>
    <row r="3646" spans="1:4" ht="13.5" x14ac:dyDescent="0.25">
      <c r="A3646" s="878" t="s">
        <v>10427</v>
      </c>
      <c r="B3646" s="878" t="s">
        <v>10428</v>
      </c>
      <c r="C3646" s="879" t="s">
        <v>158</v>
      </c>
      <c r="D3646" s="880" t="s">
        <v>42287</v>
      </c>
    </row>
    <row r="3647" spans="1:4" ht="13.5" x14ac:dyDescent="0.25">
      <c r="A3647" s="878" t="s">
        <v>10429</v>
      </c>
      <c r="B3647" s="878" t="s">
        <v>10430</v>
      </c>
      <c r="C3647" s="879" t="s">
        <v>158</v>
      </c>
      <c r="D3647" s="880" t="s">
        <v>42288</v>
      </c>
    </row>
    <row r="3648" spans="1:4" ht="13.5" x14ac:dyDescent="0.25">
      <c r="A3648" s="878" t="s">
        <v>10431</v>
      </c>
      <c r="B3648" s="878" t="s">
        <v>10432</v>
      </c>
      <c r="C3648" s="879" t="s">
        <v>158</v>
      </c>
      <c r="D3648" s="880" t="s">
        <v>42289</v>
      </c>
    </row>
    <row r="3649" spans="1:4" ht="13.5" x14ac:dyDescent="0.25">
      <c r="A3649" s="878" t="s">
        <v>10433</v>
      </c>
      <c r="B3649" s="878" t="s">
        <v>10434</v>
      </c>
      <c r="C3649" s="879" t="s">
        <v>158</v>
      </c>
      <c r="D3649" s="880" t="s">
        <v>30229</v>
      </c>
    </row>
    <row r="3650" spans="1:4" ht="13.5" x14ac:dyDescent="0.25">
      <c r="A3650" s="878" t="s">
        <v>10435</v>
      </c>
      <c r="B3650" s="878" t="s">
        <v>10436</v>
      </c>
      <c r="C3650" s="879" t="s">
        <v>158</v>
      </c>
      <c r="D3650" s="880" t="s">
        <v>42290</v>
      </c>
    </row>
    <row r="3651" spans="1:4" ht="13.5" x14ac:dyDescent="0.25">
      <c r="A3651" s="878" t="s">
        <v>10437</v>
      </c>
      <c r="B3651" s="878" t="s">
        <v>10438</v>
      </c>
      <c r="C3651" s="879" t="s">
        <v>226</v>
      </c>
      <c r="D3651" s="880" t="s">
        <v>30765</v>
      </c>
    </row>
    <row r="3652" spans="1:4" ht="13.5" x14ac:dyDescent="0.25">
      <c r="A3652" s="878" t="s">
        <v>10439</v>
      </c>
      <c r="B3652" s="878" t="s">
        <v>10440</v>
      </c>
      <c r="C3652" s="879" t="s">
        <v>226</v>
      </c>
      <c r="D3652" s="880" t="s">
        <v>30766</v>
      </c>
    </row>
    <row r="3653" spans="1:4" ht="13.5" x14ac:dyDescent="0.25">
      <c r="A3653" s="878" t="s">
        <v>10441</v>
      </c>
      <c r="B3653" s="878" t="s">
        <v>10442</v>
      </c>
      <c r="C3653" s="879" t="s">
        <v>226</v>
      </c>
      <c r="D3653" s="880" t="s">
        <v>30767</v>
      </c>
    </row>
    <row r="3654" spans="1:4" ht="13.5" x14ac:dyDescent="0.25">
      <c r="A3654" s="878" t="s">
        <v>10443</v>
      </c>
      <c r="B3654" s="878" t="s">
        <v>10444</v>
      </c>
      <c r="C3654" s="879" t="s">
        <v>226</v>
      </c>
      <c r="D3654" s="880" t="s">
        <v>30767</v>
      </c>
    </row>
    <row r="3655" spans="1:4" ht="13.5" x14ac:dyDescent="0.25">
      <c r="A3655" s="878" t="s">
        <v>10445</v>
      </c>
      <c r="B3655" s="878" t="s">
        <v>10446</v>
      </c>
      <c r="C3655" s="879" t="s">
        <v>226</v>
      </c>
      <c r="D3655" s="880" t="s">
        <v>30767</v>
      </c>
    </row>
    <row r="3656" spans="1:4" ht="13.5" x14ac:dyDescent="0.25">
      <c r="A3656" s="878" t="s">
        <v>10447</v>
      </c>
      <c r="B3656" s="878" t="s">
        <v>10448</v>
      </c>
      <c r="C3656" s="879" t="s">
        <v>226</v>
      </c>
      <c r="D3656" s="880" t="s">
        <v>30768</v>
      </c>
    </row>
    <row r="3657" spans="1:4" ht="13.5" x14ac:dyDescent="0.25">
      <c r="A3657" s="878" t="s">
        <v>10449</v>
      </c>
      <c r="B3657" s="878" t="s">
        <v>10450</v>
      </c>
      <c r="C3657" s="879" t="s">
        <v>226</v>
      </c>
      <c r="D3657" s="880" t="s">
        <v>30769</v>
      </c>
    </row>
    <row r="3658" spans="1:4" ht="13.5" x14ac:dyDescent="0.25">
      <c r="A3658" s="878" t="s">
        <v>10451</v>
      </c>
      <c r="B3658" s="878" t="s">
        <v>10452</v>
      </c>
      <c r="C3658" s="879" t="s">
        <v>226</v>
      </c>
      <c r="D3658" s="880" t="s">
        <v>30770</v>
      </c>
    </row>
    <row r="3659" spans="1:4" ht="13.5" x14ac:dyDescent="0.25">
      <c r="A3659" s="878" t="s">
        <v>10453</v>
      </c>
      <c r="B3659" s="878" t="s">
        <v>10454</v>
      </c>
      <c r="C3659" s="879" t="s">
        <v>158</v>
      </c>
      <c r="D3659" s="880" t="s">
        <v>42291</v>
      </c>
    </row>
    <row r="3660" spans="1:4" ht="13.5" x14ac:dyDescent="0.25">
      <c r="A3660" s="878" t="s">
        <v>10455</v>
      </c>
      <c r="B3660" s="878" t="s">
        <v>10456</v>
      </c>
      <c r="C3660" s="879" t="s">
        <v>226</v>
      </c>
      <c r="D3660" s="880" t="s">
        <v>30771</v>
      </c>
    </row>
    <row r="3661" spans="1:4" ht="13.5" x14ac:dyDescent="0.25">
      <c r="A3661" s="878" t="s">
        <v>10457</v>
      </c>
      <c r="B3661" s="878" t="s">
        <v>10458</v>
      </c>
      <c r="C3661" s="879" t="s">
        <v>226</v>
      </c>
      <c r="D3661" s="880" t="s">
        <v>30772</v>
      </c>
    </row>
    <row r="3662" spans="1:4" ht="13.5" x14ac:dyDescent="0.25">
      <c r="A3662" s="878" t="s">
        <v>10459</v>
      </c>
      <c r="B3662" s="878" t="s">
        <v>10460</v>
      </c>
      <c r="C3662" s="879" t="s">
        <v>226</v>
      </c>
      <c r="D3662" s="880" t="s">
        <v>30773</v>
      </c>
    </row>
    <row r="3663" spans="1:4" ht="13.5" x14ac:dyDescent="0.25">
      <c r="A3663" s="878" t="s">
        <v>10461</v>
      </c>
      <c r="B3663" s="878" t="s">
        <v>10462</v>
      </c>
      <c r="C3663" s="879" t="s">
        <v>226</v>
      </c>
      <c r="D3663" s="880" t="s">
        <v>30773</v>
      </c>
    </row>
    <row r="3664" spans="1:4" ht="13.5" x14ac:dyDescent="0.25">
      <c r="A3664" s="878" t="s">
        <v>10463</v>
      </c>
      <c r="B3664" s="878" t="s">
        <v>10464</v>
      </c>
      <c r="C3664" s="879" t="s">
        <v>226</v>
      </c>
      <c r="D3664" s="880" t="s">
        <v>30773</v>
      </c>
    </row>
    <row r="3665" spans="1:4" ht="13.5" x14ac:dyDescent="0.25">
      <c r="A3665" s="878" t="s">
        <v>10465</v>
      </c>
      <c r="B3665" s="878" t="s">
        <v>10466</v>
      </c>
      <c r="C3665" s="879" t="s">
        <v>226</v>
      </c>
      <c r="D3665" s="880" t="s">
        <v>30774</v>
      </c>
    </row>
    <row r="3666" spans="1:4" ht="13.5" x14ac:dyDescent="0.25">
      <c r="A3666" s="878" t="s">
        <v>10467</v>
      </c>
      <c r="B3666" s="878" t="s">
        <v>10468</v>
      </c>
      <c r="C3666" s="879" t="s">
        <v>226</v>
      </c>
      <c r="D3666" s="880" t="s">
        <v>30775</v>
      </c>
    </row>
    <row r="3667" spans="1:4" ht="13.5" x14ac:dyDescent="0.25">
      <c r="A3667" s="878" t="s">
        <v>10469</v>
      </c>
      <c r="B3667" s="878" t="s">
        <v>10470</v>
      </c>
      <c r="C3667" s="879" t="s">
        <v>226</v>
      </c>
      <c r="D3667" s="880" t="s">
        <v>30776</v>
      </c>
    </row>
    <row r="3668" spans="1:4" ht="13.5" x14ac:dyDescent="0.25">
      <c r="A3668" s="878" t="s">
        <v>10471</v>
      </c>
      <c r="B3668" s="878" t="s">
        <v>10472</v>
      </c>
      <c r="C3668" s="879" t="s">
        <v>158</v>
      </c>
      <c r="D3668" s="880" t="s">
        <v>30669</v>
      </c>
    </row>
    <row r="3669" spans="1:4" ht="13.5" x14ac:dyDescent="0.25">
      <c r="A3669" s="878" t="s">
        <v>10473</v>
      </c>
      <c r="B3669" s="878" t="s">
        <v>10474</v>
      </c>
      <c r="C3669" s="879" t="s">
        <v>158</v>
      </c>
      <c r="D3669" s="880" t="s">
        <v>42292</v>
      </c>
    </row>
    <row r="3670" spans="1:4" ht="13.5" x14ac:dyDescent="0.25">
      <c r="A3670" s="878" t="s">
        <v>10475</v>
      </c>
      <c r="B3670" s="878" t="s">
        <v>10476</v>
      </c>
      <c r="C3670" s="879" t="s">
        <v>158</v>
      </c>
      <c r="D3670" s="880" t="s">
        <v>42293</v>
      </c>
    </row>
    <row r="3671" spans="1:4" ht="13.5" x14ac:dyDescent="0.25">
      <c r="A3671" s="878" t="s">
        <v>10477</v>
      </c>
      <c r="B3671" s="878" t="s">
        <v>10478</v>
      </c>
      <c r="C3671" s="879" t="s">
        <v>158</v>
      </c>
      <c r="D3671" s="880" t="s">
        <v>42294</v>
      </c>
    </row>
    <row r="3672" spans="1:4" ht="13.5" x14ac:dyDescent="0.25">
      <c r="A3672" s="878" t="s">
        <v>10479</v>
      </c>
      <c r="B3672" s="878" t="s">
        <v>10480</v>
      </c>
      <c r="C3672" s="879" t="s">
        <v>158</v>
      </c>
      <c r="D3672" s="880" t="s">
        <v>42295</v>
      </c>
    </row>
    <row r="3673" spans="1:4" ht="13.5" x14ac:dyDescent="0.25">
      <c r="A3673" s="878" t="s">
        <v>10481</v>
      </c>
      <c r="B3673" s="878" t="s">
        <v>10482</v>
      </c>
      <c r="C3673" s="879" t="s">
        <v>158</v>
      </c>
      <c r="D3673" s="880" t="s">
        <v>42296</v>
      </c>
    </row>
    <row r="3674" spans="1:4" ht="13.5" x14ac:dyDescent="0.25">
      <c r="A3674" s="878" t="s">
        <v>10483</v>
      </c>
      <c r="B3674" s="878" t="s">
        <v>10484</v>
      </c>
      <c r="C3674" s="879" t="s">
        <v>158</v>
      </c>
      <c r="D3674" s="880" t="s">
        <v>42297</v>
      </c>
    </row>
    <row r="3675" spans="1:4" ht="13.5" x14ac:dyDescent="0.25">
      <c r="A3675" s="878" t="s">
        <v>10485</v>
      </c>
      <c r="B3675" s="878" t="s">
        <v>10486</v>
      </c>
      <c r="C3675" s="879" t="s">
        <v>158</v>
      </c>
      <c r="D3675" s="880" t="s">
        <v>42298</v>
      </c>
    </row>
    <row r="3676" spans="1:4" ht="13.5" x14ac:dyDescent="0.25">
      <c r="A3676" s="878" t="s">
        <v>10487</v>
      </c>
      <c r="B3676" s="878" t="s">
        <v>10488</v>
      </c>
      <c r="C3676" s="879" t="s">
        <v>158</v>
      </c>
      <c r="D3676" s="880" t="s">
        <v>30337</v>
      </c>
    </row>
    <row r="3677" spans="1:4" ht="13.5" x14ac:dyDescent="0.25">
      <c r="A3677" s="878" t="s">
        <v>10489</v>
      </c>
      <c r="B3677" s="878" t="s">
        <v>10490</v>
      </c>
      <c r="C3677" s="879" t="s">
        <v>158</v>
      </c>
      <c r="D3677" s="880" t="s">
        <v>42299</v>
      </c>
    </row>
    <row r="3678" spans="1:4" ht="13.5" x14ac:dyDescent="0.25">
      <c r="A3678" s="878" t="s">
        <v>10492</v>
      </c>
      <c r="B3678" s="878" t="s">
        <v>10493</v>
      </c>
      <c r="C3678" s="879" t="s">
        <v>158</v>
      </c>
      <c r="D3678" s="880" t="s">
        <v>42300</v>
      </c>
    </row>
    <row r="3679" spans="1:4" ht="13.5" x14ac:dyDescent="0.25">
      <c r="A3679" s="878" t="s">
        <v>10494</v>
      </c>
      <c r="B3679" s="878" t="s">
        <v>10495</v>
      </c>
      <c r="C3679" s="879" t="s">
        <v>158</v>
      </c>
      <c r="D3679" s="880" t="s">
        <v>42301</v>
      </c>
    </row>
    <row r="3680" spans="1:4" ht="13.5" x14ac:dyDescent="0.25">
      <c r="A3680" s="878" t="s">
        <v>10496</v>
      </c>
      <c r="B3680" s="878" t="s">
        <v>10497</v>
      </c>
      <c r="C3680" s="879" t="s">
        <v>158</v>
      </c>
      <c r="D3680" s="880" t="s">
        <v>42302</v>
      </c>
    </row>
    <row r="3681" spans="1:4" ht="13.5" x14ac:dyDescent="0.25">
      <c r="A3681" s="878" t="s">
        <v>10498</v>
      </c>
      <c r="B3681" s="878" t="s">
        <v>10499</v>
      </c>
      <c r="C3681" s="879" t="s">
        <v>158</v>
      </c>
      <c r="D3681" s="880" t="s">
        <v>30481</v>
      </c>
    </row>
    <row r="3682" spans="1:4" ht="13.5" x14ac:dyDescent="0.25">
      <c r="A3682" s="878" t="s">
        <v>10500</v>
      </c>
      <c r="B3682" s="878" t="s">
        <v>10501</v>
      </c>
      <c r="C3682" s="879" t="s">
        <v>158</v>
      </c>
      <c r="D3682" s="880" t="s">
        <v>42303</v>
      </c>
    </row>
    <row r="3683" spans="1:4" ht="13.5" x14ac:dyDescent="0.25">
      <c r="A3683" s="878" t="s">
        <v>10502</v>
      </c>
      <c r="B3683" s="878" t="s">
        <v>10503</v>
      </c>
      <c r="C3683" s="879" t="s">
        <v>158</v>
      </c>
      <c r="D3683" s="880" t="s">
        <v>42304</v>
      </c>
    </row>
    <row r="3684" spans="1:4" ht="13.5" x14ac:dyDescent="0.25">
      <c r="A3684" s="878" t="s">
        <v>10504</v>
      </c>
      <c r="B3684" s="878" t="s">
        <v>10505</v>
      </c>
      <c r="C3684" s="879" t="s">
        <v>158</v>
      </c>
      <c r="D3684" s="880" t="s">
        <v>42305</v>
      </c>
    </row>
    <row r="3685" spans="1:4" ht="13.5" x14ac:dyDescent="0.25">
      <c r="A3685" s="878" t="s">
        <v>10506</v>
      </c>
      <c r="B3685" s="878" t="s">
        <v>10507</v>
      </c>
      <c r="C3685" s="879" t="s">
        <v>158</v>
      </c>
      <c r="D3685" s="880" t="s">
        <v>12460</v>
      </c>
    </row>
    <row r="3686" spans="1:4" ht="13.5" x14ac:dyDescent="0.25">
      <c r="A3686" s="878" t="s">
        <v>10508</v>
      </c>
      <c r="B3686" s="878" t="s">
        <v>10509</v>
      </c>
      <c r="C3686" s="879" t="s">
        <v>158</v>
      </c>
      <c r="D3686" s="880" t="s">
        <v>42306</v>
      </c>
    </row>
    <row r="3687" spans="1:4" ht="13.5" x14ac:dyDescent="0.25">
      <c r="A3687" s="878" t="s">
        <v>10510</v>
      </c>
      <c r="B3687" s="878" t="s">
        <v>10511</v>
      </c>
      <c r="C3687" s="879" t="s">
        <v>158</v>
      </c>
      <c r="D3687" s="880" t="s">
        <v>40029</v>
      </c>
    </row>
    <row r="3688" spans="1:4" ht="13.5" x14ac:dyDescent="0.25">
      <c r="A3688" s="878" t="s">
        <v>10513</v>
      </c>
      <c r="B3688" s="878" t="s">
        <v>10514</v>
      </c>
      <c r="C3688" s="879" t="s">
        <v>226</v>
      </c>
      <c r="D3688" s="880" t="s">
        <v>42307</v>
      </c>
    </row>
    <row r="3689" spans="1:4" ht="13.5" x14ac:dyDescent="0.25">
      <c r="A3689" s="878" t="s">
        <v>10515</v>
      </c>
      <c r="B3689" s="878" t="s">
        <v>10516</v>
      </c>
      <c r="C3689" s="879" t="s">
        <v>226</v>
      </c>
      <c r="D3689" s="880" t="s">
        <v>42308</v>
      </c>
    </row>
    <row r="3690" spans="1:4" ht="13.5" x14ac:dyDescent="0.25">
      <c r="A3690" s="878" t="s">
        <v>10517</v>
      </c>
      <c r="B3690" s="878" t="s">
        <v>10518</v>
      </c>
      <c r="C3690" s="879" t="s">
        <v>226</v>
      </c>
      <c r="D3690" s="880" t="s">
        <v>31098</v>
      </c>
    </row>
    <row r="3691" spans="1:4" ht="13.5" x14ac:dyDescent="0.25">
      <c r="A3691" s="878" t="s">
        <v>10519</v>
      </c>
      <c r="B3691" s="878" t="s">
        <v>10520</v>
      </c>
      <c r="C3691" s="879" t="s">
        <v>226</v>
      </c>
      <c r="D3691" s="880" t="s">
        <v>10560</v>
      </c>
    </row>
    <row r="3692" spans="1:4" ht="13.5" x14ac:dyDescent="0.25">
      <c r="A3692" s="878" t="s">
        <v>10521</v>
      </c>
      <c r="B3692" s="878" t="s">
        <v>10522</v>
      </c>
      <c r="C3692" s="879" t="s">
        <v>226</v>
      </c>
      <c r="D3692" s="880" t="s">
        <v>30778</v>
      </c>
    </row>
    <row r="3693" spans="1:4" ht="13.5" x14ac:dyDescent="0.25">
      <c r="A3693" s="878" t="s">
        <v>10524</v>
      </c>
      <c r="B3693" s="878" t="s">
        <v>10525</v>
      </c>
      <c r="C3693" s="879" t="s">
        <v>226</v>
      </c>
      <c r="D3693" s="880" t="s">
        <v>8068</v>
      </c>
    </row>
    <row r="3694" spans="1:4" ht="13.5" x14ac:dyDescent="0.25">
      <c r="A3694" s="878" t="s">
        <v>10526</v>
      </c>
      <c r="B3694" s="878" t="s">
        <v>10527</v>
      </c>
      <c r="C3694" s="879" t="s">
        <v>226</v>
      </c>
      <c r="D3694" s="880" t="s">
        <v>30779</v>
      </c>
    </row>
    <row r="3695" spans="1:4" ht="13.5" x14ac:dyDescent="0.25">
      <c r="A3695" s="878" t="s">
        <v>10528</v>
      </c>
      <c r="B3695" s="878" t="s">
        <v>10529</v>
      </c>
      <c r="C3695" s="879" t="s">
        <v>226</v>
      </c>
      <c r="D3695" s="880" t="s">
        <v>30636</v>
      </c>
    </row>
    <row r="3696" spans="1:4" ht="13.5" x14ac:dyDescent="0.25">
      <c r="A3696" s="878" t="s">
        <v>10530</v>
      </c>
      <c r="B3696" s="878" t="s">
        <v>10531</v>
      </c>
      <c r="C3696" s="879" t="s">
        <v>226</v>
      </c>
      <c r="D3696" s="880" t="s">
        <v>40472</v>
      </c>
    </row>
    <row r="3697" spans="1:4" ht="13.5" x14ac:dyDescent="0.25">
      <c r="A3697" s="878" t="s">
        <v>10532</v>
      </c>
      <c r="B3697" s="878" t="s">
        <v>10533</v>
      </c>
      <c r="C3697" s="879" t="s">
        <v>226</v>
      </c>
      <c r="D3697" s="880" t="s">
        <v>30645</v>
      </c>
    </row>
    <row r="3698" spans="1:4" ht="13.5" x14ac:dyDescent="0.25">
      <c r="A3698" s="878" t="s">
        <v>10534</v>
      </c>
      <c r="B3698" s="878" t="s">
        <v>10535</v>
      </c>
      <c r="C3698" s="879" t="s">
        <v>226</v>
      </c>
      <c r="D3698" s="880" t="s">
        <v>11121</v>
      </c>
    </row>
    <row r="3699" spans="1:4" ht="13.5" x14ac:dyDescent="0.25">
      <c r="A3699" s="878" t="s">
        <v>10536</v>
      </c>
      <c r="B3699" s="878" t="s">
        <v>10537</v>
      </c>
      <c r="C3699" s="879" t="s">
        <v>226</v>
      </c>
      <c r="D3699" s="880" t="s">
        <v>8966</v>
      </c>
    </row>
    <row r="3700" spans="1:4" ht="13.5" x14ac:dyDescent="0.25">
      <c r="A3700" s="878" t="s">
        <v>10538</v>
      </c>
      <c r="B3700" s="878" t="s">
        <v>10539</v>
      </c>
      <c r="C3700" s="879" t="s">
        <v>226</v>
      </c>
      <c r="D3700" s="880" t="s">
        <v>31113</v>
      </c>
    </row>
    <row r="3701" spans="1:4" ht="13.5" x14ac:dyDescent="0.25">
      <c r="A3701" s="878" t="s">
        <v>10540</v>
      </c>
      <c r="B3701" s="878" t="s">
        <v>10541</v>
      </c>
      <c r="C3701" s="879" t="s">
        <v>226</v>
      </c>
      <c r="D3701" s="880" t="s">
        <v>30440</v>
      </c>
    </row>
    <row r="3702" spans="1:4" ht="13.5" x14ac:dyDescent="0.25">
      <c r="A3702" s="878" t="s">
        <v>10542</v>
      </c>
      <c r="B3702" s="878" t="s">
        <v>10543</v>
      </c>
      <c r="C3702" s="879" t="s">
        <v>226</v>
      </c>
      <c r="D3702" s="880" t="s">
        <v>41477</v>
      </c>
    </row>
    <row r="3703" spans="1:4" ht="13.5" x14ac:dyDescent="0.25">
      <c r="A3703" s="878" t="s">
        <v>10544</v>
      </c>
      <c r="B3703" s="878" t="s">
        <v>10545</v>
      </c>
      <c r="C3703" s="879" t="s">
        <v>226</v>
      </c>
      <c r="D3703" s="880" t="s">
        <v>10604</v>
      </c>
    </row>
    <row r="3704" spans="1:4" ht="13.5" x14ac:dyDescent="0.25">
      <c r="A3704" s="878" t="s">
        <v>10546</v>
      </c>
      <c r="B3704" s="878" t="s">
        <v>10547</v>
      </c>
      <c r="C3704" s="879" t="s">
        <v>226</v>
      </c>
      <c r="D3704" s="880" t="s">
        <v>4052</v>
      </c>
    </row>
    <row r="3705" spans="1:4" ht="13.5" x14ac:dyDescent="0.25">
      <c r="A3705" s="878" t="s">
        <v>10548</v>
      </c>
      <c r="B3705" s="878" t="s">
        <v>10549</v>
      </c>
      <c r="C3705" s="879" t="s">
        <v>226</v>
      </c>
      <c r="D3705" s="880" t="s">
        <v>42309</v>
      </c>
    </row>
    <row r="3706" spans="1:4" ht="13.5" x14ac:dyDescent="0.25">
      <c r="A3706" s="878" t="s">
        <v>10550</v>
      </c>
      <c r="B3706" s="878" t="s">
        <v>10551</v>
      </c>
      <c r="C3706" s="879" t="s">
        <v>226</v>
      </c>
      <c r="D3706" s="880" t="s">
        <v>42310</v>
      </c>
    </row>
    <row r="3707" spans="1:4" ht="13.5" x14ac:dyDescent="0.25">
      <c r="A3707" s="878" t="s">
        <v>10552</v>
      </c>
      <c r="B3707" s="878" t="s">
        <v>10553</v>
      </c>
      <c r="C3707" s="879" t="s">
        <v>226</v>
      </c>
      <c r="D3707" s="880" t="s">
        <v>30584</v>
      </c>
    </row>
    <row r="3708" spans="1:4" ht="13.5" x14ac:dyDescent="0.25">
      <c r="A3708" s="878" t="s">
        <v>10554</v>
      </c>
      <c r="B3708" s="878" t="s">
        <v>10555</v>
      </c>
      <c r="C3708" s="879" t="s">
        <v>226</v>
      </c>
      <c r="D3708" s="880" t="s">
        <v>40534</v>
      </c>
    </row>
    <row r="3709" spans="1:4" ht="13.5" x14ac:dyDescent="0.25">
      <c r="A3709" s="878" t="s">
        <v>10556</v>
      </c>
      <c r="B3709" s="878" t="s">
        <v>10557</v>
      </c>
      <c r="C3709" s="879" t="s">
        <v>226</v>
      </c>
      <c r="D3709" s="880" t="s">
        <v>42311</v>
      </c>
    </row>
    <row r="3710" spans="1:4" ht="13.5" x14ac:dyDescent="0.25">
      <c r="A3710" s="878" t="s">
        <v>10558</v>
      </c>
      <c r="B3710" s="878" t="s">
        <v>10559</v>
      </c>
      <c r="C3710" s="879" t="s">
        <v>226</v>
      </c>
      <c r="D3710" s="880" t="s">
        <v>3727</v>
      </c>
    </row>
    <row r="3711" spans="1:4" ht="13.5" x14ac:dyDescent="0.25">
      <c r="A3711" s="878" t="s">
        <v>10561</v>
      </c>
      <c r="B3711" s="878" t="s">
        <v>10562</v>
      </c>
      <c r="C3711" s="879" t="s">
        <v>226</v>
      </c>
      <c r="D3711" s="880" t="s">
        <v>8063</v>
      </c>
    </row>
    <row r="3712" spans="1:4" ht="13.5" x14ac:dyDescent="0.25">
      <c r="A3712" s="878" t="s">
        <v>10564</v>
      </c>
      <c r="B3712" s="878" t="s">
        <v>10565</v>
      </c>
      <c r="C3712" s="879" t="s">
        <v>226</v>
      </c>
      <c r="D3712" s="880" t="s">
        <v>42312</v>
      </c>
    </row>
    <row r="3713" spans="1:4" ht="13.5" x14ac:dyDescent="0.25">
      <c r="A3713" s="878" t="s">
        <v>10566</v>
      </c>
      <c r="B3713" s="878" t="s">
        <v>10567</v>
      </c>
      <c r="C3713" s="879" t="s">
        <v>226</v>
      </c>
      <c r="D3713" s="880" t="s">
        <v>42313</v>
      </c>
    </row>
    <row r="3714" spans="1:4" ht="13.5" x14ac:dyDescent="0.25">
      <c r="A3714" s="878" t="s">
        <v>10568</v>
      </c>
      <c r="B3714" s="878" t="s">
        <v>10569</v>
      </c>
      <c r="C3714" s="879" t="s">
        <v>226</v>
      </c>
      <c r="D3714" s="880" t="s">
        <v>13313</v>
      </c>
    </row>
    <row r="3715" spans="1:4" ht="13.5" x14ac:dyDescent="0.25">
      <c r="A3715" s="878" t="s">
        <v>10571</v>
      </c>
      <c r="B3715" s="878" t="s">
        <v>10572</v>
      </c>
      <c r="C3715" s="879" t="s">
        <v>226</v>
      </c>
      <c r="D3715" s="880" t="s">
        <v>30957</v>
      </c>
    </row>
    <row r="3716" spans="1:4" ht="13.5" x14ac:dyDescent="0.25">
      <c r="A3716" s="878" t="s">
        <v>10573</v>
      </c>
      <c r="B3716" s="878" t="s">
        <v>10574</v>
      </c>
      <c r="C3716" s="879" t="s">
        <v>226</v>
      </c>
      <c r="D3716" s="880" t="s">
        <v>42314</v>
      </c>
    </row>
    <row r="3717" spans="1:4" ht="13.5" x14ac:dyDescent="0.25">
      <c r="A3717" s="878" t="s">
        <v>10575</v>
      </c>
      <c r="B3717" s="878" t="s">
        <v>10576</v>
      </c>
      <c r="C3717" s="879" t="s">
        <v>226</v>
      </c>
      <c r="D3717" s="880" t="s">
        <v>42315</v>
      </c>
    </row>
    <row r="3718" spans="1:4" ht="13.5" x14ac:dyDescent="0.25">
      <c r="A3718" s="878" t="s">
        <v>10577</v>
      </c>
      <c r="B3718" s="878" t="s">
        <v>10578</v>
      </c>
      <c r="C3718" s="879" t="s">
        <v>226</v>
      </c>
      <c r="D3718" s="880" t="s">
        <v>30783</v>
      </c>
    </row>
    <row r="3719" spans="1:4" ht="13.5" x14ac:dyDescent="0.25">
      <c r="A3719" s="878" t="s">
        <v>10579</v>
      </c>
      <c r="B3719" s="878" t="s">
        <v>10580</v>
      </c>
      <c r="C3719" s="879" t="s">
        <v>226</v>
      </c>
      <c r="D3719" s="880" t="s">
        <v>42316</v>
      </c>
    </row>
    <row r="3720" spans="1:4" ht="13.5" x14ac:dyDescent="0.25">
      <c r="A3720" s="878" t="s">
        <v>10581</v>
      </c>
      <c r="B3720" s="878" t="s">
        <v>10582</v>
      </c>
      <c r="C3720" s="879" t="s">
        <v>226</v>
      </c>
      <c r="D3720" s="880" t="s">
        <v>11251</v>
      </c>
    </row>
    <row r="3721" spans="1:4" ht="13.5" x14ac:dyDescent="0.25">
      <c r="A3721" s="878" t="s">
        <v>10584</v>
      </c>
      <c r="B3721" s="878" t="s">
        <v>10585</v>
      </c>
      <c r="C3721" s="879" t="s">
        <v>226</v>
      </c>
      <c r="D3721" s="880" t="s">
        <v>42317</v>
      </c>
    </row>
    <row r="3722" spans="1:4" ht="13.5" x14ac:dyDescent="0.25">
      <c r="A3722" s="878" t="s">
        <v>10586</v>
      </c>
      <c r="B3722" s="878" t="s">
        <v>10587</v>
      </c>
      <c r="C3722" s="879" t="s">
        <v>226</v>
      </c>
      <c r="D3722" s="880" t="s">
        <v>8782</v>
      </c>
    </row>
    <row r="3723" spans="1:4" ht="13.5" x14ac:dyDescent="0.25">
      <c r="A3723" s="878" t="s">
        <v>10588</v>
      </c>
      <c r="B3723" s="878" t="s">
        <v>10589</v>
      </c>
      <c r="C3723" s="879" t="s">
        <v>226</v>
      </c>
      <c r="D3723" s="880" t="s">
        <v>42318</v>
      </c>
    </row>
    <row r="3724" spans="1:4" ht="13.5" x14ac:dyDescent="0.25">
      <c r="A3724" s="878" t="s">
        <v>10590</v>
      </c>
      <c r="B3724" s="878" t="s">
        <v>10591</v>
      </c>
      <c r="C3724" s="879" t="s">
        <v>226</v>
      </c>
      <c r="D3724" s="880" t="s">
        <v>13976</v>
      </c>
    </row>
    <row r="3725" spans="1:4" ht="13.5" x14ac:dyDescent="0.25">
      <c r="A3725" s="878" t="s">
        <v>10592</v>
      </c>
      <c r="B3725" s="878" t="s">
        <v>10593</v>
      </c>
      <c r="C3725" s="879" t="s">
        <v>226</v>
      </c>
      <c r="D3725" s="880" t="s">
        <v>42319</v>
      </c>
    </row>
    <row r="3726" spans="1:4" ht="13.5" x14ac:dyDescent="0.25">
      <c r="A3726" s="878" t="s">
        <v>10594</v>
      </c>
      <c r="B3726" s="878" t="s">
        <v>10595</v>
      </c>
      <c r="C3726" s="879" t="s">
        <v>226</v>
      </c>
      <c r="D3726" s="880" t="s">
        <v>13998</v>
      </c>
    </row>
    <row r="3727" spans="1:4" ht="13.5" x14ac:dyDescent="0.25">
      <c r="A3727" s="878" t="s">
        <v>10596</v>
      </c>
      <c r="B3727" s="878" t="s">
        <v>10597</v>
      </c>
      <c r="C3727" s="879" t="s">
        <v>226</v>
      </c>
      <c r="D3727" s="880" t="s">
        <v>31335</v>
      </c>
    </row>
    <row r="3728" spans="1:4" ht="13.5" x14ac:dyDescent="0.25">
      <c r="A3728" s="878" t="s">
        <v>10598</v>
      </c>
      <c r="B3728" s="878" t="s">
        <v>10599</v>
      </c>
      <c r="C3728" s="879" t="s">
        <v>226</v>
      </c>
      <c r="D3728" s="880" t="s">
        <v>31178</v>
      </c>
    </row>
    <row r="3729" spans="1:4" ht="13.5" x14ac:dyDescent="0.25">
      <c r="A3729" s="878" t="s">
        <v>10600</v>
      </c>
      <c r="B3729" s="878" t="s">
        <v>10601</v>
      </c>
      <c r="C3729" s="879" t="s">
        <v>226</v>
      </c>
      <c r="D3729" s="880" t="s">
        <v>31114</v>
      </c>
    </row>
    <row r="3730" spans="1:4" ht="13.5" x14ac:dyDescent="0.25">
      <c r="A3730" s="878" t="s">
        <v>10602</v>
      </c>
      <c r="B3730" s="878" t="s">
        <v>10603</v>
      </c>
      <c r="C3730" s="879" t="s">
        <v>226</v>
      </c>
      <c r="D3730" s="880" t="s">
        <v>3886</v>
      </c>
    </row>
    <row r="3731" spans="1:4" ht="13.5" x14ac:dyDescent="0.25">
      <c r="A3731" s="878" t="s">
        <v>10605</v>
      </c>
      <c r="B3731" s="878" t="s">
        <v>10606</v>
      </c>
      <c r="C3731" s="879" t="s">
        <v>226</v>
      </c>
      <c r="D3731" s="880" t="s">
        <v>30786</v>
      </c>
    </row>
    <row r="3732" spans="1:4" ht="13.5" x14ac:dyDescent="0.25">
      <c r="A3732" s="878" t="s">
        <v>10607</v>
      </c>
      <c r="B3732" s="878" t="s">
        <v>10608</v>
      </c>
      <c r="C3732" s="879" t="s">
        <v>226</v>
      </c>
      <c r="D3732" s="880" t="s">
        <v>30787</v>
      </c>
    </row>
    <row r="3733" spans="1:4" ht="13.5" x14ac:dyDescent="0.25">
      <c r="A3733" s="878" t="s">
        <v>10609</v>
      </c>
      <c r="B3733" s="878" t="s">
        <v>10610</v>
      </c>
      <c r="C3733" s="879" t="s">
        <v>226</v>
      </c>
      <c r="D3733" s="880" t="s">
        <v>16772</v>
      </c>
    </row>
    <row r="3734" spans="1:4" ht="13.5" x14ac:dyDescent="0.25">
      <c r="A3734" s="878" t="s">
        <v>10611</v>
      </c>
      <c r="B3734" s="878" t="s">
        <v>10612</v>
      </c>
      <c r="C3734" s="879" t="s">
        <v>226</v>
      </c>
      <c r="D3734" s="880" t="s">
        <v>30578</v>
      </c>
    </row>
    <row r="3735" spans="1:4" ht="13.5" x14ac:dyDescent="0.25">
      <c r="A3735" s="878" t="s">
        <v>10614</v>
      </c>
      <c r="B3735" s="878" t="s">
        <v>10615</v>
      </c>
      <c r="C3735" s="879" t="s">
        <v>226</v>
      </c>
      <c r="D3735" s="880" t="s">
        <v>3126</v>
      </c>
    </row>
    <row r="3736" spans="1:4" ht="13.5" x14ac:dyDescent="0.25">
      <c r="A3736" s="878" t="s">
        <v>10616</v>
      </c>
      <c r="B3736" s="878" t="s">
        <v>10617</v>
      </c>
      <c r="C3736" s="879" t="s">
        <v>226</v>
      </c>
      <c r="D3736" s="880" t="s">
        <v>3191</v>
      </c>
    </row>
    <row r="3737" spans="1:4" ht="13.5" x14ac:dyDescent="0.25">
      <c r="A3737" s="878" t="s">
        <v>10619</v>
      </c>
      <c r="B3737" s="878" t="s">
        <v>10620</v>
      </c>
      <c r="C3737" s="879" t="s">
        <v>226</v>
      </c>
      <c r="D3737" s="880" t="s">
        <v>30789</v>
      </c>
    </row>
    <row r="3738" spans="1:4" ht="13.5" x14ac:dyDescent="0.25">
      <c r="A3738" s="878" t="s">
        <v>10622</v>
      </c>
      <c r="B3738" s="878" t="s">
        <v>10623</v>
      </c>
      <c r="C3738" s="879" t="s">
        <v>226</v>
      </c>
      <c r="D3738" s="880" t="s">
        <v>42320</v>
      </c>
    </row>
    <row r="3739" spans="1:4" ht="13.5" x14ac:dyDescent="0.25">
      <c r="A3739" s="878" t="s">
        <v>10624</v>
      </c>
      <c r="B3739" s="878" t="s">
        <v>10625</v>
      </c>
      <c r="C3739" s="879" t="s">
        <v>226</v>
      </c>
      <c r="D3739" s="880" t="s">
        <v>30797</v>
      </c>
    </row>
    <row r="3740" spans="1:4" ht="13.5" x14ac:dyDescent="0.25">
      <c r="A3740" s="878" t="s">
        <v>10626</v>
      </c>
      <c r="B3740" s="878" t="s">
        <v>10627</v>
      </c>
      <c r="C3740" s="879" t="s">
        <v>226</v>
      </c>
      <c r="D3740" s="880" t="s">
        <v>42321</v>
      </c>
    </row>
    <row r="3741" spans="1:4" ht="13.5" x14ac:dyDescent="0.25">
      <c r="A3741" s="878" t="s">
        <v>10628</v>
      </c>
      <c r="B3741" s="878" t="s">
        <v>10629</v>
      </c>
      <c r="C3741" s="879" t="s">
        <v>226</v>
      </c>
      <c r="D3741" s="880" t="s">
        <v>16239</v>
      </c>
    </row>
    <row r="3742" spans="1:4" ht="13.5" x14ac:dyDescent="0.25">
      <c r="A3742" s="878" t="s">
        <v>10630</v>
      </c>
      <c r="B3742" s="878" t="s">
        <v>10631</v>
      </c>
      <c r="C3742" s="879" t="s">
        <v>226</v>
      </c>
      <c r="D3742" s="880" t="s">
        <v>42322</v>
      </c>
    </row>
    <row r="3743" spans="1:4" ht="13.5" x14ac:dyDescent="0.25">
      <c r="A3743" s="878" t="s">
        <v>10632</v>
      </c>
      <c r="B3743" s="878" t="s">
        <v>10633</v>
      </c>
      <c r="C3743" s="879" t="s">
        <v>226</v>
      </c>
      <c r="D3743" s="880" t="s">
        <v>42323</v>
      </c>
    </row>
    <row r="3744" spans="1:4" ht="13.5" x14ac:dyDescent="0.25">
      <c r="A3744" s="878" t="s">
        <v>10634</v>
      </c>
      <c r="B3744" s="878" t="s">
        <v>10635</v>
      </c>
      <c r="C3744" s="879" t="s">
        <v>226</v>
      </c>
      <c r="D3744" s="880" t="s">
        <v>10830</v>
      </c>
    </row>
    <row r="3745" spans="1:4" ht="13.5" x14ac:dyDescent="0.25">
      <c r="A3745" s="878" t="s">
        <v>10636</v>
      </c>
      <c r="B3745" s="878" t="s">
        <v>10637</v>
      </c>
      <c r="C3745" s="879" t="s">
        <v>226</v>
      </c>
      <c r="D3745" s="880" t="s">
        <v>40492</v>
      </c>
    </row>
    <row r="3746" spans="1:4" ht="13.5" x14ac:dyDescent="0.25">
      <c r="A3746" s="878" t="s">
        <v>10638</v>
      </c>
      <c r="B3746" s="878" t="s">
        <v>10639</v>
      </c>
      <c r="C3746" s="879" t="s">
        <v>226</v>
      </c>
      <c r="D3746" s="880" t="s">
        <v>3901</v>
      </c>
    </row>
    <row r="3747" spans="1:4" ht="13.5" x14ac:dyDescent="0.25">
      <c r="A3747" s="878" t="s">
        <v>10640</v>
      </c>
      <c r="B3747" s="878" t="s">
        <v>10641</v>
      </c>
      <c r="C3747" s="879" t="s">
        <v>226</v>
      </c>
      <c r="D3747" s="880" t="s">
        <v>41650</v>
      </c>
    </row>
    <row r="3748" spans="1:4" ht="13.5" x14ac:dyDescent="0.25">
      <c r="A3748" s="878" t="s">
        <v>10642</v>
      </c>
      <c r="B3748" s="878" t="s">
        <v>10643</v>
      </c>
      <c r="C3748" s="879" t="s">
        <v>226</v>
      </c>
      <c r="D3748" s="880" t="s">
        <v>14578</v>
      </c>
    </row>
    <row r="3749" spans="1:4" ht="13.5" x14ac:dyDescent="0.25">
      <c r="A3749" s="878" t="s">
        <v>10645</v>
      </c>
      <c r="B3749" s="878" t="s">
        <v>10646</v>
      </c>
      <c r="C3749" s="879" t="s">
        <v>226</v>
      </c>
      <c r="D3749" s="880" t="s">
        <v>12444</v>
      </c>
    </row>
    <row r="3750" spans="1:4" ht="13.5" x14ac:dyDescent="0.25">
      <c r="A3750" s="878" t="s">
        <v>10647</v>
      </c>
      <c r="B3750" s="878" t="s">
        <v>10648</v>
      </c>
      <c r="C3750" s="879" t="s">
        <v>226</v>
      </c>
      <c r="D3750" s="880" t="s">
        <v>41454</v>
      </c>
    </row>
    <row r="3751" spans="1:4" ht="13.5" x14ac:dyDescent="0.25">
      <c r="A3751" s="878" t="s">
        <v>10649</v>
      </c>
      <c r="B3751" s="878" t="s">
        <v>10650</v>
      </c>
      <c r="C3751" s="879" t="s">
        <v>226</v>
      </c>
      <c r="D3751" s="880" t="s">
        <v>8790</v>
      </c>
    </row>
    <row r="3752" spans="1:4" ht="13.5" x14ac:dyDescent="0.25">
      <c r="A3752" s="878" t="s">
        <v>10651</v>
      </c>
      <c r="B3752" s="878" t="s">
        <v>10652</v>
      </c>
      <c r="C3752" s="879" t="s">
        <v>226</v>
      </c>
      <c r="D3752" s="880" t="s">
        <v>42324</v>
      </c>
    </row>
    <row r="3753" spans="1:4" ht="13.5" x14ac:dyDescent="0.25">
      <c r="A3753" s="878" t="s">
        <v>10653</v>
      </c>
      <c r="B3753" s="878" t="s">
        <v>10654</v>
      </c>
      <c r="C3753" s="879" t="s">
        <v>226</v>
      </c>
      <c r="D3753" s="880" t="s">
        <v>5741</v>
      </c>
    </row>
    <row r="3754" spans="1:4" ht="13.5" x14ac:dyDescent="0.25">
      <c r="A3754" s="878" t="s">
        <v>10656</v>
      </c>
      <c r="B3754" s="878" t="s">
        <v>10657</v>
      </c>
      <c r="C3754" s="879" t="s">
        <v>226</v>
      </c>
      <c r="D3754" s="880" t="s">
        <v>42325</v>
      </c>
    </row>
    <row r="3755" spans="1:4" ht="13.5" x14ac:dyDescent="0.25">
      <c r="A3755" s="878" t="s">
        <v>10659</v>
      </c>
      <c r="B3755" s="878" t="s">
        <v>10660</v>
      </c>
      <c r="C3755" s="879" t="s">
        <v>226</v>
      </c>
      <c r="D3755" s="880" t="s">
        <v>30578</v>
      </c>
    </row>
    <row r="3756" spans="1:4" ht="13.5" x14ac:dyDescent="0.25">
      <c r="A3756" s="878" t="s">
        <v>10661</v>
      </c>
      <c r="B3756" s="878" t="s">
        <v>10662</v>
      </c>
      <c r="C3756" s="879" t="s">
        <v>226</v>
      </c>
      <c r="D3756" s="880" t="s">
        <v>42326</v>
      </c>
    </row>
    <row r="3757" spans="1:4" ht="13.5" x14ac:dyDescent="0.25">
      <c r="A3757" s="878" t="s">
        <v>10663</v>
      </c>
      <c r="B3757" s="878" t="s">
        <v>10664</v>
      </c>
      <c r="C3757" s="879" t="s">
        <v>226</v>
      </c>
      <c r="D3757" s="880" t="s">
        <v>13308</v>
      </c>
    </row>
    <row r="3758" spans="1:4" ht="13.5" x14ac:dyDescent="0.25">
      <c r="A3758" s="878" t="s">
        <v>10665</v>
      </c>
      <c r="B3758" s="878" t="s">
        <v>10666</v>
      </c>
      <c r="C3758" s="879" t="s">
        <v>226</v>
      </c>
      <c r="D3758" s="880" t="s">
        <v>30792</v>
      </c>
    </row>
    <row r="3759" spans="1:4" ht="13.5" x14ac:dyDescent="0.25">
      <c r="A3759" s="878" t="s">
        <v>10667</v>
      </c>
      <c r="B3759" s="878" t="s">
        <v>10668</v>
      </c>
      <c r="C3759" s="879" t="s">
        <v>226</v>
      </c>
      <c r="D3759" s="880" t="s">
        <v>42327</v>
      </c>
    </row>
    <row r="3760" spans="1:4" ht="13.5" x14ac:dyDescent="0.25">
      <c r="A3760" s="878" t="s">
        <v>10670</v>
      </c>
      <c r="B3760" s="878" t="s">
        <v>10671</v>
      </c>
      <c r="C3760" s="879" t="s">
        <v>226</v>
      </c>
      <c r="D3760" s="880" t="s">
        <v>30640</v>
      </c>
    </row>
    <row r="3761" spans="1:4" ht="13.5" x14ac:dyDescent="0.25">
      <c r="A3761" s="878" t="s">
        <v>10672</v>
      </c>
      <c r="B3761" s="878" t="s">
        <v>10673</v>
      </c>
      <c r="C3761" s="879" t="s">
        <v>226</v>
      </c>
      <c r="D3761" s="880" t="s">
        <v>42328</v>
      </c>
    </row>
    <row r="3762" spans="1:4" ht="13.5" x14ac:dyDescent="0.25">
      <c r="A3762" s="878" t="s">
        <v>10674</v>
      </c>
      <c r="B3762" s="878" t="s">
        <v>10675</v>
      </c>
      <c r="C3762" s="879" t="s">
        <v>226</v>
      </c>
      <c r="D3762" s="880" t="s">
        <v>13013</v>
      </c>
    </row>
    <row r="3763" spans="1:4" ht="13.5" x14ac:dyDescent="0.25">
      <c r="A3763" s="878" t="s">
        <v>10676</v>
      </c>
      <c r="B3763" s="878" t="s">
        <v>10677</v>
      </c>
      <c r="C3763" s="879" t="s">
        <v>226</v>
      </c>
      <c r="D3763" s="880" t="s">
        <v>42329</v>
      </c>
    </row>
    <row r="3764" spans="1:4" ht="13.5" x14ac:dyDescent="0.25">
      <c r="A3764" s="878" t="s">
        <v>10678</v>
      </c>
      <c r="B3764" s="878" t="s">
        <v>10679</v>
      </c>
      <c r="C3764" s="879" t="s">
        <v>226</v>
      </c>
      <c r="D3764" s="880" t="s">
        <v>30979</v>
      </c>
    </row>
    <row r="3765" spans="1:4" ht="13.5" x14ac:dyDescent="0.25">
      <c r="A3765" s="878" t="s">
        <v>10680</v>
      </c>
      <c r="B3765" s="878" t="s">
        <v>10681</v>
      </c>
      <c r="C3765" s="879" t="s">
        <v>226</v>
      </c>
      <c r="D3765" s="880" t="s">
        <v>14363</v>
      </c>
    </row>
    <row r="3766" spans="1:4" ht="13.5" x14ac:dyDescent="0.25">
      <c r="A3766" s="878" t="s">
        <v>10682</v>
      </c>
      <c r="B3766" s="878" t="s">
        <v>10683</v>
      </c>
      <c r="C3766" s="879" t="s">
        <v>226</v>
      </c>
      <c r="D3766" s="880" t="s">
        <v>40610</v>
      </c>
    </row>
    <row r="3767" spans="1:4" ht="13.5" x14ac:dyDescent="0.25">
      <c r="A3767" s="878" t="s">
        <v>10684</v>
      </c>
      <c r="B3767" s="878" t="s">
        <v>10685</v>
      </c>
      <c r="C3767" s="879" t="s">
        <v>226</v>
      </c>
      <c r="D3767" s="880" t="s">
        <v>42330</v>
      </c>
    </row>
    <row r="3768" spans="1:4" ht="13.5" x14ac:dyDescent="0.25">
      <c r="A3768" s="878" t="s">
        <v>10686</v>
      </c>
      <c r="B3768" s="878" t="s">
        <v>10687</v>
      </c>
      <c r="C3768" s="879" t="s">
        <v>226</v>
      </c>
      <c r="D3768" s="880" t="s">
        <v>30450</v>
      </c>
    </row>
    <row r="3769" spans="1:4" ht="13.5" x14ac:dyDescent="0.25">
      <c r="A3769" s="878" t="s">
        <v>10688</v>
      </c>
      <c r="B3769" s="878" t="s">
        <v>10689</v>
      </c>
      <c r="C3769" s="879" t="s">
        <v>226</v>
      </c>
      <c r="D3769" s="880" t="s">
        <v>31334</v>
      </c>
    </row>
    <row r="3770" spans="1:4" ht="13.5" x14ac:dyDescent="0.25">
      <c r="A3770" s="878" t="s">
        <v>10690</v>
      </c>
      <c r="B3770" s="878" t="s">
        <v>10691</v>
      </c>
      <c r="C3770" s="879" t="s">
        <v>226</v>
      </c>
      <c r="D3770" s="880" t="s">
        <v>3367</v>
      </c>
    </row>
    <row r="3771" spans="1:4" ht="13.5" x14ac:dyDescent="0.25">
      <c r="A3771" s="878" t="s">
        <v>10692</v>
      </c>
      <c r="B3771" s="878" t="s">
        <v>10693</v>
      </c>
      <c r="C3771" s="879" t="s">
        <v>226</v>
      </c>
      <c r="D3771" s="880" t="s">
        <v>42331</v>
      </c>
    </row>
    <row r="3772" spans="1:4" ht="13.5" x14ac:dyDescent="0.25">
      <c r="A3772" s="878" t="s">
        <v>10694</v>
      </c>
      <c r="B3772" s="878" t="s">
        <v>10695</v>
      </c>
      <c r="C3772" s="879" t="s">
        <v>226</v>
      </c>
      <c r="D3772" s="880" t="s">
        <v>30350</v>
      </c>
    </row>
    <row r="3773" spans="1:4" ht="13.5" x14ac:dyDescent="0.25">
      <c r="A3773" s="878" t="s">
        <v>10696</v>
      </c>
      <c r="B3773" s="878" t="s">
        <v>10697</v>
      </c>
      <c r="C3773" s="879" t="s">
        <v>226</v>
      </c>
      <c r="D3773" s="880" t="s">
        <v>42051</v>
      </c>
    </row>
    <row r="3774" spans="1:4" ht="13.5" x14ac:dyDescent="0.25">
      <c r="A3774" s="878" t="s">
        <v>10698</v>
      </c>
      <c r="B3774" s="878" t="s">
        <v>10699</v>
      </c>
      <c r="C3774" s="879" t="s">
        <v>226</v>
      </c>
      <c r="D3774" s="880" t="s">
        <v>6348</v>
      </c>
    </row>
    <row r="3775" spans="1:4" ht="13.5" x14ac:dyDescent="0.25">
      <c r="A3775" s="878" t="s">
        <v>10700</v>
      </c>
      <c r="B3775" s="878" t="s">
        <v>10701</v>
      </c>
      <c r="C3775" s="879" t="s">
        <v>226</v>
      </c>
      <c r="D3775" s="880" t="s">
        <v>40026</v>
      </c>
    </row>
    <row r="3776" spans="1:4" ht="13.5" x14ac:dyDescent="0.25">
      <c r="A3776" s="878" t="s">
        <v>10702</v>
      </c>
      <c r="B3776" s="878" t="s">
        <v>10703</v>
      </c>
      <c r="C3776" s="879" t="s">
        <v>226</v>
      </c>
      <c r="D3776" s="880" t="s">
        <v>13076</v>
      </c>
    </row>
    <row r="3777" spans="1:4" ht="13.5" x14ac:dyDescent="0.25">
      <c r="A3777" s="878" t="s">
        <v>10704</v>
      </c>
      <c r="B3777" s="878" t="s">
        <v>10705</v>
      </c>
      <c r="C3777" s="879" t="s">
        <v>226</v>
      </c>
      <c r="D3777" s="880" t="s">
        <v>7628</v>
      </c>
    </row>
    <row r="3778" spans="1:4" ht="13.5" x14ac:dyDescent="0.25">
      <c r="A3778" s="878" t="s">
        <v>10706</v>
      </c>
      <c r="B3778" s="878" t="s">
        <v>10707</v>
      </c>
      <c r="C3778" s="879" t="s">
        <v>226</v>
      </c>
      <c r="D3778" s="880" t="s">
        <v>13308</v>
      </c>
    </row>
    <row r="3779" spans="1:4" ht="13.5" x14ac:dyDescent="0.25">
      <c r="A3779" s="878" t="s">
        <v>10708</v>
      </c>
      <c r="B3779" s="878" t="s">
        <v>10709</v>
      </c>
      <c r="C3779" s="879" t="s">
        <v>226</v>
      </c>
      <c r="D3779" s="880" t="s">
        <v>31038</v>
      </c>
    </row>
    <row r="3780" spans="1:4" ht="13.5" x14ac:dyDescent="0.25">
      <c r="A3780" s="878" t="s">
        <v>10710</v>
      </c>
      <c r="B3780" s="878" t="s">
        <v>10711</v>
      </c>
      <c r="C3780" s="879" t="s">
        <v>226</v>
      </c>
      <c r="D3780" s="880" t="s">
        <v>10658</v>
      </c>
    </row>
    <row r="3781" spans="1:4" ht="13.5" x14ac:dyDescent="0.25">
      <c r="A3781" s="878" t="s">
        <v>10712</v>
      </c>
      <c r="B3781" s="878" t="s">
        <v>10713</v>
      </c>
      <c r="C3781" s="879" t="s">
        <v>226</v>
      </c>
      <c r="D3781" s="880" t="s">
        <v>30264</v>
      </c>
    </row>
    <row r="3782" spans="1:4" ht="13.5" x14ac:dyDescent="0.25">
      <c r="A3782" s="878" t="s">
        <v>10714</v>
      </c>
      <c r="B3782" s="878" t="s">
        <v>10715</v>
      </c>
      <c r="C3782" s="879" t="s">
        <v>226</v>
      </c>
      <c r="D3782" s="880" t="s">
        <v>9807</v>
      </c>
    </row>
    <row r="3783" spans="1:4" ht="13.5" x14ac:dyDescent="0.25">
      <c r="A3783" s="878" t="s">
        <v>10716</v>
      </c>
      <c r="B3783" s="878" t="s">
        <v>10717</v>
      </c>
      <c r="C3783" s="879" t="s">
        <v>226</v>
      </c>
      <c r="D3783" s="880" t="s">
        <v>10888</v>
      </c>
    </row>
    <row r="3784" spans="1:4" ht="13.5" x14ac:dyDescent="0.25">
      <c r="A3784" s="878" t="s">
        <v>10719</v>
      </c>
      <c r="B3784" s="878" t="s">
        <v>10720</v>
      </c>
      <c r="C3784" s="879" t="s">
        <v>226</v>
      </c>
      <c r="D3784" s="880" t="s">
        <v>42332</v>
      </c>
    </row>
    <row r="3785" spans="1:4" ht="13.5" x14ac:dyDescent="0.25">
      <c r="A3785" s="878" t="s">
        <v>10721</v>
      </c>
      <c r="B3785" s="878" t="s">
        <v>10722</v>
      </c>
      <c r="C3785" s="879" t="s">
        <v>226</v>
      </c>
      <c r="D3785" s="880" t="s">
        <v>42333</v>
      </c>
    </row>
    <row r="3786" spans="1:4" ht="13.5" x14ac:dyDescent="0.25">
      <c r="A3786" s="878" t="s">
        <v>10723</v>
      </c>
      <c r="B3786" s="878" t="s">
        <v>10724</v>
      </c>
      <c r="C3786" s="879" t="s">
        <v>226</v>
      </c>
      <c r="D3786" s="880" t="s">
        <v>30677</v>
      </c>
    </row>
    <row r="3787" spans="1:4" ht="13.5" x14ac:dyDescent="0.25">
      <c r="A3787" s="878" t="s">
        <v>10725</v>
      </c>
      <c r="B3787" s="878" t="s">
        <v>10726</v>
      </c>
      <c r="C3787" s="879" t="s">
        <v>226</v>
      </c>
      <c r="D3787" s="880" t="s">
        <v>42334</v>
      </c>
    </row>
    <row r="3788" spans="1:4" ht="13.5" x14ac:dyDescent="0.25">
      <c r="A3788" s="878" t="s">
        <v>10727</v>
      </c>
      <c r="B3788" s="878" t="s">
        <v>10728</v>
      </c>
      <c r="C3788" s="879" t="s">
        <v>226</v>
      </c>
      <c r="D3788" s="880" t="s">
        <v>42335</v>
      </c>
    </row>
    <row r="3789" spans="1:4" ht="13.5" x14ac:dyDescent="0.25">
      <c r="A3789" s="878" t="s">
        <v>10729</v>
      </c>
      <c r="B3789" s="878" t="s">
        <v>10730</v>
      </c>
      <c r="C3789" s="879" t="s">
        <v>226</v>
      </c>
      <c r="D3789" s="880" t="s">
        <v>42336</v>
      </c>
    </row>
    <row r="3790" spans="1:4" ht="13.5" x14ac:dyDescent="0.25">
      <c r="A3790" s="878" t="s">
        <v>10731</v>
      </c>
      <c r="B3790" s="878" t="s">
        <v>10732</v>
      </c>
      <c r="C3790" s="879" t="s">
        <v>226</v>
      </c>
      <c r="D3790" s="880" t="s">
        <v>15309</v>
      </c>
    </row>
    <row r="3791" spans="1:4" ht="13.5" x14ac:dyDescent="0.25">
      <c r="A3791" s="878" t="s">
        <v>10733</v>
      </c>
      <c r="B3791" s="878" t="s">
        <v>10734</v>
      </c>
      <c r="C3791" s="879" t="s">
        <v>226</v>
      </c>
      <c r="D3791" s="880" t="s">
        <v>40679</v>
      </c>
    </row>
    <row r="3792" spans="1:4" ht="13.5" x14ac:dyDescent="0.25">
      <c r="A3792" s="878" t="s">
        <v>10735</v>
      </c>
      <c r="B3792" s="878" t="s">
        <v>10736</v>
      </c>
      <c r="C3792" s="879" t="s">
        <v>226</v>
      </c>
      <c r="D3792" s="880" t="s">
        <v>30640</v>
      </c>
    </row>
    <row r="3793" spans="1:4" ht="13.5" x14ac:dyDescent="0.25">
      <c r="A3793" s="878" t="s">
        <v>10737</v>
      </c>
      <c r="B3793" s="878" t="s">
        <v>10738</v>
      </c>
      <c r="C3793" s="879" t="s">
        <v>226</v>
      </c>
      <c r="D3793" s="880" t="s">
        <v>42337</v>
      </c>
    </row>
    <row r="3794" spans="1:4" ht="13.5" x14ac:dyDescent="0.25">
      <c r="A3794" s="878" t="s">
        <v>10739</v>
      </c>
      <c r="B3794" s="878" t="s">
        <v>10740</v>
      </c>
      <c r="C3794" s="879" t="s">
        <v>226</v>
      </c>
      <c r="D3794" s="880" t="s">
        <v>42338</v>
      </c>
    </row>
    <row r="3795" spans="1:4" ht="13.5" x14ac:dyDescent="0.25">
      <c r="A3795" s="878" t="s">
        <v>10741</v>
      </c>
      <c r="B3795" s="878" t="s">
        <v>10742</v>
      </c>
      <c r="C3795" s="879" t="s">
        <v>226</v>
      </c>
      <c r="D3795" s="880" t="s">
        <v>30701</v>
      </c>
    </row>
    <row r="3796" spans="1:4" ht="13.5" x14ac:dyDescent="0.25">
      <c r="A3796" s="878" t="s">
        <v>10743</v>
      </c>
      <c r="B3796" s="878" t="s">
        <v>10744</v>
      </c>
      <c r="C3796" s="879" t="s">
        <v>226</v>
      </c>
      <c r="D3796" s="880" t="s">
        <v>42339</v>
      </c>
    </row>
    <row r="3797" spans="1:4" ht="13.5" x14ac:dyDescent="0.25">
      <c r="A3797" s="878" t="s">
        <v>10745</v>
      </c>
      <c r="B3797" s="878" t="s">
        <v>10746</v>
      </c>
      <c r="C3797" s="879" t="s">
        <v>226</v>
      </c>
      <c r="D3797" s="880" t="s">
        <v>42340</v>
      </c>
    </row>
    <row r="3798" spans="1:4" ht="13.5" x14ac:dyDescent="0.25">
      <c r="A3798" s="878" t="s">
        <v>10747</v>
      </c>
      <c r="B3798" s="878" t="s">
        <v>10748</v>
      </c>
      <c r="C3798" s="879" t="s">
        <v>226</v>
      </c>
      <c r="D3798" s="880" t="s">
        <v>42341</v>
      </c>
    </row>
    <row r="3799" spans="1:4" ht="13.5" x14ac:dyDescent="0.25">
      <c r="A3799" s="878" t="s">
        <v>10750</v>
      </c>
      <c r="B3799" s="878" t="s">
        <v>10751</v>
      </c>
      <c r="C3799" s="879" t="s">
        <v>226</v>
      </c>
      <c r="D3799" s="880" t="s">
        <v>42342</v>
      </c>
    </row>
    <row r="3800" spans="1:4" ht="13.5" x14ac:dyDescent="0.25">
      <c r="A3800" s="878" t="s">
        <v>10752</v>
      </c>
      <c r="B3800" s="878" t="s">
        <v>10753</v>
      </c>
      <c r="C3800" s="879" t="s">
        <v>226</v>
      </c>
      <c r="D3800" s="880" t="s">
        <v>42343</v>
      </c>
    </row>
    <row r="3801" spans="1:4" ht="13.5" x14ac:dyDescent="0.25">
      <c r="A3801" s="878" t="s">
        <v>10754</v>
      </c>
      <c r="B3801" s="878" t="s">
        <v>10755</v>
      </c>
      <c r="C3801" s="879" t="s">
        <v>226</v>
      </c>
      <c r="D3801" s="880" t="s">
        <v>30681</v>
      </c>
    </row>
    <row r="3802" spans="1:4" ht="13.5" x14ac:dyDescent="0.25">
      <c r="A3802" s="878" t="s">
        <v>10756</v>
      </c>
      <c r="B3802" s="878" t="s">
        <v>10757</v>
      </c>
      <c r="C3802" s="879" t="s">
        <v>226</v>
      </c>
      <c r="D3802" s="880" t="s">
        <v>42344</v>
      </c>
    </row>
    <row r="3803" spans="1:4" ht="13.5" x14ac:dyDescent="0.25">
      <c r="A3803" s="878" t="s">
        <v>10758</v>
      </c>
      <c r="B3803" s="878" t="s">
        <v>10759</v>
      </c>
      <c r="C3803" s="879" t="s">
        <v>226</v>
      </c>
      <c r="D3803" s="880" t="s">
        <v>42345</v>
      </c>
    </row>
    <row r="3804" spans="1:4" ht="13.5" x14ac:dyDescent="0.25">
      <c r="A3804" s="878" t="s">
        <v>10760</v>
      </c>
      <c r="B3804" s="878" t="s">
        <v>10761</v>
      </c>
      <c r="C3804" s="879" t="s">
        <v>226</v>
      </c>
      <c r="D3804" s="880" t="s">
        <v>4547</v>
      </c>
    </row>
    <row r="3805" spans="1:4" ht="13.5" x14ac:dyDescent="0.25">
      <c r="A3805" s="878" t="s">
        <v>10762</v>
      </c>
      <c r="B3805" s="878" t="s">
        <v>10763</v>
      </c>
      <c r="C3805" s="879" t="s">
        <v>226</v>
      </c>
      <c r="D3805" s="880" t="s">
        <v>42346</v>
      </c>
    </row>
    <row r="3806" spans="1:4" ht="13.5" x14ac:dyDescent="0.25">
      <c r="A3806" s="878" t="s">
        <v>10764</v>
      </c>
      <c r="B3806" s="878" t="s">
        <v>10765</v>
      </c>
      <c r="C3806" s="879" t="s">
        <v>226</v>
      </c>
      <c r="D3806" s="880" t="s">
        <v>9787</v>
      </c>
    </row>
    <row r="3807" spans="1:4" ht="13.5" x14ac:dyDescent="0.25">
      <c r="A3807" s="878" t="s">
        <v>10766</v>
      </c>
      <c r="B3807" s="878" t="s">
        <v>10767</v>
      </c>
      <c r="C3807" s="879" t="s">
        <v>226</v>
      </c>
      <c r="D3807" s="880" t="s">
        <v>42347</v>
      </c>
    </row>
    <row r="3808" spans="1:4" ht="13.5" x14ac:dyDescent="0.25">
      <c r="A3808" s="878" t="s">
        <v>10768</v>
      </c>
      <c r="B3808" s="878" t="s">
        <v>10769</v>
      </c>
      <c r="C3808" s="879" t="s">
        <v>226</v>
      </c>
      <c r="D3808" s="880" t="s">
        <v>31048</v>
      </c>
    </row>
    <row r="3809" spans="1:4" ht="13.5" x14ac:dyDescent="0.25">
      <c r="A3809" s="878" t="s">
        <v>10771</v>
      </c>
      <c r="B3809" s="878" t="s">
        <v>10772</v>
      </c>
      <c r="C3809" s="879" t="s">
        <v>226</v>
      </c>
      <c r="D3809" s="880" t="s">
        <v>42348</v>
      </c>
    </row>
    <row r="3810" spans="1:4" ht="13.5" x14ac:dyDescent="0.25">
      <c r="A3810" s="878" t="s">
        <v>10773</v>
      </c>
      <c r="B3810" s="878" t="s">
        <v>10774</v>
      </c>
      <c r="C3810" s="879" t="s">
        <v>226</v>
      </c>
      <c r="D3810" s="880" t="s">
        <v>42349</v>
      </c>
    </row>
    <row r="3811" spans="1:4" ht="13.5" x14ac:dyDescent="0.25">
      <c r="A3811" s="878" t="s">
        <v>10776</v>
      </c>
      <c r="B3811" s="878" t="s">
        <v>10777</v>
      </c>
      <c r="C3811" s="879" t="s">
        <v>226</v>
      </c>
      <c r="D3811" s="880" t="s">
        <v>6348</v>
      </c>
    </row>
    <row r="3812" spans="1:4" ht="13.5" x14ac:dyDescent="0.25">
      <c r="A3812" s="878" t="s">
        <v>10778</v>
      </c>
      <c r="B3812" s="878" t="s">
        <v>10779</v>
      </c>
      <c r="C3812" s="879" t="s">
        <v>226</v>
      </c>
      <c r="D3812" s="880" t="s">
        <v>42350</v>
      </c>
    </row>
    <row r="3813" spans="1:4" ht="13.5" x14ac:dyDescent="0.25">
      <c r="A3813" s="878" t="s">
        <v>10780</v>
      </c>
      <c r="B3813" s="878" t="s">
        <v>10781</v>
      </c>
      <c r="C3813" s="879" t="s">
        <v>226</v>
      </c>
      <c r="D3813" s="880" t="s">
        <v>42351</v>
      </c>
    </row>
    <row r="3814" spans="1:4" ht="13.5" x14ac:dyDescent="0.25">
      <c r="A3814" s="878" t="s">
        <v>10782</v>
      </c>
      <c r="B3814" s="878" t="s">
        <v>10783</v>
      </c>
      <c r="C3814" s="879" t="s">
        <v>226</v>
      </c>
      <c r="D3814" s="880" t="s">
        <v>7203</v>
      </c>
    </row>
    <row r="3815" spans="1:4" ht="13.5" x14ac:dyDescent="0.25">
      <c r="A3815" s="878" t="s">
        <v>10784</v>
      </c>
      <c r="B3815" s="878" t="s">
        <v>10785</v>
      </c>
      <c r="C3815" s="879" t="s">
        <v>226</v>
      </c>
      <c r="D3815" s="880" t="s">
        <v>14235</v>
      </c>
    </row>
    <row r="3816" spans="1:4" ht="13.5" x14ac:dyDescent="0.25">
      <c r="A3816" s="878" t="s">
        <v>10786</v>
      </c>
      <c r="B3816" s="878" t="s">
        <v>10787</v>
      </c>
      <c r="C3816" s="879" t="s">
        <v>226</v>
      </c>
      <c r="D3816" s="880" t="s">
        <v>8097</v>
      </c>
    </row>
    <row r="3817" spans="1:4" ht="13.5" x14ac:dyDescent="0.25">
      <c r="A3817" s="878" t="s">
        <v>10788</v>
      </c>
      <c r="B3817" s="878" t="s">
        <v>10789</v>
      </c>
      <c r="C3817" s="879" t="s">
        <v>226</v>
      </c>
      <c r="D3817" s="880" t="s">
        <v>41785</v>
      </c>
    </row>
    <row r="3818" spans="1:4" ht="13.5" x14ac:dyDescent="0.25">
      <c r="A3818" s="878" t="s">
        <v>10790</v>
      </c>
      <c r="B3818" s="878" t="s">
        <v>10791</v>
      </c>
      <c r="C3818" s="879" t="s">
        <v>226</v>
      </c>
      <c r="D3818" s="880" t="s">
        <v>30969</v>
      </c>
    </row>
    <row r="3819" spans="1:4" ht="13.5" x14ac:dyDescent="0.25">
      <c r="A3819" s="878" t="s">
        <v>10792</v>
      </c>
      <c r="B3819" s="878" t="s">
        <v>10793</v>
      </c>
      <c r="C3819" s="879" t="s">
        <v>226</v>
      </c>
      <c r="D3819" s="880" t="s">
        <v>42352</v>
      </c>
    </row>
    <row r="3820" spans="1:4" ht="13.5" x14ac:dyDescent="0.25">
      <c r="A3820" s="878" t="s">
        <v>10794</v>
      </c>
      <c r="B3820" s="878" t="s">
        <v>10795</v>
      </c>
      <c r="C3820" s="879" t="s">
        <v>226</v>
      </c>
      <c r="D3820" s="880" t="s">
        <v>42353</v>
      </c>
    </row>
    <row r="3821" spans="1:4" ht="13.5" x14ac:dyDescent="0.25">
      <c r="A3821" s="878" t="s">
        <v>10797</v>
      </c>
      <c r="B3821" s="878" t="s">
        <v>10798</v>
      </c>
      <c r="C3821" s="879" t="s">
        <v>226</v>
      </c>
      <c r="D3821" s="880" t="s">
        <v>42051</v>
      </c>
    </row>
    <row r="3822" spans="1:4" ht="13.5" x14ac:dyDescent="0.25">
      <c r="A3822" s="878" t="s">
        <v>10800</v>
      </c>
      <c r="B3822" s="878" t="s">
        <v>10801</v>
      </c>
      <c r="C3822" s="879" t="s">
        <v>226</v>
      </c>
      <c r="D3822" s="880" t="s">
        <v>41035</v>
      </c>
    </row>
    <row r="3823" spans="1:4" ht="13.5" x14ac:dyDescent="0.25">
      <c r="A3823" s="878" t="s">
        <v>10802</v>
      </c>
      <c r="B3823" s="878" t="s">
        <v>10803</v>
      </c>
      <c r="C3823" s="879" t="s">
        <v>226</v>
      </c>
      <c r="D3823" s="880" t="s">
        <v>30190</v>
      </c>
    </row>
    <row r="3824" spans="1:4" ht="13.5" x14ac:dyDescent="0.25">
      <c r="A3824" s="878" t="s">
        <v>10804</v>
      </c>
      <c r="B3824" s="878" t="s">
        <v>10805</v>
      </c>
      <c r="C3824" s="879" t="s">
        <v>226</v>
      </c>
      <c r="D3824" s="880" t="s">
        <v>30233</v>
      </c>
    </row>
    <row r="3825" spans="1:4" ht="13.5" x14ac:dyDescent="0.25">
      <c r="A3825" s="878" t="s">
        <v>10806</v>
      </c>
      <c r="B3825" s="878" t="s">
        <v>10807</v>
      </c>
      <c r="C3825" s="879" t="s">
        <v>226</v>
      </c>
      <c r="D3825" s="880" t="s">
        <v>12243</v>
      </c>
    </row>
    <row r="3826" spans="1:4" ht="13.5" x14ac:dyDescent="0.25">
      <c r="A3826" s="878" t="s">
        <v>10808</v>
      </c>
      <c r="B3826" s="878" t="s">
        <v>10809</v>
      </c>
      <c r="C3826" s="879" t="s">
        <v>226</v>
      </c>
      <c r="D3826" s="880" t="s">
        <v>42354</v>
      </c>
    </row>
    <row r="3827" spans="1:4" ht="13.5" x14ac:dyDescent="0.25">
      <c r="A3827" s="878" t="s">
        <v>10810</v>
      </c>
      <c r="B3827" s="878" t="s">
        <v>10811</v>
      </c>
      <c r="C3827" s="879" t="s">
        <v>226</v>
      </c>
      <c r="D3827" s="880" t="s">
        <v>42355</v>
      </c>
    </row>
    <row r="3828" spans="1:4" ht="13.5" x14ac:dyDescent="0.25">
      <c r="A3828" s="878" t="s">
        <v>10812</v>
      </c>
      <c r="B3828" s="878" t="s">
        <v>10813</v>
      </c>
      <c r="C3828" s="879" t="s">
        <v>226</v>
      </c>
      <c r="D3828" s="880" t="s">
        <v>42356</v>
      </c>
    </row>
    <row r="3829" spans="1:4" ht="13.5" x14ac:dyDescent="0.25">
      <c r="A3829" s="878" t="s">
        <v>10815</v>
      </c>
      <c r="B3829" s="878" t="s">
        <v>10816</v>
      </c>
      <c r="C3829" s="879" t="s">
        <v>226</v>
      </c>
      <c r="D3829" s="880" t="s">
        <v>42357</v>
      </c>
    </row>
    <row r="3830" spans="1:4" ht="13.5" x14ac:dyDescent="0.25">
      <c r="A3830" s="878" t="s">
        <v>10818</v>
      </c>
      <c r="B3830" s="878" t="s">
        <v>10819</v>
      </c>
      <c r="C3830" s="879" t="s">
        <v>226</v>
      </c>
      <c r="D3830" s="880" t="s">
        <v>42358</v>
      </c>
    </row>
    <row r="3831" spans="1:4" ht="13.5" x14ac:dyDescent="0.25">
      <c r="A3831" s="878" t="s">
        <v>10821</v>
      </c>
      <c r="B3831" s="878" t="s">
        <v>10822</v>
      </c>
      <c r="C3831" s="879" t="s">
        <v>226</v>
      </c>
      <c r="D3831" s="880" t="s">
        <v>31091</v>
      </c>
    </row>
    <row r="3832" spans="1:4" ht="13.5" x14ac:dyDescent="0.25">
      <c r="A3832" s="878" t="s">
        <v>10823</v>
      </c>
      <c r="B3832" s="878" t="s">
        <v>10824</v>
      </c>
      <c r="C3832" s="879" t="s">
        <v>226</v>
      </c>
      <c r="D3832" s="880" t="s">
        <v>15349</v>
      </c>
    </row>
    <row r="3833" spans="1:4" ht="13.5" x14ac:dyDescent="0.25">
      <c r="A3833" s="878" t="s">
        <v>10825</v>
      </c>
      <c r="B3833" s="878" t="s">
        <v>10826</v>
      </c>
      <c r="C3833" s="879" t="s">
        <v>226</v>
      </c>
      <c r="D3833" s="880" t="s">
        <v>42359</v>
      </c>
    </row>
    <row r="3834" spans="1:4" ht="13.5" x14ac:dyDescent="0.25">
      <c r="A3834" s="878" t="s">
        <v>10828</v>
      </c>
      <c r="B3834" s="878" t="s">
        <v>10829</v>
      </c>
      <c r="C3834" s="879" t="s">
        <v>226</v>
      </c>
      <c r="D3834" s="880" t="s">
        <v>30514</v>
      </c>
    </row>
    <row r="3835" spans="1:4" ht="13.5" x14ac:dyDescent="0.25">
      <c r="A3835" s="878" t="s">
        <v>10831</v>
      </c>
      <c r="B3835" s="878" t="s">
        <v>10832</v>
      </c>
      <c r="C3835" s="879" t="s">
        <v>226</v>
      </c>
      <c r="D3835" s="880" t="s">
        <v>42360</v>
      </c>
    </row>
    <row r="3836" spans="1:4" ht="13.5" x14ac:dyDescent="0.25">
      <c r="A3836" s="878" t="s">
        <v>10833</v>
      </c>
      <c r="B3836" s="878" t="s">
        <v>10834</v>
      </c>
      <c r="C3836" s="879" t="s">
        <v>226</v>
      </c>
      <c r="D3836" s="880" t="s">
        <v>30690</v>
      </c>
    </row>
    <row r="3837" spans="1:4" ht="13.5" x14ac:dyDescent="0.25">
      <c r="A3837" s="878" t="s">
        <v>10835</v>
      </c>
      <c r="B3837" s="878" t="s">
        <v>10836</v>
      </c>
      <c r="C3837" s="879" t="s">
        <v>226</v>
      </c>
      <c r="D3837" s="880" t="s">
        <v>42361</v>
      </c>
    </row>
    <row r="3838" spans="1:4" ht="13.5" x14ac:dyDescent="0.25">
      <c r="A3838" s="878" t="s">
        <v>10837</v>
      </c>
      <c r="B3838" s="878" t="s">
        <v>10838</v>
      </c>
      <c r="C3838" s="879" t="s">
        <v>226</v>
      </c>
      <c r="D3838" s="880" t="s">
        <v>40442</v>
      </c>
    </row>
    <row r="3839" spans="1:4" ht="13.5" x14ac:dyDescent="0.25">
      <c r="A3839" s="878" t="s">
        <v>10839</v>
      </c>
      <c r="B3839" s="878" t="s">
        <v>10840</v>
      </c>
      <c r="C3839" s="879" t="s">
        <v>226</v>
      </c>
      <c r="D3839" s="880" t="s">
        <v>42362</v>
      </c>
    </row>
    <row r="3840" spans="1:4" ht="13.5" x14ac:dyDescent="0.25">
      <c r="A3840" s="878" t="s">
        <v>10841</v>
      </c>
      <c r="B3840" s="878" t="s">
        <v>10842</v>
      </c>
      <c r="C3840" s="879" t="s">
        <v>226</v>
      </c>
      <c r="D3840" s="880" t="s">
        <v>42363</v>
      </c>
    </row>
    <row r="3841" spans="1:4" ht="13.5" x14ac:dyDescent="0.25">
      <c r="A3841" s="878" t="s">
        <v>10843</v>
      </c>
      <c r="B3841" s="878" t="s">
        <v>10844</v>
      </c>
      <c r="C3841" s="879" t="s">
        <v>226</v>
      </c>
      <c r="D3841" s="880" t="s">
        <v>42364</v>
      </c>
    </row>
    <row r="3842" spans="1:4" ht="13.5" x14ac:dyDescent="0.25">
      <c r="A3842" s="878" t="s">
        <v>10845</v>
      </c>
      <c r="B3842" s="878" t="s">
        <v>10846</v>
      </c>
      <c r="C3842" s="879" t="s">
        <v>226</v>
      </c>
      <c r="D3842" s="880" t="s">
        <v>30380</v>
      </c>
    </row>
    <row r="3843" spans="1:4" ht="13.5" x14ac:dyDescent="0.25">
      <c r="A3843" s="878" t="s">
        <v>10848</v>
      </c>
      <c r="B3843" s="878" t="s">
        <v>10849</v>
      </c>
      <c r="C3843" s="879" t="s">
        <v>226</v>
      </c>
      <c r="D3843" s="880" t="s">
        <v>42202</v>
      </c>
    </row>
    <row r="3844" spans="1:4" ht="13.5" x14ac:dyDescent="0.25">
      <c r="A3844" s="878" t="s">
        <v>10850</v>
      </c>
      <c r="B3844" s="878" t="s">
        <v>10851</v>
      </c>
      <c r="C3844" s="879" t="s">
        <v>226</v>
      </c>
      <c r="D3844" s="880" t="s">
        <v>42365</v>
      </c>
    </row>
    <row r="3845" spans="1:4" ht="13.5" x14ac:dyDescent="0.25">
      <c r="A3845" s="878" t="s">
        <v>10852</v>
      </c>
      <c r="B3845" s="878" t="s">
        <v>10853</v>
      </c>
      <c r="C3845" s="879" t="s">
        <v>226</v>
      </c>
      <c r="D3845" s="880" t="s">
        <v>42366</v>
      </c>
    </row>
    <row r="3846" spans="1:4" ht="13.5" x14ac:dyDescent="0.25">
      <c r="A3846" s="878" t="s">
        <v>10855</v>
      </c>
      <c r="B3846" s="878" t="s">
        <v>10856</v>
      </c>
      <c r="C3846" s="879" t="s">
        <v>226</v>
      </c>
      <c r="D3846" s="880" t="s">
        <v>31417</v>
      </c>
    </row>
    <row r="3847" spans="1:4" ht="13.5" x14ac:dyDescent="0.25">
      <c r="A3847" s="878" t="s">
        <v>10857</v>
      </c>
      <c r="B3847" s="878" t="s">
        <v>10858</v>
      </c>
      <c r="C3847" s="879" t="s">
        <v>226</v>
      </c>
      <c r="D3847" s="880" t="s">
        <v>8156</v>
      </c>
    </row>
    <row r="3848" spans="1:4" ht="13.5" x14ac:dyDescent="0.25">
      <c r="A3848" s="878" t="s">
        <v>10859</v>
      </c>
      <c r="B3848" s="878" t="s">
        <v>10860</v>
      </c>
      <c r="C3848" s="879" t="s">
        <v>226</v>
      </c>
      <c r="D3848" s="880" t="s">
        <v>30808</v>
      </c>
    </row>
    <row r="3849" spans="1:4" ht="13.5" x14ac:dyDescent="0.25">
      <c r="A3849" s="878" t="s">
        <v>10861</v>
      </c>
      <c r="B3849" s="878" t="s">
        <v>10862</v>
      </c>
      <c r="C3849" s="879" t="s">
        <v>226</v>
      </c>
      <c r="D3849" s="880" t="s">
        <v>42367</v>
      </c>
    </row>
    <row r="3850" spans="1:4" ht="13.5" x14ac:dyDescent="0.25">
      <c r="A3850" s="878" t="s">
        <v>10863</v>
      </c>
      <c r="B3850" s="878" t="s">
        <v>10864</v>
      </c>
      <c r="C3850" s="879" t="s">
        <v>226</v>
      </c>
      <c r="D3850" s="880" t="s">
        <v>42368</v>
      </c>
    </row>
    <row r="3851" spans="1:4" ht="13.5" x14ac:dyDescent="0.25">
      <c r="A3851" s="878" t="s">
        <v>10865</v>
      </c>
      <c r="B3851" s="878" t="s">
        <v>10866</v>
      </c>
      <c r="C3851" s="879" t="s">
        <v>226</v>
      </c>
      <c r="D3851" s="880" t="s">
        <v>31021</v>
      </c>
    </row>
    <row r="3852" spans="1:4" ht="13.5" x14ac:dyDescent="0.25">
      <c r="A3852" s="878" t="s">
        <v>10867</v>
      </c>
      <c r="B3852" s="878" t="s">
        <v>10868</v>
      </c>
      <c r="C3852" s="879" t="s">
        <v>226</v>
      </c>
      <c r="D3852" s="880" t="s">
        <v>42369</v>
      </c>
    </row>
    <row r="3853" spans="1:4" ht="13.5" x14ac:dyDescent="0.25">
      <c r="A3853" s="878" t="s">
        <v>10869</v>
      </c>
      <c r="B3853" s="878" t="s">
        <v>10870</v>
      </c>
      <c r="C3853" s="879" t="s">
        <v>226</v>
      </c>
      <c r="D3853" s="880" t="s">
        <v>42370</v>
      </c>
    </row>
    <row r="3854" spans="1:4" ht="13.5" x14ac:dyDescent="0.25">
      <c r="A3854" s="878" t="s">
        <v>10871</v>
      </c>
      <c r="B3854" s="878" t="s">
        <v>10872</v>
      </c>
      <c r="C3854" s="879" t="s">
        <v>226</v>
      </c>
      <c r="D3854" s="880" t="s">
        <v>40720</v>
      </c>
    </row>
    <row r="3855" spans="1:4" ht="13.5" x14ac:dyDescent="0.25">
      <c r="A3855" s="878" t="s">
        <v>10873</v>
      </c>
      <c r="B3855" s="878" t="s">
        <v>10874</v>
      </c>
      <c r="C3855" s="879" t="s">
        <v>226</v>
      </c>
      <c r="D3855" s="880" t="s">
        <v>42371</v>
      </c>
    </row>
    <row r="3856" spans="1:4" ht="13.5" x14ac:dyDescent="0.25">
      <c r="A3856" s="878" t="s">
        <v>10875</v>
      </c>
      <c r="B3856" s="878" t="s">
        <v>10876</v>
      </c>
      <c r="C3856" s="879" t="s">
        <v>226</v>
      </c>
      <c r="D3856" s="880" t="s">
        <v>42372</v>
      </c>
    </row>
    <row r="3857" spans="1:4" ht="13.5" x14ac:dyDescent="0.25">
      <c r="A3857" s="878" t="s">
        <v>10877</v>
      </c>
      <c r="B3857" s="878" t="s">
        <v>10878</v>
      </c>
      <c r="C3857" s="879" t="s">
        <v>226</v>
      </c>
      <c r="D3857" s="880" t="s">
        <v>42373</v>
      </c>
    </row>
    <row r="3858" spans="1:4" ht="13.5" x14ac:dyDescent="0.25">
      <c r="A3858" s="878" t="s">
        <v>10879</v>
      </c>
      <c r="B3858" s="878" t="s">
        <v>10880</v>
      </c>
      <c r="C3858" s="879" t="s">
        <v>226</v>
      </c>
      <c r="D3858" s="880" t="s">
        <v>18090</v>
      </c>
    </row>
    <row r="3859" spans="1:4" ht="13.5" x14ac:dyDescent="0.25">
      <c r="A3859" s="878" t="s">
        <v>10881</v>
      </c>
      <c r="B3859" s="878" t="s">
        <v>10882</v>
      </c>
      <c r="C3859" s="879" t="s">
        <v>226</v>
      </c>
      <c r="D3859" s="880" t="s">
        <v>3860</v>
      </c>
    </row>
    <row r="3860" spans="1:4" ht="13.5" x14ac:dyDescent="0.25">
      <c r="A3860" s="878" t="s">
        <v>10884</v>
      </c>
      <c r="B3860" s="878" t="s">
        <v>10885</v>
      </c>
      <c r="C3860" s="879" t="s">
        <v>226</v>
      </c>
      <c r="D3860" s="880" t="s">
        <v>8251</v>
      </c>
    </row>
    <row r="3861" spans="1:4" ht="13.5" x14ac:dyDescent="0.25">
      <c r="A3861" s="878" t="s">
        <v>10886</v>
      </c>
      <c r="B3861" s="878" t="s">
        <v>10887</v>
      </c>
      <c r="C3861" s="879" t="s">
        <v>226</v>
      </c>
      <c r="D3861" s="880" t="s">
        <v>30804</v>
      </c>
    </row>
    <row r="3862" spans="1:4" ht="13.5" x14ac:dyDescent="0.25">
      <c r="A3862" s="878" t="s">
        <v>10889</v>
      </c>
      <c r="B3862" s="878" t="s">
        <v>10890</v>
      </c>
      <c r="C3862" s="879" t="s">
        <v>226</v>
      </c>
      <c r="D3862" s="880" t="s">
        <v>42374</v>
      </c>
    </row>
    <row r="3863" spans="1:4" ht="13.5" x14ac:dyDescent="0.25">
      <c r="A3863" s="878" t="s">
        <v>10891</v>
      </c>
      <c r="B3863" s="878" t="s">
        <v>10892</v>
      </c>
      <c r="C3863" s="879" t="s">
        <v>226</v>
      </c>
      <c r="D3863" s="880" t="s">
        <v>42130</v>
      </c>
    </row>
    <row r="3864" spans="1:4" ht="13.5" x14ac:dyDescent="0.25">
      <c r="A3864" s="878" t="s">
        <v>10893</v>
      </c>
      <c r="B3864" s="878" t="s">
        <v>10894</v>
      </c>
      <c r="C3864" s="879" t="s">
        <v>226</v>
      </c>
      <c r="D3864" s="880" t="s">
        <v>15407</v>
      </c>
    </row>
    <row r="3865" spans="1:4" ht="13.5" x14ac:dyDescent="0.25">
      <c r="A3865" s="878" t="s">
        <v>10896</v>
      </c>
      <c r="B3865" s="878" t="s">
        <v>10897</v>
      </c>
      <c r="C3865" s="879" t="s">
        <v>226</v>
      </c>
      <c r="D3865" s="880" t="s">
        <v>42375</v>
      </c>
    </row>
    <row r="3866" spans="1:4" ht="13.5" x14ac:dyDescent="0.25">
      <c r="A3866" s="878" t="s">
        <v>10898</v>
      </c>
      <c r="B3866" s="878" t="s">
        <v>10899</v>
      </c>
      <c r="C3866" s="879" t="s">
        <v>226</v>
      </c>
      <c r="D3866" s="880" t="s">
        <v>42376</v>
      </c>
    </row>
    <row r="3867" spans="1:4" ht="13.5" x14ac:dyDescent="0.25">
      <c r="A3867" s="878" t="s">
        <v>10900</v>
      </c>
      <c r="B3867" s="878" t="s">
        <v>10901</v>
      </c>
      <c r="C3867" s="879" t="s">
        <v>226</v>
      </c>
      <c r="D3867" s="880" t="s">
        <v>2956</v>
      </c>
    </row>
    <row r="3868" spans="1:4" ht="13.5" x14ac:dyDescent="0.25">
      <c r="A3868" s="878" t="s">
        <v>10902</v>
      </c>
      <c r="B3868" s="878" t="s">
        <v>10903</v>
      </c>
      <c r="C3868" s="879" t="s">
        <v>226</v>
      </c>
      <c r="D3868" s="880" t="s">
        <v>42377</v>
      </c>
    </row>
    <row r="3869" spans="1:4" ht="13.5" x14ac:dyDescent="0.25">
      <c r="A3869" s="878" t="s">
        <v>10904</v>
      </c>
      <c r="B3869" s="878" t="s">
        <v>10905</v>
      </c>
      <c r="C3869" s="879" t="s">
        <v>226</v>
      </c>
      <c r="D3869" s="880" t="s">
        <v>30491</v>
      </c>
    </row>
    <row r="3870" spans="1:4" ht="13.5" x14ac:dyDescent="0.25">
      <c r="A3870" s="878" t="s">
        <v>10906</v>
      </c>
      <c r="B3870" s="878" t="s">
        <v>10907</v>
      </c>
      <c r="C3870" s="879" t="s">
        <v>226</v>
      </c>
      <c r="D3870" s="880" t="s">
        <v>30941</v>
      </c>
    </row>
    <row r="3871" spans="1:4" ht="13.5" x14ac:dyDescent="0.25">
      <c r="A3871" s="878" t="s">
        <v>10908</v>
      </c>
      <c r="B3871" s="878" t="s">
        <v>10909</v>
      </c>
      <c r="C3871" s="879" t="s">
        <v>226</v>
      </c>
      <c r="D3871" s="880" t="s">
        <v>30300</v>
      </c>
    </row>
    <row r="3872" spans="1:4" ht="13.5" x14ac:dyDescent="0.25">
      <c r="A3872" s="878" t="s">
        <v>10910</v>
      </c>
      <c r="B3872" s="878" t="s">
        <v>10911</v>
      </c>
      <c r="C3872" s="879" t="s">
        <v>226</v>
      </c>
      <c r="D3872" s="880" t="s">
        <v>42378</v>
      </c>
    </row>
    <row r="3873" spans="1:4" ht="13.5" x14ac:dyDescent="0.25">
      <c r="A3873" s="878" t="s">
        <v>10912</v>
      </c>
      <c r="B3873" s="878" t="s">
        <v>10913</v>
      </c>
      <c r="C3873" s="879" t="s">
        <v>226</v>
      </c>
      <c r="D3873" s="880" t="s">
        <v>40604</v>
      </c>
    </row>
    <row r="3874" spans="1:4" ht="13.5" x14ac:dyDescent="0.25">
      <c r="A3874" s="878" t="s">
        <v>10914</v>
      </c>
      <c r="B3874" s="878" t="s">
        <v>10915</v>
      </c>
      <c r="C3874" s="879" t="s">
        <v>226</v>
      </c>
      <c r="D3874" s="880" t="s">
        <v>42331</v>
      </c>
    </row>
    <row r="3875" spans="1:4" ht="13.5" x14ac:dyDescent="0.25">
      <c r="A3875" s="878" t="s">
        <v>10916</v>
      </c>
      <c r="B3875" s="878" t="s">
        <v>10917</v>
      </c>
      <c r="C3875" s="879" t="s">
        <v>226</v>
      </c>
      <c r="D3875" s="880" t="s">
        <v>30720</v>
      </c>
    </row>
    <row r="3876" spans="1:4" ht="13.5" x14ac:dyDescent="0.25">
      <c r="A3876" s="878" t="s">
        <v>10919</v>
      </c>
      <c r="B3876" s="878" t="s">
        <v>10920</v>
      </c>
      <c r="C3876" s="879" t="s">
        <v>226</v>
      </c>
      <c r="D3876" s="880" t="s">
        <v>41457</v>
      </c>
    </row>
    <row r="3877" spans="1:4" ht="13.5" x14ac:dyDescent="0.25">
      <c r="A3877" s="878" t="s">
        <v>10922</v>
      </c>
      <c r="B3877" s="878" t="s">
        <v>10923</v>
      </c>
      <c r="C3877" s="879" t="s">
        <v>226</v>
      </c>
      <c r="D3877" s="880" t="s">
        <v>40553</v>
      </c>
    </row>
    <row r="3878" spans="1:4" ht="13.5" x14ac:dyDescent="0.25">
      <c r="A3878" s="878" t="s">
        <v>10925</v>
      </c>
      <c r="B3878" s="878" t="s">
        <v>10926</v>
      </c>
      <c r="C3878" s="879" t="s">
        <v>226</v>
      </c>
      <c r="D3878" s="880" t="s">
        <v>41585</v>
      </c>
    </row>
    <row r="3879" spans="1:4" ht="13.5" x14ac:dyDescent="0.25">
      <c r="A3879" s="878" t="s">
        <v>10928</v>
      </c>
      <c r="B3879" s="878" t="s">
        <v>10929</v>
      </c>
      <c r="C3879" s="879" t="s">
        <v>226</v>
      </c>
      <c r="D3879" s="880" t="s">
        <v>10253</v>
      </c>
    </row>
    <row r="3880" spans="1:4" ht="13.5" x14ac:dyDescent="0.25">
      <c r="A3880" s="878" t="s">
        <v>10931</v>
      </c>
      <c r="B3880" s="878" t="s">
        <v>10932</v>
      </c>
      <c r="C3880" s="879" t="s">
        <v>226</v>
      </c>
      <c r="D3880" s="880" t="s">
        <v>42379</v>
      </c>
    </row>
    <row r="3881" spans="1:4" ht="13.5" x14ac:dyDescent="0.25">
      <c r="A3881" s="878" t="s">
        <v>10933</v>
      </c>
      <c r="B3881" s="878" t="s">
        <v>10934</v>
      </c>
      <c r="C3881" s="879" t="s">
        <v>226</v>
      </c>
      <c r="D3881" s="880" t="s">
        <v>30513</v>
      </c>
    </row>
    <row r="3882" spans="1:4" ht="13.5" x14ac:dyDescent="0.25">
      <c r="A3882" s="878" t="s">
        <v>10935</v>
      </c>
      <c r="B3882" s="878" t="s">
        <v>10936</v>
      </c>
      <c r="C3882" s="879" t="s">
        <v>226</v>
      </c>
      <c r="D3882" s="880" t="s">
        <v>42380</v>
      </c>
    </row>
    <row r="3883" spans="1:4" ht="13.5" x14ac:dyDescent="0.25">
      <c r="A3883" s="878" t="s">
        <v>10937</v>
      </c>
      <c r="B3883" s="878" t="s">
        <v>10938</v>
      </c>
      <c r="C3883" s="879" t="s">
        <v>226</v>
      </c>
      <c r="D3883" s="880" t="s">
        <v>30813</v>
      </c>
    </row>
    <row r="3884" spans="1:4" ht="13.5" x14ac:dyDescent="0.25">
      <c r="A3884" s="878" t="s">
        <v>10939</v>
      </c>
      <c r="B3884" s="878" t="s">
        <v>10940</v>
      </c>
      <c r="C3884" s="879" t="s">
        <v>226</v>
      </c>
      <c r="D3884" s="880" t="s">
        <v>30560</v>
      </c>
    </row>
    <row r="3885" spans="1:4" ht="13.5" x14ac:dyDescent="0.25">
      <c r="A3885" s="878" t="s">
        <v>10941</v>
      </c>
      <c r="B3885" s="878" t="s">
        <v>10942</v>
      </c>
      <c r="C3885" s="879" t="s">
        <v>226</v>
      </c>
      <c r="D3885" s="880" t="s">
        <v>42381</v>
      </c>
    </row>
    <row r="3886" spans="1:4" ht="13.5" x14ac:dyDescent="0.25">
      <c r="A3886" s="878" t="s">
        <v>10943</v>
      </c>
      <c r="B3886" s="878" t="s">
        <v>10944</v>
      </c>
      <c r="C3886" s="879" t="s">
        <v>226</v>
      </c>
      <c r="D3886" s="880" t="s">
        <v>42382</v>
      </c>
    </row>
    <row r="3887" spans="1:4" ht="13.5" x14ac:dyDescent="0.25">
      <c r="A3887" s="878" t="s">
        <v>10945</v>
      </c>
      <c r="B3887" s="878" t="s">
        <v>10946</v>
      </c>
      <c r="C3887" s="879" t="s">
        <v>226</v>
      </c>
      <c r="D3887" s="880" t="s">
        <v>42383</v>
      </c>
    </row>
    <row r="3888" spans="1:4" ht="13.5" x14ac:dyDescent="0.25">
      <c r="A3888" s="878" t="s">
        <v>10947</v>
      </c>
      <c r="B3888" s="878" t="s">
        <v>10948</v>
      </c>
      <c r="C3888" s="879" t="s">
        <v>226</v>
      </c>
      <c r="D3888" s="880" t="s">
        <v>30496</v>
      </c>
    </row>
    <row r="3889" spans="1:4" ht="13.5" x14ac:dyDescent="0.25">
      <c r="A3889" s="878" t="s">
        <v>10949</v>
      </c>
      <c r="B3889" s="878" t="s">
        <v>10950</v>
      </c>
      <c r="C3889" s="879" t="s">
        <v>226</v>
      </c>
      <c r="D3889" s="880" t="s">
        <v>42384</v>
      </c>
    </row>
    <row r="3890" spans="1:4" ht="13.5" x14ac:dyDescent="0.25">
      <c r="A3890" s="878" t="s">
        <v>10952</v>
      </c>
      <c r="B3890" s="878" t="s">
        <v>10953</v>
      </c>
      <c r="C3890" s="879" t="s">
        <v>226</v>
      </c>
      <c r="D3890" s="880" t="s">
        <v>10057</v>
      </c>
    </row>
    <row r="3891" spans="1:4" ht="13.5" x14ac:dyDescent="0.25">
      <c r="A3891" s="878" t="s">
        <v>10955</v>
      </c>
      <c r="B3891" s="878" t="s">
        <v>10956</v>
      </c>
      <c r="C3891" s="879" t="s">
        <v>226</v>
      </c>
      <c r="D3891" s="880" t="s">
        <v>42385</v>
      </c>
    </row>
    <row r="3892" spans="1:4" ht="13.5" x14ac:dyDescent="0.25">
      <c r="A3892" s="878" t="s">
        <v>10957</v>
      </c>
      <c r="B3892" s="878" t="s">
        <v>10958</v>
      </c>
      <c r="C3892" s="879" t="s">
        <v>226</v>
      </c>
      <c r="D3892" s="880" t="s">
        <v>42386</v>
      </c>
    </row>
    <row r="3893" spans="1:4" ht="13.5" x14ac:dyDescent="0.25">
      <c r="A3893" s="878" t="s">
        <v>10959</v>
      </c>
      <c r="B3893" s="878" t="s">
        <v>10960</v>
      </c>
      <c r="C3893" s="879" t="s">
        <v>226</v>
      </c>
      <c r="D3893" s="880" t="s">
        <v>30631</v>
      </c>
    </row>
    <row r="3894" spans="1:4" ht="13.5" x14ac:dyDescent="0.25">
      <c r="A3894" s="878" t="s">
        <v>10962</v>
      </c>
      <c r="B3894" s="878" t="s">
        <v>10963</v>
      </c>
      <c r="C3894" s="879" t="s">
        <v>226</v>
      </c>
      <c r="D3894" s="880" t="s">
        <v>42387</v>
      </c>
    </row>
    <row r="3895" spans="1:4" ht="13.5" x14ac:dyDescent="0.25">
      <c r="A3895" s="878" t="s">
        <v>10964</v>
      </c>
      <c r="B3895" s="878" t="s">
        <v>10965</v>
      </c>
      <c r="C3895" s="879" t="s">
        <v>226</v>
      </c>
      <c r="D3895" s="880" t="s">
        <v>42388</v>
      </c>
    </row>
    <row r="3896" spans="1:4" ht="13.5" x14ac:dyDescent="0.25">
      <c r="A3896" s="878" t="s">
        <v>10966</v>
      </c>
      <c r="B3896" s="878" t="s">
        <v>10967</v>
      </c>
      <c r="C3896" s="879" t="s">
        <v>226</v>
      </c>
      <c r="D3896" s="880" t="s">
        <v>42389</v>
      </c>
    </row>
    <row r="3897" spans="1:4" ht="13.5" x14ac:dyDescent="0.25">
      <c r="A3897" s="878" t="s">
        <v>10968</v>
      </c>
      <c r="B3897" s="878" t="s">
        <v>10969</v>
      </c>
      <c r="C3897" s="879" t="s">
        <v>226</v>
      </c>
      <c r="D3897" s="880" t="s">
        <v>5888</v>
      </c>
    </row>
    <row r="3898" spans="1:4" ht="13.5" x14ac:dyDescent="0.25">
      <c r="A3898" s="878" t="s">
        <v>10970</v>
      </c>
      <c r="B3898" s="878" t="s">
        <v>10971</v>
      </c>
      <c r="C3898" s="879" t="s">
        <v>226</v>
      </c>
      <c r="D3898" s="880" t="s">
        <v>42390</v>
      </c>
    </row>
    <row r="3899" spans="1:4" ht="13.5" x14ac:dyDescent="0.25">
      <c r="A3899" s="878" t="s">
        <v>10972</v>
      </c>
      <c r="B3899" s="878" t="s">
        <v>10973</v>
      </c>
      <c r="C3899" s="879" t="s">
        <v>226</v>
      </c>
      <c r="D3899" s="880" t="s">
        <v>30675</v>
      </c>
    </row>
    <row r="3900" spans="1:4" ht="13.5" x14ac:dyDescent="0.25">
      <c r="A3900" s="878" t="s">
        <v>10974</v>
      </c>
      <c r="B3900" s="878" t="s">
        <v>10975</v>
      </c>
      <c r="C3900" s="879" t="s">
        <v>226</v>
      </c>
      <c r="D3900" s="880" t="s">
        <v>42391</v>
      </c>
    </row>
    <row r="3901" spans="1:4" ht="13.5" x14ac:dyDescent="0.25">
      <c r="A3901" s="878" t="s">
        <v>10976</v>
      </c>
      <c r="B3901" s="878" t="s">
        <v>10977</v>
      </c>
      <c r="C3901" s="879" t="s">
        <v>226</v>
      </c>
      <c r="D3901" s="880" t="s">
        <v>14552</v>
      </c>
    </row>
    <row r="3902" spans="1:4" ht="13.5" x14ac:dyDescent="0.25">
      <c r="A3902" s="878" t="s">
        <v>10979</v>
      </c>
      <c r="B3902" s="878" t="s">
        <v>10980</v>
      </c>
      <c r="C3902" s="879" t="s">
        <v>226</v>
      </c>
      <c r="D3902" s="880" t="s">
        <v>30814</v>
      </c>
    </row>
    <row r="3903" spans="1:4" ht="13.5" x14ac:dyDescent="0.25">
      <c r="A3903" s="878" t="s">
        <v>10981</v>
      </c>
      <c r="B3903" s="878" t="s">
        <v>10982</v>
      </c>
      <c r="C3903" s="879" t="s">
        <v>226</v>
      </c>
      <c r="D3903" s="880" t="s">
        <v>8040</v>
      </c>
    </row>
    <row r="3904" spans="1:4" ht="13.5" x14ac:dyDescent="0.25">
      <c r="A3904" s="878" t="s">
        <v>10983</v>
      </c>
      <c r="B3904" s="878" t="s">
        <v>10984</v>
      </c>
      <c r="C3904" s="879" t="s">
        <v>226</v>
      </c>
      <c r="D3904" s="880" t="s">
        <v>5869</v>
      </c>
    </row>
    <row r="3905" spans="1:4" ht="13.5" x14ac:dyDescent="0.25">
      <c r="A3905" s="878" t="s">
        <v>10985</v>
      </c>
      <c r="B3905" s="878" t="s">
        <v>10986</v>
      </c>
      <c r="C3905" s="879" t="s">
        <v>226</v>
      </c>
      <c r="D3905" s="880" t="s">
        <v>42392</v>
      </c>
    </row>
    <row r="3906" spans="1:4" ht="13.5" x14ac:dyDescent="0.25">
      <c r="A3906" s="878" t="s">
        <v>10988</v>
      </c>
      <c r="B3906" s="878" t="s">
        <v>10989</v>
      </c>
      <c r="C3906" s="879" t="s">
        <v>226</v>
      </c>
      <c r="D3906" s="880" t="s">
        <v>41670</v>
      </c>
    </row>
    <row r="3907" spans="1:4" ht="13.5" x14ac:dyDescent="0.25">
      <c r="A3907" s="878" t="s">
        <v>10990</v>
      </c>
      <c r="B3907" s="878" t="s">
        <v>10991</v>
      </c>
      <c r="C3907" s="879" t="s">
        <v>226</v>
      </c>
      <c r="D3907" s="880" t="s">
        <v>41458</v>
      </c>
    </row>
    <row r="3908" spans="1:4" ht="13.5" x14ac:dyDescent="0.25">
      <c r="A3908" s="878" t="s">
        <v>10992</v>
      </c>
      <c r="B3908" s="878" t="s">
        <v>10993</v>
      </c>
      <c r="C3908" s="879" t="s">
        <v>226</v>
      </c>
      <c r="D3908" s="880" t="s">
        <v>31120</v>
      </c>
    </row>
    <row r="3909" spans="1:4" ht="13.5" x14ac:dyDescent="0.25">
      <c r="A3909" s="878" t="s">
        <v>10994</v>
      </c>
      <c r="B3909" s="878" t="s">
        <v>10995</v>
      </c>
      <c r="C3909" s="879" t="s">
        <v>226</v>
      </c>
      <c r="D3909" s="880" t="s">
        <v>8793</v>
      </c>
    </row>
    <row r="3910" spans="1:4" ht="13.5" x14ac:dyDescent="0.25">
      <c r="A3910" s="878" t="s">
        <v>10996</v>
      </c>
      <c r="B3910" s="878" t="s">
        <v>10997</v>
      </c>
      <c r="C3910" s="879" t="s">
        <v>226</v>
      </c>
      <c r="D3910" s="880" t="s">
        <v>30497</v>
      </c>
    </row>
    <row r="3911" spans="1:4" ht="13.5" x14ac:dyDescent="0.25">
      <c r="A3911" s="878" t="s">
        <v>10998</v>
      </c>
      <c r="B3911" s="878" t="s">
        <v>10999</v>
      </c>
      <c r="C3911" s="879" t="s">
        <v>226</v>
      </c>
      <c r="D3911" s="880" t="s">
        <v>30754</v>
      </c>
    </row>
    <row r="3912" spans="1:4" ht="13.5" x14ac:dyDescent="0.25">
      <c r="A3912" s="878" t="s">
        <v>11001</v>
      </c>
      <c r="B3912" s="878" t="s">
        <v>11002</v>
      </c>
      <c r="C3912" s="879" t="s">
        <v>226</v>
      </c>
      <c r="D3912" s="880" t="s">
        <v>10405</v>
      </c>
    </row>
    <row r="3913" spans="1:4" ht="13.5" x14ac:dyDescent="0.25">
      <c r="A3913" s="878" t="s">
        <v>11004</v>
      </c>
      <c r="B3913" s="878" t="s">
        <v>11005</v>
      </c>
      <c r="C3913" s="879" t="s">
        <v>226</v>
      </c>
      <c r="D3913" s="880" t="s">
        <v>42393</v>
      </c>
    </row>
    <row r="3914" spans="1:4" ht="13.5" x14ac:dyDescent="0.25">
      <c r="A3914" s="878" t="s">
        <v>11007</v>
      </c>
      <c r="B3914" s="878" t="s">
        <v>11008</v>
      </c>
      <c r="C3914" s="879" t="s">
        <v>226</v>
      </c>
      <c r="D3914" s="880" t="s">
        <v>30208</v>
      </c>
    </row>
    <row r="3915" spans="1:4" ht="13.5" x14ac:dyDescent="0.25">
      <c r="A3915" s="878" t="s">
        <v>11009</v>
      </c>
      <c r="B3915" s="878" t="s">
        <v>11010</v>
      </c>
      <c r="C3915" s="879" t="s">
        <v>226</v>
      </c>
      <c r="D3915" s="880" t="s">
        <v>42394</v>
      </c>
    </row>
    <row r="3916" spans="1:4" ht="13.5" x14ac:dyDescent="0.25">
      <c r="A3916" s="878" t="s">
        <v>11011</v>
      </c>
      <c r="B3916" s="878" t="s">
        <v>11012</v>
      </c>
      <c r="C3916" s="879" t="s">
        <v>226</v>
      </c>
      <c r="D3916" s="880" t="s">
        <v>42395</v>
      </c>
    </row>
    <row r="3917" spans="1:4" ht="13.5" x14ac:dyDescent="0.25">
      <c r="A3917" s="878" t="s">
        <v>11013</v>
      </c>
      <c r="B3917" s="878" t="s">
        <v>11014</v>
      </c>
      <c r="C3917" s="879" t="s">
        <v>226</v>
      </c>
      <c r="D3917" s="880" t="s">
        <v>31179</v>
      </c>
    </row>
    <row r="3918" spans="1:4" ht="13.5" x14ac:dyDescent="0.25">
      <c r="A3918" s="878" t="s">
        <v>11016</v>
      </c>
      <c r="B3918" s="878" t="s">
        <v>11017</v>
      </c>
      <c r="C3918" s="879" t="s">
        <v>226</v>
      </c>
      <c r="D3918" s="880" t="s">
        <v>7800</v>
      </c>
    </row>
    <row r="3919" spans="1:4" ht="13.5" x14ac:dyDescent="0.25">
      <c r="A3919" s="878" t="s">
        <v>11018</v>
      </c>
      <c r="B3919" s="878" t="s">
        <v>11019</v>
      </c>
      <c r="C3919" s="879" t="s">
        <v>226</v>
      </c>
      <c r="D3919" s="880" t="s">
        <v>42070</v>
      </c>
    </row>
    <row r="3920" spans="1:4" ht="13.5" x14ac:dyDescent="0.25">
      <c r="A3920" s="878" t="s">
        <v>11020</v>
      </c>
      <c r="B3920" s="878" t="s">
        <v>11021</v>
      </c>
      <c r="C3920" s="879" t="s">
        <v>226</v>
      </c>
      <c r="D3920" s="880" t="s">
        <v>5851</v>
      </c>
    </row>
    <row r="3921" spans="1:4" ht="13.5" x14ac:dyDescent="0.25">
      <c r="A3921" s="878" t="s">
        <v>11022</v>
      </c>
      <c r="B3921" s="878" t="s">
        <v>11023</v>
      </c>
      <c r="C3921" s="879" t="s">
        <v>226</v>
      </c>
      <c r="D3921" s="880" t="s">
        <v>42396</v>
      </c>
    </row>
    <row r="3922" spans="1:4" ht="13.5" x14ac:dyDescent="0.25">
      <c r="A3922" s="878" t="s">
        <v>11024</v>
      </c>
      <c r="B3922" s="878" t="s">
        <v>11025</v>
      </c>
      <c r="C3922" s="879" t="s">
        <v>226</v>
      </c>
      <c r="D3922" s="880" t="s">
        <v>41648</v>
      </c>
    </row>
    <row r="3923" spans="1:4" ht="13.5" x14ac:dyDescent="0.25">
      <c r="A3923" s="878" t="s">
        <v>11026</v>
      </c>
      <c r="B3923" s="878" t="s">
        <v>11027</v>
      </c>
      <c r="C3923" s="879" t="s">
        <v>226</v>
      </c>
      <c r="D3923" s="880" t="s">
        <v>31180</v>
      </c>
    </row>
    <row r="3924" spans="1:4" ht="13.5" x14ac:dyDescent="0.25">
      <c r="A3924" s="878" t="s">
        <v>11029</v>
      </c>
      <c r="B3924" s="878" t="s">
        <v>11030</v>
      </c>
      <c r="C3924" s="879" t="s">
        <v>226</v>
      </c>
      <c r="D3924" s="880" t="s">
        <v>42397</v>
      </c>
    </row>
    <row r="3925" spans="1:4" ht="13.5" x14ac:dyDescent="0.25">
      <c r="A3925" s="878" t="s">
        <v>11031</v>
      </c>
      <c r="B3925" s="878" t="s">
        <v>11032</v>
      </c>
      <c r="C3925" s="879" t="s">
        <v>226</v>
      </c>
      <c r="D3925" s="880" t="s">
        <v>42398</v>
      </c>
    </row>
    <row r="3926" spans="1:4" ht="13.5" x14ac:dyDescent="0.25">
      <c r="A3926" s="878" t="s">
        <v>11034</v>
      </c>
      <c r="B3926" s="878" t="s">
        <v>11035</v>
      </c>
      <c r="C3926" s="879" t="s">
        <v>226</v>
      </c>
      <c r="D3926" s="880" t="s">
        <v>42399</v>
      </c>
    </row>
    <row r="3927" spans="1:4" ht="13.5" x14ac:dyDescent="0.25">
      <c r="A3927" s="878" t="s">
        <v>11036</v>
      </c>
      <c r="B3927" s="878" t="s">
        <v>11037</v>
      </c>
      <c r="C3927" s="879" t="s">
        <v>226</v>
      </c>
      <c r="D3927" s="880" t="s">
        <v>10918</v>
      </c>
    </row>
    <row r="3928" spans="1:4" ht="13.5" x14ac:dyDescent="0.25">
      <c r="A3928" s="878" t="s">
        <v>11039</v>
      </c>
      <c r="B3928" s="878" t="s">
        <v>11040</v>
      </c>
      <c r="C3928" s="879" t="s">
        <v>226</v>
      </c>
      <c r="D3928" s="880" t="s">
        <v>42400</v>
      </c>
    </row>
    <row r="3929" spans="1:4" ht="13.5" x14ac:dyDescent="0.25">
      <c r="A3929" s="878" t="s">
        <v>11041</v>
      </c>
      <c r="B3929" s="878" t="s">
        <v>11042</v>
      </c>
      <c r="C3929" s="879" t="s">
        <v>226</v>
      </c>
      <c r="D3929" s="880" t="s">
        <v>42316</v>
      </c>
    </row>
    <row r="3930" spans="1:4" ht="13.5" x14ac:dyDescent="0.25">
      <c r="A3930" s="878" t="s">
        <v>11043</v>
      </c>
      <c r="B3930" s="878" t="s">
        <v>11044</v>
      </c>
      <c r="C3930" s="879" t="s">
        <v>226</v>
      </c>
      <c r="D3930" s="880" t="s">
        <v>42401</v>
      </c>
    </row>
    <row r="3931" spans="1:4" ht="13.5" x14ac:dyDescent="0.25">
      <c r="A3931" s="878" t="s">
        <v>11045</v>
      </c>
      <c r="B3931" s="878" t="s">
        <v>11046</v>
      </c>
      <c r="C3931" s="879" t="s">
        <v>226</v>
      </c>
      <c r="D3931" s="880" t="s">
        <v>13607</v>
      </c>
    </row>
    <row r="3932" spans="1:4" ht="13.5" x14ac:dyDescent="0.25">
      <c r="A3932" s="878" t="s">
        <v>11047</v>
      </c>
      <c r="B3932" s="878" t="s">
        <v>11048</v>
      </c>
      <c r="C3932" s="879" t="s">
        <v>226</v>
      </c>
      <c r="D3932" s="880" t="s">
        <v>42402</v>
      </c>
    </row>
    <row r="3933" spans="1:4" ht="13.5" x14ac:dyDescent="0.25">
      <c r="A3933" s="878" t="s">
        <v>11049</v>
      </c>
      <c r="B3933" s="878" t="s">
        <v>11050</v>
      </c>
      <c r="C3933" s="879" t="s">
        <v>226</v>
      </c>
      <c r="D3933" s="880" t="s">
        <v>31202</v>
      </c>
    </row>
    <row r="3934" spans="1:4" ht="13.5" x14ac:dyDescent="0.25">
      <c r="A3934" s="878" t="s">
        <v>11051</v>
      </c>
      <c r="B3934" s="878" t="s">
        <v>11052</v>
      </c>
      <c r="C3934" s="879" t="s">
        <v>226</v>
      </c>
      <c r="D3934" s="880" t="s">
        <v>31240</v>
      </c>
    </row>
    <row r="3935" spans="1:4" ht="13.5" x14ac:dyDescent="0.25">
      <c r="A3935" s="878" t="s">
        <v>11053</v>
      </c>
      <c r="B3935" s="878" t="s">
        <v>11054</v>
      </c>
      <c r="C3935" s="879" t="s">
        <v>226</v>
      </c>
      <c r="D3935" s="880" t="s">
        <v>31053</v>
      </c>
    </row>
    <row r="3936" spans="1:4" ht="13.5" x14ac:dyDescent="0.25">
      <c r="A3936" s="878" t="s">
        <v>11055</v>
      </c>
      <c r="B3936" s="878" t="s">
        <v>11056</v>
      </c>
      <c r="C3936" s="879" t="s">
        <v>226</v>
      </c>
      <c r="D3936" s="880" t="s">
        <v>31135</v>
      </c>
    </row>
    <row r="3937" spans="1:4" ht="13.5" x14ac:dyDescent="0.25">
      <c r="A3937" s="878" t="s">
        <v>11058</v>
      </c>
      <c r="B3937" s="878" t="s">
        <v>11059</v>
      </c>
      <c r="C3937" s="879" t="s">
        <v>226</v>
      </c>
      <c r="D3937" s="880" t="s">
        <v>30806</v>
      </c>
    </row>
    <row r="3938" spans="1:4" ht="13.5" x14ac:dyDescent="0.25">
      <c r="A3938" s="878" t="s">
        <v>11060</v>
      </c>
      <c r="B3938" s="878" t="s">
        <v>11061</v>
      </c>
      <c r="C3938" s="879" t="s">
        <v>226</v>
      </c>
      <c r="D3938" s="880" t="s">
        <v>42403</v>
      </c>
    </row>
    <row r="3939" spans="1:4" ht="13.5" x14ac:dyDescent="0.25">
      <c r="A3939" s="878" t="s">
        <v>11062</v>
      </c>
      <c r="B3939" s="878" t="s">
        <v>11063</v>
      </c>
      <c r="C3939" s="879" t="s">
        <v>226</v>
      </c>
      <c r="D3939" s="880" t="s">
        <v>41475</v>
      </c>
    </row>
    <row r="3940" spans="1:4" ht="13.5" x14ac:dyDescent="0.25">
      <c r="A3940" s="878" t="s">
        <v>11064</v>
      </c>
      <c r="B3940" s="878" t="s">
        <v>11065</v>
      </c>
      <c r="C3940" s="879" t="s">
        <v>226</v>
      </c>
      <c r="D3940" s="880" t="s">
        <v>42404</v>
      </c>
    </row>
    <row r="3941" spans="1:4" ht="13.5" x14ac:dyDescent="0.25">
      <c r="A3941" s="878" t="s">
        <v>11066</v>
      </c>
      <c r="B3941" s="878" t="s">
        <v>11067</v>
      </c>
      <c r="C3941" s="879" t="s">
        <v>226</v>
      </c>
      <c r="D3941" s="880" t="s">
        <v>42405</v>
      </c>
    </row>
    <row r="3942" spans="1:4" ht="13.5" x14ac:dyDescent="0.25">
      <c r="A3942" s="878" t="s">
        <v>11068</v>
      </c>
      <c r="B3942" s="878" t="s">
        <v>11069</v>
      </c>
      <c r="C3942" s="879" t="s">
        <v>226</v>
      </c>
      <c r="D3942" s="880" t="s">
        <v>42406</v>
      </c>
    </row>
    <row r="3943" spans="1:4" ht="13.5" x14ac:dyDescent="0.25">
      <c r="A3943" s="878" t="s">
        <v>11071</v>
      </c>
      <c r="B3943" s="878" t="s">
        <v>11072</v>
      </c>
      <c r="C3943" s="879" t="s">
        <v>226</v>
      </c>
      <c r="D3943" s="880" t="s">
        <v>12699</v>
      </c>
    </row>
    <row r="3944" spans="1:4" ht="13.5" x14ac:dyDescent="0.25">
      <c r="A3944" s="878" t="s">
        <v>11074</v>
      </c>
      <c r="B3944" s="878" t="s">
        <v>11075</v>
      </c>
      <c r="C3944" s="879" t="s">
        <v>226</v>
      </c>
      <c r="D3944" s="880" t="s">
        <v>42407</v>
      </c>
    </row>
    <row r="3945" spans="1:4" ht="13.5" x14ac:dyDescent="0.25">
      <c r="A3945" s="878" t="s">
        <v>11076</v>
      </c>
      <c r="B3945" s="878" t="s">
        <v>11077</v>
      </c>
      <c r="C3945" s="879" t="s">
        <v>226</v>
      </c>
      <c r="D3945" s="880" t="s">
        <v>31037</v>
      </c>
    </row>
    <row r="3946" spans="1:4" ht="13.5" x14ac:dyDescent="0.25">
      <c r="A3946" s="878" t="s">
        <v>11079</v>
      </c>
      <c r="B3946" s="878" t="s">
        <v>11080</v>
      </c>
      <c r="C3946" s="879" t="s">
        <v>226</v>
      </c>
      <c r="D3946" s="880" t="s">
        <v>42408</v>
      </c>
    </row>
    <row r="3947" spans="1:4" ht="13.5" x14ac:dyDescent="0.25">
      <c r="A3947" s="878" t="s">
        <v>11081</v>
      </c>
      <c r="B3947" s="878" t="s">
        <v>11082</v>
      </c>
      <c r="C3947" s="879" t="s">
        <v>226</v>
      </c>
      <c r="D3947" s="880" t="s">
        <v>42409</v>
      </c>
    </row>
    <row r="3948" spans="1:4" ht="13.5" x14ac:dyDescent="0.25">
      <c r="A3948" s="878" t="s">
        <v>11083</v>
      </c>
      <c r="B3948" s="878" t="s">
        <v>11084</v>
      </c>
      <c r="C3948" s="879" t="s">
        <v>226</v>
      </c>
      <c r="D3948" s="880" t="s">
        <v>8434</v>
      </c>
    </row>
    <row r="3949" spans="1:4" ht="13.5" x14ac:dyDescent="0.25">
      <c r="A3949" s="878" t="s">
        <v>11085</v>
      </c>
      <c r="B3949" s="878" t="s">
        <v>11086</v>
      </c>
      <c r="C3949" s="879" t="s">
        <v>226</v>
      </c>
      <c r="D3949" s="880" t="s">
        <v>42410</v>
      </c>
    </row>
    <row r="3950" spans="1:4" ht="13.5" x14ac:dyDescent="0.25">
      <c r="A3950" s="878" t="s">
        <v>11087</v>
      </c>
      <c r="B3950" s="878" t="s">
        <v>11088</v>
      </c>
      <c r="C3950" s="879" t="s">
        <v>226</v>
      </c>
      <c r="D3950" s="880" t="s">
        <v>41685</v>
      </c>
    </row>
    <row r="3951" spans="1:4" ht="13.5" x14ac:dyDescent="0.25">
      <c r="A3951" s="878" t="s">
        <v>11089</v>
      </c>
      <c r="B3951" s="878" t="s">
        <v>11090</v>
      </c>
      <c r="C3951" s="879" t="s">
        <v>226</v>
      </c>
      <c r="D3951" s="880" t="s">
        <v>42411</v>
      </c>
    </row>
    <row r="3952" spans="1:4" ht="13.5" x14ac:dyDescent="0.25">
      <c r="A3952" s="878" t="s">
        <v>11091</v>
      </c>
      <c r="B3952" s="878" t="s">
        <v>11092</v>
      </c>
      <c r="C3952" s="879" t="s">
        <v>226</v>
      </c>
      <c r="D3952" s="880" t="s">
        <v>42412</v>
      </c>
    </row>
    <row r="3953" spans="1:4" ht="13.5" x14ac:dyDescent="0.25">
      <c r="A3953" s="878" t="s">
        <v>11093</v>
      </c>
      <c r="B3953" s="878" t="s">
        <v>11094</v>
      </c>
      <c r="C3953" s="879" t="s">
        <v>226</v>
      </c>
      <c r="D3953" s="880" t="s">
        <v>31043</v>
      </c>
    </row>
    <row r="3954" spans="1:4" ht="13.5" x14ac:dyDescent="0.25">
      <c r="A3954" s="878" t="s">
        <v>11095</v>
      </c>
      <c r="B3954" s="878" t="s">
        <v>11096</v>
      </c>
      <c r="C3954" s="879" t="s">
        <v>226</v>
      </c>
      <c r="D3954" s="880" t="s">
        <v>40431</v>
      </c>
    </row>
    <row r="3955" spans="1:4" ht="13.5" x14ac:dyDescent="0.25">
      <c r="A3955" s="878" t="s">
        <v>11097</v>
      </c>
      <c r="B3955" s="878" t="s">
        <v>11098</v>
      </c>
      <c r="C3955" s="879" t="s">
        <v>158</v>
      </c>
      <c r="D3955" s="880" t="s">
        <v>42413</v>
      </c>
    </row>
    <row r="3956" spans="1:4" ht="13.5" x14ac:dyDescent="0.25">
      <c r="A3956" s="878" t="s">
        <v>11099</v>
      </c>
      <c r="B3956" s="878" t="s">
        <v>11100</v>
      </c>
      <c r="C3956" s="879" t="s">
        <v>226</v>
      </c>
      <c r="D3956" s="880" t="s">
        <v>41695</v>
      </c>
    </row>
    <row r="3957" spans="1:4" ht="13.5" x14ac:dyDescent="0.25">
      <c r="A3957" s="878" t="s">
        <v>11101</v>
      </c>
      <c r="B3957" s="878" t="s">
        <v>11102</v>
      </c>
      <c r="C3957" s="879" t="s">
        <v>226</v>
      </c>
      <c r="D3957" s="880" t="s">
        <v>42414</v>
      </c>
    </row>
    <row r="3958" spans="1:4" ht="13.5" x14ac:dyDescent="0.25">
      <c r="A3958" s="878" t="s">
        <v>11103</v>
      </c>
      <c r="B3958" s="878" t="s">
        <v>11104</v>
      </c>
      <c r="C3958" s="879" t="s">
        <v>226</v>
      </c>
      <c r="D3958" s="880" t="s">
        <v>41253</v>
      </c>
    </row>
    <row r="3959" spans="1:4" ht="13.5" x14ac:dyDescent="0.25">
      <c r="A3959" s="878" t="s">
        <v>11105</v>
      </c>
      <c r="B3959" s="878" t="s">
        <v>11106</v>
      </c>
      <c r="C3959" s="879" t="s">
        <v>226</v>
      </c>
      <c r="D3959" s="880" t="s">
        <v>13094</v>
      </c>
    </row>
    <row r="3960" spans="1:4" ht="13.5" x14ac:dyDescent="0.25">
      <c r="A3960" s="878" t="s">
        <v>11107</v>
      </c>
      <c r="B3960" s="878" t="s">
        <v>11108</v>
      </c>
      <c r="C3960" s="879" t="s">
        <v>226</v>
      </c>
      <c r="D3960" s="880" t="s">
        <v>42415</v>
      </c>
    </row>
    <row r="3961" spans="1:4" ht="13.5" x14ac:dyDescent="0.25">
      <c r="A3961" s="878" t="s">
        <v>11109</v>
      </c>
      <c r="B3961" s="878" t="s">
        <v>11110</v>
      </c>
      <c r="C3961" s="879" t="s">
        <v>226</v>
      </c>
      <c r="D3961" s="880" t="s">
        <v>30733</v>
      </c>
    </row>
    <row r="3962" spans="1:4" ht="13.5" x14ac:dyDescent="0.25">
      <c r="A3962" s="878" t="s">
        <v>11111</v>
      </c>
      <c r="B3962" s="878" t="s">
        <v>11112</v>
      </c>
      <c r="C3962" s="879" t="s">
        <v>226</v>
      </c>
      <c r="D3962" s="880" t="s">
        <v>41456</v>
      </c>
    </row>
    <row r="3963" spans="1:4" ht="13.5" x14ac:dyDescent="0.25">
      <c r="A3963" s="878" t="s">
        <v>11113</v>
      </c>
      <c r="B3963" s="878" t="s">
        <v>11114</v>
      </c>
      <c r="C3963" s="879" t="s">
        <v>226</v>
      </c>
      <c r="D3963" s="880" t="s">
        <v>42416</v>
      </c>
    </row>
    <row r="3964" spans="1:4" ht="13.5" x14ac:dyDescent="0.25">
      <c r="A3964" s="878" t="s">
        <v>11115</v>
      </c>
      <c r="B3964" s="878" t="s">
        <v>11116</v>
      </c>
      <c r="C3964" s="879" t="s">
        <v>226</v>
      </c>
      <c r="D3964" s="880" t="s">
        <v>31115</v>
      </c>
    </row>
    <row r="3965" spans="1:4" ht="13.5" x14ac:dyDescent="0.25">
      <c r="A3965" s="878" t="s">
        <v>11117</v>
      </c>
      <c r="B3965" s="878" t="s">
        <v>11118</v>
      </c>
      <c r="C3965" s="879" t="s">
        <v>226</v>
      </c>
      <c r="D3965" s="880" t="s">
        <v>30664</v>
      </c>
    </row>
    <row r="3966" spans="1:4" ht="13.5" x14ac:dyDescent="0.25">
      <c r="A3966" s="878" t="s">
        <v>11119</v>
      </c>
      <c r="B3966" s="878" t="s">
        <v>11120</v>
      </c>
      <c r="C3966" s="879" t="s">
        <v>226</v>
      </c>
      <c r="D3966" s="880" t="s">
        <v>11878</v>
      </c>
    </row>
    <row r="3967" spans="1:4" ht="13.5" x14ac:dyDescent="0.25">
      <c r="A3967" s="878" t="s">
        <v>11122</v>
      </c>
      <c r="B3967" s="878" t="s">
        <v>11123</v>
      </c>
      <c r="C3967" s="879" t="s">
        <v>226</v>
      </c>
      <c r="D3967" s="880" t="s">
        <v>8801</v>
      </c>
    </row>
    <row r="3968" spans="1:4" ht="13.5" x14ac:dyDescent="0.25">
      <c r="A3968" s="878" t="s">
        <v>11124</v>
      </c>
      <c r="B3968" s="878" t="s">
        <v>11125</v>
      </c>
      <c r="C3968" s="879" t="s">
        <v>226</v>
      </c>
      <c r="D3968" s="880" t="s">
        <v>2997</v>
      </c>
    </row>
    <row r="3969" spans="1:4" ht="13.5" x14ac:dyDescent="0.25">
      <c r="A3969" s="878" t="s">
        <v>11127</v>
      </c>
      <c r="B3969" s="878" t="s">
        <v>11128</v>
      </c>
      <c r="C3969" s="879" t="s">
        <v>226</v>
      </c>
      <c r="D3969" s="880" t="s">
        <v>42417</v>
      </c>
    </row>
    <row r="3970" spans="1:4" ht="13.5" x14ac:dyDescent="0.25">
      <c r="A3970" s="878" t="s">
        <v>11129</v>
      </c>
      <c r="B3970" s="878" t="s">
        <v>11130</v>
      </c>
      <c r="C3970" s="879" t="s">
        <v>226</v>
      </c>
      <c r="D3970" s="880" t="s">
        <v>42418</v>
      </c>
    </row>
    <row r="3971" spans="1:4" ht="13.5" x14ac:dyDescent="0.25">
      <c r="A3971" s="878" t="s">
        <v>11131</v>
      </c>
      <c r="B3971" s="878" t="s">
        <v>11132</v>
      </c>
      <c r="C3971" s="879" t="s">
        <v>226</v>
      </c>
      <c r="D3971" s="880" t="s">
        <v>42419</v>
      </c>
    </row>
    <row r="3972" spans="1:4" ht="13.5" x14ac:dyDescent="0.25">
      <c r="A3972" s="878" t="s">
        <v>11133</v>
      </c>
      <c r="B3972" s="878" t="s">
        <v>11134</v>
      </c>
      <c r="C3972" s="879" t="s">
        <v>226</v>
      </c>
      <c r="D3972" s="880" t="s">
        <v>8729</v>
      </c>
    </row>
    <row r="3973" spans="1:4" ht="13.5" x14ac:dyDescent="0.25">
      <c r="A3973" s="878" t="s">
        <v>11136</v>
      </c>
      <c r="B3973" s="878" t="s">
        <v>11137</v>
      </c>
      <c r="C3973" s="879" t="s">
        <v>226</v>
      </c>
      <c r="D3973" s="880" t="s">
        <v>9199</v>
      </c>
    </row>
    <row r="3974" spans="1:4" ht="13.5" x14ac:dyDescent="0.25">
      <c r="A3974" s="878" t="s">
        <v>11138</v>
      </c>
      <c r="B3974" s="878" t="s">
        <v>11139</v>
      </c>
      <c r="C3974" s="879" t="s">
        <v>226</v>
      </c>
      <c r="D3974" s="880" t="s">
        <v>41484</v>
      </c>
    </row>
    <row r="3975" spans="1:4" ht="13.5" x14ac:dyDescent="0.25">
      <c r="A3975" s="878" t="s">
        <v>11140</v>
      </c>
      <c r="B3975" s="878" t="s">
        <v>11141</v>
      </c>
      <c r="C3975" s="879" t="s">
        <v>226</v>
      </c>
      <c r="D3975" s="880" t="s">
        <v>30421</v>
      </c>
    </row>
    <row r="3976" spans="1:4" ht="13.5" x14ac:dyDescent="0.25">
      <c r="A3976" s="878" t="s">
        <v>11142</v>
      </c>
      <c r="B3976" s="878" t="s">
        <v>11143</v>
      </c>
      <c r="C3976" s="879" t="s">
        <v>226</v>
      </c>
      <c r="D3976" s="880" t="s">
        <v>8692</v>
      </c>
    </row>
    <row r="3977" spans="1:4" ht="13.5" x14ac:dyDescent="0.25">
      <c r="A3977" s="878" t="s">
        <v>11144</v>
      </c>
      <c r="B3977" s="878" t="s">
        <v>11145</v>
      </c>
      <c r="C3977" s="879" t="s">
        <v>226</v>
      </c>
      <c r="D3977" s="880" t="s">
        <v>30839</v>
      </c>
    </row>
    <row r="3978" spans="1:4" ht="13.5" x14ac:dyDescent="0.25">
      <c r="A3978" s="878" t="s">
        <v>11146</v>
      </c>
      <c r="B3978" s="878" t="s">
        <v>11147</v>
      </c>
      <c r="C3978" s="879" t="s">
        <v>226</v>
      </c>
      <c r="D3978" s="880" t="s">
        <v>15728</v>
      </c>
    </row>
    <row r="3979" spans="1:4" ht="13.5" x14ac:dyDescent="0.25">
      <c r="A3979" s="878" t="s">
        <v>11148</v>
      </c>
      <c r="B3979" s="878" t="s">
        <v>11149</v>
      </c>
      <c r="C3979" s="879" t="s">
        <v>226</v>
      </c>
      <c r="D3979" s="880" t="s">
        <v>9290</v>
      </c>
    </row>
    <row r="3980" spans="1:4" ht="13.5" x14ac:dyDescent="0.25">
      <c r="A3980" s="878" t="s">
        <v>11150</v>
      </c>
      <c r="B3980" s="878" t="s">
        <v>11151</v>
      </c>
      <c r="C3980" s="879" t="s">
        <v>226</v>
      </c>
      <c r="D3980" s="880" t="s">
        <v>31177</v>
      </c>
    </row>
    <row r="3981" spans="1:4" ht="13.5" x14ac:dyDescent="0.25">
      <c r="A3981" s="878" t="s">
        <v>11152</v>
      </c>
      <c r="B3981" s="878" t="s">
        <v>11153</v>
      </c>
      <c r="C3981" s="879" t="s">
        <v>226</v>
      </c>
      <c r="D3981" s="880" t="s">
        <v>30755</v>
      </c>
    </row>
    <row r="3982" spans="1:4" ht="13.5" x14ac:dyDescent="0.25">
      <c r="A3982" s="878" t="s">
        <v>11154</v>
      </c>
      <c r="B3982" s="878" t="s">
        <v>11155</v>
      </c>
      <c r="C3982" s="879" t="s">
        <v>226</v>
      </c>
      <c r="D3982" s="880" t="s">
        <v>30181</v>
      </c>
    </row>
    <row r="3983" spans="1:4" ht="13.5" x14ac:dyDescent="0.25">
      <c r="A3983" s="878" t="s">
        <v>11156</v>
      </c>
      <c r="B3983" s="878" t="s">
        <v>11157</v>
      </c>
      <c r="C3983" s="879" t="s">
        <v>226</v>
      </c>
      <c r="D3983" s="880" t="s">
        <v>42420</v>
      </c>
    </row>
    <row r="3984" spans="1:4" ht="13.5" x14ac:dyDescent="0.25">
      <c r="A3984" s="878" t="s">
        <v>11158</v>
      </c>
      <c r="B3984" s="878" t="s">
        <v>11159</v>
      </c>
      <c r="C3984" s="879" t="s">
        <v>226</v>
      </c>
      <c r="D3984" s="880" t="s">
        <v>42421</v>
      </c>
    </row>
    <row r="3985" spans="1:4" ht="13.5" x14ac:dyDescent="0.25">
      <c r="A3985" s="878" t="s">
        <v>11160</v>
      </c>
      <c r="B3985" s="878" t="s">
        <v>11161</v>
      </c>
      <c r="C3985" s="879" t="s">
        <v>226</v>
      </c>
      <c r="D3985" s="880" t="s">
        <v>42422</v>
      </c>
    </row>
    <row r="3986" spans="1:4" ht="13.5" x14ac:dyDescent="0.25">
      <c r="A3986" s="878" t="s">
        <v>11162</v>
      </c>
      <c r="B3986" s="878" t="s">
        <v>11163</v>
      </c>
      <c r="C3986" s="879" t="s">
        <v>226</v>
      </c>
      <c r="D3986" s="880" t="s">
        <v>16574</v>
      </c>
    </row>
    <row r="3987" spans="1:4" ht="13.5" x14ac:dyDescent="0.25">
      <c r="A3987" s="878" t="s">
        <v>11164</v>
      </c>
      <c r="B3987" s="878" t="s">
        <v>11165</v>
      </c>
      <c r="C3987" s="879" t="s">
        <v>226</v>
      </c>
      <c r="D3987" s="880" t="s">
        <v>3374</v>
      </c>
    </row>
    <row r="3988" spans="1:4" ht="13.5" x14ac:dyDescent="0.25">
      <c r="A3988" s="878" t="s">
        <v>11166</v>
      </c>
      <c r="B3988" s="878" t="s">
        <v>11167</v>
      </c>
      <c r="C3988" s="879" t="s">
        <v>226</v>
      </c>
      <c r="D3988" s="880" t="s">
        <v>30962</v>
      </c>
    </row>
    <row r="3989" spans="1:4" ht="13.5" x14ac:dyDescent="0.25">
      <c r="A3989" s="878" t="s">
        <v>11168</v>
      </c>
      <c r="B3989" s="878" t="s">
        <v>11169</v>
      </c>
      <c r="C3989" s="879" t="s">
        <v>226</v>
      </c>
      <c r="D3989" s="880" t="s">
        <v>41036</v>
      </c>
    </row>
    <row r="3990" spans="1:4" ht="13.5" x14ac:dyDescent="0.25">
      <c r="A3990" s="878" t="s">
        <v>11171</v>
      </c>
      <c r="B3990" s="878" t="s">
        <v>11172</v>
      </c>
      <c r="C3990" s="879" t="s">
        <v>226</v>
      </c>
      <c r="D3990" s="880" t="s">
        <v>42423</v>
      </c>
    </row>
    <row r="3991" spans="1:4" ht="13.5" x14ac:dyDescent="0.25">
      <c r="A3991" s="878" t="s">
        <v>11173</v>
      </c>
      <c r="B3991" s="878" t="s">
        <v>11174</v>
      </c>
      <c r="C3991" s="879" t="s">
        <v>226</v>
      </c>
      <c r="D3991" s="880" t="s">
        <v>42424</v>
      </c>
    </row>
    <row r="3992" spans="1:4" ht="13.5" x14ac:dyDescent="0.25">
      <c r="A3992" s="878" t="s">
        <v>11175</v>
      </c>
      <c r="B3992" s="878" t="s">
        <v>11176</v>
      </c>
      <c r="C3992" s="879" t="s">
        <v>226</v>
      </c>
      <c r="D3992" s="880" t="s">
        <v>42358</v>
      </c>
    </row>
    <row r="3993" spans="1:4" ht="13.5" x14ac:dyDescent="0.25">
      <c r="A3993" s="878" t="s">
        <v>11177</v>
      </c>
      <c r="B3993" s="878" t="s">
        <v>11178</v>
      </c>
      <c r="C3993" s="879" t="s">
        <v>226</v>
      </c>
      <c r="D3993" s="880" t="s">
        <v>11038</v>
      </c>
    </row>
    <row r="3994" spans="1:4" ht="13.5" x14ac:dyDescent="0.25">
      <c r="A3994" s="878" t="s">
        <v>11179</v>
      </c>
      <c r="B3994" s="878" t="s">
        <v>11180</v>
      </c>
      <c r="C3994" s="879" t="s">
        <v>226</v>
      </c>
      <c r="D3994" s="880" t="s">
        <v>42425</v>
      </c>
    </row>
    <row r="3995" spans="1:4" ht="13.5" x14ac:dyDescent="0.25">
      <c r="A3995" s="878" t="s">
        <v>11181</v>
      </c>
      <c r="B3995" s="878" t="s">
        <v>11182</v>
      </c>
      <c r="C3995" s="879" t="s">
        <v>226</v>
      </c>
      <c r="D3995" s="880" t="s">
        <v>4412</v>
      </c>
    </row>
    <row r="3996" spans="1:4" ht="13.5" x14ac:dyDescent="0.25">
      <c r="A3996" s="878" t="s">
        <v>11183</v>
      </c>
      <c r="B3996" s="878" t="s">
        <v>11184</v>
      </c>
      <c r="C3996" s="879" t="s">
        <v>226</v>
      </c>
      <c r="D3996" s="880" t="s">
        <v>42426</v>
      </c>
    </row>
    <row r="3997" spans="1:4" ht="13.5" x14ac:dyDescent="0.25">
      <c r="A3997" s="878" t="s">
        <v>11185</v>
      </c>
      <c r="B3997" s="878" t="s">
        <v>11186</v>
      </c>
      <c r="C3997" s="879" t="s">
        <v>226</v>
      </c>
      <c r="D3997" s="880" t="s">
        <v>42427</v>
      </c>
    </row>
    <row r="3998" spans="1:4" ht="13.5" x14ac:dyDescent="0.25">
      <c r="A3998" s="878" t="s">
        <v>11187</v>
      </c>
      <c r="B3998" s="878" t="s">
        <v>11188</v>
      </c>
      <c r="C3998" s="879" t="s">
        <v>226</v>
      </c>
      <c r="D3998" s="880" t="s">
        <v>42428</v>
      </c>
    </row>
    <row r="3999" spans="1:4" ht="13.5" x14ac:dyDescent="0.25">
      <c r="A3999" s="878" t="s">
        <v>11189</v>
      </c>
      <c r="B3999" s="878" t="s">
        <v>11190</v>
      </c>
      <c r="C3999" s="879" t="s">
        <v>226</v>
      </c>
      <c r="D3999" s="880" t="s">
        <v>42429</v>
      </c>
    </row>
    <row r="4000" spans="1:4" ht="13.5" x14ac:dyDescent="0.25">
      <c r="A4000" s="878" t="s">
        <v>11191</v>
      </c>
      <c r="B4000" s="878" t="s">
        <v>11192</v>
      </c>
      <c r="C4000" s="879" t="s">
        <v>226</v>
      </c>
      <c r="D4000" s="880" t="s">
        <v>12437</v>
      </c>
    </row>
    <row r="4001" spans="1:4" ht="13.5" x14ac:dyDescent="0.25">
      <c r="A4001" s="878" t="s">
        <v>11193</v>
      </c>
      <c r="B4001" s="878" t="s">
        <v>11194</v>
      </c>
      <c r="C4001" s="879" t="s">
        <v>226</v>
      </c>
      <c r="D4001" s="880" t="s">
        <v>31052</v>
      </c>
    </row>
    <row r="4002" spans="1:4" ht="13.5" x14ac:dyDescent="0.25">
      <c r="A4002" s="878" t="s">
        <v>11195</v>
      </c>
      <c r="B4002" s="878" t="s">
        <v>11196</v>
      </c>
      <c r="C4002" s="879" t="s">
        <v>226</v>
      </c>
      <c r="D4002" s="880" t="s">
        <v>30301</v>
      </c>
    </row>
    <row r="4003" spans="1:4" ht="13.5" x14ac:dyDescent="0.25">
      <c r="A4003" s="878" t="s">
        <v>11197</v>
      </c>
      <c r="B4003" s="878" t="s">
        <v>11198</v>
      </c>
      <c r="C4003" s="879" t="s">
        <v>158</v>
      </c>
      <c r="D4003" s="880" t="s">
        <v>30504</v>
      </c>
    </row>
    <row r="4004" spans="1:4" ht="13.5" x14ac:dyDescent="0.25">
      <c r="A4004" s="878" t="s">
        <v>11199</v>
      </c>
      <c r="B4004" s="878" t="s">
        <v>11200</v>
      </c>
      <c r="C4004" s="879" t="s">
        <v>226</v>
      </c>
      <c r="D4004" s="880" t="s">
        <v>42430</v>
      </c>
    </row>
    <row r="4005" spans="1:4" ht="13.5" x14ac:dyDescent="0.25">
      <c r="A4005" s="878" t="s">
        <v>11201</v>
      </c>
      <c r="B4005" s="878" t="s">
        <v>11202</v>
      </c>
      <c r="C4005" s="879" t="s">
        <v>226</v>
      </c>
      <c r="D4005" s="880" t="s">
        <v>42431</v>
      </c>
    </row>
    <row r="4006" spans="1:4" ht="13.5" x14ac:dyDescent="0.25">
      <c r="A4006" s="878" t="s">
        <v>11203</v>
      </c>
      <c r="B4006" s="878" t="s">
        <v>11204</v>
      </c>
      <c r="C4006" s="879" t="s">
        <v>226</v>
      </c>
      <c r="D4006" s="880" t="s">
        <v>9949</v>
      </c>
    </row>
    <row r="4007" spans="1:4" ht="13.5" x14ac:dyDescent="0.25">
      <c r="A4007" s="878" t="s">
        <v>11206</v>
      </c>
      <c r="B4007" s="878" t="s">
        <v>11207</v>
      </c>
      <c r="C4007" s="879" t="s">
        <v>226</v>
      </c>
      <c r="D4007" s="880" t="s">
        <v>42432</v>
      </c>
    </row>
    <row r="4008" spans="1:4" ht="13.5" x14ac:dyDescent="0.25">
      <c r="A4008" s="878" t="s">
        <v>11208</v>
      </c>
      <c r="B4008" s="878" t="s">
        <v>11209</v>
      </c>
      <c r="C4008" s="879" t="s">
        <v>226</v>
      </c>
      <c r="D4008" s="880" t="s">
        <v>42433</v>
      </c>
    </row>
    <row r="4009" spans="1:4" ht="13.5" x14ac:dyDescent="0.25">
      <c r="A4009" s="878" t="s">
        <v>11210</v>
      </c>
      <c r="B4009" s="878" t="s">
        <v>11211</v>
      </c>
      <c r="C4009" s="879" t="s">
        <v>226</v>
      </c>
      <c r="D4009" s="880" t="s">
        <v>42387</v>
      </c>
    </row>
    <row r="4010" spans="1:4" ht="13.5" x14ac:dyDescent="0.25">
      <c r="A4010" s="878" t="s">
        <v>11213</v>
      </c>
      <c r="B4010" s="878" t="s">
        <v>11214</v>
      </c>
      <c r="C4010" s="879" t="s">
        <v>226</v>
      </c>
      <c r="D4010" s="880" t="s">
        <v>7800</v>
      </c>
    </row>
    <row r="4011" spans="1:4" ht="13.5" x14ac:dyDescent="0.25">
      <c r="A4011" s="878" t="s">
        <v>11216</v>
      </c>
      <c r="B4011" s="878" t="s">
        <v>11217</v>
      </c>
      <c r="C4011" s="879" t="s">
        <v>226</v>
      </c>
      <c r="D4011" s="880" t="s">
        <v>13998</v>
      </c>
    </row>
    <row r="4012" spans="1:4" ht="13.5" x14ac:dyDescent="0.25">
      <c r="A4012" s="878" t="s">
        <v>11218</v>
      </c>
      <c r="B4012" s="878" t="s">
        <v>11219</v>
      </c>
      <c r="C4012" s="879" t="s">
        <v>226</v>
      </c>
      <c r="D4012" s="880" t="s">
        <v>30587</v>
      </c>
    </row>
    <row r="4013" spans="1:4" ht="13.5" x14ac:dyDescent="0.25">
      <c r="A4013" s="878" t="s">
        <v>11220</v>
      </c>
      <c r="B4013" s="878" t="s">
        <v>11221</v>
      </c>
      <c r="C4013" s="879" t="s">
        <v>226</v>
      </c>
      <c r="D4013" s="880" t="s">
        <v>30313</v>
      </c>
    </row>
    <row r="4014" spans="1:4" ht="13.5" x14ac:dyDescent="0.25">
      <c r="A4014" s="878" t="s">
        <v>11222</v>
      </c>
      <c r="B4014" s="878" t="s">
        <v>11223</v>
      </c>
      <c r="C4014" s="879" t="s">
        <v>226</v>
      </c>
      <c r="D4014" s="880" t="s">
        <v>42434</v>
      </c>
    </row>
    <row r="4015" spans="1:4" ht="13.5" x14ac:dyDescent="0.25">
      <c r="A4015" s="878" t="s">
        <v>11224</v>
      </c>
      <c r="B4015" s="878" t="s">
        <v>11225</v>
      </c>
      <c r="C4015" s="879" t="s">
        <v>226</v>
      </c>
      <c r="D4015" s="880" t="s">
        <v>41741</v>
      </c>
    </row>
    <row r="4016" spans="1:4" ht="13.5" x14ac:dyDescent="0.25">
      <c r="A4016" s="878" t="s">
        <v>11226</v>
      </c>
      <c r="B4016" s="878" t="s">
        <v>11227</v>
      </c>
      <c r="C4016" s="879" t="s">
        <v>226</v>
      </c>
      <c r="D4016" s="880" t="s">
        <v>42435</v>
      </c>
    </row>
    <row r="4017" spans="1:4" ht="13.5" x14ac:dyDescent="0.25">
      <c r="A4017" s="878" t="s">
        <v>11228</v>
      </c>
      <c r="B4017" s="878" t="s">
        <v>11229</v>
      </c>
      <c r="C4017" s="879" t="s">
        <v>226</v>
      </c>
      <c r="D4017" s="880" t="s">
        <v>30521</v>
      </c>
    </row>
    <row r="4018" spans="1:4" ht="13.5" x14ac:dyDescent="0.25">
      <c r="A4018" s="878" t="s">
        <v>11230</v>
      </c>
      <c r="B4018" s="878" t="s">
        <v>11231</v>
      </c>
      <c r="C4018" s="879" t="s">
        <v>226</v>
      </c>
      <c r="D4018" s="880" t="s">
        <v>30651</v>
      </c>
    </row>
    <row r="4019" spans="1:4" ht="13.5" x14ac:dyDescent="0.25">
      <c r="A4019" s="878" t="s">
        <v>11232</v>
      </c>
      <c r="B4019" s="878" t="s">
        <v>11233</v>
      </c>
      <c r="C4019" s="879" t="s">
        <v>226</v>
      </c>
      <c r="D4019" s="880" t="s">
        <v>42436</v>
      </c>
    </row>
    <row r="4020" spans="1:4" ht="13.5" x14ac:dyDescent="0.25">
      <c r="A4020" s="878" t="s">
        <v>11234</v>
      </c>
      <c r="B4020" s="878" t="s">
        <v>11235</v>
      </c>
      <c r="C4020" s="879" t="s">
        <v>226</v>
      </c>
      <c r="D4020" s="880" t="s">
        <v>42437</v>
      </c>
    </row>
    <row r="4021" spans="1:4" ht="13.5" x14ac:dyDescent="0.25">
      <c r="A4021" s="878" t="s">
        <v>11236</v>
      </c>
      <c r="B4021" s="878" t="s">
        <v>11237</v>
      </c>
      <c r="C4021" s="879" t="s">
        <v>226</v>
      </c>
      <c r="D4021" s="880" t="s">
        <v>42438</v>
      </c>
    </row>
    <row r="4022" spans="1:4" ht="13.5" x14ac:dyDescent="0.25">
      <c r="A4022" s="878" t="s">
        <v>11238</v>
      </c>
      <c r="B4022" s="878" t="s">
        <v>11239</v>
      </c>
      <c r="C4022" s="879" t="s">
        <v>226</v>
      </c>
      <c r="D4022" s="880" t="s">
        <v>42439</v>
      </c>
    </row>
    <row r="4023" spans="1:4" ht="13.5" x14ac:dyDescent="0.25">
      <c r="A4023" s="878" t="s">
        <v>11240</v>
      </c>
      <c r="B4023" s="878" t="s">
        <v>11241</v>
      </c>
      <c r="C4023" s="879" t="s">
        <v>226</v>
      </c>
      <c r="D4023" s="880" t="s">
        <v>30546</v>
      </c>
    </row>
    <row r="4024" spans="1:4" ht="13.5" x14ac:dyDescent="0.25">
      <c r="A4024" s="878" t="s">
        <v>11242</v>
      </c>
      <c r="B4024" s="878" t="s">
        <v>11243</v>
      </c>
      <c r="C4024" s="879" t="s">
        <v>226</v>
      </c>
      <c r="D4024" s="880" t="s">
        <v>42440</v>
      </c>
    </row>
    <row r="4025" spans="1:4" ht="13.5" x14ac:dyDescent="0.25">
      <c r="A4025" s="878" t="s">
        <v>11245</v>
      </c>
      <c r="B4025" s="878" t="s">
        <v>11246</v>
      </c>
      <c r="C4025" s="879" t="s">
        <v>226</v>
      </c>
      <c r="D4025" s="880" t="s">
        <v>42441</v>
      </c>
    </row>
    <row r="4026" spans="1:4" ht="13.5" x14ac:dyDescent="0.25">
      <c r="A4026" s="878" t="s">
        <v>11247</v>
      </c>
      <c r="B4026" s="878" t="s">
        <v>11248</v>
      </c>
      <c r="C4026" s="879" t="s">
        <v>226</v>
      </c>
      <c r="D4026" s="880" t="s">
        <v>42442</v>
      </c>
    </row>
    <row r="4027" spans="1:4" ht="13.5" x14ac:dyDescent="0.25">
      <c r="A4027" s="878" t="s">
        <v>11249</v>
      </c>
      <c r="B4027" s="878" t="s">
        <v>11250</v>
      </c>
      <c r="C4027" s="879" t="s">
        <v>226</v>
      </c>
      <c r="D4027" s="880" t="s">
        <v>30828</v>
      </c>
    </row>
    <row r="4028" spans="1:4" ht="13.5" x14ac:dyDescent="0.25">
      <c r="A4028" s="878" t="s">
        <v>11252</v>
      </c>
      <c r="B4028" s="878" t="s">
        <v>11253</v>
      </c>
      <c r="C4028" s="879" t="s">
        <v>226</v>
      </c>
      <c r="D4028" s="880" t="s">
        <v>42314</v>
      </c>
    </row>
    <row r="4029" spans="1:4" ht="13.5" x14ac:dyDescent="0.25">
      <c r="A4029" s="878" t="s">
        <v>11255</v>
      </c>
      <c r="B4029" s="878" t="s">
        <v>11256</v>
      </c>
      <c r="C4029" s="879" t="s">
        <v>226</v>
      </c>
      <c r="D4029" s="880" t="s">
        <v>30629</v>
      </c>
    </row>
    <row r="4030" spans="1:4" ht="13.5" x14ac:dyDescent="0.25">
      <c r="A4030" s="878" t="s">
        <v>11257</v>
      </c>
      <c r="B4030" s="878" t="s">
        <v>11258</v>
      </c>
      <c r="C4030" s="879" t="s">
        <v>226</v>
      </c>
      <c r="D4030" s="880" t="s">
        <v>30981</v>
      </c>
    </row>
    <row r="4031" spans="1:4" ht="13.5" x14ac:dyDescent="0.25">
      <c r="A4031" s="878" t="s">
        <v>11259</v>
      </c>
      <c r="B4031" s="878" t="s">
        <v>11260</v>
      </c>
      <c r="C4031" s="879" t="s">
        <v>226</v>
      </c>
      <c r="D4031" s="880" t="s">
        <v>11000</v>
      </c>
    </row>
    <row r="4032" spans="1:4" ht="13.5" x14ac:dyDescent="0.25">
      <c r="A4032" s="878" t="s">
        <v>11261</v>
      </c>
      <c r="B4032" s="878" t="s">
        <v>11262</v>
      </c>
      <c r="C4032" s="879" t="s">
        <v>226</v>
      </c>
      <c r="D4032" s="880" t="s">
        <v>40611</v>
      </c>
    </row>
    <row r="4033" spans="1:4" ht="13.5" x14ac:dyDescent="0.25">
      <c r="A4033" s="878" t="s">
        <v>11263</v>
      </c>
      <c r="B4033" s="878" t="s">
        <v>11264</v>
      </c>
      <c r="C4033" s="879" t="s">
        <v>226</v>
      </c>
      <c r="D4033" s="880" t="s">
        <v>31376</v>
      </c>
    </row>
    <row r="4034" spans="1:4" ht="13.5" x14ac:dyDescent="0.25">
      <c r="A4034" s="878" t="s">
        <v>11266</v>
      </c>
      <c r="B4034" s="878" t="s">
        <v>11267</v>
      </c>
      <c r="C4034" s="879" t="s">
        <v>226</v>
      </c>
      <c r="D4034" s="880" t="s">
        <v>30469</v>
      </c>
    </row>
    <row r="4035" spans="1:4" ht="13.5" x14ac:dyDescent="0.25">
      <c r="A4035" s="878" t="s">
        <v>11269</v>
      </c>
      <c r="B4035" s="878" t="s">
        <v>11270</v>
      </c>
      <c r="C4035" s="879" t="s">
        <v>226</v>
      </c>
      <c r="D4035" s="880" t="s">
        <v>16713</v>
      </c>
    </row>
    <row r="4036" spans="1:4" ht="13.5" x14ac:dyDescent="0.25">
      <c r="A4036" s="878" t="s">
        <v>11272</v>
      </c>
      <c r="B4036" s="878" t="s">
        <v>11273</v>
      </c>
      <c r="C4036" s="879" t="s">
        <v>226</v>
      </c>
      <c r="D4036" s="880" t="s">
        <v>30978</v>
      </c>
    </row>
    <row r="4037" spans="1:4" ht="13.5" x14ac:dyDescent="0.25">
      <c r="A4037" s="878" t="s">
        <v>11274</v>
      </c>
      <c r="B4037" s="878" t="s">
        <v>11275</v>
      </c>
      <c r="C4037" s="879" t="s">
        <v>226</v>
      </c>
      <c r="D4037" s="880" t="s">
        <v>30515</v>
      </c>
    </row>
    <row r="4038" spans="1:4" ht="13.5" x14ac:dyDescent="0.25">
      <c r="A4038" s="878" t="s">
        <v>11276</v>
      </c>
      <c r="B4038" s="878" t="s">
        <v>11277</v>
      </c>
      <c r="C4038" s="879" t="s">
        <v>226</v>
      </c>
      <c r="D4038" s="880" t="s">
        <v>6368</v>
      </c>
    </row>
    <row r="4039" spans="1:4" ht="13.5" x14ac:dyDescent="0.25">
      <c r="A4039" s="878" t="s">
        <v>11278</v>
      </c>
      <c r="B4039" s="878" t="s">
        <v>11279</v>
      </c>
      <c r="C4039" s="879" t="s">
        <v>226</v>
      </c>
      <c r="D4039" s="880" t="s">
        <v>30334</v>
      </c>
    </row>
    <row r="4040" spans="1:4" ht="13.5" x14ac:dyDescent="0.25">
      <c r="A4040" s="878" t="s">
        <v>11280</v>
      </c>
      <c r="B4040" s="878" t="s">
        <v>11281</v>
      </c>
      <c r="C4040" s="879" t="s">
        <v>226</v>
      </c>
      <c r="D4040" s="880" t="s">
        <v>31041</v>
      </c>
    </row>
    <row r="4041" spans="1:4" ht="13.5" x14ac:dyDescent="0.25">
      <c r="A4041" s="878" t="s">
        <v>11282</v>
      </c>
      <c r="B4041" s="878" t="s">
        <v>11283</v>
      </c>
      <c r="C4041" s="879" t="s">
        <v>226</v>
      </c>
      <c r="D4041" s="880" t="s">
        <v>42443</v>
      </c>
    </row>
    <row r="4042" spans="1:4" ht="13.5" x14ac:dyDescent="0.25">
      <c r="A4042" s="878" t="s">
        <v>11284</v>
      </c>
      <c r="B4042" s="878" t="s">
        <v>11285</v>
      </c>
      <c r="C4042" s="879" t="s">
        <v>226</v>
      </c>
      <c r="D4042" s="880" t="s">
        <v>42444</v>
      </c>
    </row>
    <row r="4043" spans="1:4" ht="13.5" x14ac:dyDescent="0.25">
      <c r="A4043" s="878" t="s">
        <v>11287</v>
      </c>
      <c r="B4043" s="878" t="s">
        <v>11288</v>
      </c>
      <c r="C4043" s="879" t="s">
        <v>226</v>
      </c>
      <c r="D4043" s="880" t="s">
        <v>12022</v>
      </c>
    </row>
    <row r="4044" spans="1:4" ht="13.5" x14ac:dyDescent="0.25">
      <c r="A4044" s="878" t="s">
        <v>11289</v>
      </c>
      <c r="B4044" s="878" t="s">
        <v>11290</v>
      </c>
      <c r="C4044" s="879" t="s">
        <v>226</v>
      </c>
      <c r="D4044" s="880" t="s">
        <v>42026</v>
      </c>
    </row>
    <row r="4045" spans="1:4" ht="13.5" x14ac:dyDescent="0.25">
      <c r="A4045" s="878" t="s">
        <v>11291</v>
      </c>
      <c r="B4045" s="878" t="s">
        <v>11292</v>
      </c>
      <c r="C4045" s="879" t="s">
        <v>226</v>
      </c>
      <c r="D4045" s="880" t="s">
        <v>42445</v>
      </c>
    </row>
    <row r="4046" spans="1:4" ht="13.5" x14ac:dyDescent="0.25">
      <c r="A4046" s="878" t="s">
        <v>11293</v>
      </c>
      <c r="B4046" s="878" t="s">
        <v>11294</v>
      </c>
      <c r="C4046" s="879" t="s">
        <v>226</v>
      </c>
      <c r="D4046" s="880" t="s">
        <v>42446</v>
      </c>
    </row>
    <row r="4047" spans="1:4" ht="13.5" x14ac:dyDescent="0.25">
      <c r="A4047" s="878" t="s">
        <v>11296</v>
      </c>
      <c r="B4047" s="878" t="s">
        <v>11297</v>
      </c>
      <c r="C4047" s="879" t="s">
        <v>226</v>
      </c>
      <c r="D4047" s="880" t="s">
        <v>12741</v>
      </c>
    </row>
    <row r="4048" spans="1:4" ht="13.5" x14ac:dyDescent="0.25">
      <c r="A4048" s="878" t="s">
        <v>11298</v>
      </c>
      <c r="B4048" s="878" t="s">
        <v>11299</v>
      </c>
      <c r="C4048" s="879" t="s">
        <v>226</v>
      </c>
      <c r="D4048" s="880" t="s">
        <v>11560</v>
      </c>
    </row>
    <row r="4049" spans="1:4" ht="13.5" x14ac:dyDescent="0.25">
      <c r="A4049" s="878" t="s">
        <v>11300</v>
      </c>
      <c r="B4049" s="878" t="s">
        <v>11301</v>
      </c>
      <c r="C4049" s="879" t="s">
        <v>226</v>
      </c>
      <c r="D4049" s="880" t="s">
        <v>42447</v>
      </c>
    </row>
    <row r="4050" spans="1:4" ht="13.5" x14ac:dyDescent="0.25">
      <c r="A4050" s="878" t="s">
        <v>11302</v>
      </c>
      <c r="B4050" s="878" t="s">
        <v>11303</v>
      </c>
      <c r="C4050" s="879" t="s">
        <v>226</v>
      </c>
      <c r="D4050" s="880" t="s">
        <v>42448</v>
      </c>
    </row>
    <row r="4051" spans="1:4" ht="13.5" x14ac:dyDescent="0.25">
      <c r="A4051" s="878" t="s">
        <v>11304</v>
      </c>
      <c r="B4051" s="878" t="s">
        <v>11305</v>
      </c>
      <c r="C4051" s="879" t="s">
        <v>226</v>
      </c>
      <c r="D4051" s="880" t="s">
        <v>42449</v>
      </c>
    </row>
    <row r="4052" spans="1:4" ht="13.5" x14ac:dyDescent="0.25">
      <c r="A4052" s="878" t="s">
        <v>11306</v>
      </c>
      <c r="B4052" s="878" t="s">
        <v>11307</v>
      </c>
      <c r="C4052" s="879" t="s">
        <v>226</v>
      </c>
      <c r="D4052" s="880" t="s">
        <v>31335</v>
      </c>
    </row>
    <row r="4053" spans="1:4" ht="13.5" x14ac:dyDescent="0.25">
      <c r="A4053" s="878" t="s">
        <v>11308</v>
      </c>
      <c r="B4053" s="878" t="s">
        <v>11309</v>
      </c>
      <c r="C4053" s="879" t="s">
        <v>226</v>
      </c>
      <c r="D4053" s="880" t="s">
        <v>30823</v>
      </c>
    </row>
    <row r="4054" spans="1:4" ht="13.5" x14ac:dyDescent="0.25">
      <c r="A4054" s="878" t="s">
        <v>11310</v>
      </c>
      <c r="B4054" s="878" t="s">
        <v>11311</v>
      </c>
      <c r="C4054" s="879" t="s">
        <v>226</v>
      </c>
      <c r="D4054" s="880" t="s">
        <v>42450</v>
      </c>
    </row>
    <row r="4055" spans="1:4" ht="13.5" x14ac:dyDescent="0.25">
      <c r="A4055" s="878" t="s">
        <v>11313</v>
      </c>
      <c r="B4055" s="878" t="s">
        <v>11314</v>
      </c>
      <c r="C4055" s="879" t="s">
        <v>226</v>
      </c>
      <c r="D4055" s="880" t="s">
        <v>30331</v>
      </c>
    </row>
    <row r="4056" spans="1:4" ht="13.5" x14ac:dyDescent="0.25">
      <c r="A4056" s="878" t="s">
        <v>11315</v>
      </c>
      <c r="B4056" s="878" t="s">
        <v>11316</v>
      </c>
      <c r="C4056" s="879" t="s">
        <v>226</v>
      </c>
      <c r="D4056" s="880" t="s">
        <v>31188</v>
      </c>
    </row>
    <row r="4057" spans="1:4" ht="13.5" x14ac:dyDescent="0.25">
      <c r="A4057" s="878" t="s">
        <v>11317</v>
      </c>
      <c r="B4057" s="878" t="s">
        <v>11318</v>
      </c>
      <c r="C4057" s="879" t="s">
        <v>226</v>
      </c>
      <c r="D4057" s="880" t="s">
        <v>42451</v>
      </c>
    </row>
    <row r="4058" spans="1:4" ht="13.5" x14ac:dyDescent="0.25">
      <c r="A4058" s="878" t="s">
        <v>11319</v>
      </c>
      <c r="B4058" s="878" t="s">
        <v>11320</v>
      </c>
      <c r="C4058" s="879" t="s">
        <v>226</v>
      </c>
      <c r="D4058" s="880" t="s">
        <v>30624</v>
      </c>
    </row>
    <row r="4059" spans="1:4" ht="13.5" x14ac:dyDescent="0.25">
      <c r="A4059" s="878" t="s">
        <v>11321</v>
      </c>
      <c r="B4059" s="878" t="s">
        <v>11322</v>
      </c>
      <c r="C4059" s="879" t="s">
        <v>226</v>
      </c>
      <c r="D4059" s="880" t="s">
        <v>42452</v>
      </c>
    </row>
    <row r="4060" spans="1:4" ht="13.5" x14ac:dyDescent="0.25">
      <c r="A4060" s="878" t="s">
        <v>11323</v>
      </c>
      <c r="B4060" s="878" t="s">
        <v>11324</v>
      </c>
      <c r="C4060" s="879" t="s">
        <v>226</v>
      </c>
      <c r="D4060" s="880" t="s">
        <v>42453</v>
      </c>
    </row>
    <row r="4061" spans="1:4" ht="13.5" x14ac:dyDescent="0.25">
      <c r="A4061" s="878" t="s">
        <v>11325</v>
      </c>
      <c r="B4061" s="878" t="s">
        <v>11326</v>
      </c>
      <c r="C4061" s="879" t="s">
        <v>226</v>
      </c>
      <c r="D4061" s="880" t="s">
        <v>42454</v>
      </c>
    </row>
    <row r="4062" spans="1:4" ht="13.5" x14ac:dyDescent="0.25">
      <c r="A4062" s="878" t="s">
        <v>11327</v>
      </c>
      <c r="B4062" s="878" t="s">
        <v>11328</v>
      </c>
      <c r="C4062" s="879" t="s">
        <v>226</v>
      </c>
      <c r="D4062" s="880" t="s">
        <v>42455</v>
      </c>
    </row>
    <row r="4063" spans="1:4" ht="13.5" x14ac:dyDescent="0.25">
      <c r="A4063" s="878" t="s">
        <v>11329</v>
      </c>
      <c r="B4063" s="878" t="s">
        <v>11330</v>
      </c>
      <c r="C4063" s="879" t="s">
        <v>226</v>
      </c>
      <c r="D4063" s="880" t="s">
        <v>42456</v>
      </c>
    </row>
    <row r="4064" spans="1:4" ht="13.5" x14ac:dyDescent="0.25">
      <c r="A4064" s="878" t="s">
        <v>11331</v>
      </c>
      <c r="B4064" s="878" t="s">
        <v>11332</v>
      </c>
      <c r="C4064" s="879" t="s">
        <v>226</v>
      </c>
      <c r="D4064" s="880" t="s">
        <v>42457</v>
      </c>
    </row>
    <row r="4065" spans="1:4" ht="13.5" x14ac:dyDescent="0.25">
      <c r="A4065" s="878" t="s">
        <v>11333</v>
      </c>
      <c r="B4065" s="878" t="s">
        <v>11334</v>
      </c>
      <c r="C4065" s="879" t="s">
        <v>226</v>
      </c>
      <c r="D4065" s="880" t="s">
        <v>42458</v>
      </c>
    </row>
    <row r="4066" spans="1:4" ht="13.5" x14ac:dyDescent="0.25">
      <c r="A4066" s="878" t="s">
        <v>11335</v>
      </c>
      <c r="B4066" s="878" t="s">
        <v>11336</v>
      </c>
      <c r="C4066" s="879" t="s">
        <v>226</v>
      </c>
      <c r="D4066" s="880" t="s">
        <v>42459</v>
      </c>
    </row>
    <row r="4067" spans="1:4" ht="13.5" x14ac:dyDescent="0.25">
      <c r="A4067" s="878" t="s">
        <v>11337</v>
      </c>
      <c r="B4067" s="878" t="s">
        <v>11338</v>
      </c>
      <c r="C4067" s="879" t="s">
        <v>226</v>
      </c>
      <c r="D4067" s="880" t="s">
        <v>30371</v>
      </c>
    </row>
    <row r="4068" spans="1:4" ht="13.5" x14ac:dyDescent="0.25">
      <c r="A4068" s="878" t="s">
        <v>11339</v>
      </c>
      <c r="B4068" s="878" t="s">
        <v>11340</v>
      </c>
      <c r="C4068" s="879" t="s">
        <v>226</v>
      </c>
      <c r="D4068" s="880" t="s">
        <v>42460</v>
      </c>
    </row>
    <row r="4069" spans="1:4" ht="13.5" x14ac:dyDescent="0.25">
      <c r="A4069" s="878" t="s">
        <v>11341</v>
      </c>
      <c r="B4069" s="878" t="s">
        <v>11342</v>
      </c>
      <c r="C4069" s="879" t="s">
        <v>226</v>
      </c>
      <c r="D4069" s="880" t="s">
        <v>42461</v>
      </c>
    </row>
    <row r="4070" spans="1:4" ht="13.5" x14ac:dyDescent="0.25">
      <c r="A4070" s="878" t="s">
        <v>11343</v>
      </c>
      <c r="B4070" s="878" t="s">
        <v>11344</v>
      </c>
      <c r="C4070" s="879" t="s">
        <v>226</v>
      </c>
      <c r="D4070" s="880" t="s">
        <v>42462</v>
      </c>
    </row>
    <row r="4071" spans="1:4" ht="13.5" x14ac:dyDescent="0.25">
      <c r="A4071" s="878" t="s">
        <v>11345</v>
      </c>
      <c r="B4071" s="878" t="s">
        <v>11346</v>
      </c>
      <c r="C4071" s="879" t="s">
        <v>226</v>
      </c>
      <c r="D4071" s="880" t="s">
        <v>42463</v>
      </c>
    </row>
    <row r="4072" spans="1:4" ht="13.5" x14ac:dyDescent="0.25">
      <c r="A4072" s="878" t="s">
        <v>11347</v>
      </c>
      <c r="B4072" s="878" t="s">
        <v>11348</v>
      </c>
      <c r="C4072" s="879" t="s">
        <v>226</v>
      </c>
      <c r="D4072" s="880" t="s">
        <v>42464</v>
      </c>
    </row>
    <row r="4073" spans="1:4" ht="13.5" x14ac:dyDescent="0.25">
      <c r="A4073" s="878" t="s">
        <v>11349</v>
      </c>
      <c r="B4073" s="878" t="s">
        <v>11350</v>
      </c>
      <c r="C4073" s="879" t="s">
        <v>226</v>
      </c>
      <c r="D4073" s="880" t="s">
        <v>42465</v>
      </c>
    </row>
    <row r="4074" spans="1:4" ht="13.5" x14ac:dyDescent="0.25">
      <c r="A4074" s="878" t="s">
        <v>11351</v>
      </c>
      <c r="B4074" s="878" t="s">
        <v>11352</v>
      </c>
      <c r="C4074" s="879" t="s">
        <v>226</v>
      </c>
      <c r="D4074" s="880" t="s">
        <v>31128</v>
      </c>
    </row>
    <row r="4075" spans="1:4" ht="13.5" x14ac:dyDescent="0.25">
      <c r="A4075" s="878" t="s">
        <v>11353</v>
      </c>
      <c r="B4075" s="878" t="s">
        <v>11354</v>
      </c>
      <c r="C4075" s="879" t="s">
        <v>226</v>
      </c>
      <c r="D4075" s="880" t="s">
        <v>42466</v>
      </c>
    </row>
    <row r="4076" spans="1:4" ht="13.5" x14ac:dyDescent="0.25">
      <c r="A4076" s="878" t="s">
        <v>11355</v>
      </c>
      <c r="B4076" s="878" t="s">
        <v>11356</v>
      </c>
      <c r="C4076" s="879" t="s">
        <v>226</v>
      </c>
      <c r="D4076" s="880" t="s">
        <v>42467</v>
      </c>
    </row>
    <row r="4077" spans="1:4" ht="13.5" x14ac:dyDescent="0.25">
      <c r="A4077" s="878" t="s">
        <v>11357</v>
      </c>
      <c r="B4077" s="878" t="s">
        <v>11358</v>
      </c>
      <c r="C4077" s="879" t="s">
        <v>226</v>
      </c>
      <c r="D4077" s="880" t="s">
        <v>42468</v>
      </c>
    </row>
    <row r="4078" spans="1:4" ht="13.5" x14ac:dyDescent="0.25">
      <c r="A4078" s="878" t="s">
        <v>11359</v>
      </c>
      <c r="B4078" s="878" t="s">
        <v>11360</v>
      </c>
      <c r="C4078" s="879" t="s">
        <v>226</v>
      </c>
      <c r="D4078" s="880" t="s">
        <v>42469</v>
      </c>
    </row>
    <row r="4079" spans="1:4" ht="13.5" x14ac:dyDescent="0.25">
      <c r="A4079" s="878" t="s">
        <v>11362</v>
      </c>
      <c r="B4079" s="878" t="s">
        <v>11363</v>
      </c>
      <c r="C4079" s="879" t="s">
        <v>226</v>
      </c>
      <c r="D4079" s="880" t="s">
        <v>30501</v>
      </c>
    </row>
    <row r="4080" spans="1:4" ht="13.5" x14ac:dyDescent="0.25">
      <c r="A4080" s="878" t="s">
        <v>11364</v>
      </c>
      <c r="B4080" s="878" t="s">
        <v>11365</v>
      </c>
      <c r="C4080" s="879" t="s">
        <v>226</v>
      </c>
      <c r="D4080" s="880" t="s">
        <v>42470</v>
      </c>
    </row>
    <row r="4081" spans="1:4" ht="13.5" x14ac:dyDescent="0.25">
      <c r="A4081" s="878" t="s">
        <v>11366</v>
      </c>
      <c r="B4081" s="878" t="s">
        <v>11367</v>
      </c>
      <c r="C4081" s="879" t="s">
        <v>226</v>
      </c>
      <c r="D4081" s="880" t="s">
        <v>42471</v>
      </c>
    </row>
    <row r="4082" spans="1:4" ht="13.5" x14ac:dyDescent="0.25">
      <c r="A4082" s="878" t="s">
        <v>11368</v>
      </c>
      <c r="B4082" s="878" t="s">
        <v>11369</v>
      </c>
      <c r="C4082" s="879" t="s">
        <v>226</v>
      </c>
      <c r="D4082" s="880" t="s">
        <v>3570</v>
      </c>
    </row>
    <row r="4083" spans="1:4" ht="13.5" x14ac:dyDescent="0.25">
      <c r="A4083" s="878" t="s">
        <v>11370</v>
      </c>
      <c r="B4083" s="878" t="s">
        <v>11371</v>
      </c>
      <c r="C4083" s="879" t="s">
        <v>226</v>
      </c>
      <c r="D4083" s="880" t="s">
        <v>10847</v>
      </c>
    </row>
    <row r="4084" spans="1:4" ht="13.5" x14ac:dyDescent="0.25">
      <c r="A4084" s="878" t="s">
        <v>11372</v>
      </c>
      <c r="B4084" s="878" t="s">
        <v>11373</v>
      </c>
      <c r="C4084" s="879" t="s">
        <v>226</v>
      </c>
      <c r="D4084" s="880" t="s">
        <v>42323</v>
      </c>
    </row>
    <row r="4085" spans="1:4" ht="13.5" x14ac:dyDescent="0.25">
      <c r="A4085" s="878" t="s">
        <v>11374</v>
      </c>
      <c r="B4085" s="878" t="s">
        <v>11375</v>
      </c>
      <c r="C4085" s="879" t="s">
        <v>226</v>
      </c>
      <c r="D4085" s="880" t="s">
        <v>8177</v>
      </c>
    </row>
    <row r="4086" spans="1:4" ht="13.5" x14ac:dyDescent="0.25">
      <c r="A4086" s="878" t="s">
        <v>11376</v>
      </c>
      <c r="B4086" s="878" t="s">
        <v>11377</v>
      </c>
      <c r="C4086" s="879" t="s">
        <v>226</v>
      </c>
      <c r="D4086" s="880" t="s">
        <v>42472</v>
      </c>
    </row>
    <row r="4087" spans="1:4" ht="13.5" x14ac:dyDescent="0.25">
      <c r="A4087" s="878" t="s">
        <v>11378</v>
      </c>
      <c r="B4087" s="878" t="s">
        <v>11379</v>
      </c>
      <c r="C4087" s="879" t="s">
        <v>226</v>
      </c>
      <c r="D4087" s="880" t="s">
        <v>30372</v>
      </c>
    </row>
    <row r="4088" spans="1:4" ht="13.5" x14ac:dyDescent="0.25">
      <c r="A4088" s="878" t="s">
        <v>11380</v>
      </c>
      <c r="B4088" s="878" t="s">
        <v>11381</v>
      </c>
      <c r="C4088" s="879" t="s">
        <v>226</v>
      </c>
      <c r="D4088" s="880" t="s">
        <v>11809</v>
      </c>
    </row>
    <row r="4089" spans="1:4" ht="13.5" x14ac:dyDescent="0.25">
      <c r="A4089" s="878" t="s">
        <v>11383</v>
      </c>
      <c r="B4089" s="878" t="s">
        <v>11384</v>
      </c>
      <c r="C4089" s="879" t="s">
        <v>226</v>
      </c>
      <c r="D4089" s="880" t="s">
        <v>42473</v>
      </c>
    </row>
    <row r="4090" spans="1:4" ht="13.5" x14ac:dyDescent="0.25">
      <c r="A4090" s="878" t="s">
        <v>11385</v>
      </c>
      <c r="B4090" s="878" t="s">
        <v>11386</v>
      </c>
      <c r="C4090" s="879" t="s">
        <v>226</v>
      </c>
      <c r="D4090" s="880" t="s">
        <v>15320</v>
      </c>
    </row>
    <row r="4091" spans="1:4" ht="13.5" x14ac:dyDescent="0.25">
      <c r="A4091" s="878" t="s">
        <v>11388</v>
      </c>
      <c r="B4091" s="878" t="s">
        <v>11389</v>
      </c>
      <c r="C4091" s="879" t="s">
        <v>226</v>
      </c>
      <c r="D4091" s="880" t="s">
        <v>42418</v>
      </c>
    </row>
    <row r="4092" spans="1:4" ht="13.5" x14ac:dyDescent="0.25">
      <c r="A4092" s="878" t="s">
        <v>11390</v>
      </c>
      <c r="B4092" s="878" t="s">
        <v>11391</v>
      </c>
      <c r="C4092" s="879" t="s">
        <v>226</v>
      </c>
      <c r="D4092" s="880" t="s">
        <v>42474</v>
      </c>
    </row>
    <row r="4093" spans="1:4" ht="13.5" x14ac:dyDescent="0.25">
      <c r="A4093" s="878" t="s">
        <v>11392</v>
      </c>
      <c r="B4093" s="878" t="s">
        <v>11393</v>
      </c>
      <c r="C4093" s="879" t="s">
        <v>226</v>
      </c>
      <c r="D4093" s="880" t="s">
        <v>42475</v>
      </c>
    </row>
    <row r="4094" spans="1:4" ht="13.5" x14ac:dyDescent="0.25">
      <c r="A4094" s="878" t="s">
        <v>11394</v>
      </c>
      <c r="B4094" s="878" t="s">
        <v>11395</v>
      </c>
      <c r="C4094" s="879" t="s">
        <v>226</v>
      </c>
      <c r="D4094" s="880" t="s">
        <v>42476</v>
      </c>
    </row>
    <row r="4095" spans="1:4" ht="13.5" x14ac:dyDescent="0.25">
      <c r="A4095" s="878" t="s">
        <v>11396</v>
      </c>
      <c r="B4095" s="878" t="s">
        <v>11397</v>
      </c>
      <c r="C4095" s="879" t="s">
        <v>226</v>
      </c>
      <c r="D4095" s="880" t="s">
        <v>42477</v>
      </c>
    </row>
    <row r="4096" spans="1:4" ht="13.5" x14ac:dyDescent="0.25">
      <c r="A4096" s="878" t="s">
        <v>11398</v>
      </c>
      <c r="B4096" s="878" t="s">
        <v>11399</v>
      </c>
      <c r="C4096" s="879" t="s">
        <v>226</v>
      </c>
      <c r="D4096" s="880" t="s">
        <v>9796</v>
      </c>
    </row>
    <row r="4097" spans="1:4" ht="13.5" x14ac:dyDescent="0.25">
      <c r="A4097" s="878" t="s">
        <v>11400</v>
      </c>
      <c r="B4097" s="878" t="s">
        <v>11401</v>
      </c>
      <c r="C4097" s="879" t="s">
        <v>226</v>
      </c>
      <c r="D4097" s="880" t="s">
        <v>42478</v>
      </c>
    </row>
    <row r="4098" spans="1:4" ht="13.5" x14ac:dyDescent="0.25">
      <c r="A4098" s="878" t="s">
        <v>11403</v>
      </c>
      <c r="B4098" s="878" t="s">
        <v>11404</v>
      </c>
      <c r="C4098" s="879" t="s">
        <v>226</v>
      </c>
      <c r="D4098" s="880" t="s">
        <v>42479</v>
      </c>
    </row>
    <row r="4099" spans="1:4" ht="13.5" x14ac:dyDescent="0.25">
      <c r="A4099" s="878" t="s">
        <v>11405</v>
      </c>
      <c r="B4099" s="878" t="s">
        <v>11406</v>
      </c>
      <c r="C4099" s="879" t="s">
        <v>226</v>
      </c>
      <c r="D4099" s="880" t="s">
        <v>40343</v>
      </c>
    </row>
    <row r="4100" spans="1:4" ht="13.5" x14ac:dyDescent="0.25">
      <c r="A4100" s="878" t="s">
        <v>11407</v>
      </c>
      <c r="B4100" s="878" t="s">
        <v>11408</v>
      </c>
      <c r="C4100" s="879" t="s">
        <v>226</v>
      </c>
      <c r="D4100" s="880" t="s">
        <v>42480</v>
      </c>
    </row>
    <row r="4101" spans="1:4" ht="13.5" x14ac:dyDescent="0.25">
      <c r="A4101" s="878" t="s">
        <v>11409</v>
      </c>
      <c r="B4101" s="878" t="s">
        <v>11410</v>
      </c>
      <c r="C4101" s="879" t="s">
        <v>226</v>
      </c>
      <c r="D4101" s="880" t="s">
        <v>42481</v>
      </c>
    </row>
    <row r="4102" spans="1:4" ht="13.5" x14ac:dyDescent="0.25">
      <c r="A4102" s="878" t="s">
        <v>11411</v>
      </c>
      <c r="B4102" s="878" t="s">
        <v>11412</v>
      </c>
      <c r="C4102" s="879" t="s">
        <v>226</v>
      </c>
      <c r="D4102" s="880" t="s">
        <v>42482</v>
      </c>
    </row>
    <row r="4103" spans="1:4" ht="13.5" x14ac:dyDescent="0.25">
      <c r="A4103" s="878" t="s">
        <v>11413</v>
      </c>
      <c r="B4103" s="878" t="s">
        <v>11414</v>
      </c>
      <c r="C4103" s="879" t="s">
        <v>226</v>
      </c>
      <c r="D4103" s="880" t="s">
        <v>30346</v>
      </c>
    </row>
    <row r="4104" spans="1:4" ht="13.5" x14ac:dyDescent="0.25">
      <c r="A4104" s="878" t="s">
        <v>11415</v>
      </c>
      <c r="B4104" s="878" t="s">
        <v>11416</v>
      </c>
      <c r="C4104" s="879" t="s">
        <v>226</v>
      </c>
      <c r="D4104" s="880" t="s">
        <v>42483</v>
      </c>
    </row>
    <row r="4105" spans="1:4" ht="13.5" x14ac:dyDescent="0.25">
      <c r="A4105" s="878" t="s">
        <v>11417</v>
      </c>
      <c r="B4105" s="878" t="s">
        <v>11418</v>
      </c>
      <c r="C4105" s="879" t="s">
        <v>226</v>
      </c>
      <c r="D4105" s="880" t="s">
        <v>42484</v>
      </c>
    </row>
    <row r="4106" spans="1:4" ht="13.5" x14ac:dyDescent="0.25">
      <c r="A4106" s="878" t="s">
        <v>11419</v>
      </c>
      <c r="B4106" s="878" t="s">
        <v>11420</v>
      </c>
      <c r="C4106" s="879" t="s">
        <v>226</v>
      </c>
      <c r="D4106" s="880" t="s">
        <v>42485</v>
      </c>
    </row>
    <row r="4107" spans="1:4" ht="13.5" x14ac:dyDescent="0.25">
      <c r="A4107" s="878" t="s">
        <v>11421</v>
      </c>
      <c r="B4107" s="878" t="s">
        <v>11422</v>
      </c>
      <c r="C4107" s="879" t="s">
        <v>226</v>
      </c>
      <c r="D4107" s="880" t="s">
        <v>42486</v>
      </c>
    </row>
    <row r="4108" spans="1:4" ht="13.5" x14ac:dyDescent="0.25">
      <c r="A4108" s="878" t="s">
        <v>11423</v>
      </c>
      <c r="B4108" s="878" t="s">
        <v>11424</v>
      </c>
      <c r="C4108" s="879" t="s">
        <v>226</v>
      </c>
      <c r="D4108" s="880" t="s">
        <v>11881</v>
      </c>
    </row>
    <row r="4109" spans="1:4" ht="13.5" x14ac:dyDescent="0.25">
      <c r="A4109" s="878" t="s">
        <v>11425</v>
      </c>
      <c r="B4109" s="878" t="s">
        <v>11426</v>
      </c>
      <c r="C4109" s="879" t="s">
        <v>226</v>
      </c>
      <c r="D4109" s="880" t="s">
        <v>41685</v>
      </c>
    </row>
    <row r="4110" spans="1:4" ht="13.5" x14ac:dyDescent="0.25">
      <c r="A4110" s="878" t="s">
        <v>11427</v>
      </c>
      <c r="B4110" s="878" t="s">
        <v>11428</v>
      </c>
      <c r="C4110" s="879" t="s">
        <v>226</v>
      </c>
      <c r="D4110" s="880" t="s">
        <v>31315</v>
      </c>
    </row>
    <row r="4111" spans="1:4" ht="13.5" x14ac:dyDescent="0.25">
      <c r="A4111" s="878" t="s">
        <v>11429</v>
      </c>
      <c r="B4111" s="878" t="s">
        <v>11430</v>
      </c>
      <c r="C4111" s="879" t="s">
        <v>226</v>
      </c>
      <c r="D4111" s="880" t="s">
        <v>8774</v>
      </c>
    </row>
    <row r="4112" spans="1:4" ht="13.5" x14ac:dyDescent="0.25">
      <c r="A4112" s="878" t="s">
        <v>11432</v>
      </c>
      <c r="B4112" s="878" t="s">
        <v>11433</v>
      </c>
      <c r="C4112" s="879" t="s">
        <v>226</v>
      </c>
      <c r="D4112" s="880" t="s">
        <v>42487</v>
      </c>
    </row>
    <row r="4113" spans="1:4" ht="13.5" x14ac:dyDescent="0.25">
      <c r="A4113" s="878" t="s">
        <v>11434</v>
      </c>
      <c r="B4113" s="878" t="s">
        <v>11435</v>
      </c>
      <c r="C4113" s="879" t="s">
        <v>226</v>
      </c>
      <c r="D4113" s="880" t="s">
        <v>42488</v>
      </c>
    </row>
    <row r="4114" spans="1:4" ht="13.5" x14ac:dyDescent="0.25">
      <c r="A4114" s="878" t="s">
        <v>11436</v>
      </c>
      <c r="B4114" s="878" t="s">
        <v>11437</v>
      </c>
      <c r="C4114" s="879" t="s">
        <v>226</v>
      </c>
      <c r="D4114" s="880" t="s">
        <v>42489</v>
      </c>
    </row>
    <row r="4115" spans="1:4" ht="13.5" x14ac:dyDescent="0.25">
      <c r="A4115" s="878" t="s">
        <v>11438</v>
      </c>
      <c r="B4115" s="878" t="s">
        <v>11439</v>
      </c>
      <c r="C4115" s="879" t="s">
        <v>226</v>
      </c>
      <c r="D4115" s="880" t="s">
        <v>42490</v>
      </c>
    </row>
    <row r="4116" spans="1:4" ht="13.5" x14ac:dyDescent="0.25">
      <c r="A4116" s="878" t="s">
        <v>11441</v>
      </c>
      <c r="B4116" s="878" t="s">
        <v>11442</v>
      </c>
      <c r="C4116" s="879" t="s">
        <v>226</v>
      </c>
      <c r="D4116" s="880" t="s">
        <v>42491</v>
      </c>
    </row>
    <row r="4117" spans="1:4" ht="13.5" x14ac:dyDescent="0.25">
      <c r="A4117" s="878" t="s">
        <v>11443</v>
      </c>
      <c r="B4117" s="878" t="s">
        <v>11444</v>
      </c>
      <c r="C4117" s="879" t="s">
        <v>226</v>
      </c>
      <c r="D4117" s="880" t="s">
        <v>30846</v>
      </c>
    </row>
    <row r="4118" spans="1:4" ht="13.5" x14ac:dyDescent="0.25">
      <c r="A4118" s="878" t="s">
        <v>11445</v>
      </c>
      <c r="B4118" s="878" t="s">
        <v>11446</v>
      </c>
      <c r="C4118" s="879" t="s">
        <v>226</v>
      </c>
      <c r="D4118" s="880" t="s">
        <v>42492</v>
      </c>
    </row>
    <row r="4119" spans="1:4" ht="13.5" x14ac:dyDescent="0.25">
      <c r="A4119" s="878" t="s">
        <v>11447</v>
      </c>
      <c r="B4119" s="878" t="s">
        <v>11448</v>
      </c>
      <c r="C4119" s="879" t="s">
        <v>226</v>
      </c>
      <c r="D4119" s="880" t="s">
        <v>31216</v>
      </c>
    </row>
    <row r="4120" spans="1:4" ht="13.5" x14ac:dyDescent="0.25">
      <c r="A4120" s="878" t="s">
        <v>11449</v>
      </c>
      <c r="B4120" s="878" t="s">
        <v>11450</v>
      </c>
      <c r="C4120" s="879" t="s">
        <v>226</v>
      </c>
      <c r="D4120" s="880" t="s">
        <v>30209</v>
      </c>
    </row>
    <row r="4121" spans="1:4" ht="13.5" x14ac:dyDescent="0.25">
      <c r="A4121" s="878" t="s">
        <v>11451</v>
      </c>
      <c r="B4121" s="878" t="s">
        <v>11452</v>
      </c>
      <c r="C4121" s="879" t="s">
        <v>226</v>
      </c>
      <c r="D4121" s="880" t="s">
        <v>42493</v>
      </c>
    </row>
    <row r="4122" spans="1:4" ht="13.5" x14ac:dyDescent="0.25">
      <c r="A4122" s="878" t="s">
        <v>11453</v>
      </c>
      <c r="B4122" s="878" t="s">
        <v>11454</v>
      </c>
      <c r="C4122" s="879" t="s">
        <v>226</v>
      </c>
      <c r="D4122" s="880" t="s">
        <v>42494</v>
      </c>
    </row>
    <row r="4123" spans="1:4" ht="13.5" x14ac:dyDescent="0.25">
      <c r="A4123" s="878" t="s">
        <v>11455</v>
      </c>
      <c r="B4123" s="878" t="s">
        <v>11456</v>
      </c>
      <c r="C4123" s="879" t="s">
        <v>226</v>
      </c>
      <c r="D4123" s="880" t="s">
        <v>9141</v>
      </c>
    </row>
    <row r="4124" spans="1:4" ht="13.5" x14ac:dyDescent="0.25">
      <c r="A4124" s="878" t="s">
        <v>11457</v>
      </c>
      <c r="B4124" s="878" t="s">
        <v>11458</v>
      </c>
      <c r="C4124" s="879" t="s">
        <v>226</v>
      </c>
      <c r="D4124" s="880" t="s">
        <v>42495</v>
      </c>
    </row>
    <row r="4125" spans="1:4" ht="13.5" x14ac:dyDescent="0.25">
      <c r="A4125" s="878" t="s">
        <v>11459</v>
      </c>
      <c r="B4125" s="878" t="s">
        <v>11460</v>
      </c>
      <c r="C4125" s="879" t="s">
        <v>226</v>
      </c>
      <c r="D4125" s="880" t="s">
        <v>40945</v>
      </c>
    </row>
    <row r="4126" spans="1:4" ht="13.5" x14ac:dyDescent="0.25">
      <c r="A4126" s="878" t="s">
        <v>11461</v>
      </c>
      <c r="B4126" s="878" t="s">
        <v>11462</v>
      </c>
      <c r="C4126" s="879" t="s">
        <v>226</v>
      </c>
      <c r="D4126" s="880" t="s">
        <v>30850</v>
      </c>
    </row>
    <row r="4127" spans="1:4" ht="13.5" x14ac:dyDescent="0.25">
      <c r="A4127" s="878" t="s">
        <v>11463</v>
      </c>
      <c r="B4127" s="878" t="s">
        <v>11464</v>
      </c>
      <c r="C4127" s="879" t="s">
        <v>226</v>
      </c>
      <c r="D4127" s="880" t="s">
        <v>30851</v>
      </c>
    </row>
    <row r="4128" spans="1:4" ht="13.5" x14ac:dyDescent="0.25">
      <c r="A4128" s="878" t="s">
        <v>11465</v>
      </c>
      <c r="B4128" s="878" t="s">
        <v>11466</v>
      </c>
      <c r="C4128" s="879" t="s">
        <v>226</v>
      </c>
      <c r="D4128" s="880" t="s">
        <v>30852</v>
      </c>
    </row>
    <row r="4129" spans="1:4" ht="13.5" x14ac:dyDescent="0.25">
      <c r="A4129" s="878" t="s">
        <v>11467</v>
      </c>
      <c r="B4129" s="878" t="s">
        <v>11468</v>
      </c>
      <c r="C4129" s="879" t="s">
        <v>226</v>
      </c>
      <c r="D4129" s="880" t="s">
        <v>30853</v>
      </c>
    </row>
    <row r="4130" spans="1:4" ht="13.5" x14ac:dyDescent="0.25">
      <c r="A4130" s="878" t="s">
        <v>11469</v>
      </c>
      <c r="B4130" s="878" t="s">
        <v>11470</v>
      </c>
      <c r="C4130" s="879" t="s">
        <v>226</v>
      </c>
      <c r="D4130" s="880" t="s">
        <v>30854</v>
      </c>
    </row>
    <row r="4131" spans="1:4" ht="13.5" x14ac:dyDescent="0.25">
      <c r="A4131" s="878" t="s">
        <v>11471</v>
      </c>
      <c r="B4131" s="878" t="s">
        <v>11472</v>
      </c>
      <c r="C4131" s="879" t="s">
        <v>226</v>
      </c>
      <c r="D4131" s="880" t="s">
        <v>30855</v>
      </c>
    </row>
    <row r="4132" spans="1:4" ht="13.5" x14ac:dyDescent="0.25">
      <c r="A4132" s="878" t="s">
        <v>11473</v>
      </c>
      <c r="B4132" s="878" t="s">
        <v>11474</v>
      </c>
      <c r="C4132" s="879" t="s">
        <v>226</v>
      </c>
      <c r="D4132" s="880" t="s">
        <v>30856</v>
      </c>
    </row>
    <row r="4133" spans="1:4" ht="13.5" x14ac:dyDescent="0.25">
      <c r="A4133" s="878" t="s">
        <v>11475</v>
      </c>
      <c r="B4133" s="878" t="s">
        <v>11476</v>
      </c>
      <c r="C4133" s="879" t="s">
        <v>226</v>
      </c>
      <c r="D4133" s="880" t="s">
        <v>30857</v>
      </c>
    </row>
    <row r="4134" spans="1:4" ht="13.5" x14ac:dyDescent="0.25">
      <c r="A4134" s="878" t="s">
        <v>11477</v>
      </c>
      <c r="B4134" s="878" t="s">
        <v>11478</v>
      </c>
      <c r="C4134" s="879" t="s">
        <v>226</v>
      </c>
      <c r="D4134" s="880" t="s">
        <v>30858</v>
      </c>
    </row>
    <row r="4135" spans="1:4" ht="13.5" x14ac:dyDescent="0.25">
      <c r="A4135" s="878" t="s">
        <v>11479</v>
      </c>
      <c r="B4135" s="878" t="s">
        <v>11480</v>
      </c>
      <c r="C4135" s="879" t="s">
        <v>226</v>
      </c>
      <c r="D4135" s="880" t="s">
        <v>30859</v>
      </c>
    </row>
    <row r="4136" spans="1:4" ht="13.5" x14ac:dyDescent="0.25">
      <c r="A4136" s="878" t="s">
        <v>11481</v>
      </c>
      <c r="B4136" s="878" t="s">
        <v>11482</v>
      </c>
      <c r="C4136" s="879" t="s">
        <v>226</v>
      </c>
      <c r="D4136" s="880" t="s">
        <v>30860</v>
      </c>
    </row>
    <row r="4137" spans="1:4" ht="13.5" x14ac:dyDescent="0.25">
      <c r="A4137" s="878" t="s">
        <v>11483</v>
      </c>
      <c r="B4137" s="878" t="s">
        <v>11484</v>
      </c>
      <c r="C4137" s="879" t="s">
        <v>226</v>
      </c>
      <c r="D4137" s="880" t="s">
        <v>30861</v>
      </c>
    </row>
    <row r="4138" spans="1:4" ht="13.5" x14ac:dyDescent="0.25">
      <c r="A4138" s="878" t="s">
        <v>11485</v>
      </c>
      <c r="B4138" s="878" t="s">
        <v>11486</v>
      </c>
      <c r="C4138" s="879" t="s">
        <v>226</v>
      </c>
      <c r="D4138" s="880" t="s">
        <v>30862</v>
      </c>
    </row>
    <row r="4139" spans="1:4" ht="13.5" x14ac:dyDescent="0.25">
      <c r="A4139" s="878" t="s">
        <v>11487</v>
      </c>
      <c r="B4139" s="878" t="s">
        <v>11488</v>
      </c>
      <c r="C4139" s="879" t="s">
        <v>226</v>
      </c>
      <c r="D4139" s="880" t="s">
        <v>30863</v>
      </c>
    </row>
    <row r="4140" spans="1:4" ht="13.5" x14ac:dyDescent="0.25">
      <c r="A4140" s="878" t="s">
        <v>11489</v>
      </c>
      <c r="B4140" s="878" t="s">
        <v>11490</v>
      </c>
      <c r="C4140" s="879" t="s">
        <v>226</v>
      </c>
      <c r="D4140" s="880" t="s">
        <v>42496</v>
      </c>
    </row>
    <row r="4141" spans="1:4" ht="13.5" x14ac:dyDescent="0.25">
      <c r="A4141" s="878" t="s">
        <v>11491</v>
      </c>
      <c r="B4141" s="878" t="s">
        <v>11492</v>
      </c>
      <c r="C4141" s="879" t="s">
        <v>226</v>
      </c>
      <c r="D4141" s="880" t="s">
        <v>30864</v>
      </c>
    </row>
    <row r="4142" spans="1:4" ht="13.5" x14ac:dyDescent="0.25">
      <c r="A4142" s="878" t="s">
        <v>11493</v>
      </c>
      <c r="B4142" s="878" t="s">
        <v>11494</v>
      </c>
      <c r="C4142" s="879" t="s">
        <v>226</v>
      </c>
      <c r="D4142" s="880" t="s">
        <v>4991</v>
      </c>
    </row>
    <row r="4143" spans="1:4" ht="13.5" x14ac:dyDescent="0.25">
      <c r="A4143" s="878" t="s">
        <v>11495</v>
      </c>
      <c r="B4143" s="878" t="s">
        <v>11496</v>
      </c>
      <c r="C4143" s="879" t="s">
        <v>226</v>
      </c>
      <c r="D4143" s="880" t="s">
        <v>30865</v>
      </c>
    </row>
    <row r="4144" spans="1:4" ht="13.5" x14ac:dyDescent="0.25">
      <c r="A4144" s="878" t="s">
        <v>11497</v>
      </c>
      <c r="B4144" s="878" t="s">
        <v>11498</v>
      </c>
      <c r="C4144" s="879" t="s">
        <v>226</v>
      </c>
      <c r="D4144" s="880" t="s">
        <v>30866</v>
      </c>
    </row>
    <row r="4145" spans="1:4" ht="13.5" x14ac:dyDescent="0.25">
      <c r="A4145" s="878" t="s">
        <v>11499</v>
      </c>
      <c r="B4145" s="878" t="s">
        <v>11500</v>
      </c>
      <c r="C4145" s="879" t="s">
        <v>226</v>
      </c>
      <c r="D4145" s="880" t="s">
        <v>30867</v>
      </c>
    </row>
    <row r="4146" spans="1:4" ht="13.5" x14ac:dyDescent="0.25">
      <c r="A4146" s="878" t="s">
        <v>11501</v>
      </c>
      <c r="B4146" s="878" t="s">
        <v>11502</v>
      </c>
      <c r="C4146" s="879" t="s">
        <v>226</v>
      </c>
      <c r="D4146" s="880" t="s">
        <v>30868</v>
      </c>
    </row>
    <row r="4147" spans="1:4" ht="13.5" x14ac:dyDescent="0.25">
      <c r="A4147" s="878" t="s">
        <v>11503</v>
      </c>
      <c r="B4147" s="878" t="s">
        <v>11504</v>
      </c>
      <c r="C4147" s="879" t="s">
        <v>226</v>
      </c>
      <c r="D4147" s="880" t="s">
        <v>30869</v>
      </c>
    </row>
    <row r="4148" spans="1:4" ht="13.5" x14ac:dyDescent="0.25">
      <c r="A4148" s="878" t="s">
        <v>11505</v>
      </c>
      <c r="B4148" s="878" t="s">
        <v>11506</v>
      </c>
      <c r="C4148" s="879" t="s">
        <v>226</v>
      </c>
      <c r="D4148" s="880" t="s">
        <v>30870</v>
      </c>
    </row>
    <row r="4149" spans="1:4" ht="13.5" x14ac:dyDescent="0.25">
      <c r="A4149" s="878" t="s">
        <v>11507</v>
      </c>
      <c r="B4149" s="878" t="s">
        <v>11508</v>
      </c>
      <c r="C4149" s="879" t="s">
        <v>226</v>
      </c>
      <c r="D4149" s="880" t="s">
        <v>30871</v>
      </c>
    </row>
    <row r="4150" spans="1:4" ht="13.5" x14ac:dyDescent="0.25">
      <c r="A4150" s="878" t="s">
        <v>11509</v>
      </c>
      <c r="B4150" s="878" t="s">
        <v>11510</v>
      </c>
      <c r="C4150" s="879" t="s">
        <v>226</v>
      </c>
      <c r="D4150" s="880" t="s">
        <v>30872</v>
      </c>
    </row>
    <row r="4151" spans="1:4" ht="13.5" x14ac:dyDescent="0.25">
      <c r="A4151" s="878" t="s">
        <v>11511</v>
      </c>
      <c r="B4151" s="878" t="s">
        <v>11512</v>
      </c>
      <c r="C4151" s="879" t="s">
        <v>226</v>
      </c>
      <c r="D4151" s="880" t="s">
        <v>30873</v>
      </c>
    </row>
    <row r="4152" spans="1:4" ht="13.5" x14ac:dyDescent="0.25">
      <c r="A4152" s="878" t="s">
        <v>11513</v>
      </c>
      <c r="B4152" s="878" t="s">
        <v>11514</v>
      </c>
      <c r="C4152" s="879" t="s">
        <v>226</v>
      </c>
      <c r="D4152" s="880" t="s">
        <v>7330</v>
      </c>
    </row>
    <row r="4153" spans="1:4" ht="13.5" x14ac:dyDescent="0.25">
      <c r="A4153" s="878" t="s">
        <v>11515</v>
      </c>
      <c r="B4153" s="878" t="s">
        <v>11516</v>
      </c>
      <c r="C4153" s="879" t="s">
        <v>226</v>
      </c>
      <c r="D4153" s="880" t="s">
        <v>30874</v>
      </c>
    </row>
    <row r="4154" spans="1:4" ht="13.5" x14ac:dyDescent="0.25">
      <c r="A4154" s="878" t="s">
        <v>11517</v>
      </c>
      <c r="B4154" s="878" t="s">
        <v>11518</v>
      </c>
      <c r="C4154" s="879" t="s">
        <v>226</v>
      </c>
      <c r="D4154" s="880" t="s">
        <v>30396</v>
      </c>
    </row>
    <row r="4155" spans="1:4" ht="13.5" x14ac:dyDescent="0.25">
      <c r="A4155" s="878" t="s">
        <v>11519</v>
      </c>
      <c r="B4155" s="878" t="s">
        <v>11520</v>
      </c>
      <c r="C4155" s="879" t="s">
        <v>226</v>
      </c>
      <c r="D4155" s="880" t="s">
        <v>30875</v>
      </c>
    </row>
    <row r="4156" spans="1:4" ht="13.5" x14ac:dyDescent="0.25">
      <c r="A4156" s="878" t="s">
        <v>11521</v>
      </c>
      <c r="B4156" s="878" t="s">
        <v>11522</v>
      </c>
      <c r="C4156" s="879" t="s">
        <v>226</v>
      </c>
      <c r="D4156" s="880" t="s">
        <v>4385</v>
      </c>
    </row>
    <row r="4157" spans="1:4" ht="13.5" x14ac:dyDescent="0.25">
      <c r="A4157" s="878" t="s">
        <v>11523</v>
      </c>
      <c r="B4157" s="878" t="s">
        <v>11524</v>
      </c>
      <c r="C4157" s="879" t="s">
        <v>226</v>
      </c>
      <c r="D4157" s="880" t="s">
        <v>30876</v>
      </c>
    </row>
    <row r="4158" spans="1:4" ht="13.5" x14ac:dyDescent="0.25">
      <c r="A4158" s="878" t="s">
        <v>11525</v>
      </c>
      <c r="B4158" s="878" t="s">
        <v>11526</v>
      </c>
      <c r="C4158" s="879" t="s">
        <v>226</v>
      </c>
      <c r="D4158" s="880" t="s">
        <v>30877</v>
      </c>
    </row>
    <row r="4159" spans="1:4" ht="13.5" x14ac:dyDescent="0.25">
      <c r="A4159" s="878" t="s">
        <v>11528</v>
      </c>
      <c r="B4159" s="878" t="s">
        <v>11529</v>
      </c>
      <c r="C4159" s="879" t="s">
        <v>226</v>
      </c>
      <c r="D4159" s="880" t="s">
        <v>7611</v>
      </c>
    </row>
    <row r="4160" spans="1:4" ht="13.5" x14ac:dyDescent="0.25">
      <c r="A4160" s="878" t="s">
        <v>11530</v>
      </c>
      <c r="B4160" s="878" t="s">
        <v>11531</v>
      </c>
      <c r="C4160" s="879" t="s">
        <v>226</v>
      </c>
      <c r="D4160" s="880" t="s">
        <v>30878</v>
      </c>
    </row>
    <row r="4161" spans="1:4" ht="13.5" x14ac:dyDescent="0.25">
      <c r="A4161" s="878" t="s">
        <v>11532</v>
      </c>
      <c r="B4161" s="878" t="s">
        <v>11533</v>
      </c>
      <c r="C4161" s="879" t="s">
        <v>226</v>
      </c>
      <c r="D4161" s="880" t="s">
        <v>30879</v>
      </c>
    </row>
    <row r="4162" spans="1:4" ht="13.5" x14ac:dyDescent="0.25">
      <c r="A4162" s="878" t="s">
        <v>11534</v>
      </c>
      <c r="B4162" s="878" t="s">
        <v>11535</v>
      </c>
      <c r="C4162" s="879" t="s">
        <v>226</v>
      </c>
      <c r="D4162" s="880" t="s">
        <v>30880</v>
      </c>
    </row>
    <row r="4163" spans="1:4" ht="13.5" x14ac:dyDescent="0.25">
      <c r="A4163" s="878" t="s">
        <v>11536</v>
      </c>
      <c r="B4163" s="878" t="s">
        <v>11537</v>
      </c>
      <c r="C4163" s="879" t="s">
        <v>226</v>
      </c>
      <c r="D4163" s="880" t="s">
        <v>30881</v>
      </c>
    </row>
    <row r="4164" spans="1:4" ht="13.5" x14ac:dyDescent="0.25">
      <c r="A4164" s="878" t="s">
        <v>11538</v>
      </c>
      <c r="B4164" s="878" t="s">
        <v>11539</v>
      </c>
      <c r="C4164" s="879" t="s">
        <v>226</v>
      </c>
      <c r="D4164" s="880" t="s">
        <v>30882</v>
      </c>
    </row>
    <row r="4165" spans="1:4" ht="13.5" x14ac:dyDescent="0.25">
      <c r="A4165" s="878" t="s">
        <v>11540</v>
      </c>
      <c r="B4165" s="878" t="s">
        <v>11541</v>
      </c>
      <c r="C4165" s="879" t="s">
        <v>226</v>
      </c>
      <c r="D4165" s="880" t="s">
        <v>30883</v>
      </c>
    </row>
    <row r="4166" spans="1:4" ht="13.5" x14ac:dyDescent="0.25">
      <c r="A4166" s="878" t="s">
        <v>11542</v>
      </c>
      <c r="B4166" s="878" t="s">
        <v>11543</v>
      </c>
      <c r="C4166" s="879" t="s">
        <v>226</v>
      </c>
      <c r="D4166" s="880" t="s">
        <v>30884</v>
      </c>
    </row>
    <row r="4167" spans="1:4" ht="13.5" x14ac:dyDescent="0.25">
      <c r="A4167" s="878" t="s">
        <v>11544</v>
      </c>
      <c r="B4167" s="878" t="s">
        <v>11545</v>
      </c>
      <c r="C4167" s="879" t="s">
        <v>226</v>
      </c>
      <c r="D4167" s="880" t="s">
        <v>30885</v>
      </c>
    </row>
    <row r="4168" spans="1:4" ht="13.5" x14ac:dyDescent="0.25">
      <c r="A4168" s="878" t="s">
        <v>11546</v>
      </c>
      <c r="B4168" s="878" t="s">
        <v>11547</v>
      </c>
      <c r="C4168" s="879" t="s">
        <v>226</v>
      </c>
      <c r="D4168" s="880" t="s">
        <v>30886</v>
      </c>
    </row>
    <row r="4169" spans="1:4" ht="13.5" x14ac:dyDescent="0.25">
      <c r="A4169" s="878" t="s">
        <v>11548</v>
      </c>
      <c r="B4169" s="878" t="s">
        <v>11549</v>
      </c>
      <c r="C4169" s="879" t="s">
        <v>226</v>
      </c>
      <c r="D4169" s="880" t="s">
        <v>30492</v>
      </c>
    </row>
    <row r="4170" spans="1:4" ht="13.5" x14ac:dyDescent="0.25">
      <c r="A4170" s="878" t="s">
        <v>11550</v>
      </c>
      <c r="B4170" s="878" t="s">
        <v>11551</v>
      </c>
      <c r="C4170" s="879" t="s">
        <v>226</v>
      </c>
      <c r="D4170" s="880" t="s">
        <v>42497</v>
      </c>
    </row>
    <row r="4171" spans="1:4" ht="13.5" x14ac:dyDescent="0.25">
      <c r="A4171" s="878" t="s">
        <v>11552</v>
      </c>
      <c r="B4171" s="878" t="s">
        <v>11553</v>
      </c>
      <c r="C4171" s="879" t="s">
        <v>226</v>
      </c>
      <c r="D4171" s="880" t="s">
        <v>9271</v>
      </c>
    </row>
    <row r="4172" spans="1:4" ht="13.5" x14ac:dyDescent="0.25">
      <c r="A4172" s="878" t="s">
        <v>11554</v>
      </c>
      <c r="B4172" s="878" t="s">
        <v>11555</v>
      </c>
      <c r="C4172" s="879" t="s">
        <v>226</v>
      </c>
      <c r="D4172" s="880" t="s">
        <v>12427</v>
      </c>
    </row>
    <row r="4173" spans="1:4" ht="13.5" x14ac:dyDescent="0.25">
      <c r="A4173" s="878" t="s">
        <v>11556</v>
      </c>
      <c r="B4173" s="878" t="s">
        <v>11557</v>
      </c>
      <c r="C4173" s="879" t="s">
        <v>226</v>
      </c>
      <c r="D4173" s="880" t="s">
        <v>30887</v>
      </c>
    </row>
    <row r="4174" spans="1:4" ht="13.5" x14ac:dyDescent="0.25">
      <c r="A4174" s="878" t="s">
        <v>11558</v>
      </c>
      <c r="B4174" s="878" t="s">
        <v>11559</v>
      </c>
      <c r="C4174" s="879" t="s">
        <v>226</v>
      </c>
      <c r="D4174" s="880" t="s">
        <v>12997</v>
      </c>
    </row>
    <row r="4175" spans="1:4" ht="13.5" x14ac:dyDescent="0.25">
      <c r="A4175" s="878" t="s">
        <v>11561</v>
      </c>
      <c r="B4175" s="878" t="s">
        <v>11562</v>
      </c>
      <c r="C4175" s="879" t="s">
        <v>226</v>
      </c>
      <c r="D4175" s="880" t="s">
        <v>4135</v>
      </c>
    </row>
    <row r="4176" spans="1:4" ht="13.5" x14ac:dyDescent="0.25">
      <c r="A4176" s="878" t="s">
        <v>11564</v>
      </c>
      <c r="B4176" s="878" t="s">
        <v>11565</v>
      </c>
      <c r="C4176" s="879" t="s">
        <v>226</v>
      </c>
      <c r="D4176" s="880" t="s">
        <v>30888</v>
      </c>
    </row>
    <row r="4177" spans="1:4" ht="13.5" x14ac:dyDescent="0.25">
      <c r="A4177" s="878" t="s">
        <v>11566</v>
      </c>
      <c r="B4177" s="878" t="s">
        <v>11567</v>
      </c>
      <c r="C4177" s="879" t="s">
        <v>226</v>
      </c>
      <c r="D4177" s="880" t="s">
        <v>30889</v>
      </c>
    </row>
    <row r="4178" spans="1:4" ht="13.5" x14ac:dyDescent="0.25">
      <c r="A4178" s="878" t="s">
        <v>11568</v>
      </c>
      <c r="B4178" s="878" t="s">
        <v>11569</v>
      </c>
      <c r="C4178" s="879" t="s">
        <v>226</v>
      </c>
      <c r="D4178" s="880" t="s">
        <v>30890</v>
      </c>
    </row>
    <row r="4179" spans="1:4" ht="13.5" x14ac:dyDescent="0.25">
      <c r="A4179" s="878" t="s">
        <v>11570</v>
      </c>
      <c r="B4179" s="878" t="s">
        <v>11571</v>
      </c>
      <c r="C4179" s="879" t="s">
        <v>226</v>
      </c>
      <c r="D4179" s="880" t="s">
        <v>30891</v>
      </c>
    </row>
    <row r="4180" spans="1:4" ht="13.5" x14ac:dyDescent="0.25">
      <c r="A4180" s="878" t="s">
        <v>11572</v>
      </c>
      <c r="B4180" s="878" t="s">
        <v>11573</v>
      </c>
      <c r="C4180" s="879" t="s">
        <v>226</v>
      </c>
      <c r="D4180" s="880" t="s">
        <v>30892</v>
      </c>
    </row>
    <row r="4181" spans="1:4" ht="13.5" x14ac:dyDescent="0.25">
      <c r="A4181" s="878" t="s">
        <v>11574</v>
      </c>
      <c r="B4181" s="878" t="s">
        <v>11575</v>
      </c>
      <c r="C4181" s="879" t="s">
        <v>226</v>
      </c>
      <c r="D4181" s="880" t="s">
        <v>30620</v>
      </c>
    </row>
    <row r="4182" spans="1:4" ht="13.5" x14ac:dyDescent="0.25">
      <c r="A4182" s="878" t="s">
        <v>11576</v>
      </c>
      <c r="B4182" s="878" t="s">
        <v>11577</v>
      </c>
      <c r="C4182" s="879" t="s">
        <v>226</v>
      </c>
      <c r="D4182" s="880" t="s">
        <v>30739</v>
      </c>
    </row>
    <row r="4183" spans="1:4" ht="13.5" x14ac:dyDescent="0.25">
      <c r="A4183" s="878" t="s">
        <v>11578</v>
      </c>
      <c r="B4183" s="878" t="s">
        <v>11579</v>
      </c>
      <c r="C4183" s="879" t="s">
        <v>226</v>
      </c>
      <c r="D4183" s="880" t="s">
        <v>30893</v>
      </c>
    </row>
    <row r="4184" spans="1:4" ht="13.5" x14ac:dyDescent="0.25">
      <c r="A4184" s="878" t="s">
        <v>11580</v>
      </c>
      <c r="B4184" s="878" t="s">
        <v>11581</v>
      </c>
      <c r="C4184" s="879" t="s">
        <v>226</v>
      </c>
      <c r="D4184" s="880" t="s">
        <v>30894</v>
      </c>
    </row>
    <row r="4185" spans="1:4" ht="13.5" x14ac:dyDescent="0.25">
      <c r="A4185" s="878" t="s">
        <v>11582</v>
      </c>
      <c r="B4185" s="878" t="s">
        <v>11583</v>
      </c>
      <c r="C4185" s="879" t="s">
        <v>226</v>
      </c>
      <c r="D4185" s="880" t="s">
        <v>30895</v>
      </c>
    </row>
    <row r="4186" spans="1:4" ht="13.5" x14ac:dyDescent="0.25">
      <c r="A4186" s="878" t="s">
        <v>11584</v>
      </c>
      <c r="B4186" s="878" t="s">
        <v>11585</v>
      </c>
      <c r="C4186" s="879" t="s">
        <v>226</v>
      </c>
      <c r="D4186" s="880" t="s">
        <v>30896</v>
      </c>
    </row>
    <row r="4187" spans="1:4" ht="13.5" x14ac:dyDescent="0.25">
      <c r="A4187" s="878" t="s">
        <v>11586</v>
      </c>
      <c r="B4187" s="878" t="s">
        <v>11587</v>
      </c>
      <c r="C4187" s="879" t="s">
        <v>226</v>
      </c>
      <c r="D4187" s="880" t="s">
        <v>30897</v>
      </c>
    </row>
    <row r="4188" spans="1:4" ht="13.5" x14ac:dyDescent="0.25">
      <c r="A4188" s="878" t="s">
        <v>11588</v>
      </c>
      <c r="B4188" s="878" t="s">
        <v>11589</v>
      </c>
      <c r="C4188" s="879" t="s">
        <v>226</v>
      </c>
      <c r="D4188" s="880" t="s">
        <v>30898</v>
      </c>
    </row>
    <row r="4189" spans="1:4" ht="13.5" x14ac:dyDescent="0.25">
      <c r="A4189" s="878" t="s">
        <v>11590</v>
      </c>
      <c r="B4189" s="878" t="s">
        <v>11591</v>
      </c>
      <c r="C4189" s="879" t="s">
        <v>226</v>
      </c>
      <c r="D4189" s="880" t="s">
        <v>30671</v>
      </c>
    </row>
    <row r="4190" spans="1:4" ht="13.5" x14ac:dyDescent="0.25">
      <c r="A4190" s="878" t="s">
        <v>11592</v>
      </c>
      <c r="B4190" s="878" t="s">
        <v>11593</v>
      </c>
      <c r="C4190" s="879" t="s">
        <v>226</v>
      </c>
      <c r="D4190" s="880" t="s">
        <v>30899</v>
      </c>
    </row>
    <row r="4191" spans="1:4" ht="13.5" x14ac:dyDescent="0.25">
      <c r="A4191" s="878" t="s">
        <v>11594</v>
      </c>
      <c r="B4191" s="878" t="s">
        <v>11595</v>
      </c>
      <c r="C4191" s="879" t="s">
        <v>226</v>
      </c>
      <c r="D4191" s="880" t="s">
        <v>30900</v>
      </c>
    </row>
    <row r="4192" spans="1:4" ht="13.5" x14ac:dyDescent="0.25">
      <c r="A4192" s="878" t="s">
        <v>11596</v>
      </c>
      <c r="B4192" s="878" t="s">
        <v>11597</v>
      </c>
      <c r="C4192" s="879" t="s">
        <v>226</v>
      </c>
      <c r="D4192" s="880" t="s">
        <v>30293</v>
      </c>
    </row>
    <row r="4193" spans="1:4" ht="13.5" x14ac:dyDescent="0.25">
      <c r="A4193" s="878" t="s">
        <v>11598</v>
      </c>
      <c r="B4193" s="878" t="s">
        <v>11599</v>
      </c>
      <c r="C4193" s="879" t="s">
        <v>226</v>
      </c>
      <c r="D4193" s="880" t="s">
        <v>30901</v>
      </c>
    </row>
    <row r="4194" spans="1:4" ht="13.5" x14ac:dyDescent="0.25">
      <c r="A4194" s="878" t="s">
        <v>11600</v>
      </c>
      <c r="B4194" s="878" t="s">
        <v>11601</v>
      </c>
      <c r="C4194" s="879" t="s">
        <v>226</v>
      </c>
      <c r="D4194" s="880" t="s">
        <v>30902</v>
      </c>
    </row>
    <row r="4195" spans="1:4" ht="13.5" x14ac:dyDescent="0.25">
      <c r="A4195" s="878" t="s">
        <v>11602</v>
      </c>
      <c r="B4195" s="878" t="s">
        <v>11603</v>
      </c>
      <c r="C4195" s="879" t="s">
        <v>226</v>
      </c>
      <c r="D4195" s="880" t="s">
        <v>30903</v>
      </c>
    </row>
    <row r="4196" spans="1:4" ht="13.5" x14ac:dyDescent="0.25">
      <c r="A4196" s="878" t="s">
        <v>11604</v>
      </c>
      <c r="B4196" s="878" t="s">
        <v>11605</v>
      </c>
      <c r="C4196" s="879" t="s">
        <v>226</v>
      </c>
      <c r="D4196" s="880" t="s">
        <v>30505</v>
      </c>
    </row>
    <row r="4197" spans="1:4" ht="13.5" x14ac:dyDescent="0.25">
      <c r="A4197" s="878" t="s">
        <v>11606</v>
      </c>
      <c r="B4197" s="878" t="s">
        <v>11607</v>
      </c>
      <c r="C4197" s="879" t="s">
        <v>226</v>
      </c>
      <c r="D4197" s="880" t="s">
        <v>30904</v>
      </c>
    </row>
    <row r="4198" spans="1:4" ht="13.5" x14ac:dyDescent="0.25">
      <c r="A4198" s="878" t="s">
        <v>11608</v>
      </c>
      <c r="B4198" s="878" t="s">
        <v>11609</v>
      </c>
      <c r="C4198" s="879" t="s">
        <v>226</v>
      </c>
      <c r="D4198" s="880" t="s">
        <v>30905</v>
      </c>
    </row>
    <row r="4199" spans="1:4" ht="13.5" x14ac:dyDescent="0.25">
      <c r="A4199" s="878" t="s">
        <v>11610</v>
      </c>
      <c r="B4199" s="878" t="s">
        <v>11611</v>
      </c>
      <c r="C4199" s="879" t="s">
        <v>226</v>
      </c>
      <c r="D4199" s="880" t="s">
        <v>30906</v>
      </c>
    </row>
    <row r="4200" spans="1:4" ht="13.5" x14ac:dyDescent="0.25">
      <c r="A4200" s="878" t="s">
        <v>11612</v>
      </c>
      <c r="B4200" s="878" t="s">
        <v>11613</v>
      </c>
      <c r="C4200" s="879" t="s">
        <v>226</v>
      </c>
      <c r="D4200" s="880" t="s">
        <v>41291</v>
      </c>
    </row>
    <row r="4201" spans="1:4" ht="13.5" x14ac:dyDescent="0.25">
      <c r="A4201" s="878" t="s">
        <v>11614</v>
      </c>
      <c r="B4201" s="878" t="s">
        <v>11615</v>
      </c>
      <c r="C4201" s="879" t="s">
        <v>226</v>
      </c>
      <c r="D4201" s="880" t="s">
        <v>7527</v>
      </c>
    </row>
    <row r="4202" spans="1:4" ht="13.5" x14ac:dyDescent="0.25">
      <c r="A4202" s="878" t="s">
        <v>11616</v>
      </c>
      <c r="B4202" s="878" t="s">
        <v>11617</v>
      </c>
      <c r="C4202" s="879" t="s">
        <v>226</v>
      </c>
      <c r="D4202" s="880" t="s">
        <v>2997</v>
      </c>
    </row>
    <row r="4203" spans="1:4" ht="13.5" x14ac:dyDescent="0.25">
      <c r="A4203" s="878" t="s">
        <v>11618</v>
      </c>
      <c r="B4203" s="878" t="s">
        <v>11619</v>
      </c>
      <c r="C4203" s="879" t="s">
        <v>226</v>
      </c>
      <c r="D4203" s="880" t="s">
        <v>30907</v>
      </c>
    </row>
    <row r="4204" spans="1:4" ht="13.5" x14ac:dyDescent="0.25">
      <c r="A4204" s="878" t="s">
        <v>11620</v>
      </c>
      <c r="B4204" s="878" t="s">
        <v>11621</v>
      </c>
      <c r="C4204" s="879" t="s">
        <v>226</v>
      </c>
      <c r="D4204" s="880" t="s">
        <v>30908</v>
      </c>
    </row>
    <row r="4205" spans="1:4" ht="13.5" x14ac:dyDescent="0.25">
      <c r="A4205" s="878" t="s">
        <v>11622</v>
      </c>
      <c r="B4205" s="878" t="s">
        <v>11623</v>
      </c>
      <c r="C4205" s="879" t="s">
        <v>226</v>
      </c>
      <c r="D4205" s="880" t="s">
        <v>30810</v>
      </c>
    </row>
    <row r="4206" spans="1:4" ht="13.5" x14ac:dyDescent="0.25">
      <c r="A4206" s="878" t="s">
        <v>11624</v>
      </c>
      <c r="B4206" s="878" t="s">
        <v>11625</v>
      </c>
      <c r="C4206" s="879" t="s">
        <v>226</v>
      </c>
      <c r="D4206" s="880" t="s">
        <v>11563</v>
      </c>
    </row>
    <row r="4207" spans="1:4" ht="13.5" x14ac:dyDescent="0.25">
      <c r="A4207" s="878" t="s">
        <v>11626</v>
      </c>
      <c r="B4207" s="878" t="s">
        <v>11627</v>
      </c>
      <c r="C4207" s="879" t="s">
        <v>226</v>
      </c>
      <c r="D4207" s="880" t="s">
        <v>10026</v>
      </c>
    </row>
    <row r="4208" spans="1:4" ht="13.5" x14ac:dyDescent="0.25">
      <c r="A4208" s="878" t="s">
        <v>11628</v>
      </c>
      <c r="B4208" s="878" t="s">
        <v>11629</v>
      </c>
      <c r="C4208" s="879" t="s">
        <v>226</v>
      </c>
      <c r="D4208" s="880" t="s">
        <v>12358</v>
      </c>
    </row>
    <row r="4209" spans="1:4" ht="13.5" x14ac:dyDescent="0.25">
      <c r="A4209" s="878" t="s">
        <v>11631</v>
      </c>
      <c r="B4209" s="878" t="s">
        <v>11632</v>
      </c>
      <c r="C4209" s="879" t="s">
        <v>226</v>
      </c>
      <c r="D4209" s="880" t="s">
        <v>4361</v>
      </c>
    </row>
    <row r="4210" spans="1:4" ht="13.5" x14ac:dyDescent="0.25">
      <c r="A4210" s="878" t="s">
        <v>11633</v>
      </c>
      <c r="B4210" s="878" t="s">
        <v>11634</v>
      </c>
      <c r="C4210" s="879" t="s">
        <v>226</v>
      </c>
      <c r="D4210" s="880" t="s">
        <v>30909</v>
      </c>
    </row>
    <row r="4211" spans="1:4" ht="13.5" x14ac:dyDescent="0.25">
      <c r="A4211" s="878" t="s">
        <v>11635</v>
      </c>
      <c r="B4211" s="878" t="s">
        <v>11636</v>
      </c>
      <c r="C4211" s="879" t="s">
        <v>226</v>
      </c>
      <c r="D4211" s="880" t="s">
        <v>30910</v>
      </c>
    </row>
    <row r="4212" spans="1:4" ht="13.5" x14ac:dyDescent="0.25">
      <c r="A4212" s="878" t="s">
        <v>11637</v>
      </c>
      <c r="B4212" s="878" t="s">
        <v>11638</v>
      </c>
      <c r="C4212" s="879" t="s">
        <v>226</v>
      </c>
      <c r="D4212" s="880" t="s">
        <v>9153</v>
      </c>
    </row>
    <row r="4213" spans="1:4" ht="13.5" x14ac:dyDescent="0.25">
      <c r="A4213" s="878" t="s">
        <v>11639</v>
      </c>
      <c r="B4213" s="878" t="s">
        <v>11640</v>
      </c>
      <c r="C4213" s="879" t="s">
        <v>226</v>
      </c>
      <c r="D4213" s="880" t="s">
        <v>30911</v>
      </c>
    </row>
    <row r="4214" spans="1:4" ht="13.5" x14ac:dyDescent="0.25">
      <c r="A4214" s="878" t="s">
        <v>11641</v>
      </c>
      <c r="B4214" s="878" t="s">
        <v>11642</v>
      </c>
      <c r="C4214" s="879" t="s">
        <v>226</v>
      </c>
      <c r="D4214" s="880" t="s">
        <v>30912</v>
      </c>
    </row>
    <row r="4215" spans="1:4" ht="13.5" x14ac:dyDescent="0.25">
      <c r="A4215" s="878" t="s">
        <v>11644</v>
      </c>
      <c r="B4215" s="878" t="s">
        <v>11645</v>
      </c>
      <c r="C4215" s="879" t="s">
        <v>226</v>
      </c>
      <c r="D4215" s="880" t="s">
        <v>30913</v>
      </c>
    </row>
    <row r="4216" spans="1:4" ht="13.5" x14ac:dyDescent="0.25">
      <c r="A4216" s="878" t="s">
        <v>11646</v>
      </c>
      <c r="B4216" s="878" t="s">
        <v>11647</v>
      </c>
      <c r="C4216" s="879" t="s">
        <v>226</v>
      </c>
      <c r="D4216" s="880" t="s">
        <v>30914</v>
      </c>
    </row>
    <row r="4217" spans="1:4" ht="13.5" x14ac:dyDescent="0.25">
      <c r="A4217" s="878" t="s">
        <v>11648</v>
      </c>
      <c r="B4217" s="878" t="s">
        <v>11649</v>
      </c>
      <c r="C4217" s="879" t="s">
        <v>226</v>
      </c>
      <c r="D4217" s="880" t="s">
        <v>14904</v>
      </c>
    </row>
    <row r="4218" spans="1:4" ht="13.5" x14ac:dyDescent="0.25">
      <c r="A4218" s="878" t="s">
        <v>11650</v>
      </c>
      <c r="B4218" s="878" t="s">
        <v>11651</v>
      </c>
      <c r="C4218" s="879" t="s">
        <v>226</v>
      </c>
      <c r="D4218" s="880" t="s">
        <v>30915</v>
      </c>
    </row>
    <row r="4219" spans="1:4" ht="13.5" x14ac:dyDescent="0.25">
      <c r="A4219" s="878" t="s">
        <v>11652</v>
      </c>
      <c r="B4219" s="878" t="s">
        <v>11653</v>
      </c>
      <c r="C4219" s="879" t="s">
        <v>226</v>
      </c>
      <c r="D4219" s="880" t="s">
        <v>30916</v>
      </c>
    </row>
    <row r="4220" spans="1:4" ht="13.5" x14ac:dyDescent="0.25">
      <c r="A4220" s="878" t="s">
        <v>11654</v>
      </c>
      <c r="B4220" s="878" t="s">
        <v>11655</v>
      </c>
      <c r="C4220" s="879" t="s">
        <v>226</v>
      </c>
      <c r="D4220" s="880" t="s">
        <v>30917</v>
      </c>
    </row>
    <row r="4221" spans="1:4" ht="13.5" x14ac:dyDescent="0.25">
      <c r="A4221" s="878" t="s">
        <v>11656</v>
      </c>
      <c r="B4221" s="878" t="s">
        <v>11657</v>
      </c>
      <c r="C4221" s="879" t="s">
        <v>226</v>
      </c>
      <c r="D4221" s="880" t="s">
        <v>30918</v>
      </c>
    </row>
    <row r="4222" spans="1:4" ht="13.5" x14ac:dyDescent="0.25">
      <c r="A4222" s="878" t="s">
        <v>11658</v>
      </c>
      <c r="B4222" s="878" t="s">
        <v>11659</v>
      </c>
      <c r="C4222" s="879" t="s">
        <v>226</v>
      </c>
      <c r="D4222" s="880" t="s">
        <v>30919</v>
      </c>
    </row>
    <row r="4223" spans="1:4" ht="13.5" x14ac:dyDescent="0.25">
      <c r="A4223" s="878" t="s">
        <v>11660</v>
      </c>
      <c r="B4223" s="878" t="s">
        <v>11661</v>
      </c>
      <c r="C4223" s="879" t="s">
        <v>226</v>
      </c>
      <c r="D4223" s="880" t="s">
        <v>30920</v>
      </c>
    </row>
    <row r="4224" spans="1:4" ht="13.5" x14ac:dyDescent="0.25">
      <c r="A4224" s="878" t="s">
        <v>11662</v>
      </c>
      <c r="B4224" s="878" t="s">
        <v>11663</v>
      </c>
      <c r="C4224" s="879" t="s">
        <v>226</v>
      </c>
      <c r="D4224" s="880" t="s">
        <v>30921</v>
      </c>
    </row>
    <row r="4225" spans="1:4" ht="13.5" x14ac:dyDescent="0.25">
      <c r="A4225" s="878" t="s">
        <v>11664</v>
      </c>
      <c r="B4225" s="878" t="s">
        <v>11665</v>
      </c>
      <c r="C4225" s="879" t="s">
        <v>226</v>
      </c>
      <c r="D4225" s="880" t="s">
        <v>30922</v>
      </c>
    </row>
    <row r="4226" spans="1:4" ht="13.5" x14ac:dyDescent="0.25">
      <c r="A4226" s="878" t="s">
        <v>11666</v>
      </c>
      <c r="B4226" s="878" t="s">
        <v>11667</v>
      </c>
      <c r="C4226" s="879" t="s">
        <v>226</v>
      </c>
      <c r="D4226" s="880" t="s">
        <v>30923</v>
      </c>
    </row>
    <row r="4227" spans="1:4" ht="13.5" x14ac:dyDescent="0.25">
      <c r="A4227" s="878" t="s">
        <v>11668</v>
      </c>
      <c r="B4227" s="878" t="s">
        <v>11669</v>
      </c>
      <c r="C4227" s="879" t="s">
        <v>226</v>
      </c>
      <c r="D4227" s="880" t="s">
        <v>30924</v>
      </c>
    </row>
    <row r="4228" spans="1:4" ht="13.5" x14ac:dyDescent="0.25">
      <c r="A4228" s="878" t="s">
        <v>11670</v>
      </c>
      <c r="B4228" s="878" t="s">
        <v>11671</v>
      </c>
      <c r="C4228" s="879" t="s">
        <v>226</v>
      </c>
      <c r="D4228" s="880" t="s">
        <v>30925</v>
      </c>
    </row>
    <row r="4229" spans="1:4" ht="13.5" x14ac:dyDescent="0.25">
      <c r="A4229" s="878" t="s">
        <v>11672</v>
      </c>
      <c r="B4229" s="878" t="s">
        <v>11673</v>
      </c>
      <c r="C4229" s="879" t="s">
        <v>226</v>
      </c>
      <c r="D4229" s="880" t="s">
        <v>30926</v>
      </c>
    </row>
    <row r="4230" spans="1:4" ht="13.5" x14ac:dyDescent="0.25">
      <c r="A4230" s="878" t="s">
        <v>11674</v>
      </c>
      <c r="B4230" s="878" t="s">
        <v>11675</v>
      </c>
      <c r="C4230" s="879" t="s">
        <v>226</v>
      </c>
      <c r="D4230" s="880" t="s">
        <v>30927</v>
      </c>
    </row>
    <row r="4231" spans="1:4" ht="13.5" x14ac:dyDescent="0.25">
      <c r="A4231" s="878" t="s">
        <v>11676</v>
      </c>
      <c r="B4231" s="878" t="s">
        <v>11677</v>
      </c>
      <c r="C4231" s="879" t="s">
        <v>226</v>
      </c>
      <c r="D4231" s="880" t="s">
        <v>9145</v>
      </c>
    </row>
    <row r="4232" spans="1:4" ht="13.5" x14ac:dyDescent="0.25">
      <c r="A4232" s="878" t="s">
        <v>11678</v>
      </c>
      <c r="B4232" s="878" t="s">
        <v>11679</v>
      </c>
      <c r="C4232" s="879" t="s">
        <v>226</v>
      </c>
      <c r="D4232" s="880" t="s">
        <v>30928</v>
      </c>
    </row>
    <row r="4233" spans="1:4" ht="13.5" x14ac:dyDescent="0.25">
      <c r="A4233" s="878" t="s">
        <v>11680</v>
      </c>
      <c r="B4233" s="878" t="s">
        <v>11681</v>
      </c>
      <c r="C4233" s="879" t="s">
        <v>226</v>
      </c>
      <c r="D4233" s="880" t="s">
        <v>11268</v>
      </c>
    </row>
    <row r="4234" spans="1:4" ht="13.5" x14ac:dyDescent="0.25">
      <c r="A4234" s="878" t="s">
        <v>11682</v>
      </c>
      <c r="B4234" s="878" t="s">
        <v>11683</v>
      </c>
      <c r="C4234" s="879" t="s">
        <v>226</v>
      </c>
      <c r="D4234" s="880" t="s">
        <v>30929</v>
      </c>
    </row>
    <row r="4235" spans="1:4" ht="13.5" x14ac:dyDescent="0.25">
      <c r="A4235" s="878" t="s">
        <v>11684</v>
      </c>
      <c r="B4235" s="878" t="s">
        <v>11685</v>
      </c>
      <c r="C4235" s="879" t="s">
        <v>226</v>
      </c>
      <c r="D4235" s="880" t="s">
        <v>30929</v>
      </c>
    </row>
    <row r="4236" spans="1:4" ht="13.5" x14ac:dyDescent="0.25">
      <c r="A4236" s="878" t="s">
        <v>11686</v>
      </c>
      <c r="B4236" s="878" t="s">
        <v>11687</v>
      </c>
      <c r="C4236" s="879" t="s">
        <v>226</v>
      </c>
      <c r="D4236" s="880" t="s">
        <v>30929</v>
      </c>
    </row>
    <row r="4237" spans="1:4" ht="13.5" x14ac:dyDescent="0.25">
      <c r="A4237" s="878" t="s">
        <v>11688</v>
      </c>
      <c r="B4237" s="878" t="s">
        <v>11689</v>
      </c>
      <c r="C4237" s="879" t="s">
        <v>226</v>
      </c>
      <c r="D4237" s="880" t="s">
        <v>17984</v>
      </c>
    </row>
    <row r="4238" spans="1:4" ht="13.5" x14ac:dyDescent="0.25">
      <c r="A4238" s="878" t="s">
        <v>11691</v>
      </c>
      <c r="B4238" s="878" t="s">
        <v>11692</v>
      </c>
      <c r="C4238" s="879" t="s">
        <v>226</v>
      </c>
      <c r="D4238" s="880" t="s">
        <v>17984</v>
      </c>
    </row>
    <row r="4239" spans="1:4" ht="13.5" x14ac:dyDescent="0.25">
      <c r="A4239" s="878" t="s">
        <v>11693</v>
      </c>
      <c r="B4239" s="878" t="s">
        <v>11694</v>
      </c>
      <c r="C4239" s="879" t="s">
        <v>226</v>
      </c>
      <c r="D4239" s="880" t="s">
        <v>30930</v>
      </c>
    </row>
    <row r="4240" spans="1:4" ht="13.5" x14ac:dyDescent="0.25">
      <c r="A4240" s="878" t="s">
        <v>11695</v>
      </c>
      <c r="B4240" s="878" t="s">
        <v>11696</v>
      </c>
      <c r="C4240" s="879" t="s">
        <v>226</v>
      </c>
      <c r="D4240" s="880" t="s">
        <v>30931</v>
      </c>
    </row>
    <row r="4241" spans="1:4" ht="13.5" x14ac:dyDescent="0.25">
      <c r="A4241" s="878" t="s">
        <v>11697</v>
      </c>
      <c r="B4241" s="878" t="s">
        <v>11698</v>
      </c>
      <c r="C4241" s="879" t="s">
        <v>226</v>
      </c>
      <c r="D4241" s="880" t="s">
        <v>30931</v>
      </c>
    </row>
    <row r="4242" spans="1:4" ht="13.5" x14ac:dyDescent="0.25">
      <c r="A4242" s="878" t="s">
        <v>11699</v>
      </c>
      <c r="B4242" s="878" t="s">
        <v>11700</v>
      </c>
      <c r="C4242" s="879" t="s">
        <v>226</v>
      </c>
      <c r="D4242" s="880" t="s">
        <v>11792</v>
      </c>
    </row>
    <row r="4243" spans="1:4" ht="13.5" x14ac:dyDescent="0.25">
      <c r="A4243" s="878" t="s">
        <v>11701</v>
      </c>
      <c r="B4243" s="878" t="s">
        <v>11702</v>
      </c>
      <c r="C4243" s="879" t="s">
        <v>226</v>
      </c>
      <c r="D4243" s="880" t="s">
        <v>5238</v>
      </c>
    </row>
    <row r="4244" spans="1:4" ht="13.5" x14ac:dyDescent="0.25">
      <c r="A4244" s="878" t="s">
        <v>11703</v>
      </c>
      <c r="B4244" s="878" t="s">
        <v>11704</v>
      </c>
      <c r="C4244" s="879" t="s">
        <v>226</v>
      </c>
      <c r="D4244" s="880" t="s">
        <v>30932</v>
      </c>
    </row>
    <row r="4245" spans="1:4" ht="13.5" x14ac:dyDescent="0.25">
      <c r="A4245" s="878" t="s">
        <v>11705</v>
      </c>
      <c r="B4245" s="878" t="s">
        <v>11706</v>
      </c>
      <c r="C4245" s="879" t="s">
        <v>226</v>
      </c>
      <c r="D4245" s="880" t="s">
        <v>30322</v>
      </c>
    </row>
    <row r="4246" spans="1:4" ht="13.5" x14ac:dyDescent="0.25">
      <c r="A4246" s="878" t="s">
        <v>11707</v>
      </c>
      <c r="B4246" s="878" t="s">
        <v>11708</v>
      </c>
      <c r="C4246" s="879" t="s">
        <v>226</v>
      </c>
      <c r="D4246" s="880" t="s">
        <v>30322</v>
      </c>
    </row>
    <row r="4247" spans="1:4" ht="13.5" x14ac:dyDescent="0.25">
      <c r="A4247" s="878" t="s">
        <v>11709</v>
      </c>
      <c r="B4247" s="878" t="s">
        <v>11710</v>
      </c>
      <c r="C4247" s="879" t="s">
        <v>226</v>
      </c>
      <c r="D4247" s="880" t="s">
        <v>4656</v>
      </c>
    </row>
    <row r="4248" spans="1:4" ht="13.5" x14ac:dyDescent="0.25">
      <c r="A4248" s="878" t="s">
        <v>11711</v>
      </c>
      <c r="B4248" s="878" t="s">
        <v>11712</v>
      </c>
      <c r="C4248" s="879" t="s">
        <v>226</v>
      </c>
      <c r="D4248" s="880" t="s">
        <v>4656</v>
      </c>
    </row>
    <row r="4249" spans="1:4" ht="13.5" x14ac:dyDescent="0.25">
      <c r="A4249" s="878" t="s">
        <v>11713</v>
      </c>
      <c r="B4249" s="878" t="s">
        <v>11714</v>
      </c>
      <c r="C4249" s="879" t="s">
        <v>226</v>
      </c>
      <c r="D4249" s="880" t="s">
        <v>4656</v>
      </c>
    </row>
    <row r="4250" spans="1:4" ht="13.5" x14ac:dyDescent="0.25">
      <c r="A4250" s="878" t="s">
        <v>11715</v>
      </c>
      <c r="B4250" s="878" t="s">
        <v>11716</v>
      </c>
      <c r="C4250" s="879" t="s">
        <v>226</v>
      </c>
      <c r="D4250" s="880" t="s">
        <v>30933</v>
      </c>
    </row>
    <row r="4251" spans="1:4" ht="13.5" x14ac:dyDescent="0.25">
      <c r="A4251" s="878" t="s">
        <v>11717</v>
      </c>
      <c r="B4251" s="878" t="s">
        <v>11718</v>
      </c>
      <c r="C4251" s="879" t="s">
        <v>226</v>
      </c>
      <c r="D4251" s="880" t="s">
        <v>30933</v>
      </c>
    </row>
    <row r="4252" spans="1:4" ht="13.5" x14ac:dyDescent="0.25">
      <c r="A4252" s="878" t="s">
        <v>11719</v>
      </c>
      <c r="B4252" s="878" t="s">
        <v>11720</v>
      </c>
      <c r="C4252" s="879" t="s">
        <v>226</v>
      </c>
      <c r="D4252" s="880" t="s">
        <v>30933</v>
      </c>
    </row>
    <row r="4253" spans="1:4" ht="13.5" x14ac:dyDescent="0.25">
      <c r="A4253" s="878" t="s">
        <v>11721</v>
      </c>
      <c r="B4253" s="878" t="s">
        <v>11722</v>
      </c>
      <c r="C4253" s="879" t="s">
        <v>226</v>
      </c>
      <c r="D4253" s="880" t="s">
        <v>30934</v>
      </c>
    </row>
    <row r="4254" spans="1:4" ht="13.5" x14ac:dyDescent="0.25">
      <c r="A4254" s="878" t="s">
        <v>11723</v>
      </c>
      <c r="B4254" s="878" t="s">
        <v>11724</v>
      </c>
      <c r="C4254" s="879" t="s">
        <v>226</v>
      </c>
      <c r="D4254" s="880" t="s">
        <v>30934</v>
      </c>
    </row>
    <row r="4255" spans="1:4" ht="13.5" x14ac:dyDescent="0.25">
      <c r="A4255" s="878" t="s">
        <v>11725</v>
      </c>
      <c r="B4255" s="878" t="s">
        <v>11726</v>
      </c>
      <c r="C4255" s="879" t="s">
        <v>226</v>
      </c>
      <c r="D4255" s="880" t="s">
        <v>30935</v>
      </c>
    </row>
    <row r="4256" spans="1:4" ht="13.5" x14ac:dyDescent="0.25">
      <c r="A4256" s="878" t="s">
        <v>11727</v>
      </c>
      <c r="B4256" s="878" t="s">
        <v>11728</v>
      </c>
      <c r="C4256" s="879" t="s">
        <v>226</v>
      </c>
      <c r="D4256" s="880" t="s">
        <v>30935</v>
      </c>
    </row>
    <row r="4257" spans="1:4" ht="13.5" x14ac:dyDescent="0.25">
      <c r="A4257" s="878" t="s">
        <v>11729</v>
      </c>
      <c r="B4257" s="878" t="s">
        <v>11730</v>
      </c>
      <c r="C4257" s="879" t="s">
        <v>226</v>
      </c>
      <c r="D4257" s="880" t="s">
        <v>17519</v>
      </c>
    </row>
    <row r="4258" spans="1:4" ht="13.5" x14ac:dyDescent="0.25">
      <c r="A4258" s="878" t="s">
        <v>11732</v>
      </c>
      <c r="B4258" s="878" t="s">
        <v>11733</v>
      </c>
      <c r="C4258" s="879" t="s">
        <v>226</v>
      </c>
      <c r="D4258" s="880" t="s">
        <v>30936</v>
      </c>
    </row>
    <row r="4259" spans="1:4" ht="13.5" x14ac:dyDescent="0.25">
      <c r="A4259" s="878" t="s">
        <v>11735</v>
      </c>
      <c r="B4259" s="878" t="s">
        <v>11736</v>
      </c>
      <c r="C4259" s="879" t="s">
        <v>226</v>
      </c>
      <c r="D4259" s="880" t="s">
        <v>12610</v>
      </c>
    </row>
    <row r="4260" spans="1:4" ht="13.5" x14ac:dyDescent="0.25">
      <c r="A4260" s="878" t="s">
        <v>11737</v>
      </c>
      <c r="B4260" s="878" t="s">
        <v>11738</v>
      </c>
      <c r="C4260" s="879" t="s">
        <v>226</v>
      </c>
      <c r="D4260" s="880" t="s">
        <v>30937</v>
      </c>
    </row>
    <row r="4261" spans="1:4" ht="13.5" x14ac:dyDescent="0.25">
      <c r="A4261" s="878" t="s">
        <v>11739</v>
      </c>
      <c r="B4261" s="878" t="s">
        <v>11740</v>
      </c>
      <c r="C4261" s="879" t="s">
        <v>226</v>
      </c>
      <c r="D4261" s="880" t="s">
        <v>30937</v>
      </c>
    </row>
    <row r="4262" spans="1:4" ht="13.5" x14ac:dyDescent="0.25">
      <c r="A4262" s="878" t="s">
        <v>11741</v>
      </c>
      <c r="B4262" s="878" t="s">
        <v>11742</v>
      </c>
      <c r="C4262" s="879" t="s">
        <v>226</v>
      </c>
      <c r="D4262" s="880" t="s">
        <v>12397</v>
      </c>
    </row>
    <row r="4263" spans="1:4" ht="13.5" x14ac:dyDescent="0.25">
      <c r="A4263" s="878" t="s">
        <v>11743</v>
      </c>
      <c r="B4263" s="878" t="s">
        <v>11744</v>
      </c>
      <c r="C4263" s="879" t="s">
        <v>226</v>
      </c>
      <c r="D4263" s="880" t="s">
        <v>12397</v>
      </c>
    </row>
    <row r="4264" spans="1:4" ht="13.5" x14ac:dyDescent="0.25">
      <c r="A4264" s="878" t="s">
        <v>11745</v>
      </c>
      <c r="B4264" s="878" t="s">
        <v>11746</v>
      </c>
      <c r="C4264" s="879" t="s">
        <v>226</v>
      </c>
      <c r="D4264" s="880" t="s">
        <v>12397</v>
      </c>
    </row>
    <row r="4265" spans="1:4" ht="13.5" x14ac:dyDescent="0.25">
      <c r="A4265" s="878" t="s">
        <v>11747</v>
      </c>
      <c r="B4265" s="878" t="s">
        <v>11748</v>
      </c>
      <c r="C4265" s="879" t="s">
        <v>226</v>
      </c>
      <c r="D4265" s="880" t="s">
        <v>17881</v>
      </c>
    </row>
    <row r="4266" spans="1:4" ht="13.5" x14ac:dyDescent="0.25">
      <c r="A4266" s="878" t="s">
        <v>11749</v>
      </c>
      <c r="B4266" s="878" t="s">
        <v>11750</v>
      </c>
      <c r="C4266" s="879" t="s">
        <v>226</v>
      </c>
      <c r="D4266" s="880" t="s">
        <v>17881</v>
      </c>
    </row>
    <row r="4267" spans="1:4" ht="13.5" x14ac:dyDescent="0.25">
      <c r="A4267" s="878" t="s">
        <v>11751</v>
      </c>
      <c r="B4267" s="878" t="s">
        <v>11752</v>
      </c>
      <c r="C4267" s="879" t="s">
        <v>226</v>
      </c>
      <c r="D4267" s="880" t="s">
        <v>17881</v>
      </c>
    </row>
    <row r="4268" spans="1:4" ht="13.5" x14ac:dyDescent="0.25">
      <c r="A4268" s="878" t="s">
        <v>11753</v>
      </c>
      <c r="B4268" s="878" t="s">
        <v>11754</v>
      </c>
      <c r="C4268" s="879" t="s">
        <v>226</v>
      </c>
      <c r="D4268" s="880" t="s">
        <v>30938</v>
      </c>
    </row>
    <row r="4269" spans="1:4" ht="13.5" x14ac:dyDescent="0.25">
      <c r="A4269" s="878" t="s">
        <v>11755</v>
      </c>
      <c r="B4269" s="878" t="s">
        <v>11756</v>
      </c>
      <c r="C4269" s="879" t="s">
        <v>226</v>
      </c>
      <c r="D4269" s="880" t="s">
        <v>30938</v>
      </c>
    </row>
    <row r="4270" spans="1:4" ht="13.5" x14ac:dyDescent="0.25">
      <c r="A4270" s="878" t="s">
        <v>11757</v>
      </c>
      <c r="B4270" s="878" t="s">
        <v>11758</v>
      </c>
      <c r="C4270" s="879" t="s">
        <v>226</v>
      </c>
      <c r="D4270" s="880" t="s">
        <v>30939</v>
      </c>
    </row>
    <row r="4271" spans="1:4" ht="13.5" x14ac:dyDescent="0.25">
      <c r="A4271" s="878" t="s">
        <v>11759</v>
      </c>
      <c r="B4271" s="878" t="s">
        <v>11760</v>
      </c>
      <c r="C4271" s="879" t="s">
        <v>226</v>
      </c>
      <c r="D4271" s="880" t="s">
        <v>30939</v>
      </c>
    </row>
    <row r="4272" spans="1:4" ht="13.5" x14ac:dyDescent="0.25">
      <c r="A4272" s="878" t="s">
        <v>11761</v>
      </c>
      <c r="B4272" s="878" t="s">
        <v>11762</v>
      </c>
      <c r="C4272" s="879" t="s">
        <v>226</v>
      </c>
      <c r="D4272" s="880" t="s">
        <v>30762</v>
      </c>
    </row>
    <row r="4273" spans="1:4" ht="13.5" x14ac:dyDescent="0.25">
      <c r="A4273" s="878" t="s">
        <v>11763</v>
      </c>
      <c r="B4273" s="878" t="s">
        <v>11764</v>
      </c>
      <c r="C4273" s="879" t="s">
        <v>226</v>
      </c>
      <c r="D4273" s="880" t="s">
        <v>31321</v>
      </c>
    </row>
    <row r="4274" spans="1:4" ht="13.5" x14ac:dyDescent="0.25">
      <c r="A4274" s="878" t="s">
        <v>11765</v>
      </c>
      <c r="B4274" s="878" t="s">
        <v>11766</v>
      </c>
      <c r="C4274" s="879" t="s">
        <v>226</v>
      </c>
      <c r="D4274" s="880" t="s">
        <v>42498</v>
      </c>
    </row>
    <row r="4275" spans="1:4" ht="13.5" x14ac:dyDescent="0.25">
      <c r="A4275" s="878" t="s">
        <v>11767</v>
      </c>
      <c r="B4275" s="878" t="s">
        <v>11768</v>
      </c>
      <c r="C4275" s="879" t="s">
        <v>226</v>
      </c>
      <c r="D4275" s="880" t="s">
        <v>42499</v>
      </c>
    </row>
    <row r="4276" spans="1:4" ht="13.5" x14ac:dyDescent="0.25">
      <c r="A4276" s="878" t="s">
        <v>11769</v>
      </c>
      <c r="B4276" s="878" t="s">
        <v>11770</v>
      </c>
      <c r="C4276" s="879" t="s">
        <v>226</v>
      </c>
      <c r="D4276" s="880" t="s">
        <v>42500</v>
      </c>
    </row>
    <row r="4277" spans="1:4" ht="13.5" x14ac:dyDescent="0.25">
      <c r="A4277" s="878" t="s">
        <v>11771</v>
      </c>
      <c r="B4277" s="878" t="s">
        <v>11772</v>
      </c>
      <c r="C4277" s="879" t="s">
        <v>226</v>
      </c>
      <c r="D4277" s="880" t="s">
        <v>42478</v>
      </c>
    </row>
    <row r="4278" spans="1:4" ht="13.5" x14ac:dyDescent="0.25">
      <c r="A4278" s="878" t="s">
        <v>11773</v>
      </c>
      <c r="B4278" s="878" t="s">
        <v>11774</v>
      </c>
      <c r="C4278" s="879" t="s">
        <v>226</v>
      </c>
      <c r="D4278" s="880" t="s">
        <v>42501</v>
      </c>
    </row>
    <row r="4279" spans="1:4" ht="13.5" x14ac:dyDescent="0.25">
      <c r="A4279" s="878" t="s">
        <v>11775</v>
      </c>
      <c r="B4279" s="878" t="s">
        <v>11776</v>
      </c>
      <c r="C4279" s="879" t="s">
        <v>226</v>
      </c>
      <c r="D4279" s="880" t="s">
        <v>42502</v>
      </c>
    </row>
    <row r="4280" spans="1:4" ht="13.5" x14ac:dyDescent="0.25">
      <c r="A4280" s="878" t="s">
        <v>11777</v>
      </c>
      <c r="B4280" s="878" t="s">
        <v>11778</v>
      </c>
      <c r="C4280" s="879" t="s">
        <v>226</v>
      </c>
      <c r="D4280" s="880" t="s">
        <v>8622</v>
      </c>
    </row>
    <row r="4281" spans="1:4" ht="13.5" x14ac:dyDescent="0.25">
      <c r="A4281" s="878" t="s">
        <v>11779</v>
      </c>
      <c r="B4281" s="878" t="s">
        <v>11780</v>
      </c>
      <c r="C4281" s="879" t="s">
        <v>226</v>
      </c>
      <c r="D4281" s="880" t="s">
        <v>42503</v>
      </c>
    </row>
    <row r="4282" spans="1:4" ht="13.5" x14ac:dyDescent="0.25">
      <c r="A4282" s="878" t="s">
        <v>11781</v>
      </c>
      <c r="B4282" s="878" t="s">
        <v>11782</v>
      </c>
      <c r="C4282" s="879" t="s">
        <v>226</v>
      </c>
      <c r="D4282" s="880" t="s">
        <v>42504</v>
      </c>
    </row>
    <row r="4283" spans="1:4" ht="13.5" x14ac:dyDescent="0.25">
      <c r="A4283" s="878" t="s">
        <v>11783</v>
      </c>
      <c r="B4283" s="878" t="s">
        <v>11784</v>
      </c>
      <c r="C4283" s="879" t="s">
        <v>226</v>
      </c>
      <c r="D4283" s="880" t="s">
        <v>42139</v>
      </c>
    </row>
    <row r="4284" spans="1:4" ht="13.5" x14ac:dyDescent="0.25">
      <c r="A4284" s="878" t="s">
        <v>11786</v>
      </c>
      <c r="B4284" s="878" t="s">
        <v>11787</v>
      </c>
      <c r="C4284" s="879" t="s">
        <v>226</v>
      </c>
      <c r="D4284" s="880" t="s">
        <v>42505</v>
      </c>
    </row>
    <row r="4285" spans="1:4" ht="13.5" x14ac:dyDescent="0.25">
      <c r="A4285" s="878" t="s">
        <v>11788</v>
      </c>
      <c r="B4285" s="878" t="s">
        <v>11789</v>
      </c>
      <c r="C4285" s="879" t="s">
        <v>226</v>
      </c>
      <c r="D4285" s="880" t="s">
        <v>40167</v>
      </c>
    </row>
    <row r="4286" spans="1:4" ht="13.5" x14ac:dyDescent="0.25">
      <c r="A4286" s="878" t="s">
        <v>11790</v>
      </c>
      <c r="B4286" s="878" t="s">
        <v>11791</v>
      </c>
      <c r="C4286" s="879" t="s">
        <v>226</v>
      </c>
      <c r="D4286" s="880" t="s">
        <v>42506</v>
      </c>
    </row>
    <row r="4287" spans="1:4" ht="13.5" x14ac:dyDescent="0.25">
      <c r="A4287" s="878" t="s">
        <v>11793</v>
      </c>
      <c r="B4287" s="878" t="s">
        <v>11794</v>
      </c>
      <c r="C4287" s="879" t="s">
        <v>226</v>
      </c>
      <c r="D4287" s="880" t="s">
        <v>42507</v>
      </c>
    </row>
    <row r="4288" spans="1:4" ht="13.5" x14ac:dyDescent="0.25">
      <c r="A4288" s="878" t="s">
        <v>11795</v>
      </c>
      <c r="B4288" s="878" t="s">
        <v>11796</v>
      </c>
      <c r="C4288" s="879" t="s">
        <v>226</v>
      </c>
      <c r="D4288" s="880" t="s">
        <v>10491</v>
      </c>
    </row>
    <row r="4289" spans="1:4" ht="13.5" x14ac:dyDescent="0.25">
      <c r="A4289" s="878" t="s">
        <v>11797</v>
      </c>
      <c r="B4289" s="878" t="s">
        <v>11798</v>
      </c>
      <c r="C4289" s="879" t="s">
        <v>226</v>
      </c>
      <c r="D4289" s="880" t="s">
        <v>42508</v>
      </c>
    </row>
    <row r="4290" spans="1:4" ht="13.5" x14ac:dyDescent="0.25">
      <c r="A4290" s="878" t="s">
        <v>11799</v>
      </c>
      <c r="B4290" s="878" t="s">
        <v>11800</v>
      </c>
      <c r="C4290" s="879" t="s">
        <v>226</v>
      </c>
      <c r="D4290" s="880" t="s">
        <v>42509</v>
      </c>
    </row>
    <row r="4291" spans="1:4" ht="13.5" x14ac:dyDescent="0.25">
      <c r="A4291" s="878" t="s">
        <v>11801</v>
      </c>
      <c r="B4291" s="878" t="s">
        <v>11802</v>
      </c>
      <c r="C4291" s="879" t="s">
        <v>226</v>
      </c>
      <c r="D4291" s="881" t="s">
        <v>42481</v>
      </c>
    </row>
    <row r="4292" spans="1:4" ht="13.5" x14ac:dyDescent="0.25">
      <c r="A4292" s="878" t="s">
        <v>11803</v>
      </c>
      <c r="B4292" s="878" t="s">
        <v>11804</v>
      </c>
      <c r="C4292" s="879" t="s">
        <v>226</v>
      </c>
      <c r="D4292" s="880" t="s">
        <v>31163</v>
      </c>
    </row>
    <row r="4293" spans="1:4" ht="13.5" x14ac:dyDescent="0.25">
      <c r="A4293" s="878" t="s">
        <v>11805</v>
      </c>
      <c r="B4293" s="878" t="s">
        <v>11806</v>
      </c>
      <c r="C4293" s="879" t="s">
        <v>226</v>
      </c>
      <c r="D4293" s="880" t="s">
        <v>42510</v>
      </c>
    </row>
    <row r="4294" spans="1:4" ht="13.5" x14ac:dyDescent="0.25">
      <c r="A4294" s="878" t="s">
        <v>11807</v>
      </c>
      <c r="B4294" s="878" t="s">
        <v>11808</v>
      </c>
      <c r="C4294" s="879" t="s">
        <v>226</v>
      </c>
      <c r="D4294" s="881" t="s">
        <v>40027</v>
      </c>
    </row>
    <row r="4295" spans="1:4" ht="13.5" x14ac:dyDescent="0.25">
      <c r="A4295" s="878" t="s">
        <v>11810</v>
      </c>
      <c r="B4295" s="878" t="s">
        <v>11811</v>
      </c>
      <c r="C4295" s="879" t="s">
        <v>226</v>
      </c>
      <c r="D4295" s="880" t="s">
        <v>40553</v>
      </c>
    </row>
    <row r="4296" spans="1:4" ht="13.5" x14ac:dyDescent="0.25">
      <c r="A4296" s="878" t="s">
        <v>11812</v>
      </c>
      <c r="B4296" s="878" t="s">
        <v>11813</v>
      </c>
      <c r="C4296" s="879" t="s">
        <v>226</v>
      </c>
      <c r="D4296" s="880" t="s">
        <v>42511</v>
      </c>
    </row>
    <row r="4297" spans="1:4" ht="13.5" x14ac:dyDescent="0.25">
      <c r="A4297" s="878" t="s">
        <v>11814</v>
      </c>
      <c r="B4297" s="878" t="s">
        <v>11815</v>
      </c>
      <c r="C4297" s="879" t="s">
        <v>226</v>
      </c>
      <c r="D4297" s="880" t="s">
        <v>42512</v>
      </c>
    </row>
    <row r="4298" spans="1:4" ht="13.5" x14ac:dyDescent="0.25">
      <c r="A4298" s="878" t="s">
        <v>11817</v>
      </c>
      <c r="B4298" s="878" t="s">
        <v>11818</v>
      </c>
      <c r="C4298" s="879" t="s">
        <v>226</v>
      </c>
      <c r="D4298" s="880" t="s">
        <v>42343</v>
      </c>
    </row>
    <row r="4299" spans="1:4" ht="13.5" x14ac:dyDescent="0.25">
      <c r="A4299" s="878" t="s">
        <v>11819</v>
      </c>
      <c r="B4299" s="878" t="s">
        <v>11820</v>
      </c>
      <c r="C4299" s="879" t="s">
        <v>226</v>
      </c>
      <c r="D4299" s="880" t="s">
        <v>11731</v>
      </c>
    </row>
    <row r="4300" spans="1:4" ht="13.5" x14ac:dyDescent="0.25">
      <c r="A4300" s="878" t="s">
        <v>11821</v>
      </c>
      <c r="B4300" s="878" t="s">
        <v>11822</v>
      </c>
      <c r="C4300" s="879" t="s">
        <v>226</v>
      </c>
      <c r="D4300" s="880" t="s">
        <v>16897</v>
      </c>
    </row>
    <row r="4301" spans="1:4" ht="13.5" x14ac:dyDescent="0.25">
      <c r="A4301" s="878" t="s">
        <v>11824</v>
      </c>
      <c r="B4301" s="878" t="s">
        <v>11825</v>
      </c>
      <c r="C4301" s="879" t="s">
        <v>226</v>
      </c>
      <c r="D4301" s="880" t="s">
        <v>42513</v>
      </c>
    </row>
    <row r="4302" spans="1:4" ht="13.5" x14ac:dyDescent="0.25">
      <c r="A4302" s="878" t="s">
        <v>11827</v>
      </c>
      <c r="B4302" s="878" t="s">
        <v>11828</v>
      </c>
      <c r="C4302" s="879" t="s">
        <v>226</v>
      </c>
      <c r="D4302" s="880" t="s">
        <v>42514</v>
      </c>
    </row>
    <row r="4303" spans="1:4" ht="13.5" x14ac:dyDescent="0.25">
      <c r="A4303" s="878" t="s">
        <v>11829</v>
      </c>
      <c r="B4303" s="878" t="s">
        <v>11830</v>
      </c>
      <c r="C4303" s="879" t="s">
        <v>226</v>
      </c>
      <c r="D4303" s="880" t="s">
        <v>42515</v>
      </c>
    </row>
    <row r="4304" spans="1:4" ht="13.5" x14ac:dyDescent="0.25">
      <c r="A4304" s="878" t="s">
        <v>11831</v>
      </c>
      <c r="B4304" s="878" t="s">
        <v>11832</v>
      </c>
      <c r="C4304" s="879" t="s">
        <v>226</v>
      </c>
      <c r="D4304" s="880" t="s">
        <v>6989</v>
      </c>
    </row>
    <row r="4305" spans="1:4" ht="13.5" x14ac:dyDescent="0.25">
      <c r="A4305" s="878" t="s">
        <v>11834</v>
      </c>
      <c r="B4305" s="878" t="s">
        <v>11835</v>
      </c>
      <c r="C4305" s="879" t="s">
        <v>226</v>
      </c>
      <c r="D4305" s="880" t="s">
        <v>30393</v>
      </c>
    </row>
    <row r="4306" spans="1:4" ht="13.5" x14ac:dyDescent="0.25">
      <c r="A4306" s="878" t="s">
        <v>11836</v>
      </c>
      <c r="B4306" s="878" t="s">
        <v>11837</v>
      </c>
      <c r="C4306" s="879" t="s">
        <v>226</v>
      </c>
      <c r="D4306" s="880" t="s">
        <v>42516</v>
      </c>
    </row>
    <row r="4307" spans="1:4" ht="13.5" x14ac:dyDescent="0.25">
      <c r="A4307" s="878" t="s">
        <v>11838</v>
      </c>
      <c r="B4307" s="878" t="s">
        <v>11839</v>
      </c>
      <c r="C4307" s="879" t="s">
        <v>226</v>
      </c>
      <c r="D4307" s="880" t="s">
        <v>42311</v>
      </c>
    </row>
    <row r="4308" spans="1:4" ht="13.5" x14ac:dyDescent="0.25">
      <c r="A4308" s="878" t="s">
        <v>11840</v>
      </c>
      <c r="B4308" s="878" t="s">
        <v>11841</v>
      </c>
      <c r="C4308" s="879" t="s">
        <v>226</v>
      </c>
      <c r="D4308" s="880" t="s">
        <v>42517</v>
      </c>
    </row>
    <row r="4309" spans="1:4" ht="13.5" x14ac:dyDescent="0.25">
      <c r="A4309" s="878" t="s">
        <v>11842</v>
      </c>
      <c r="B4309" s="878" t="s">
        <v>11843</v>
      </c>
      <c r="C4309" s="879" t="s">
        <v>226</v>
      </c>
      <c r="D4309" s="880" t="s">
        <v>42518</v>
      </c>
    </row>
    <row r="4310" spans="1:4" ht="13.5" x14ac:dyDescent="0.25">
      <c r="A4310" s="878" t="s">
        <v>11844</v>
      </c>
      <c r="B4310" s="878" t="s">
        <v>11845</v>
      </c>
      <c r="C4310" s="879" t="s">
        <v>226</v>
      </c>
      <c r="D4310" s="880" t="s">
        <v>42488</v>
      </c>
    </row>
    <row r="4311" spans="1:4" ht="13.5" x14ac:dyDescent="0.25">
      <c r="A4311" s="878" t="s">
        <v>11846</v>
      </c>
      <c r="B4311" s="878" t="s">
        <v>11847</v>
      </c>
      <c r="C4311" s="879" t="s">
        <v>226</v>
      </c>
      <c r="D4311" s="880" t="s">
        <v>42519</v>
      </c>
    </row>
    <row r="4312" spans="1:4" ht="13.5" x14ac:dyDescent="0.25">
      <c r="A4312" s="878" t="s">
        <v>11848</v>
      </c>
      <c r="B4312" s="878" t="s">
        <v>11849</v>
      </c>
      <c r="C4312" s="879" t="s">
        <v>226</v>
      </c>
      <c r="D4312" s="880" t="s">
        <v>42520</v>
      </c>
    </row>
    <row r="4313" spans="1:4" ht="13.5" x14ac:dyDescent="0.25">
      <c r="A4313" s="878" t="s">
        <v>11850</v>
      </c>
      <c r="B4313" s="878" t="s">
        <v>11851</v>
      </c>
      <c r="C4313" s="879" t="s">
        <v>226</v>
      </c>
      <c r="D4313" s="880" t="s">
        <v>41769</v>
      </c>
    </row>
    <row r="4314" spans="1:4" ht="13.5" x14ac:dyDescent="0.25">
      <c r="A4314" s="878" t="s">
        <v>11852</v>
      </c>
      <c r="B4314" s="878" t="s">
        <v>11853</v>
      </c>
      <c r="C4314" s="879" t="s">
        <v>226</v>
      </c>
      <c r="D4314" s="880" t="s">
        <v>41577</v>
      </c>
    </row>
    <row r="4315" spans="1:4" ht="13.5" x14ac:dyDescent="0.25">
      <c r="A4315" s="878" t="s">
        <v>11854</v>
      </c>
      <c r="B4315" s="878" t="s">
        <v>11855</v>
      </c>
      <c r="C4315" s="879" t="s">
        <v>226</v>
      </c>
      <c r="D4315" s="880" t="s">
        <v>14015</v>
      </c>
    </row>
    <row r="4316" spans="1:4" ht="13.5" x14ac:dyDescent="0.25">
      <c r="A4316" s="878" t="s">
        <v>11856</v>
      </c>
      <c r="B4316" s="878" t="s">
        <v>11857</v>
      </c>
      <c r="C4316" s="879" t="s">
        <v>226</v>
      </c>
      <c r="D4316" s="880" t="s">
        <v>31039</v>
      </c>
    </row>
    <row r="4317" spans="1:4" ht="13.5" x14ac:dyDescent="0.25">
      <c r="A4317" s="878" t="s">
        <v>11859</v>
      </c>
      <c r="B4317" s="878" t="s">
        <v>11860</v>
      </c>
      <c r="C4317" s="879" t="s">
        <v>226</v>
      </c>
      <c r="D4317" s="880" t="s">
        <v>17467</v>
      </c>
    </row>
    <row r="4318" spans="1:4" ht="13.5" x14ac:dyDescent="0.25">
      <c r="A4318" s="878" t="s">
        <v>11862</v>
      </c>
      <c r="B4318" s="878" t="s">
        <v>11863</v>
      </c>
      <c r="C4318" s="879" t="s">
        <v>226</v>
      </c>
      <c r="D4318" s="880" t="s">
        <v>42281</v>
      </c>
    </row>
    <row r="4319" spans="1:4" ht="13.5" x14ac:dyDescent="0.25">
      <c r="A4319" s="878" t="s">
        <v>11864</v>
      </c>
      <c r="B4319" s="878" t="s">
        <v>11865</v>
      </c>
      <c r="C4319" s="879" t="s">
        <v>226</v>
      </c>
      <c r="D4319" s="880" t="s">
        <v>42521</v>
      </c>
    </row>
    <row r="4320" spans="1:4" ht="13.5" x14ac:dyDescent="0.25">
      <c r="A4320" s="878" t="s">
        <v>11866</v>
      </c>
      <c r="B4320" s="878" t="s">
        <v>11867</v>
      </c>
      <c r="C4320" s="879" t="s">
        <v>226</v>
      </c>
      <c r="D4320" s="880" t="s">
        <v>42522</v>
      </c>
    </row>
    <row r="4321" spans="1:4" ht="13.5" x14ac:dyDescent="0.25">
      <c r="A4321" s="878" t="s">
        <v>11868</v>
      </c>
      <c r="B4321" s="878" t="s">
        <v>11869</v>
      </c>
      <c r="C4321" s="879" t="s">
        <v>226</v>
      </c>
      <c r="D4321" s="880" t="s">
        <v>30426</v>
      </c>
    </row>
    <row r="4322" spans="1:4" ht="13.5" x14ac:dyDescent="0.25">
      <c r="A4322" s="878" t="s">
        <v>11870</v>
      </c>
      <c r="B4322" s="878" t="s">
        <v>11871</v>
      </c>
      <c r="C4322" s="879" t="s">
        <v>226</v>
      </c>
      <c r="D4322" s="880" t="s">
        <v>31037</v>
      </c>
    </row>
    <row r="4323" spans="1:4" ht="13.5" x14ac:dyDescent="0.25">
      <c r="A4323" s="878" t="s">
        <v>11872</v>
      </c>
      <c r="B4323" s="878" t="s">
        <v>11873</v>
      </c>
      <c r="C4323" s="879" t="s">
        <v>226</v>
      </c>
      <c r="D4323" s="880" t="s">
        <v>42523</v>
      </c>
    </row>
    <row r="4324" spans="1:4" ht="13.5" x14ac:dyDescent="0.25">
      <c r="A4324" s="878" t="s">
        <v>11874</v>
      </c>
      <c r="B4324" s="878" t="s">
        <v>11875</v>
      </c>
      <c r="C4324" s="879" t="s">
        <v>226</v>
      </c>
      <c r="D4324" s="880" t="s">
        <v>42524</v>
      </c>
    </row>
    <row r="4325" spans="1:4" ht="13.5" x14ac:dyDescent="0.25">
      <c r="A4325" s="878" t="s">
        <v>11876</v>
      </c>
      <c r="B4325" s="878" t="s">
        <v>11877</v>
      </c>
      <c r="C4325" s="879" t="s">
        <v>226</v>
      </c>
      <c r="D4325" s="880" t="s">
        <v>42525</v>
      </c>
    </row>
    <row r="4326" spans="1:4" ht="13.5" x14ac:dyDescent="0.25">
      <c r="A4326" s="878" t="s">
        <v>11879</v>
      </c>
      <c r="B4326" s="878" t="s">
        <v>11880</v>
      </c>
      <c r="C4326" s="879" t="s">
        <v>226</v>
      </c>
      <c r="D4326" s="880" t="s">
        <v>41475</v>
      </c>
    </row>
    <row r="4327" spans="1:4" ht="13.5" x14ac:dyDescent="0.25">
      <c r="A4327" s="878" t="s">
        <v>11882</v>
      </c>
      <c r="B4327" s="878" t="s">
        <v>11883</v>
      </c>
      <c r="C4327" s="879" t="s">
        <v>226</v>
      </c>
      <c r="D4327" s="880" t="s">
        <v>42526</v>
      </c>
    </row>
    <row r="4328" spans="1:4" ht="13.5" x14ac:dyDescent="0.25">
      <c r="A4328" s="878" t="s">
        <v>11884</v>
      </c>
      <c r="B4328" s="878" t="s">
        <v>11885</v>
      </c>
      <c r="C4328" s="879" t="s">
        <v>226</v>
      </c>
      <c r="D4328" s="880" t="s">
        <v>42527</v>
      </c>
    </row>
    <row r="4329" spans="1:4" ht="13.5" x14ac:dyDescent="0.25">
      <c r="A4329" s="878" t="s">
        <v>11886</v>
      </c>
      <c r="B4329" s="878" t="s">
        <v>11887</v>
      </c>
      <c r="C4329" s="879" t="s">
        <v>226</v>
      </c>
      <c r="D4329" s="880" t="s">
        <v>30747</v>
      </c>
    </row>
    <row r="4330" spans="1:4" ht="13.5" x14ac:dyDescent="0.25">
      <c r="A4330" s="878" t="s">
        <v>11888</v>
      </c>
      <c r="B4330" s="878" t="s">
        <v>11889</v>
      </c>
      <c r="C4330" s="879" t="s">
        <v>226</v>
      </c>
      <c r="D4330" s="880" t="s">
        <v>42528</v>
      </c>
    </row>
    <row r="4331" spans="1:4" ht="13.5" x14ac:dyDescent="0.25">
      <c r="A4331" s="878" t="s">
        <v>11890</v>
      </c>
      <c r="B4331" s="878" t="s">
        <v>11891</v>
      </c>
      <c r="C4331" s="879" t="s">
        <v>226</v>
      </c>
      <c r="D4331" s="880" t="s">
        <v>42494</v>
      </c>
    </row>
    <row r="4332" spans="1:4" ht="13.5" x14ac:dyDescent="0.25">
      <c r="A4332" s="878" t="s">
        <v>11892</v>
      </c>
      <c r="B4332" s="878" t="s">
        <v>11893</v>
      </c>
      <c r="C4332" s="879" t="s">
        <v>226</v>
      </c>
      <c r="D4332" s="880" t="s">
        <v>30481</v>
      </c>
    </row>
    <row r="4333" spans="1:4" ht="13.5" x14ac:dyDescent="0.25">
      <c r="A4333" s="878" t="s">
        <v>11894</v>
      </c>
      <c r="B4333" s="878" t="s">
        <v>11895</v>
      </c>
      <c r="C4333" s="879" t="s">
        <v>226</v>
      </c>
      <c r="D4333" s="880" t="s">
        <v>30295</v>
      </c>
    </row>
    <row r="4334" spans="1:4" ht="13.5" x14ac:dyDescent="0.25">
      <c r="A4334" s="878" t="s">
        <v>11896</v>
      </c>
      <c r="B4334" s="878" t="s">
        <v>11897</v>
      </c>
      <c r="C4334" s="879" t="s">
        <v>226</v>
      </c>
      <c r="D4334" s="880" t="s">
        <v>42529</v>
      </c>
    </row>
    <row r="4335" spans="1:4" ht="13.5" x14ac:dyDescent="0.25">
      <c r="A4335" s="878" t="s">
        <v>11898</v>
      </c>
      <c r="B4335" s="878" t="s">
        <v>11899</v>
      </c>
      <c r="C4335" s="879" t="s">
        <v>226</v>
      </c>
      <c r="D4335" s="880" t="s">
        <v>30802</v>
      </c>
    </row>
    <row r="4336" spans="1:4" ht="13.5" x14ac:dyDescent="0.25">
      <c r="A4336" s="878" t="s">
        <v>11901</v>
      </c>
      <c r="B4336" s="878" t="s">
        <v>11902</v>
      </c>
      <c r="C4336" s="879" t="s">
        <v>226</v>
      </c>
      <c r="D4336" s="880" t="s">
        <v>42530</v>
      </c>
    </row>
    <row r="4337" spans="1:4" ht="13.5" x14ac:dyDescent="0.25">
      <c r="A4337" s="878" t="s">
        <v>11903</v>
      </c>
      <c r="B4337" s="878" t="s">
        <v>11904</v>
      </c>
      <c r="C4337" s="879" t="s">
        <v>226</v>
      </c>
      <c r="D4337" s="880" t="s">
        <v>42531</v>
      </c>
    </row>
    <row r="4338" spans="1:4" ht="13.5" x14ac:dyDescent="0.25">
      <c r="A4338" s="878" t="s">
        <v>11905</v>
      </c>
      <c r="B4338" s="878" t="s">
        <v>11906</v>
      </c>
      <c r="C4338" s="879" t="s">
        <v>226</v>
      </c>
      <c r="D4338" s="880" t="s">
        <v>40548</v>
      </c>
    </row>
    <row r="4339" spans="1:4" ht="13.5" x14ac:dyDescent="0.25">
      <c r="A4339" s="878" t="s">
        <v>11907</v>
      </c>
      <c r="B4339" s="878" t="s">
        <v>11908</v>
      </c>
      <c r="C4339" s="879" t="s">
        <v>226</v>
      </c>
      <c r="D4339" s="880" t="s">
        <v>42532</v>
      </c>
    </row>
    <row r="4340" spans="1:4" ht="13.5" x14ac:dyDescent="0.25">
      <c r="A4340" s="878" t="s">
        <v>11909</v>
      </c>
      <c r="B4340" s="878" t="s">
        <v>11910</v>
      </c>
      <c r="C4340" s="879" t="s">
        <v>226</v>
      </c>
      <c r="D4340" s="880" t="s">
        <v>42533</v>
      </c>
    </row>
    <row r="4341" spans="1:4" ht="13.5" x14ac:dyDescent="0.25">
      <c r="A4341" s="878" t="s">
        <v>11911</v>
      </c>
      <c r="B4341" s="878" t="s">
        <v>11912</v>
      </c>
      <c r="C4341" s="879" t="s">
        <v>226</v>
      </c>
      <c r="D4341" s="880" t="s">
        <v>42534</v>
      </c>
    </row>
    <row r="4342" spans="1:4" ht="13.5" x14ac:dyDescent="0.25">
      <c r="A4342" s="878" t="s">
        <v>11913</v>
      </c>
      <c r="B4342" s="878" t="s">
        <v>11914</v>
      </c>
      <c r="C4342" s="879" t="s">
        <v>226</v>
      </c>
      <c r="D4342" s="880" t="s">
        <v>42535</v>
      </c>
    </row>
    <row r="4343" spans="1:4" ht="13.5" x14ac:dyDescent="0.25">
      <c r="A4343" s="878" t="s">
        <v>11915</v>
      </c>
      <c r="B4343" s="878" t="s">
        <v>11916</v>
      </c>
      <c r="C4343" s="879" t="s">
        <v>226</v>
      </c>
      <c r="D4343" s="880" t="s">
        <v>42536</v>
      </c>
    </row>
    <row r="4344" spans="1:4" ht="13.5" x14ac:dyDescent="0.25">
      <c r="A4344" s="878" t="s">
        <v>11917</v>
      </c>
      <c r="B4344" s="878" t="s">
        <v>11918</v>
      </c>
      <c r="C4344" s="879" t="s">
        <v>226</v>
      </c>
      <c r="D4344" s="880" t="s">
        <v>42537</v>
      </c>
    </row>
    <row r="4345" spans="1:4" ht="13.5" x14ac:dyDescent="0.25">
      <c r="A4345" s="878" t="s">
        <v>11919</v>
      </c>
      <c r="B4345" s="878" t="s">
        <v>11920</v>
      </c>
      <c r="C4345" s="879" t="s">
        <v>226</v>
      </c>
      <c r="D4345" s="880" t="s">
        <v>42538</v>
      </c>
    </row>
    <row r="4346" spans="1:4" ht="13.5" x14ac:dyDescent="0.25">
      <c r="A4346" s="878" t="s">
        <v>11921</v>
      </c>
      <c r="B4346" s="878" t="s">
        <v>11922</v>
      </c>
      <c r="C4346" s="879" t="s">
        <v>226</v>
      </c>
      <c r="D4346" s="880" t="s">
        <v>30354</v>
      </c>
    </row>
    <row r="4347" spans="1:4" ht="13.5" x14ac:dyDescent="0.25">
      <c r="A4347" s="878" t="s">
        <v>11923</v>
      </c>
      <c r="B4347" s="878" t="s">
        <v>11924</v>
      </c>
      <c r="C4347" s="879" t="s">
        <v>226</v>
      </c>
      <c r="D4347" s="880" t="s">
        <v>30944</v>
      </c>
    </row>
    <row r="4348" spans="1:4" ht="13.5" x14ac:dyDescent="0.25">
      <c r="A4348" s="878" t="s">
        <v>11925</v>
      </c>
      <c r="B4348" s="878" t="s">
        <v>11926</v>
      </c>
      <c r="C4348" s="879" t="s">
        <v>226</v>
      </c>
      <c r="D4348" s="880" t="s">
        <v>30945</v>
      </c>
    </row>
    <row r="4349" spans="1:4" ht="13.5" x14ac:dyDescent="0.25">
      <c r="A4349" s="878" t="s">
        <v>11928</v>
      </c>
      <c r="B4349" s="878" t="s">
        <v>11929</v>
      </c>
      <c r="C4349" s="879" t="s">
        <v>226</v>
      </c>
      <c r="D4349" s="880" t="s">
        <v>9266</v>
      </c>
    </row>
    <row r="4350" spans="1:4" ht="13.5" x14ac:dyDescent="0.25">
      <c r="A4350" s="878" t="s">
        <v>11930</v>
      </c>
      <c r="B4350" s="878" t="s">
        <v>11931</v>
      </c>
      <c r="C4350" s="879" t="s">
        <v>226</v>
      </c>
      <c r="D4350" s="880" t="s">
        <v>30946</v>
      </c>
    </row>
    <row r="4351" spans="1:4" ht="13.5" x14ac:dyDescent="0.25">
      <c r="A4351" s="878" t="s">
        <v>11932</v>
      </c>
      <c r="B4351" s="878" t="s">
        <v>11933</v>
      </c>
      <c r="C4351" s="879" t="s">
        <v>226</v>
      </c>
      <c r="D4351" s="880" t="s">
        <v>30947</v>
      </c>
    </row>
    <row r="4352" spans="1:4" ht="13.5" x14ac:dyDescent="0.25">
      <c r="A4352" s="878" t="s">
        <v>11934</v>
      </c>
      <c r="B4352" s="878" t="s">
        <v>11935</v>
      </c>
      <c r="C4352" s="879" t="s">
        <v>226</v>
      </c>
      <c r="D4352" s="880" t="s">
        <v>30689</v>
      </c>
    </row>
    <row r="4353" spans="1:4" ht="13.5" x14ac:dyDescent="0.25">
      <c r="A4353" s="878" t="s">
        <v>11936</v>
      </c>
      <c r="B4353" s="878" t="s">
        <v>11937</v>
      </c>
      <c r="C4353" s="879" t="s">
        <v>226</v>
      </c>
      <c r="D4353" s="880" t="s">
        <v>30948</v>
      </c>
    </row>
    <row r="4354" spans="1:4" ht="13.5" x14ac:dyDescent="0.25">
      <c r="A4354" s="878" t="s">
        <v>11938</v>
      </c>
      <c r="B4354" s="878" t="s">
        <v>11939</v>
      </c>
      <c r="C4354" s="879" t="s">
        <v>226</v>
      </c>
      <c r="D4354" s="880" t="s">
        <v>30949</v>
      </c>
    </row>
    <row r="4355" spans="1:4" ht="13.5" x14ac:dyDescent="0.25">
      <c r="A4355" s="878" t="s">
        <v>11940</v>
      </c>
      <c r="B4355" s="878" t="s">
        <v>11941</v>
      </c>
      <c r="C4355" s="879" t="s">
        <v>226</v>
      </c>
      <c r="D4355" s="880" t="s">
        <v>30950</v>
      </c>
    </row>
    <row r="4356" spans="1:4" ht="13.5" x14ac:dyDescent="0.25">
      <c r="A4356" s="878" t="s">
        <v>11942</v>
      </c>
      <c r="B4356" s="878" t="s">
        <v>11943</v>
      </c>
      <c r="C4356" s="879" t="s">
        <v>226</v>
      </c>
      <c r="D4356" s="880" t="s">
        <v>30951</v>
      </c>
    </row>
    <row r="4357" spans="1:4" ht="13.5" x14ac:dyDescent="0.25">
      <c r="A4357" s="878" t="s">
        <v>11944</v>
      </c>
      <c r="B4357" s="878" t="s">
        <v>11945</v>
      </c>
      <c r="C4357" s="879" t="s">
        <v>226</v>
      </c>
      <c r="D4357" s="880" t="s">
        <v>30952</v>
      </c>
    </row>
    <row r="4358" spans="1:4" ht="13.5" x14ac:dyDescent="0.25">
      <c r="A4358" s="878" t="s">
        <v>11946</v>
      </c>
      <c r="B4358" s="878" t="s">
        <v>11947</v>
      </c>
      <c r="C4358" s="879" t="s">
        <v>226</v>
      </c>
      <c r="D4358" s="880" t="s">
        <v>30953</v>
      </c>
    </row>
    <row r="4359" spans="1:4" ht="13.5" x14ac:dyDescent="0.25">
      <c r="A4359" s="878" t="s">
        <v>11948</v>
      </c>
      <c r="B4359" s="878" t="s">
        <v>11949</v>
      </c>
      <c r="C4359" s="879" t="s">
        <v>226</v>
      </c>
      <c r="D4359" s="880" t="s">
        <v>30954</v>
      </c>
    </row>
    <row r="4360" spans="1:4" ht="13.5" x14ac:dyDescent="0.25">
      <c r="A4360" s="878" t="s">
        <v>11950</v>
      </c>
      <c r="B4360" s="878" t="s">
        <v>11951</v>
      </c>
      <c r="C4360" s="879" t="s">
        <v>226</v>
      </c>
      <c r="D4360" s="880" t="s">
        <v>30955</v>
      </c>
    </row>
    <row r="4361" spans="1:4" ht="13.5" x14ac:dyDescent="0.25">
      <c r="A4361" s="878" t="s">
        <v>11952</v>
      </c>
      <c r="B4361" s="878" t="s">
        <v>11953</v>
      </c>
      <c r="C4361" s="879" t="s">
        <v>226</v>
      </c>
      <c r="D4361" s="880" t="s">
        <v>42539</v>
      </c>
    </row>
    <row r="4362" spans="1:4" ht="13.5" x14ac:dyDescent="0.25">
      <c r="A4362" s="878" t="s">
        <v>11955</v>
      </c>
      <c r="B4362" s="878" t="s">
        <v>11956</v>
      </c>
      <c r="C4362" s="879" t="s">
        <v>226</v>
      </c>
      <c r="D4362" s="880" t="s">
        <v>42540</v>
      </c>
    </row>
    <row r="4363" spans="1:4" ht="13.5" x14ac:dyDescent="0.25">
      <c r="A4363" s="878" t="s">
        <v>11958</v>
      </c>
      <c r="B4363" s="878" t="s">
        <v>11959</v>
      </c>
      <c r="C4363" s="879" t="s">
        <v>226</v>
      </c>
      <c r="D4363" s="880" t="s">
        <v>42541</v>
      </c>
    </row>
    <row r="4364" spans="1:4" ht="13.5" x14ac:dyDescent="0.25">
      <c r="A4364" s="878" t="s">
        <v>11960</v>
      </c>
      <c r="B4364" s="878" t="s">
        <v>11961</v>
      </c>
      <c r="C4364" s="879" t="s">
        <v>226</v>
      </c>
      <c r="D4364" s="880" t="s">
        <v>42542</v>
      </c>
    </row>
    <row r="4365" spans="1:4" ht="13.5" x14ac:dyDescent="0.25">
      <c r="A4365" s="878" t="s">
        <v>11962</v>
      </c>
      <c r="B4365" s="878" t="s">
        <v>11963</v>
      </c>
      <c r="C4365" s="879" t="s">
        <v>226</v>
      </c>
      <c r="D4365" s="880" t="s">
        <v>42543</v>
      </c>
    </row>
    <row r="4366" spans="1:4" ht="13.5" x14ac:dyDescent="0.25">
      <c r="A4366" s="878" t="s">
        <v>11964</v>
      </c>
      <c r="B4366" s="878" t="s">
        <v>11965</v>
      </c>
      <c r="C4366" s="879" t="s">
        <v>226</v>
      </c>
      <c r="D4366" s="880" t="s">
        <v>31201</v>
      </c>
    </row>
    <row r="4367" spans="1:4" ht="13.5" x14ac:dyDescent="0.25">
      <c r="A4367" s="878" t="s">
        <v>11966</v>
      </c>
      <c r="B4367" s="878" t="s">
        <v>11967</v>
      </c>
      <c r="C4367" s="879" t="s">
        <v>226</v>
      </c>
      <c r="D4367" s="880" t="s">
        <v>42544</v>
      </c>
    </row>
    <row r="4368" spans="1:4" ht="13.5" x14ac:dyDescent="0.25">
      <c r="A4368" s="878" t="s">
        <v>11968</v>
      </c>
      <c r="B4368" s="878" t="s">
        <v>11969</v>
      </c>
      <c r="C4368" s="879" t="s">
        <v>226</v>
      </c>
      <c r="D4368" s="880" t="s">
        <v>42545</v>
      </c>
    </row>
    <row r="4369" spans="1:4" ht="13.5" x14ac:dyDescent="0.25">
      <c r="A4369" s="878" t="s">
        <v>11970</v>
      </c>
      <c r="B4369" s="878" t="s">
        <v>11971</v>
      </c>
      <c r="C4369" s="879" t="s">
        <v>226</v>
      </c>
      <c r="D4369" s="880" t="s">
        <v>42546</v>
      </c>
    </row>
    <row r="4370" spans="1:4" ht="13.5" x14ac:dyDescent="0.25">
      <c r="A4370" s="878" t="s">
        <v>11972</v>
      </c>
      <c r="B4370" s="878" t="s">
        <v>11973</v>
      </c>
      <c r="C4370" s="879" t="s">
        <v>226</v>
      </c>
      <c r="D4370" s="880" t="s">
        <v>42547</v>
      </c>
    </row>
    <row r="4371" spans="1:4" ht="13.5" x14ac:dyDescent="0.25">
      <c r="A4371" s="878" t="s">
        <v>11974</v>
      </c>
      <c r="B4371" s="878" t="s">
        <v>11975</v>
      </c>
      <c r="C4371" s="879" t="s">
        <v>226</v>
      </c>
      <c r="D4371" s="880" t="s">
        <v>42548</v>
      </c>
    </row>
    <row r="4372" spans="1:4" ht="13.5" x14ac:dyDescent="0.25">
      <c r="A4372" s="878" t="s">
        <v>11976</v>
      </c>
      <c r="B4372" s="878" t="s">
        <v>11977</v>
      </c>
      <c r="C4372" s="879" t="s">
        <v>226</v>
      </c>
      <c r="D4372" s="880" t="s">
        <v>42549</v>
      </c>
    </row>
    <row r="4373" spans="1:4" ht="13.5" x14ac:dyDescent="0.25">
      <c r="A4373" s="878" t="s">
        <v>11978</v>
      </c>
      <c r="B4373" s="878" t="s">
        <v>11979</v>
      </c>
      <c r="C4373" s="879" t="s">
        <v>226</v>
      </c>
      <c r="D4373" s="880" t="s">
        <v>42550</v>
      </c>
    </row>
    <row r="4374" spans="1:4" ht="13.5" x14ac:dyDescent="0.25">
      <c r="A4374" s="878" t="s">
        <v>11980</v>
      </c>
      <c r="B4374" s="878" t="s">
        <v>11981</v>
      </c>
      <c r="C4374" s="879" t="s">
        <v>226</v>
      </c>
      <c r="D4374" s="880" t="s">
        <v>42551</v>
      </c>
    </row>
    <row r="4375" spans="1:4" ht="13.5" x14ac:dyDescent="0.25">
      <c r="A4375" s="878" t="s">
        <v>11982</v>
      </c>
      <c r="B4375" s="878" t="s">
        <v>11983</v>
      </c>
      <c r="C4375" s="879" t="s">
        <v>226</v>
      </c>
      <c r="D4375" s="880" t="s">
        <v>4615</v>
      </c>
    </row>
    <row r="4376" spans="1:4" ht="13.5" x14ac:dyDescent="0.25">
      <c r="A4376" s="878" t="s">
        <v>11984</v>
      </c>
      <c r="B4376" s="878" t="s">
        <v>11985</v>
      </c>
      <c r="C4376" s="879" t="s">
        <v>226</v>
      </c>
      <c r="D4376" s="880" t="s">
        <v>42552</v>
      </c>
    </row>
    <row r="4377" spans="1:4" ht="13.5" x14ac:dyDescent="0.25">
      <c r="A4377" s="878" t="s">
        <v>11986</v>
      </c>
      <c r="B4377" s="878" t="s">
        <v>11987</v>
      </c>
      <c r="C4377" s="879" t="s">
        <v>226</v>
      </c>
      <c r="D4377" s="880" t="s">
        <v>31123</v>
      </c>
    </row>
    <row r="4378" spans="1:4" ht="13.5" x14ac:dyDescent="0.25">
      <c r="A4378" s="878" t="s">
        <v>11988</v>
      </c>
      <c r="B4378" s="878" t="s">
        <v>11989</v>
      </c>
      <c r="C4378" s="879" t="s">
        <v>226</v>
      </c>
      <c r="D4378" s="881" t="s">
        <v>42553</v>
      </c>
    </row>
    <row r="4379" spans="1:4" ht="13.5" x14ac:dyDescent="0.25">
      <c r="A4379" s="878" t="s">
        <v>11990</v>
      </c>
      <c r="B4379" s="878" t="s">
        <v>11991</v>
      </c>
      <c r="C4379" s="879" t="s">
        <v>226</v>
      </c>
      <c r="D4379" s="880" t="s">
        <v>42554</v>
      </c>
    </row>
    <row r="4380" spans="1:4" ht="13.5" x14ac:dyDescent="0.25">
      <c r="A4380" s="878" t="s">
        <v>11992</v>
      </c>
      <c r="B4380" s="878" t="s">
        <v>11993</v>
      </c>
      <c r="C4380" s="879" t="s">
        <v>226</v>
      </c>
      <c r="D4380" s="880" t="s">
        <v>40765</v>
      </c>
    </row>
    <row r="4381" spans="1:4" ht="13.5" x14ac:dyDescent="0.25">
      <c r="A4381" s="878" t="s">
        <v>11994</v>
      </c>
      <c r="B4381" s="878" t="s">
        <v>11995</v>
      </c>
      <c r="C4381" s="879" t="s">
        <v>226</v>
      </c>
      <c r="D4381" s="880" t="s">
        <v>14223</v>
      </c>
    </row>
    <row r="4382" spans="1:4" ht="13.5" x14ac:dyDescent="0.25">
      <c r="A4382" s="878" t="s">
        <v>11996</v>
      </c>
      <c r="B4382" s="878" t="s">
        <v>11997</v>
      </c>
      <c r="C4382" s="879" t="s">
        <v>226</v>
      </c>
      <c r="D4382" s="880" t="s">
        <v>42555</v>
      </c>
    </row>
    <row r="4383" spans="1:4" ht="13.5" x14ac:dyDescent="0.25">
      <c r="A4383" s="878" t="s">
        <v>11998</v>
      </c>
      <c r="B4383" s="878" t="s">
        <v>11999</v>
      </c>
      <c r="C4383" s="879" t="s">
        <v>226</v>
      </c>
      <c r="D4383" s="880" t="s">
        <v>42556</v>
      </c>
    </row>
    <row r="4384" spans="1:4" ht="13.5" x14ac:dyDescent="0.25">
      <c r="A4384" s="878" t="s">
        <v>12000</v>
      </c>
      <c r="B4384" s="878" t="s">
        <v>12001</v>
      </c>
      <c r="C4384" s="879" t="s">
        <v>226</v>
      </c>
      <c r="D4384" s="880" t="s">
        <v>42557</v>
      </c>
    </row>
    <row r="4385" spans="1:4" ht="13.5" x14ac:dyDescent="0.25">
      <c r="A4385" s="878" t="s">
        <v>12002</v>
      </c>
      <c r="B4385" s="878" t="s">
        <v>12003</v>
      </c>
      <c r="C4385" s="879" t="s">
        <v>226</v>
      </c>
      <c r="D4385" s="880" t="s">
        <v>11286</v>
      </c>
    </row>
    <row r="4386" spans="1:4" ht="13.5" x14ac:dyDescent="0.25">
      <c r="A4386" s="878" t="s">
        <v>12004</v>
      </c>
      <c r="B4386" s="878" t="s">
        <v>12005</v>
      </c>
      <c r="C4386" s="879" t="s">
        <v>226</v>
      </c>
      <c r="D4386" s="880" t="s">
        <v>42433</v>
      </c>
    </row>
    <row r="4387" spans="1:4" ht="13.5" x14ac:dyDescent="0.25">
      <c r="A4387" s="878" t="s">
        <v>12006</v>
      </c>
      <c r="B4387" s="878" t="s">
        <v>12007</v>
      </c>
      <c r="C4387" s="879" t="s">
        <v>226</v>
      </c>
      <c r="D4387" s="880" t="s">
        <v>42558</v>
      </c>
    </row>
    <row r="4388" spans="1:4" ht="13.5" x14ac:dyDescent="0.25">
      <c r="A4388" s="878" t="s">
        <v>12008</v>
      </c>
      <c r="B4388" s="878" t="s">
        <v>12009</v>
      </c>
      <c r="C4388" s="879" t="s">
        <v>226</v>
      </c>
      <c r="D4388" s="880" t="s">
        <v>6816</v>
      </c>
    </row>
    <row r="4389" spans="1:4" ht="13.5" x14ac:dyDescent="0.25">
      <c r="A4389" s="878" t="s">
        <v>12010</v>
      </c>
      <c r="B4389" s="878" t="s">
        <v>12011</v>
      </c>
      <c r="C4389" s="879" t="s">
        <v>226</v>
      </c>
      <c r="D4389" s="880" t="s">
        <v>30521</v>
      </c>
    </row>
    <row r="4390" spans="1:4" ht="13.5" x14ac:dyDescent="0.25">
      <c r="A4390" s="878" t="s">
        <v>12012</v>
      </c>
      <c r="B4390" s="878" t="s">
        <v>12013</v>
      </c>
      <c r="C4390" s="879" t="s">
        <v>226</v>
      </c>
      <c r="D4390" s="880" t="s">
        <v>42559</v>
      </c>
    </row>
    <row r="4391" spans="1:4" ht="13.5" x14ac:dyDescent="0.25">
      <c r="A4391" s="878" t="s">
        <v>12014</v>
      </c>
      <c r="B4391" s="878" t="s">
        <v>12015</v>
      </c>
      <c r="C4391" s="879" t="s">
        <v>226</v>
      </c>
      <c r="D4391" s="880" t="s">
        <v>8715</v>
      </c>
    </row>
    <row r="4392" spans="1:4" ht="13.5" x14ac:dyDescent="0.25">
      <c r="A4392" s="878" t="s">
        <v>12016</v>
      </c>
      <c r="B4392" s="878" t="s">
        <v>12017</v>
      </c>
      <c r="C4392" s="879" t="s">
        <v>226</v>
      </c>
      <c r="D4392" s="880" t="s">
        <v>30789</v>
      </c>
    </row>
    <row r="4393" spans="1:4" ht="13.5" x14ac:dyDescent="0.25">
      <c r="A4393" s="878" t="s">
        <v>12018</v>
      </c>
      <c r="B4393" s="878" t="s">
        <v>12019</v>
      </c>
      <c r="C4393" s="879" t="s">
        <v>226</v>
      </c>
      <c r="D4393" s="880" t="s">
        <v>8715</v>
      </c>
    </row>
    <row r="4394" spans="1:4" ht="13.5" x14ac:dyDescent="0.25">
      <c r="A4394" s="878" t="s">
        <v>12020</v>
      </c>
      <c r="B4394" s="878" t="s">
        <v>12021</v>
      </c>
      <c r="C4394" s="879" t="s">
        <v>226</v>
      </c>
      <c r="D4394" s="880" t="s">
        <v>42560</v>
      </c>
    </row>
    <row r="4395" spans="1:4" ht="13.5" x14ac:dyDescent="0.25">
      <c r="A4395" s="878" t="s">
        <v>12023</v>
      </c>
      <c r="B4395" s="878" t="s">
        <v>12024</v>
      </c>
      <c r="C4395" s="879" t="s">
        <v>226</v>
      </c>
      <c r="D4395" s="880" t="s">
        <v>17818</v>
      </c>
    </row>
    <row r="4396" spans="1:4" ht="13.5" x14ac:dyDescent="0.25">
      <c r="A4396" s="878" t="s">
        <v>12025</v>
      </c>
      <c r="B4396" s="878" t="s">
        <v>12026</v>
      </c>
      <c r="C4396" s="879" t="s">
        <v>226</v>
      </c>
      <c r="D4396" s="880" t="s">
        <v>30646</v>
      </c>
    </row>
    <row r="4397" spans="1:4" ht="13.5" x14ac:dyDescent="0.25">
      <c r="A4397" s="878" t="s">
        <v>12027</v>
      </c>
      <c r="B4397" s="878" t="s">
        <v>12028</v>
      </c>
      <c r="C4397" s="879" t="s">
        <v>226</v>
      </c>
      <c r="D4397" s="880" t="s">
        <v>42429</v>
      </c>
    </row>
    <row r="4398" spans="1:4" ht="13.5" x14ac:dyDescent="0.25">
      <c r="A4398" s="878" t="s">
        <v>12030</v>
      </c>
      <c r="B4398" s="878" t="s">
        <v>12031</v>
      </c>
      <c r="C4398" s="879" t="s">
        <v>226</v>
      </c>
      <c r="D4398" s="880" t="s">
        <v>31215</v>
      </c>
    </row>
    <row r="4399" spans="1:4" ht="13.5" x14ac:dyDescent="0.25">
      <c r="A4399" s="878" t="s">
        <v>12032</v>
      </c>
      <c r="B4399" s="878" t="s">
        <v>12033</v>
      </c>
      <c r="C4399" s="879" t="s">
        <v>226</v>
      </c>
      <c r="D4399" s="880" t="s">
        <v>42561</v>
      </c>
    </row>
    <row r="4400" spans="1:4" ht="13.5" x14ac:dyDescent="0.25">
      <c r="A4400" s="878" t="s">
        <v>12035</v>
      </c>
      <c r="B4400" s="878" t="s">
        <v>12036</v>
      </c>
      <c r="C4400" s="879" t="s">
        <v>226</v>
      </c>
      <c r="D4400" s="880" t="s">
        <v>42562</v>
      </c>
    </row>
    <row r="4401" spans="1:4" ht="13.5" x14ac:dyDescent="0.25">
      <c r="A4401" s="878" t="s">
        <v>12037</v>
      </c>
      <c r="B4401" s="878" t="s">
        <v>12038</v>
      </c>
      <c r="C4401" s="879" t="s">
        <v>226</v>
      </c>
      <c r="D4401" s="880" t="s">
        <v>42563</v>
      </c>
    </row>
    <row r="4402" spans="1:4" ht="13.5" x14ac:dyDescent="0.25">
      <c r="A4402" s="878" t="s">
        <v>12039</v>
      </c>
      <c r="B4402" s="878" t="s">
        <v>12040</v>
      </c>
      <c r="C4402" s="879" t="s">
        <v>226</v>
      </c>
      <c r="D4402" s="880" t="s">
        <v>42564</v>
      </c>
    </row>
    <row r="4403" spans="1:4" ht="13.5" x14ac:dyDescent="0.25">
      <c r="A4403" s="878" t="s">
        <v>12041</v>
      </c>
      <c r="B4403" s="878" t="s">
        <v>12042</v>
      </c>
      <c r="C4403" s="879" t="s">
        <v>226</v>
      </c>
      <c r="D4403" s="880" t="s">
        <v>42565</v>
      </c>
    </row>
    <row r="4404" spans="1:4" ht="13.5" x14ac:dyDescent="0.25">
      <c r="A4404" s="878" t="s">
        <v>12043</v>
      </c>
      <c r="B4404" s="878" t="s">
        <v>12044</v>
      </c>
      <c r="C4404" s="879" t="s">
        <v>226</v>
      </c>
      <c r="D4404" s="880" t="s">
        <v>42566</v>
      </c>
    </row>
    <row r="4405" spans="1:4" ht="13.5" x14ac:dyDescent="0.25">
      <c r="A4405" s="878" t="s">
        <v>12045</v>
      </c>
      <c r="B4405" s="878" t="s">
        <v>12046</v>
      </c>
      <c r="C4405" s="879" t="s">
        <v>226</v>
      </c>
      <c r="D4405" s="880" t="s">
        <v>42567</v>
      </c>
    </row>
    <row r="4406" spans="1:4" ht="13.5" x14ac:dyDescent="0.25">
      <c r="A4406" s="878" t="s">
        <v>12047</v>
      </c>
      <c r="B4406" s="878" t="s">
        <v>12048</v>
      </c>
      <c r="C4406" s="879" t="s">
        <v>226</v>
      </c>
      <c r="D4406" s="880" t="s">
        <v>42568</v>
      </c>
    </row>
    <row r="4407" spans="1:4" ht="13.5" x14ac:dyDescent="0.25">
      <c r="A4407" s="878" t="s">
        <v>12049</v>
      </c>
      <c r="B4407" s="878" t="s">
        <v>12050</v>
      </c>
      <c r="C4407" s="879" t="s">
        <v>226</v>
      </c>
      <c r="D4407" s="880" t="s">
        <v>42569</v>
      </c>
    </row>
    <row r="4408" spans="1:4" ht="13.5" x14ac:dyDescent="0.25">
      <c r="A4408" s="878" t="s">
        <v>12051</v>
      </c>
      <c r="B4408" s="878" t="s">
        <v>12052</v>
      </c>
      <c r="C4408" s="879" t="s">
        <v>226</v>
      </c>
      <c r="D4408" s="880" t="s">
        <v>42570</v>
      </c>
    </row>
    <row r="4409" spans="1:4" ht="13.5" x14ac:dyDescent="0.25">
      <c r="A4409" s="878" t="s">
        <v>12053</v>
      </c>
      <c r="B4409" s="878" t="s">
        <v>12054</v>
      </c>
      <c r="C4409" s="879" t="s">
        <v>226</v>
      </c>
      <c r="D4409" s="880" t="s">
        <v>31046</v>
      </c>
    </row>
    <row r="4410" spans="1:4" ht="13.5" x14ac:dyDescent="0.25">
      <c r="A4410" s="878" t="s">
        <v>12055</v>
      </c>
      <c r="B4410" s="878" t="s">
        <v>12056</v>
      </c>
      <c r="C4410" s="879" t="s">
        <v>226</v>
      </c>
      <c r="D4410" s="880" t="s">
        <v>42571</v>
      </c>
    </row>
    <row r="4411" spans="1:4" ht="13.5" x14ac:dyDescent="0.25">
      <c r="A4411" s="878" t="s">
        <v>12058</v>
      </c>
      <c r="B4411" s="878" t="s">
        <v>12059</v>
      </c>
      <c r="C4411" s="879" t="s">
        <v>226</v>
      </c>
      <c r="D4411" s="880" t="s">
        <v>40416</v>
      </c>
    </row>
    <row r="4412" spans="1:4" ht="13.5" x14ac:dyDescent="0.25">
      <c r="A4412" s="878" t="s">
        <v>12060</v>
      </c>
      <c r="B4412" s="878" t="s">
        <v>12061</v>
      </c>
      <c r="C4412" s="879" t="s">
        <v>226</v>
      </c>
      <c r="D4412" s="880" t="s">
        <v>13034</v>
      </c>
    </row>
    <row r="4413" spans="1:4" ht="13.5" x14ac:dyDescent="0.25">
      <c r="A4413" s="878" t="s">
        <v>12063</v>
      </c>
      <c r="B4413" s="878" t="s">
        <v>12064</v>
      </c>
      <c r="C4413" s="879" t="s">
        <v>226</v>
      </c>
      <c r="D4413" s="880" t="s">
        <v>31151</v>
      </c>
    </row>
    <row r="4414" spans="1:4" ht="13.5" x14ac:dyDescent="0.25">
      <c r="A4414" s="878" t="s">
        <v>12065</v>
      </c>
      <c r="B4414" s="878" t="s">
        <v>12066</v>
      </c>
      <c r="C4414" s="879" t="s">
        <v>226</v>
      </c>
      <c r="D4414" s="880" t="s">
        <v>31184</v>
      </c>
    </row>
    <row r="4415" spans="1:4" ht="13.5" x14ac:dyDescent="0.25">
      <c r="A4415" s="878" t="s">
        <v>12067</v>
      </c>
      <c r="B4415" s="878" t="s">
        <v>12068</v>
      </c>
      <c r="C4415" s="879" t="s">
        <v>226</v>
      </c>
      <c r="D4415" s="880" t="s">
        <v>42572</v>
      </c>
    </row>
    <row r="4416" spans="1:4" ht="13.5" x14ac:dyDescent="0.25">
      <c r="A4416" s="878" t="s">
        <v>12069</v>
      </c>
      <c r="B4416" s="878" t="s">
        <v>12070</v>
      </c>
      <c r="C4416" s="879" t="s">
        <v>226</v>
      </c>
      <c r="D4416" s="880" t="s">
        <v>42573</v>
      </c>
    </row>
    <row r="4417" spans="1:4" ht="13.5" x14ac:dyDescent="0.25">
      <c r="A4417" s="878" t="s">
        <v>12071</v>
      </c>
      <c r="B4417" s="878" t="s">
        <v>12072</v>
      </c>
      <c r="C4417" s="879" t="s">
        <v>226</v>
      </c>
      <c r="D4417" s="880" t="s">
        <v>42574</v>
      </c>
    </row>
    <row r="4418" spans="1:4" ht="13.5" x14ac:dyDescent="0.25">
      <c r="A4418" s="878" t="s">
        <v>12073</v>
      </c>
      <c r="B4418" s="878" t="s">
        <v>12074</v>
      </c>
      <c r="C4418" s="879" t="s">
        <v>226</v>
      </c>
      <c r="D4418" s="880" t="s">
        <v>42575</v>
      </c>
    </row>
    <row r="4419" spans="1:4" ht="13.5" x14ac:dyDescent="0.25">
      <c r="A4419" s="878" t="s">
        <v>12075</v>
      </c>
      <c r="B4419" s="878" t="s">
        <v>12076</v>
      </c>
      <c r="C4419" s="879" t="s">
        <v>226</v>
      </c>
      <c r="D4419" s="880" t="s">
        <v>41571</v>
      </c>
    </row>
    <row r="4420" spans="1:4" ht="13.5" x14ac:dyDescent="0.25">
      <c r="A4420" s="878" t="s">
        <v>12077</v>
      </c>
      <c r="B4420" s="878" t="s">
        <v>12078</v>
      </c>
      <c r="C4420" s="879" t="s">
        <v>226</v>
      </c>
      <c r="D4420" s="880" t="s">
        <v>42576</v>
      </c>
    </row>
    <row r="4421" spans="1:4" ht="13.5" x14ac:dyDescent="0.25">
      <c r="A4421" s="878" t="s">
        <v>12079</v>
      </c>
      <c r="B4421" s="878" t="s">
        <v>12080</v>
      </c>
      <c r="C4421" s="879" t="s">
        <v>226</v>
      </c>
      <c r="D4421" s="880" t="s">
        <v>42577</v>
      </c>
    </row>
    <row r="4422" spans="1:4" ht="13.5" x14ac:dyDescent="0.25">
      <c r="A4422" s="878" t="s">
        <v>12081</v>
      </c>
      <c r="B4422" s="878" t="s">
        <v>12082</v>
      </c>
      <c r="C4422" s="879" t="s">
        <v>226</v>
      </c>
      <c r="D4422" s="880" t="s">
        <v>3208</v>
      </c>
    </row>
    <row r="4423" spans="1:4" ht="13.5" x14ac:dyDescent="0.25">
      <c r="A4423" s="878" t="s">
        <v>12083</v>
      </c>
      <c r="B4423" s="878" t="s">
        <v>12084</v>
      </c>
      <c r="C4423" s="879" t="s">
        <v>226</v>
      </c>
      <c r="D4423" s="880" t="s">
        <v>42578</v>
      </c>
    </row>
    <row r="4424" spans="1:4" ht="13.5" x14ac:dyDescent="0.25">
      <c r="A4424" s="878" t="s">
        <v>12086</v>
      </c>
      <c r="B4424" s="878" t="s">
        <v>12087</v>
      </c>
      <c r="C4424" s="879" t="s">
        <v>226</v>
      </c>
      <c r="D4424" s="880" t="s">
        <v>30756</v>
      </c>
    </row>
    <row r="4425" spans="1:4" ht="13.5" x14ac:dyDescent="0.25">
      <c r="A4425" s="878" t="s">
        <v>12088</v>
      </c>
      <c r="B4425" s="878" t="s">
        <v>12089</v>
      </c>
      <c r="C4425" s="879" t="s">
        <v>226</v>
      </c>
      <c r="D4425" s="880" t="s">
        <v>42579</v>
      </c>
    </row>
    <row r="4426" spans="1:4" ht="13.5" x14ac:dyDescent="0.25">
      <c r="A4426" s="878" t="s">
        <v>12090</v>
      </c>
      <c r="B4426" s="878" t="s">
        <v>12091</v>
      </c>
      <c r="C4426" s="879" t="s">
        <v>226</v>
      </c>
      <c r="D4426" s="880" t="s">
        <v>42580</v>
      </c>
    </row>
    <row r="4427" spans="1:4" ht="13.5" x14ac:dyDescent="0.25">
      <c r="A4427" s="878" t="s">
        <v>12092</v>
      </c>
      <c r="B4427" s="878" t="s">
        <v>12093</v>
      </c>
      <c r="C4427" s="879" t="s">
        <v>226</v>
      </c>
      <c r="D4427" s="880" t="s">
        <v>42581</v>
      </c>
    </row>
    <row r="4428" spans="1:4" ht="13.5" x14ac:dyDescent="0.25">
      <c r="A4428" s="878" t="s">
        <v>12094</v>
      </c>
      <c r="B4428" s="878" t="s">
        <v>12095</v>
      </c>
      <c r="C4428" s="879" t="s">
        <v>226</v>
      </c>
      <c r="D4428" s="880" t="s">
        <v>42582</v>
      </c>
    </row>
    <row r="4429" spans="1:4" ht="13.5" x14ac:dyDescent="0.25">
      <c r="A4429" s="878" t="s">
        <v>12096</v>
      </c>
      <c r="B4429" s="878" t="s">
        <v>12097</v>
      </c>
      <c r="C4429" s="879" t="s">
        <v>226</v>
      </c>
      <c r="D4429" s="880" t="s">
        <v>42583</v>
      </c>
    </row>
    <row r="4430" spans="1:4" ht="13.5" x14ac:dyDescent="0.25">
      <c r="A4430" s="878" t="s">
        <v>12098</v>
      </c>
      <c r="B4430" s="878" t="s">
        <v>12099</v>
      </c>
      <c r="C4430" s="879" t="s">
        <v>226</v>
      </c>
      <c r="D4430" s="880" t="s">
        <v>42445</v>
      </c>
    </row>
    <row r="4431" spans="1:4" ht="13.5" x14ac:dyDescent="0.25">
      <c r="A4431" s="878" t="s">
        <v>12100</v>
      </c>
      <c r="B4431" s="878" t="s">
        <v>12101</v>
      </c>
      <c r="C4431" s="879" t="s">
        <v>226</v>
      </c>
      <c r="D4431" s="880" t="s">
        <v>9135</v>
      </c>
    </row>
    <row r="4432" spans="1:4" ht="13.5" x14ac:dyDescent="0.25">
      <c r="A4432" s="878" t="s">
        <v>12103</v>
      </c>
      <c r="B4432" s="878" t="s">
        <v>12104</v>
      </c>
      <c r="C4432" s="879" t="s">
        <v>226</v>
      </c>
      <c r="D4432" s="880" t="s">
        <v>40320</v>
      </c>
    </row>
    <row r="4433" spans="1:4" ht="13.5" x14ac:dyDescent="0.25">
      <c r="A4433" s="878" t="s">
        <v>12105</v>
      </c>
      <c r="B4433" s="878" t="s">
        <v>12106</v>
      </c>
      <c r="C4433" s="879" t="s">
        <v>226</v>
      </c>
      <c r="D4433" s="880" t="s">
        <v>30971</v>
      </c>
    </row>
    <row r="4434" spans="1:4" ht="13.5" x14ac:dyDescent="0.25">
      <c r="A4434" s="878" t="s">
        <v>12107</v>
      </c>
      <c r="B4434" s="878" t="s">
        <v>12108</v>
      </c>
      <c r="C4434" s="879" t="s">
        <v>226</v>
      </c>
      <c r="D4434" s="880" t="s">
        <v>42584</v>
      </c>
    </row>
    <row r="4435" spans="1:4" ht="13.5" x14ac:dyDescent="0.25">
      <c r="A4435" s="878" t="s">
        <v>12109</v>
      </c>
      <c r="B4435" s="878" t="s">
        <v>12110</v>
      </c>
      <c r="C4435" s="879" t="s">
        <v>226</v>
      </c>
      <c r="D4435" s="880" t="s">
        <v>42585</v>
      </c>
    </row>
    <row r="4436" spans="1:4" ht="13.5" x14ac:dyDescent="0.25">
      <c r="A4436" s="878" t="s">
        <v>12111</v>
      </c>
      <c r="B4436" s="878" t="s">
        <v>12112</v>
      </c>
      <c r="C4436" s="879" t="s">
        <v>226</v>
      </c>
      <c r="D4436" s="880" t="s">
        <v>42586</v>
      </c>
    </row>
    <row r="4437" spans="1:4" ht="13.5" x14ac:dyDescent="0.25">
      <c r="A4437" s="878" t="s">
        <v>12113</v>
      </c>
      <c r="B4437" s="878" t="s">
        <v>12114</v>
      </c>
      <c r="C4437" s="879" t="s">
        <v>226</v>
      </c>
      <c r="D4437" s="880" t="s">
        <v>42587</v>
      </c>
    </row>
    <row r="4438" spans="1:4" ht="13.5" x14ac:dyDescent="0.25">
      <c r="A4438" s="878" t="s">
        <v>12116</v>
      </c>
      <c r="B4438" s="878" t="s">
        <v>12117</v>
      </c>
      <c r="C4438" s="879" t="s">
        <v>226</v>
      </c>
      <c r="D4438" s="880" t="s">
        <v>31028</v>
      </c>
    </row>
    <row r="4439" spans="1:4" ht="13.5" x14ac:dyDescent="0.25">
      <c r="A4439" s="878" t="s">
        <v>12118</v>
      </c>
      <c r="B4439" s="878" t="s">
        <v>12119</v>
      </c>
      <c r="C4439" s="879" t="s">
        <v>226</v>
      </c>
      <c r="D4439" s="880" t="s">
        <v>31015</v>
      </c>
    </row>
    <row r="4440" spans="1:4" ht="13.5" x14ac:dyDescent="0.25">
      <c r="A4440" s="878" t="s">
        <v>12120</v>
      </c>
      <c r="B4440" s="878" t="s">
        <v>12121</v>
      </c>
      <c r="C4440" s="879" t="s">
        <v>226</v>
      </c>
      <c r="D4440" s="880" t="s">
        <v>42588</v>
      </c>
    </row>
    <row r="4441" spans="1:4" ht="13.5" x14ac:dyDescent="0.25">
      <c r="A4441" s="878" t="s">
        <v>12122</v>
      </c>
      <c r="B4441" s="878" t="s">
        <v>12123</v>
      </c>
      <c r="C4441" s="879" t="s">
        <v>226</v>
      </c>
      <c r="D4441" s="880" t="s">
        <v>42589</v>
      </c>
    </row>
    <row r="4442" spans="1:4" ht="13.5" x14ac:dyDescent="0.25">
      <c r="A4442" s="878" t="s">
        <v>12124</v>
      </c>
      <c r="B4442" s="878" t="s">
        <v>12125</v>
      </c>
      <c r="C4442" s="879" t="s">
        <v>226</v>
      </c>
      <c r="D4442" s="880" t="s">
        <v>42590</v>
      </c>
    </row>
    <row r="4443" spans="1:4" ht="13.5" x14ac:dyDescent="0.25">
      <c r="A4443" s="878" t="s">
        <v>12126</v>
      </c>
      <c r="B4443" s="878" t="s">
        <v>12127</v>
      </c>
      <c r="C4443" s="879" t="s">
        <v>226</v>
      </c>
      <c r="D4443" s="880" t="s">
        <v>42591</v>
      </c>
    </row>
    <row r="4444" spans="1:4" ht="13.5" x14ac:dyDescent="0.25">
      <c r="A4444" s="878" t="s">
        <v>12128</v>
      </c>
      <c r="B4444" s="878" t="s">
        <v>12129</v>
      </c>
      <c r="C4444" s="879" t="s">
        <v>226</v>
      </c>
      <c r="D4444" s="880" t="s">
        <v>42592</v>
      </c>
    </row>
    <row r="4445" spans="1:4" ht="13.5" x14ac:dyDescent="0.25">
      <c r="A4445" s="878" t="s">
        <v>12130</v>
      </c>
      <c r="B4445" s="878" t="s">
        <v>12131</v>
      </c>
      <c r="C4445" s="879" t="s">
        <v>226</v>
      </c>
      <c r="D4445" s="880" t="s">
        <v>14510</v>
      </c>
    </row>
    <row r="4446" spans="1:4" ht="13.5" x14ac:dyDescent="0.25">
      <c r="A4446" s="878" t="s">
        <v>12132</v>
      </c>
      <c r="B4446" s="878" t="s">
        <v>12133</v>
      </c>
      <c r="C4446" s="879" t="s">
        <v>226</v>
      </c>
      <c r="D4446" s="880" t="s">
        <v>30642</v>
      </c>
    </row>
    <row r="4447" spans="1:4" ht="13.5" x14ac:dyDescent="0.25">
      <c r="A4447" s="878" t="s">
        <v>12134</v>
      </c>
      <c r="B4447" s="878" t="s">
        <v>12135</v>
      </c>
      <c r="C4447" s="879" t="s">
        <v>226</v>
      </c>
      <c r="D4447" s="880" t="s">
        <v>41703</v>
      </c>
    </row>
    <row r="4448" spans="1:4" ht="13.5" x14ac:dyDescent="0.25">
      <c r="A4448" s="878" t="s">
        <v>12137</v>
      </c>
      <c r="B4448" s="878" t="s">
        <v>12138</v>
      </c>
      <c r="C4448" s="879" t="s">
        <v>226</v>
      </c>
      <c r="D4448" s="880" t="s">
        <v>5869</v>
      </c>
    </row>
    <row r="4449" spans="1:4" ht="13.5" x14ac:dyDescent="0.25">
      <c r="A4449" s="878" t="s">
        <v>12139</v>
      </c>
      <c r="B4449" s="878" t="s">
        <v>12140</v>
      </c>
      <c r="C4449" s="879" t="s">
        <v>226</v>
      </c>
      <c r="D4449" s="880" t="s">
        <v>30794</v>
      </c>
    </row>
    <row r="4450" spans="1:4" ht="13.5" x14ac:dyDescent="0.25">
      <c r="A4450" s="878" t="s">
        <v>12141</v>
      </c>
      <c r="B4450" s="878" t="s">
        <v>12142</v>
      </c>
      <c r="C4450" s="879" t="s">
        <v>226</v>
      </c>
      <c r="D4450" s="880" t="s">
        <v>42593</v>
      </c>
    </row>
    <row r="4451" spans="1:4" ht="13.5" x14ac:dyDescent="0.25">
      <c r="A4451" s="878" t="s">
        <v>12143</v>
      </c>
      <c r="B4451" s="878" t="s">
        <v>12144</v>
      </c>
      <c r="C4451" s="879" t="s">
        <v>226</v>
      </c>
      <c r="D4451" s="880" t="s">
        <v>42594</v>
      </c>
    </row>
    <row r="4452" spans="1:4" ht="13.5" x14ac:dyDescent="0.25">
      <c r="A4452" s="878" t="s">
        <v>12145</v>
      </c>
      <c r="B4452" s="878" t="s">
        <v>12146</v>
      </c>
      <c r="C4452" s="879" t="s">
        <v>226</v>
      </c>
      <c r="D4452" s="880" t="s">
        <v>42595</v>
      </c>
    </row>
    <row r="4453" spans="1:4" ht="13.5" x14ac:dyDescent="0.25">
      <c r="A4453" s="878" t="s">
        <v>12147</v>
      </c>
      <c r="B4453" s="878" t="s">
        <v>12148</v>
      </c>
      <c r="C4453" s="879" t="s">
        <v>226</v>
      </c>
      <c r="D4453" s="880" t="s">
        <v>42596</v>
      </c>
    </row>
    <row r="4454" spans="1:4" ht="13.5" x14ac:dyDescent="0.25">
      <c r="A4454" s="878" t="s">
        <v>12149</v>
      </c>
      <c r="B4454" s="878" t="s">
        <v>12150</v>
      </c>
      <c r="C4454" s="879" t="s">
        <v>226</v>
      </c>
      <c r="D4454" s="880" t="s">
        <v>42597</v>
      </c>
    </row>
    <row r="4455" spans="1:4" ht="13.5" x14ac:dyDescent="0.25">
      <c r="A4455" s="878" t="s">
        <v>12151</v>
      </c>
      <c r="B4455" s="878" t="s">
        <v>12152</v>
      </c>
      <c r="C4455" s="879" t="s">
        <v>226</v>
      </c>
      <c r="D4455" s="880" t="s">
        <v>30796</v>
      </c>
    </row>
    <row r="4456" spans="1:4" ht="13.5" x14ac:dyDescent="0.25">
      <c r="A4456" s="878" t="s">
        <v>12153</v>
      </c>
      <c r="B4456" s="878" t="s">
        <v>12154</v>
      </c>
      <c r="C4456" s="879" t="s">
        <v>226</v>
      </c>
      <c r="D4456" s="880" t="s">
        <v>42598</v>
      </c>
    </row>
    <row r="4457" spans="1:4" ht="13.5" x14ac:dyDescent="0.25">
      <c r="A4457" s="878" t="s">
        <v>12155</v>
      </c>
      <c r="B4457" s="878" t="s">
        <v>12156</v>
      </c>
      <c r="C4457" s="879" t="s">
        <v>226</v>
      </c>
      <c r="D4457" s="880" t="s">
        <v>42599</v>
      </c>
    </row>
    <row r="4458" spans="1:4" ht="13.5" x14ac:dyDescent="0.25">
      <c r="A4458" s="878" t="s">
        <v>12157</v>
      </c>
      <c r="B4458" s="878" t="s">
        <v>12158</v>
      </c>
      <c r="C4458" s="879" t="s">
        <v>226</v>
      </c>
      <c r="D4458" s="880" t="s">
        <v>42600</v>
      </c>
    </row>
    <row r="4459" spans="1:4" ht="13.5" x14ac:dyDescent="0.25">
      <c r="A4459" s="878" t="s">
        <v>12159</v>
      </c>
      <c r="B4459" s="878" t="s">
        <v>12160</v>
      </c>
      <c r="C4459" s="879" t="s">
        <v>226</v>
      </c>
      <c r="D4459" s="880" t="s">
        <v>42601</v>
      </c>
    </row>
    <row r="4460" spans="1:4" ht="13.5" x14ac:dyDescent="0.25">
      <c r="A4460" s="878" t="s">
        <v>12161</v>
      </c>
      <c r="B4460" s="878" t="s">
        <v>12162</v>
      </c>
      <c r="C4460" s="879" t="s">
        <v>226</v>
      </c>
      <c r="D4460" s="880" t="s">
        <v>42602</v>
      </c>
    </row>
    <row r="4461" spans="1:4" ht="13.5" x14ac:dyDescent="0.25">
      <c r="A4461" s="878" t="s">
        <v>12164</v>
      </c>
      <c r="B4461" s="878" t="s">
        <v>12165</v>
      </c>
      <c r="C4461" s="879" t="s">
        <v>226</v>
      </c>
      <c r="D4461" s="880" t="s">
        <v>42603</v>
      </c>
    </row>
    <row r="4462" spans="1:4" ht="13.5" x14ac:dyDescent="0.25">
      <c r="A4462" s="878" t="s">
        <v>12166</v>
      </c>
      <c r="B4462" s="878" t="s">
        <v>12167</v>
      </c>
      <c r="C4462" s="879" t="s">
        <v>226</v>
      </c>
      <c r="D4462" s="880" t="s">
        <v>42604</v>
      </c>
    </row>
    <row r="4463" spans="1:4" ht="13.5" x14ac:dyDescent="0.25">
      <c r="A4463" s="878" t="s">
        <v>12168</v>
      </c>
      <c r="B4463" s="878" t="s">
        <v>12169</v>
      </c>
      <c r="C4463" s="879" t="s">
        <v>226</v>
      </c>
      <c r="D4463" s="880" t="s">
        <v>42605</v>
      </c>
    </row>
    <row r="4464" spans="1:4" ht="13.5" x14ac:dyDescent="0.25">
      <c r="A4464" s="878" t="s">
        <v>12170</v>
      </c>
      <c r="B4464" s="878" t="s">
        <v>12171</v>
      </c>
      <c r="C4464" s="879" t="s">
        <v>226</v>
      </c>
      <c r="D4464" s="880" t="s">
        <v>42606</v>
      </c>
    </row>
    <row r="4465" spans="1:4" ht="13.5" x14ac:dyDescent="0.25">
      <c r="A4465" s="878" t="s">
        <v>12172</v>
      </c>
      <c r="B4465" s="878" t="s">
        <v>12173</v>
      </c>
      <c r="C4465" s="879" t="s">
        <v>226</v>
      </c>
      <c r="D4465" s="880" t="s">
        <v>42607</v>
      </c>
    </row>
    <row r="4466" spans="1:4" ht="13.5" x14ac:dyDescent="0.25">
      <c r="A4466" s="878" t="s">
        <v>12174</v>
      </c>
      <c r="B4466" s="878" t="s">
        <v>12175</v>
      </c>
      <c r="C4466" s="879" t="s">
        <v>226</v>
      </c>
      <c r="D4466" s="880" t="s">
        <v>42608</v>
      </c>
    </row>
    <row r="4467" spans="1:4" ht="13.5" x14ac:dyDescent="0.25">
      <c r="A4467" s="878" t="s">
        <v>12176</v>
      </c>
      <c r="B4467" s="878" t="s">
        <v>12177</v>
      </c>
      <c r="C4467" s="879" t="s">
        <v>226</v>
      </c>
      <c r="D4467" s="880" t="s">
        <v>42609</v>
      </c>
    </row>
    <row r="4468" spans="1:4" ht="13.5" x14ac:dyDescent="0.25">
      <c r="A4468" s="878" t="s">
        <v>12178</v>
      </c>
      <c r="B4468" s="878" t="s">
        <v>12179</v>
      </c>
      <c r="C4468" s="879" t="s">
        <v>226</v>
      </c>
      <c r="D4468" s="880" t="s">
        <v>42610</v>
      </c>
    </row>
    <row r="4469" spans="1:4" ht="13.5" x14ac:dyDescent="0.25">
      <c r="A4469" s="878" t="s">
        <v>12180</v>
      </c>
      <c r="B4469" s="878" t="s">
        <v>12181</v>
      </c>
      <c r="C4469" s="879" t="s">
        <v>226</v>
      </c>
      <c r="D4469" s="880" t="s">
        <v>41343</v>
      </c>
    </row>
    <row r="4470" spans="1:4" ht="13.5" x14ac:dyDescent="0.25">
      <c r="A4470" s="878" t="s">
        <v>12182</v>
      </c>
      <c r="B4470" s="878" t="s">
        <v>12183</v>
      </c>
      <c r="C4470" s="879" t="s">
        <v>226</v>
      </c>
      <c r="D4470" s="880" t="s">
        <v>42611</v>
      </c>
    </row>
    <row r="4471" spans="1:4" ht="13.5" x14ac:dyDescent="0.25">
      <c r="A4471" s="878" t="s">
        <v>12184</v>
      </c>
      <c r="B4471" s="878" t="s">
        <v>12185</v>
      </c>
      <c r="C4471" s="879" t="s">
        <v>226</v>
      </c>
      <c r="D4471" s="880" t="s">
        <v>42380</v>
      </c>
    </row>
    <row r="4472" spans="1:4" ht="13.5" x14ac:dyDescent="0.25">
      <c r="A4472" s="878" t="s">
        <v>12186</v>
      </c>
      <c r="B4472" s="878" t="s">
        <v>12187</v>
      </c>
      <c r="C4472" s="879" t="s">
        <v>226</v>
      </c>
      <c r="D4472" s="880" t="s">
        <v>31193</v>
      </c>
    </row>
    <row r="4473" spans="1:4" ht="13.5" x14ac:dyDescent="0.25">
      <c r="A4473" s="878" t="s">
        <v>12188</v>
      </c>
      <c r="B4473" s="878" t="s">
        <v>12189</v>
      </c>
      <c r="C4473" s="879" t="s">
        <v>226</v>
      </c>
      <c r="D4473" s="880" t="s">
        <v>30850</v>
      </c>
    </row>
    <row r="4474" spans="1:4" ht="13.5" x14ac:dyDescent="0.25">
      <c r="A4474" s="878" t="s">
        <v>12190</v>
      </c>
      <c r="B4474" s="878" t="s">
        <v>12191</v>
      </c>
      <c r="C4474" s="879" t="s">
        <v>226</v>
      </c>
      <c r="D4474" s="880" t="s">
        <v>42612</v>
      </c>
    </row>
    <row r="4475" spans="1:4" ht="13.5" x14ac:dyDescent="0.25">
      <c r="A4475" s="878" t="s">
        <v>12192</v>
      </c>
      <c r="B4475" s="878" t="s">
        <v>12193</v>
      </c>
      <c r="C4475" s="879" t="s">
        <v>226</v>
      </c>
      <c r="D4475" s="880" t="s">
        <v>42613</v>
      </c>
    </row>
    <row r="4476" spans="1:4" ht="13.5" x14ac:dyDescent="0.25">
      <c r="A4476" s="878" t="s">
        <v>12194</v>
      </c>
      <c r="B4476" s="878" t="s">
        <v>12195</v>
      </c>
      <c r="C4476" s="879" t="s">
        <v>226</v>
      </c>
      <c r="D4476" s="880" t="s">
        <v>10217</v>
      </c>
    </row>
    <row r="4477" spans="1:4" ht="13.5" x14ac:dyDescent="0.25">
      <c r="A4477" s="878" t="s">
        <v>12196</v>
      </c>
      <c r="B4477" s="878" t="s">
        <v>12197</v>
      </c>
      <c r="C4477" s="879" t="s">
        <v>226</v>
      </c>
      <c r="D4477" s="880" t="s">
        <v>42614</v>
      </c>
    </row>
    <row r="4478" spans="1:4" ht="13.5" x14ac:dyDescent="0.25">
      <c r="A4478" s="878" t="s">
        <v>12198</v>
      </c>
      <c r="B4478" s="878" t="s">
        <v>12199</v>
      </c>
      <c r="C4478" s="879" t="s">
        <v>226</v>
      </c>
      <c r="D4478" s="880" t="s">
        <v>42615</v>
      </c>
    </row>
    <row r="4479" spans="1:4" ht="13.5" x14ac:dyDescent="0.25">
      <c r="A4479" s="878" t="s">
        <v>12200</v>
      </c>
      <c r="B4479" s="878" t="s">
        <v>12201</v>
      </c>
      <c r="C4479" s="879" t="s">
        <v>226</v>
      </c>
      <c r="D4479" s="880" t="s">
        <v>42616</v>
      </c>
    </row>
    <row r="4480" spans="1:4" ht="13.5" x14ac:dyDescent="0.25">
      <c r="A4480" s="878" t="s">
        <v>12202</v>
      </c>
      <c r="B4480" s="878" t="s">
        <v>12203</v>
      </c>
      <c r="C4480" s="879" t="s">
        <v>226</v>
      </c>
      <c r="D4480" s="880" t="s">
        <v>42617</v>
      </c>
    </row>
    <row r="4481" spans="1:4" ht="13.5" x14ac:dyDescent="0.25">
      <c r="A4481" s="878" t="s">
        <v>12204</v>
      </c>
      <c r="B4481" s="878" t="s">
        <v>12205</v>
      </c>
      <c r="C4481" s="879" t="s">
        <v>226</v>
      </c>
      <c r="D4481" s="880" t="s">
        <v>30421</v>
      </c>
    </row>
    <row r="4482" spans="1:4" ht="13.5" x14ac:dyDescent="0.25">
      <c r="A4482" s="878" t="s">
        <v>12207</v>
      </c>
      <c r="B4482" s="878" t="s">
        <v>12208</v>
      </c>
      <c r="C4482" s="879" t="s">
        <v>226</v>
      </c>
      <c r="D4482" s="880" t="s">
        <v>30967</v>
      </c>
    </row>
    <row r="4483" spans="1:4" ht="13.5" x14ac:dyDescent="0.25">
      <c r="A4483" s="878" t="s">
        <v>12209</v>
      </c>
      <c r="B4483" s="878" t="s">
        <v>12210</v>
      </c>
      <c r="C4483" s="879" t="s">
        <v>226</v>
      </c>
      <c r="D4483" s="880" t="s">
        <v>42618</v>
      </c>
    </row>
    <row r="4484" spans="1:4" ht="13.5" x14ac:dyDescent="0.25">
      <c r="A4484" s="878" t="s">
        <v>12211</v>
      </c>
      <c r="B4484" s="878" t="s">
        <v>12212</v>
      </c>
      <c r="C4484" s="879" t="s">
        <v>226</v>
      </c>
      <c r="D4484" s="880" t="s">
        <v>42619</v>
      </c>
    </row>
    <row r="4485" spans="1:4" ht="13.5" x14ac:dyDescent="0.25">
      <c r="A4485" s="878" t="s">
        <v>12213</v>
      </c>
      <c r="B4485" s="878" t="s">
        <v>12214</v>
      </c>
      <c r="C4485" s="879" t="s">
        <v>226</v>
      </c>
      <c r="D4485" s="880" t="s">
        <v>42620</v>
      </c>
    </row>
    <row r="4486" spans="1:4" ht="13.5" x14ac:dyDescent="0.25">
      <c r="A4486" s="878" t="s">
        <v>12215</v>
      </c>
      <c r="B4486" s="878" t="s">
        <v>12216</v>
      </c>
      <c r="C4486" s="879" t="s">
        <v>226</v>
      </c>
      <c r="D4486" s="880" t="s">
        <v>10266</v>
      </c>
    </row>
    <row r="4487" spans="1:4" ht="13.5" x14ac:dyDescent="0.25">
      <c r="A4487" s="878" t="s">
        <v>12217</v>
      </c>
      <c r="B4487" s="878" t="s">
        <v>12218</v>
      </c>
      <c r="C4487" s="879" t="s">
        <v>226</v>
      </c>
      <c r="D4487" s="880" t="s">
        <v>42225</v>
      </c>
    </row>
    <row r="4488" spans="1:4" ht="13.5" x14ac:dyDescent="0.25">
      <c r="A4488" s="878" t="s">
        <v>12219</v>
      </c>
      <c r="B4488" s="878" t="s">
        <v>12220</v>
      </c>
      <c r="C4488" s="879" t="s">
        <v>226</v>
      </c>
      <c r="D4488" s="880" t="s">
        <v>42621</v>
      </c>
    </row>
    <row r="4489" spans="1:4" ht="13.5" x14ac:dyDescent="0.25">
      <c r="A4489" s="878" t="s">
        <v>12221</v>
      </c>
      <c r="B4489" s="878" t="s">
        <v>12222</v>
      </c>
      <c r="C4489" s="879" t="s">
        <v>226</v>
      </c>
      <c r="D4489" s="880" t="s">
        <v>30648</v>
      </c>
    </row>
    <row r="4490" spans="1:4" ht="13.5" x14ac:dyDescent="0.25">
      <c r="A4490" s="878" t="s">
        <v>12224</v>
      </c>
      <c r="B4490" s="878" t="s">
        <v>12225</v>
      </c>
      <c r="C4490" s="879" t="s">
        <v>226</v>
      </c>
      <c r="D4490" s="880" t="s">
        <v>30834</v>
      </c>
    </row>
    <row r="4491" spans="1:4" ht="13.5" x14ac:dyDescent="0.25">
      <c r="A4491" s="878" t="s">
        <v>12226</v>
      </c>
      <c r="B4491" s="878" t="s">
        <v>12227</v>
      </c>
      <c r="C4491" s="879" t="s">
        <v>226</v>
      </c>
      <c r="D4491" s="880" t="s">
        <v>42622</v>
      </c>
    </row>
    <row r="4492" spans="1:4" ht="13.5" x14ac:dyDescent="0.25">
      <c r="A4492" s="878" t="s">
        <v>12229</v>
      </c>
      <c r="B4492" s="878" t="s">
        <v>12230</v>
      </c>
      <c r="C4492" s="879" t="s">
        <v>226</v>
      </c>
      <c r="D4492" s="880" t="s">
        <v>42623</v>
      </c>
    </row>
    <row r="4493" spans="1:4" ht="13.5" x14ac:dyDescent="0.25">
      <c r="A4493" s="878" t="s">
        <v>12231</v>
      </c>
      <c r="B4493" s="878" t="s">
        <v>12232</v>
      </c>
      <c r="C4493" s="879" t="s">
        <v>226</v>
      </c>
      <c r="D4493" s="880" t="s">
        <v>14545</v>
      </c>
    </row>
    <row r="4494" spans="1:4" ht="13.5" x14ac:dyDescent="0.25">
      <c r="A4494" s="878" t="s">
        <v>12233</v>
      </c>
      <c r="B4494" s="878" t="s">
        <v>12234</v>
      </c>
      <c r="C4494" s="879" t="s">
        <v>226</v>
      </c>
      <c r="D4494" s="880" t="s">
        <v>10299</v>
      </c>
    </row>
    <row r="4495" spans="1:4" ht="13.5" x14ac:dyDescent="0.25">
      <c r="A4495" s="878" t="s">
        <v>12235</v>
      </c>
      <c r="B4495" s="878" t="s">
        <v>12236</v>
      </c>
      <c r="C4495" s="879" t="s">
        <v>226</v>
      </c>
      <c r="D4495" s="880" t="s">
        <v>42060</v>
      </c>
    </row>
    <row r="4496" spans="1:4" ht="13.5" x14ac:dyDescent="0.25">
      <c r="A4496" s="878" t="s">
        <v>12237</v>
      </c>
      <c r="B4496" s="878" t="s">
        <v>12238</v>
      </c>
      <c r="C4496" s="879" t="s">
        <v>226</v>
      </c>
      <c r="D4496" s="880" t="s">
        <v>42624</v>
      </c>
    </row>
    <row r="4497" spans="1:4" ht="13.5" x14ac:dyDescent="0.25">
      <c r="A4497" s="878" t="s">
        <v>12239</v>
      </c>
      <c r="B4497" s="878" t="s">
        <v>12240</v>
      </c>
      <c r="C4497" s="879" t="s">
        <v>226</v>
      </c>
      <c r="D4497" s="880" t="s">
        <v>7563</v>
      </c>
    </row>
    <row r="4498" spans="1:4" ht="13.5" x14ac:dyDescent="0.25">
      <c r="A4498" s="878" t="s">
        <v>12241</v>
      </c>
      <c r="B4498" s="878" t="s">
        <v>12242</v>
      </c>
      <c r="C4498" s="879" t="s">
        <v>226</v>
      </c>
      <c r="D4498" s="880" t="s">
        <v>42625</v>
      </c>
    </row>
    <row r="4499" spans="1:4" ht="13.5" x14ac:dyDescent="0.25">
      <c r="A4499" s="878" t="s">
        <v>12244</v>
      </c>
      <c r="B4499" s="878" t="s">
        <v>12245</v>
      </c>
      <c r="C4499" s="879" t="s">
        <v>226</v>
      </c>
      <c r="D4499" s="880" t="s">
        <v>9135</v>
      </c>
    </row>
    <row r="4500" spans="1:4" ht="13.5" x14ac:dyDescent="0.25">
      <c r="A4500" s="878" t="s">
        <v>12247</v>
      </c>
      <c r="B4500" s="878" t="s">
        <v>12248</v>
      </c>
      <c r="C4500" s="879" t="s">
        <v>226</v>
      </c>
      <c r="D4500" s="880" t="s">
        <v>42223</v>
      </c>
    </row>
    <row r="4501" spans="1:4" ht="13.5" x14ac:dyDescent="0.25">
      <c r="A4501" s="878" t="s">
        <v>12249</v>
      </c>
      <c r="B4501" s="878" t="s">
        <v>12250</v>
      </c>
      <c r="C4501" s="879" t="s">
        <v>226</v>
      </c>
      <c r="D4501" s="880" t="s">
        <v>42626</v>
      </c>
    </row>
    <row r="4502" spans="1:4" ht="13.5" x14ac:dyDescent="0.25">
      <c r="A4502" s="878" t="s">
        <v>12251</v>
      </c>
      <c r="B4502" s="878" t="s">
        <v>12252</v>
      </c>
      <c r="C4502" s="879" t="s">
        <v>226</v>
      </c>
      <c r="D4502" s="880" t="s">
        <v>30523</v>
      </c>
    </row>
    <row r="4503" spans="1:4" ht="13.5" x14ac:dyDescent="0.25">
      <c r="A4503" s="878" t="s">
        <v>12253</v>
      </c>
      <c r="B4503" s="878" t="s">
        <v>12254</v>
      </c>
      <c r="C4503" s="879" t="s">
        <v>226</v>
      </c>
      <c r="D4503" s="880" t="s">
        <v>42627</v>
      </c>
    </row>
    <row r="4504" spans="1:4" ht="13.5" x14ac:dyDescent="0.25">
      <c r="A4504" s="878" t="s">
        <v>12256</v>
      </c>
      <c r="B4504" s="878" t="s">
        <v>12257</v>
      </c>
      <c r="C4504" s="879" t="s">
        <v>226</v>
      </c>
      <c r="D4504" s="880" t="s">
        <v>42628</v>
      </c>
    </row>
    <row r="4505" spans="1:4" ht="13.5" x14ac:dyDescent="0.25">
      <c r="A4505" s="878" t="s">
        <v>12258</v>
      </c>
      <c r="B4505" s="878" t="s">
        <v>12259</v>
      </c>
      <c r="C4505" s="879" t="s">
        <v>226</v>
      </c>
      <c r="D4505" s="880" t="s">
        <v>15758</v>
      </c>
    </row>
    <row r="4506" spans="1:4" ht="13.5" x14ac:dyDescent="0.25">
      <c r="A4506" s="878" t="s">
        <v>12260</v>
      </c>
      <c r="B4506" s="878" t="s">
        <v>12261</v>
      </c>
      <c r="C4506" s="879" t="s">
        <v>226</v>
      </c>
      <c r="D4506" s="880" t="s">
        <v>9787</v>
      </c>
    </row>
    <row r="4507" spans="1:4" ht="13.5" x14ac:dyDescent="0.25">
      <c r="A4507" s="878" t="s">
        <v>12262</v>
      </c>
      <c r="B4507" s="878" t="s">
        <v>12263</v>
      </c>
      <c r="C4507" s="879" t="s">
        <v>226</v>
      </c>
      <c r="D4507" s="880" t="s">
        <v>31112</v>
      </c>
    </row>
    <row r="4508" spans="1:4" ht="13.5" x14ac:dyDescent="0.25">
      <c r="A4508" s="878" t="s">
        <v>12265</v>
      </c>
      <c r="B4508" s="878" t="s">
        <v>12266</v>
      </c>
      <c r="C4508" s="879" t="s">
        <v>226</v>
      </c>
      <c r="D4508" s="880" t="s">
        <v>41655</v>
      </c>
    </row>
    <row r="4509" spans="1:4" ht="13.5" x14ac:dyDescent="0.25">
      <c r="A4509" s="878" t="s">
        <v>12267</v>
      </c>
      <c r="B4509" s="878" t="s">
        <v>12268</v>
      </c>
      <c r="C4509" s="879" t="s">
        <v>226</v>
      </c>
      <c r="D4509" s="880" t="s">
        <v>42629</v>
      </c>
    </row>
    <row r="4510" spans="1:4" ht="13.5" x14ac:dyDescent="0.25">
      <c r="A4510" s="878" t="s">
        <v>12270</v>
      </c>
      <c r="B4510" s="878" t="s">
        <v>12271</v>
      </c>
      <c r="C4510" s="879" t="s">
        <v>226</v>
      </c>
      <c r="D4510" s="880" t="s">
        <v>42630</v>
      </c>
    </row>
    <row r="4511" spans="1:4" ht="13.5" x14ac:dyDescent="0.25">
      <c r="A4511" s="878" t="s">
        <v>12272</v>
      </c>
      <c r="B4511" s="878" t="s">
        <v>12273</v>
      </c>
      <c r="C4511" s="879" t="s">
        <v>226</v>
      </c>
      <c r="D4511" s="880" t="s">
        <v>3377</v>
      </c>
    </row>
    <row r="4512" spans="1:4" ht="13.5" x14ac:dyDescent="0.25">
      <c r="A4512" s="878" t="s">
        <v>12274</v>
      </c>
      <c r="B4512" s="878" t="s">
        <v>12275</v>
      </c>
      <c r="C4512" s="879" t="s">
        <v>226</v>
      </c>
      <c r="D4512" s="880" t="s">
        <v>30570</v>
      </c>
    </row>
    <row r="4513" spans="1:4" ht="13.5" x14ac:dyDescent="0.25">
      <c r="A4513" s="878" t="s">
        <v>12276</v>
      </c>
      <c r="B4513" s="878" t="s">
        <v>12277</v>
      </c>
      <c r="C4513" s="879" t="s">
        <v>226</v>
      </c>
      <c r="D4513" s="880" t="s">
        <v>30393</v>
      </c>
    </row>
    <row r="4514" spans="1:4" ht="13.5" x14ac:dyDescent="0.25">
      <c r="A4514" s="878" t="s">
        <v>12278</v>
      </c>
      <c r="B4514" s="878" t="s">
        <v>12279</v>
      </c>
      <c r="C4514" s="879" t="s">
        <v>226</v>
      </c>
      <c r="D4514" s="880" t="s">
        <v>30403</v>
      </c>
    </row>
    <row r="4515" spans="1:4" ht="13.5" x14ac:dyDescent="0.25">
      <c r="A4515" s="878" t="s">
        <v>12280</v>
      </c>
      <c r="B4515" s="878" t="s">
        <v>12281</v>
      </c>
      <c r="C4515" s="879" t="s">
        <v>226</v>
      </c>
      <c r="D4515" s="880" t="s">
        <v>42631</v>
      </c>
    </row>
    <row r="4516" spans="1:4" ht="13.5" x14ac:dyDescent="0.25">
      <c r="A4516" s="878" t="s">
        <v>12282</v>
      </c>
      <c r="B4516" s="878" t="s">
        <v>12283</v>
      </c>
      <c r="C4516" s="879" t="s">
        <v>226</v>
      </c>
      <c r="D4516" s="880" t="s">
        <v>30199</v>
      </c>
    </row>
    <row r="4517" spans="1:4" ht="13.5" x14ac:dyDescent="0.25">
      <c r="A4517" s="878" t="s">
        <v>12284</v>
      </c>
      <c r="B4517" s="878" t="s">
        <v>12285</v>
      </c>
      <c r="C4517" s="879" t="s">
        <v>226</v>
      </c>
      <c r="D4517" s="880" t="s">
        <v>11215</v>
      </c>
    </row>
    <row r="4518" spans="1:4" ht="13.5" x14ac:dyDescent="0.25">
      <c r="A4518" s="878" t="s">
        <v>12286</v>
      </c>
      <c r="B4518" s="878" t="s">
        <v>12287</v>
      </c>
      <c r="C4518" s="879" t="s">
        <v>226</v>
      </c>
      <c r="D4518" s="880" t="s">
        <v>41698</v>
      </c>
    </row>
    <row r="4519" spans="1:4" ht="13.5" x14ac:dyDescent="0.25">
      <c r="A4519" s="878" t="s">
        <v>12289</v>
      </c>
      <c r="B4519" s="878" t="s">
        <v>12290</v>
      </c>
      <c r="C4519" s="879" t="s">
        <v>226</v>
      </c>
      <c r="D4519" s="880" t="s">
        <v>42632</v>
      </c>
    </row>
    <row r="4520" spans="1:4" ht="13.5" x14ac:dyDescent="0.25">
      <c r="A4520" s="878" t="s">
        <v>12291</v>
      </c>
      <c r="B4520" s="878" t="s">
        <v>12292</v>
      </c>
      <c r="C4520" s="879" t="s">
        <v>226</v>
      </c>
      <c r="D4520" s="880" t="s">
        <v>42633</v>
      </c>
    </row>
    <row r="4521" spans="1:4" ht="13.5" x14ac:dyDescent="0.25">
      <c r="A4521" s="878" t="s">
        <v>12293</v>
      </c>
      <c r="B4521" s="878" t="s">
        <v>12294</v>
      </c>
      <c r="C4521" s="879" t="s">
        <v>226</v>
      </c>
      <c r="D4521" s="880" t="s">
        <v>42634</v>
      </c>
    </row>
    <row r="4522" spans="1:4" ht="13.5" x14ac:dyDescent="0.25">
      <c r="A4522" s="878" t="s">
        <v>12295</v>
      </c>
      <c r="B4522" s="878" t="s">
        <v>12296</v>
      </c>
      <c r="C4522" s="879" t="s">
        <v>226</v>
      </c>
      <c r="D4522" s="880" t="s">
        <v>31119</v>
      </c>
    </row>
    <row r="4523" spans="1:4" ht="13.5" x14ac:dyDescent="0.25">
      <c r="A4523" s="878" t="s">
        <v>12297</v>
      </c>
      <c r="B4523" s="878" t="s">
        <v>12298</v>
      </c>
      <c r="C4523" s="879" t="s">
        <v>226</v>
      </c>
      <c r="D4523" s="880" t="s">
        <v>42635</v>
      </c>
    </row>
    <row r="4524" spans="1:4" ht="13.5" x14ac:dyDescent="0.25">
      <c r="A4524" s="878" t="s">
        <v>12299</v>
      </c>
      <c r="B4524" s="878" t="s">
        <v>12300</v>
      </c>
      <c r="C4524" s="879" t="s">
        <v>226</v>
      </c>
      <c r="D4524" s="880" t="s">
        <v>42636</v>
      </c>
    </row>
    <row r="4525" spans="1:4" ht="13.5" x14ac:dyDescent="0.25">
      <c r="A4525" s="878" t="s">
        <v>12301</v>
      </c>
      <c r="B4525" s="878" t="s">
        <v>12302</v>
      </c>
      <c r="C4525" s="879" t="s">
        <v>226</v>
      </c>
      <c r="D4525" s="880" t="s">
        <v>30523</v>
      </c>
    </row>
    <row r="4526" spans="1:4" ht="13.5" x14ac:dyDescent="0.25">
      <c r="A4526" s="878" t="s">
        <v>12303</v>
      </c>
      <c r="B4526" s="878" t="s">
        <v>12304</v>
      </c>
      <c r="C4526" s="879" t="s">
        <v>226</v>
      </c>
      <c r="D4526" s="880" t="s">
        <v>31215</v>
      </c>
    </row>
    <row r="4527" spans="1:4" ht="13.5" x14ac:dyDescent="0.25">
      <c r="A4527" s="878" t="s">
        <v>12305</v>
      </c>
      <c r="B4527" s="878" t="s">
        <v>12306</v>
      </c>
      <c r="C4527" s="879" t="s">
        <v>226</v>
      </c>
      <c r="D4527" s="880" t="s">
        <v>42637</v>
      </c>
    </row>
    <row r="4528" spans="1:4" ht="13.5" x14ac:dyDescent="0.25">
      <c r="A4528" s="878" t="s">
        <v>12307</v>
      </c>
      <c r="B4528" s="878" t="s">
        <v>12308</v>
      </c>
      <c r="C4528" s="879" t="s">
        <v>226</v>
      </c>
      <c r="D4528" s="880" t="s">
        <v>42638</v>
      </c>
    </row>
    <row r="4529" spans="1:4" ht="13.5" x14ac:dyDescent="0.25">
      <c r="A4529" s="878" t="s">
        <v>12310</v>
      </c>
      <c r="B4529" s="878" t="s">
        <v>12311</v>
      </c>
      <c r="C4529" s="879" t="s">
        <v>226</v>
      </c>
      <c r="D4529" s="880" t="s">
        <v>42639</v>
      </c>
    </row>
    <row r="4530" spans="1:4" ht="13.5" x14ac:dyDescent="0.25">
      <c r="A4530" s="878" t="s">
        <v>12313</v>
      </c>
      <c r="B4530" s="878" t="s">
        <v>12314</v>
      </c>
      <c r="C4530" s="879" t="s">
        <v>226</v>
      </c>
      <c r="D4530" s="880" t="s">
        <v>42640</v>
      </c>
    </row>
    <row r="4531" spans="1:4" ht="13.5" x14ac:dyDescent="0.25">
      <c r="A4531" s="878" t="s">
        <v>12315</v>
      </c>
      <c r="B4531" s="878" t="s">
        <v>12316</v>
      </c>
      <c r="C4531" s="879" t="s">
        <v>226</v>
      </c>
      <c r="D4531" s="880" t="s">
        <v>42641</v>
      </c>
    </row>
    <row r="4532" spans="1:4" ht="13.5" x14ac:dyDescent="0.25">
      <c r="A4532" s="878" t="s">
        <v>12317</v>
      </c>
      <c r="B4532" s="878" t="s">
        <v>12318</v>
      </c>
      <c r="C4532" s="879" t="s">
        <v>226</v>
      </c>
      <c r="D4532" s="880" t="s">
        <v>8799</v>
      </c>
    </row>
    <row r="4533" spans="1:4" ht="13.5" x14ac:dyDescent="0.25">
      <c r="A4533" s="878" t="s">
        <v>12319</v>
      </c>
      <c r="B4533" s="878" t="s">
        <v>12320</v>
      </c>
      <c r="C4533" s="879" t="s">
        <v>226</v>
      </c>
      <c r="D4533" s="880" t="s">
        <v>30943</v>
      </c>
    </row>
    <row r="4534" spans="1:4" ht="13.5" x14ac:dyDescent="0.25">
      <c r="A4534" s="878" t="s">
        <v>12321</v>
      </c>
      <c r="B4534" s="878" t="s">
        <v>12322</v>
      </c>
      <c r="C4534" s="879" t="s">
        <v>226</v>
      </c>
      <c r="D4534" s="880" t="s">
        <v>42642</v>
      </c>
    </row>
    <row r="4535" spans="1:4" ht="13.5" x14ac:dyDescent="0.25">
      <c r="A4535" s="878" t="s">
        <v>12323</v>
      </c>
      <c r="B4535" s="878" t="s">
        <v>12324</v>
      </c>
      <c r="C4535" s="879" t="s">
        <v>226</v>
      </c>
      <c r="D4535" s="880" t="s">
        <v>42643</v>
      </c>
    </row>
    <row r="4536" spans="1:4" ht="13.5" x14ac:dyDescent="0.25">
      <c r="A4536" s="878" t="s">
        <v>12325</v>
      </c>
      <c r="B4536" s="878" t="s">
        <v>12326</v>
      </c>
      <c r="C4536" s="879" t="s">
        <v>226</v>
      </c>
      <c r="D4536" s="880" t="s">
        <v>42644</v>
      </c>
    </row>
    <row r="4537" spans="1:4" ht="13.5" x14ac:dyDescent="0.25">
      <c r="A4537" s="878" t="s">
        <v>12327</v>
      </c>
      <c r="B4537" s="878" t="s">
        <v>12328</v>
      </c>
      <c r="C4537" s="879" t="s">
        <v>226</v>
      </c>
      <c r="D4537" s="880" t="s">
        <v>41477</v>
      </c>
    </row>
    <row r="4538" spans="1:4" ht="13.5" x14ac:dyDescent="0.25">
      <c r="A4538" s="878" t="s">
        <v>12329</v>
      </c>
      <c r="B4538" s="878" t="s">
        <v>12330</v>
      </c>
      <c r="C4538" s="879" t="s">
        <v>226</v>
      </c>
      <c r="D4538" s="880" t="s">
        <v>42645</v>
      </c>
    </row>
    <row r="4539" spans="1:4" ht="13.5" x14ac:dyDescent="0.25">
      <c r="A4539" s="878" t="s">
        <v>12331</v>
      </c>
      <c r="B4539" s="878" t="s">
        <v>12332</v>
      </c>
      <c r="C4539" s="879" t="s">
        <v>226</v>
      </c>
      <c r="D4539" s="880" t="s">
        <v>31209</v>
      </c>
    </row>
    <row r="4540" spans="1:4" ht="13.5" x14ac:dyDescent="0.25">
      <c r="A4540" s="878" t="s">
        <v>12333</v>
      </c>
      <c r="B4540" s="878" t="s">
        <v>12334</v>
      </c>
      <c r="C4540" s="879" t="s">
        <v>226</v>
      </c>
      <c r="D4540" s="880" t="s">
        <v>42646</v>
      </c>
    </row>
    <row r="4541" spans="1:4" ht="13.5" x14ac:dyDescent="0.25">
      <c r="A4541" s="878" t="s">
        <v>12335</v>
      </c>
      <c r="B4541" s="878" t="s">
        <v>12336</v>
      </c>
      <c r="C4541" s="879" t="s">
        <v>226</v>
      </c>
      <c r="D4541" s="880" t="s">
        <v>31254</v>
      </c>
    </row>
    <row r="4542" spans="1:4" ht="13.5" x14ac:dyDescent="0.25">
      <c r="A4542" s="878" t="s">
        <v>12337</v>
      </c>
      <c r="B4542" s="878" t="s">
        <v>12338</v>
      </c>
      <c r="C4542" s="879" t="s">
        <v>226</v>
      </c>
      <c r="D4542" s="880" t="s">
        <v>42647</v>
      </c>
    </row>
    <row r="4543" spans="1:4" ht="13.5" x14ac:dyDescent="0.25">
      <c r="A4543" s="878" t="s">
        <v>12339</v>
      </c>
      <c r="B4543" s="878" t="s">
        <v>12340</v>
      </c>
      <c r="C4543" s="879" t="s">
        <v>226</v>
      </c>
      <c r="D4543" s="880" t="s">
        <v>42648</v>
      </c>
    </row>
    <row r="4544" spans="1:4" ht="13.5" x14ac:dyDescent="0.25">
      <c r="A4544" s="878" t="s">
        <v>12341</v>
      </c>
      <c r="B4544" s="878" t="s">
        <v>12342</v>
      </c>
      <c r="C4544" s="879" t="s">
        <v>226</v>
      </c>
      <c r="D4544" s="880" t="s">
        <v>42649</v>
      </c>
    </row>
    <row r="4545" spans="1:4" ht="13.5" x14ac:dyDescent="0.25">
      <c r="A4545" s="878" t="s">
        <v>12343</v>
      </c>
      <c r="B4545" s="878" t="s">
        <v>12344</v>
      </c>
      <c r="C4545" s="879" t="s">
        <v>226</v>
      </c>
      <c r="D4545" s="880" t="s">
        <v>4621</v>
      </c>
    </row>
    <row r="4546" spans="1:4" ht="13.5" x14ac:dyDescent="0.25">
      <c r="A4546" s="878" t="s">
        <v>12345</v>
      </c>
      <c r="B4546" s="878" t="s">
        <v>12346</v>
      </c>
      <c r="C4546" s="879" t="s">
        <v>226</v>
      </c>
      <c r="D4546" s="880" t="s">
        <v>5531</v>
      </c>
    </row>
    <row r="4547" spans="1:4" ht="13.5" x14ac:dyDescent="0.25">
      <c r="A4547" s="878" t="s">
        <v>12347</v>
      </c>
      <c r="B4547" s="878" t="s">
        <v>12348</v>
      </c>
      <c r="C4547" s="879" t="s">
        <v>226</v>
      </c>
      <c r="D4547" s="880" t="s">
        <v>41532</v>
      </c>
    </row>
    <row r="4548" spans="1:4" ht="13.5" x14ac:dyDescent="0.25">
      <c r="A4548" s="878" t="s">
        <v>12349</v>
      </c>
      <c r="B4548" s="878" t="s">
        <v>12350</v>
      </c>
      <c r="C4548" s="879" t="s">
        <v>226</v>
      </c>
      <c r="D4548" s="880" t="s">
        <v>42650</v>
      </c>
    </row>
    <row r="4549" spans="1:4" ht="13.5" x14ac:dyDescent="0.25">
      <c r="A4549" s="878" t="s">
        <v>12351</v>
      </c>
      <c r="B4549" s="878" t="s">
        <v>12352</v>
      </c>
      <c r="C4549" s="879" t="s">
        <v>226</v>
      </c>
      <c r="D4549" s="880" t="s">
        <v>42651</v>
      </c>
    </row>
    <row r="4550" spans="1:4" ht="13.5" x14ac:dyDescent="0.25">
      <c r="A4550" s="878" t="s">
        <v>12354</v>
      </c>
      <c r="B4550" s="878" t="s">
        <v>12355</v>
      </c>
      <c r="C4550" s="879" t="s">
        <v>226</v>
      </c>
      <c r="D4550" s="880" t="s">
        <v>8550</v>
      </c>
    </row>
    <row r="4551" spans="1:4" ht="13.5" x14ac:dyDescent="0.25">
      <c r="A4551" s="878" t="s">
        <v>12356</v>
      </c>
      <c r="B4551" s="878" t="s">
        <v>12357</v>
      </c>
      <c r="C4551" s="879" t="s">
        <v>226</v>
      </c>
      <c r="D4551" s="880" t="s">
        <v>15271</v>
      </c>
    </row>
    <row r="4552" spans="1:4" ht="13.5" x14ac:dyDescent="0.25">
      <c r="A4552" s="878" t="s">
        <v>12359</v>
      </c>
      <c r="B4552" s="878" t="s">
        <v>12360</v>
      </c>
      <c r="C4552" s="879" t="s">
        <v>226</v>
      </c>
      <c r="D4552" s="880" t="s">
        <v>42652</v>
      </c>
    </row>
    <row r="4553" spans="1:4" ht="13.5" x14ac:dyDescent="0.25">
      <c r="A4553" s="878" t="s">
        <v>12361</v>
      </c>
      <c r="B4553" s="878" t="s">
        <v>12362</v>
      </c>
      <c r="C4553" s="879" t="s">
        <v>226</v>
      </c>
      <c r="D4553" s="880" t="s">
        <v>42653</v>
      </c>
    </row>
    <row r="4554" spans="1:4" ht="13.5" x14ac:dyDescent="0.25">
      <c r="A4554" s="878" t="s">
        <v>12363</v>
      </c>
      <c r="B4554" s="878" t="s">
        <v>12364</v>
      </c>
      <c r="C4554" s="879" t="s">
        <v>226</v>
      </c>
      <c r="D4554" s="880" t="s">
        <v>42654</v>
      </c>
    </row>
    <row r="4555" spans="1:4" ht="13.5" x14ac:dyDescent="0.25">
      <c r="A4555" s="878" t="s">
        <v>12365</v>
      </c>
      <c r="B4555" s="878" t="s">
        <v>12366</v>
      </c>
      <c r="C4555" s="879" t="s">
        <v>226</v>
      </c>
      <c r="D4555" s="880" t="s">
        <v>42655</v>
      </c>
    </row>
    <row r="4556" spans="1:4" ht="13.5" x14ac:dyDescent="0.25">
      <c r="A4556" s="878" t="s">
        <v>12367</v>
      </c>
      <c r="B4556" s="878" t="s">
        <v>12368</v>
      </c>
      <c r="C4556" s="879" t="s">
        <v>226</v>
      </c>
      <c r="D4556" s="880" t="s">
        <v>4507</v>
      </c>
    </row>
    <row r="4557" spans="1:4" ht="13.5" x14ac:dyDescent="0.25">
      <c r="A4557" s="878" t="s">
        <v>12369</v>
      </c>
      <c r="B4557" s="878" t="s">
        <v>12370</v>
      </c>
      <c r="C4557" s="879" t="s">
        <v>226</v>
      </c>
      <c r="D4557" s="880" t="s">
        <v>30580</v>
      </c>
    </row>
    <row r="4558" spans="1:4" ht="13.5" x14ac:dyDescent="0.25">
      <c r="A4558" s="878" t="s">
        <v>12371</v>
      </c>
      <c r="B4558" s="878" t="s">
        <v>12372</v>
      </c>
      <c r="C4558" s="879" t="s">
        <v>226</v>
      </c>
      <c r="D4558" s="880" t="s">
        <v>41255</v>
      </c>
    </row>
    <row r="4559" spans="1:4" ht="13.5" x14ac:dyDescent="0.25">
      <c r="A4559" s="878" t="s">
        <v>12373</v>
      </c>
      <c r="B4559" s="878" t="s">
        <v>12374</v>
      </c>
      <c r="C4559" s="879" t="s">
        <v>226</v>
      </c>
      <c r="D4559" s="880" t="s">
        <v>42306</v>
      </c>
    </row>
    <row r="4560" spans="1:4" ht="13.5" x14ac:dyDescent="0.25">
      <c r="A4560" s="878" t="s">
        <v>12375</v>
      </c>
      <c r="B4560" s="878" t="s">
        <v>12376</v>
      </c>
      <c r="C4560" s="879" t="s">
        <v>226</v>
      </c>
      <c r="D4560" s="880" t="s">
        <v>42656</v>
      </c>
    </row>
    <row r="4561" spans="1:4" ht="13.5" x14ac:dyDescent="0.25">
      <c r="A4561" s="878" t="s">
        <v>12377</v>
      </c>
      <c r="B4561" s="878" t="s">
        <v>12378</v>
      </c>
      <c r="C4561" s="879" t="s">
        <v>226</v>
      </c>
      <c r="D4561" s="880" t="s">
        <v>42657</v>
      </c>
    </row>
    <row r="4562" spans="1:4" ht="13.5" x14ac:dyDescent="0.25">
      <c r="A4562" s="878" t="s">
        <v>12380</v>
      </c>
      <c r="B4562" s="878" t="s">
        <v>12381</v>
      </c>
      <c r="C4562" s="879" t="s">
        <v>226</v>
      </c>
      <c r="D4562" s="880" t="s">
        <v>42658</v>
      </c>
    </row>
    <row r="4563" spans="1:4" ht="13.5" x14ac:dyDescent="0.25">
      <c r="A4563" s="878" t="s">
        <v>12382</v>
      </c>
      <c r="B4563" s="878" t="s">
        <v>12383</v>
      </c>
      <c r="C4563" s="879" t="s">
        <v>226</v>
      </c>
      <c r="D4563" s="880" t="s">
        <v>42659</v>
      </c>
    </row>
    <row r="4564" spans="1:4" ht="13.5" x14ac:dyDescent="0.25">
      <c r="A4564" s="878" t="s">
        <v>12384</v>
      </c>
      <c r="B4564" s="878" t="s">
        <v>12385</v>
      </c>
      <c r="C4564" s="879" t="s">
        <v>226</v>
      </c>
      <c r="D4564" s="880" t="s">
        <v>42660</v>
      </c>
    </row>
    <row r="4565" spans="1:4" ht="13.5" x14ac:dyDescent="0.25">
      <c r="A4565" s="878" t="s">
        <v>12386</v>
      </c>
      <c r="B4565" s="878" t="s">
        <v>12387</v>
      </c>
      <c r="C4565" s="879" t="s">
        <v>226</v>
      </c>
      <c r="D4565" s="880" t="s">
        <v>42661</v>
      </c>
    </row>
    <row r="4566" spans="1:4" ht="13.5" x14ac:dyDescent="0.25">
      <c r="A4566" s="878" t="s">
        <v>12389</v>
      </c>
      <c r="B4566" s="878" t="s">
        <v>12390</v>
      </c>
      <c r="C4566" s="879" t="s">
        <v>226</v>
      </c>
      <c r="D4566" s="880" t="s">
        <v>42662</v>
      </c>
    </row>
    <row r="4567" spans="1:4" ht="13.5" x14ac:dyDescent="0.25">
      <c r="A4567" s="878" t="s">
        <v>12391</v>
      </c>
      <c r="B4567" s="878" t="s">
        <v>12392</v>
      </c>
      <c r="C4567" s="879" t="s">
        <v>226</v>
      </c>
      <c r="D4567" s="880" t="s">
        <v>30975</v>
      </c>
    </row>
    <row r="4568" spans="1:4" ht="13.5" x14ac:dyDescent="0.25">
      <c r="A4568" s="878" t="s">
        <v>12393</v>
      </c>
      <c r="B4568" s="878" t="s">
        <v>12394</v>
      </c>
      <c r="C4568" s="879" t="s">
        <v>226</v>
      </c>
      <c r="D4568" s="880" t="s">
        <v>42663</v>
      </c>
    </row>
    <row r="4569" spans="1:4" ht="13.5" x14ac:dyDescent="0.25">
      <c r="A4569" s="878" t="s">
        <v>12395</v>
      </c>
      <c r="B4569" s="878" t="s">
        <v>12396</v>
      </c>
      <c r="C4569" s="879" t="s">
        <v>226</v>
      </c>
      <c r="D4569" s="880" t="s">
        <v>42664</v>
      </c>
    </row>
    <row r="4570" spans="1:4" ht="13.5" x14ac:dyDescent="0.25">
      <c r="A4570" s="878" t="s">
        <v>12398</v>
      </c>
      <c r="B4570" s="878" t="s">
        <v>12399</v>
      </c>
      <c r="C4570" s="879" t="s">
        <v>226</v>
      </c>
      <c r="D4570" s="880" t="s">
        <v>42665</v>
      </c>
    </row>
    <row r="4571" spans="1:4" ht="13.5" x14ac:dyDescent="0.25">
      <c r="A4571" s="878" t="s">
        <v>12400</v>
      </c>
      <c r="B4571" s="878" t="s">
        <v>12401</v>
      </c>
      <c r="C4571" s="879" t="s">
        <v>226</v>
      </c>
      <c r="D4571" s="880" t="s">
        <v>41327</v>
      </c>
    </row>
    <row r="4572" spans="1:4" ht="13.5" x14ac:dyDescent="0.25">
      <c r="A4572" s="878" t="s">
        <v>12402</v>
      </c>
      <c r="B4572" s="878" t="s">
        <v>12403</v>
      </c>
      <c r="C4572" s="879" t="s">
        <v>226</v>
      </c>
      <c r="D4572" s="880" t="s">
        <v>42666</v>
      </c>
    </row>
    <row r="4573" spans="1:4" ht="13.5" x14ac:dyDescent="0.25">
      <c r="A4573" s="878" t="s">
        <v>12404</v>
      </c>
      <c r="B4573" s="878" t="s">
        <v>12405</v>
      </c>
      <c r="C4573" s="879" t="s">
        <v>226</v>
      </c>
      <c r="D4573" s="880" t="s">
        <v>30268</v>
      </c>
    </row>
    <row r="4574" spans="1:4" ht="13.5" x14ac:dyDescent="0.25">
      <c r="A4574" s="878" t="s">
        <v>12406</v>
      </c>
      <c r="B4574" s="878" t="s">
        <v>30014</v>
      </c>
      <c r="C4574" s="879" t="s">
        <v>226</v>
      </c>
      <c r="D4574" s="880" t="s">
        <v>30984</v>
      </c>
    </row>
    <row r="4575" spans="1:4" ht="13.5" x14ac:dyDescent="0.25">
      <c r="A4575" s="878" t="s">
        <v>12407</v>
      </c>
      <c r="B4575" s="878" t="s">
        <v>30015</v>
      </c>
      <c r="C4575" s="879" t="s">
        <v>226</v>
      </c>
      <c r="D4575" s="880" t="s">
        <v>30985</v>
      </c>
    </row>
    <row r="4576" spans="1:4" ht="13.5" x14ac:dyDescent="0.25">
      <c r="A4576" s="878" t="s">
        <v>12408</v>
      </c>
      <c r="B4576" s="878" t="s">
        <v>30016</v>
      </c>
      <c r="C4576" s="879" t="s">
        <v>226</v>
      </c>
      <c r="D4576" s="880" t="s">
        <v>30986</v>
      </c>
    </row>
    <row r="4577" spans="1:4" ht="13.5" x14ac:dyDescent="0.25">
      <c r="A4577" s="878" t="s">
        <v>12409</v>
      </c>
      <c r="B4577" s="878" t="s">
        <v>30017</v>
      </c>
      <c r="C4577" s="879" t="s">
        <v>226</v>
      </c>
      <c r="D4577" s="880" t="s">
        <v>30987</v>
      </c>
    </row>
    <row r="4578" spans="1:4" ht="13.5" x14ac:dyDescent="0.25">
      <c r="A4578" s="878" t="s">
        <v>12410</v>
      </c>
      <c r="B4578" s="878" t="s">
        <v>30018</v>
      </c>
      <c r="C4578" s="879" t="s">
        <v>226</v>
      </c>
      <c r="D4578" s="880" t="s">
        <v>30988</v>
      </c>
    </row>
    <row r="4579" spans="1:4" ht="13.5" x14ac:dyDescent="0.25">
      <c r="A4579" s="878" t="s">
        <v>12411</v>
      </c>
      <c r="B4579" s="878" t="s">
        <v>30019</v>
      </c>
      <c r="C4579" s="879" t="s">
        <v>226</v>
      </c>
      <c r="D4579" s="880" t="s">
        <v>30989</v>
      </c>
    </row>
    <row r="4580" spans="1:4" ht="13.5" x14ac:dyDescent="0.25">
      <c r="A4580" s="878" t="s">
        <v>12412</v>
      </c>
      <c r="B4580" s="878" t="s">
        <v>30020</v>
      </c>
      <c r="C4580" s="879" t="s">
        <v>226</v>
      </c>
      <c r="D4580" s="880" t="s">
        <v>30830</v>
      </c>
    </row>
    <row r="4581" spans="1:4" ht="13.5" x14ac:dyDescent="0.25">
      <c r="A4581" s="878" t="s">
        <v>12413</v>
      </c>
      <c r="B4581" s="878" t="s">
        <v>30021</v>
      </c>
      <c r="C4581" s="879" t="s">
        <v>226</v>
      </c>
      <c r="D4581" s="880" t="s">
        <v>30990</v>
      </c>
    </row>
    <row r="4582" spans="1:4" ht="13.5" x14ac:dyDescent="0.25">
      <c r="A4582" s="878" t="s">
        <v>12415</v>
      </c>
      <c r="B4582" s="878" t="s">
        <v>30022</v>
      </c>
      <c r="C4582" s="879" t="s">
        <v>226</v>
      </c>
      <c r="D4582" s="880" t="s">
        <v>5592</v>
      </c>
    </row>
    <row r="4583" spans="1:4" ht="13.5" x14ac:dyDescent="0.25">
      <c r="A4583" s="878" t="s">
        <v>12416</v>
      </c>
      <c r="B4583" s="878" t="s">
        <v>30023</v>
      </c>
      <c r="C4583" s="879" t="s">
        <v>226</v>
      </c>
      <c r="D4583" s="880" t="s">
        <v>30991</v>
      </c>
    </row>
    <row r="4584" spans="1:4" ht="13.5" x14ac:dyDescent="0.25">
      <c r="A4584" s="878" t="s">
        <v>12417</v>
      </c>
      <c r="B4584" s="878" t="s">
        <v>30024</v>
      </c>
      <c r="C4584" s="879" t="s">
        <v>226</v>
      </c>
      <c r="D4584" s="880" t="s">
        <v>30992</v>
      </c>
    </row>
    <row r="4585" spans="1:4" ht="13.5" x14ac:dyDescent="0.25">
      <c r="A4585" s="878" t="s">
        <v>12418</v>
      </c>
      <c r="B4585" s="878" t="s">
        <v>30025</v>
      </c>
      <c r="C4585" s="879" t="s">
        <v>226</v>
      </c>
      <c r="D4585" s="880" t="s">
        <v>30793</v>
      </c>
    </row>
    <row r="4586" spans="1:4" ht="13.5" x14ac:dyDescent="0.25">
      <c r="A4586" s="878" t="s">
        <v>12419</v>
      </c>
      <c r="B4586" s="878" t="s">
        <v>30026</v>
      </c>
      <c r="C4586" s="879" t="s">
        <v>226</v>
      </c>
      <c r="D4586" s="880" t="s">
        <v>14595</v>
      </c>
    </row>
    <row r="4587" spans="1:4" ht="13.5" x14ac:dyDescent="0.25">
      <c r="A4587" s="878" t="s">
        <v>12420</v>
      </c>
      <c r="B4587" s="878" t="s">
        <v>30027</v>
      </c>
      <c r="C4587" s="879" t="s">
        <v>226</v>
      </c>
      <c r="D4587" s="880" t="s">
        <v>4374</v>
      </c>
    </row>
    <row r="4588" spans="1:4" ht="13.5" x14ac:dyDescent="0.25">
      <c r="A4588" s="878" t="s">
        <v>12421</v>
      </c>
      <c r="B4588" s="878" t="s">
        <v>30028</v>
      </c>
      <c r="C4588" s="879" t="s">
        <v>226</v>
      </c>
      <c r="D4588" s="880" t="s">
        <v>30649</v>
      </c>
    </row>
    <row r="4589" spans="1:4" ht="13.5" x14ac:dyDescent="0.25">
      <c r="A4589" s="878" t="s">
        <v>12422</v>
      </c>
      <c r="B4589" s="878" t="s">
        <v>30029</v>
      </c>
      <c r="C4589" s="879" t="s">
        <v>226</v>
      </c>
      <c r="D4589" s="880" t="s">
        <v>30332</v>
      </c>
    </row>
    <row r="4590" spans="1:4" ht="13.5" x14ac:dyDescent="0.25">
      <c r="A4590" s="878" t="s">
        <v>12423</v>
      </c>
      <c r="B4590" s="878" t="s">
        <v>30030</v>
      </c>
      <c r="C4590" s="879" t="s">
        <v>226</v>
      </c>
      <c r="D4590" s="880" t="s">
        <v>10924</v>
      </c>
    </row>
    <row r="4591" spans="1:4" ht="13.5" x14ac:dyDescent="0.25">
      <c r="A4591" s="878" t="s">
        <v>12424</v>
      </c>
      <c r="B4591" s="878" t="s">
        <v>30031</v>
      </c>
      <c r="C4591" s="879" t="s">
        <v>226</v>
      </c>
      <c r="D4591" s="880" t="s">
        <v>10987</v>
      </c>
    </row>
    <row r="4592" spans="1:4" ht="13.5" x14ac:dyDescent="0.25">
      <c r="A4592" s="878" t="s">
        <v>12425</v>
      </c>
      <c r="B4592" s="878" t="s">
        <v>30032</v>
      </c>
      <c r="C4592" s="879" t="s">
        <v>226</v>
      </c>
      <c r="D4592" s="880" t="s">
        <v>30993</v>
      </c>
    </row>
    <row r="4593" spans="1:4" ht="13.5" x14ac:dyDescent="0.25">
      <c r="A4593" s="878" t="s">
        <v>12426</v>
      </c>
      <c r="B4593" s="878" t="s">
        <v>30033</v>
      </c>
      <c r="C4593" s="879" t="s">
        <v>226</v>
      </c>
      <c r="D4593" s="880" t="s">
        <v>30994</v>
      </c>
    </row>
    <row r="4594" spans="1:4" ht="13.5" x14ac:dyDescent="0.25">
      <c r="A4594" s="878" t="s">
        <v>12428</v>
      </c>
      <c r="B4594" s="878" t="s">
        <v>30034</v>
      </c>
      <c r="C4594" s="879" t="s">
        <v>226</v>
      </c>
      <c r="D4594" s="880" t="s">
        <v>30995</v>
      </c>
    </row>
    <row r="4595" spans="1:4" ht="13.5" x14ac:dyDescent="0.25">
      <c r="A4595" s="878" t="s">
        <v>12429</v>
      </c>
      <c r="B4595" s="878" t="s">
        <v>30035</v>
      </c>
      <c r="C4595" s="879" t="s">
        <v>226</v>
      </c>
      <c r="D4595" s="880" t="s">
        <v>10560</v>
      </c>
    </row>
    <row r="4596" spans="1:4" ht="13.5" x14ac:dyDescent="0.25">
      <c r="A4596" s="878" t="s">
        <v>12431</v>
      </c>
      <c r="B4596" s="878" t="s">
        <v>30036</v>
      </c>
      <c r="C4596" s="879" t="s">
        <v>226</v>
      </c>
      <c r="D4596" s="880" t="s">
        <v>8585</v>
      </c>
    </row>
    <row r="4597" spans="1:4" ht="13.5" x14ac:dyDescent="0.25">
      <c r="A4597" s="878" t="s">
        <v>12432</v>
      </c>
      <c r="B4597" s="878" t="s">
        <v>30037</v>
      </c>
      <c r="C4597" s="879" t="s">
        <v>226</v>
      </c>
      <c r="D4597" s="880" t="s">
        <v>30996</v>
      </c>
    </row>
    <row r="4598" spans="1:4" ht="13.5" x14ac:dyDescent="0.25">
      <c r="A4598" s="878" t="s">
        <v>12433</v>
      </c>
      <c r="B4598" s="878" t="s">
        <v>30038</v>
      </c>
      <c r="C4598" s="879" t="s">
        <v>226</v>
      </c>
      <c r="D4598" s="880" t="s">
        <v>30997</v>
      </c>
    </row>
    <row r="4599" spans="1:4" ht="13.5" x14ac:dyDescent="0.25">
      <c r="A4599" s="878" t="s">
        <v>12434</v>
      </c>
      <c r="B4599" s="878" t="s">
        <v>30039</v>
      </c>
      <c r="C4599" s="879" t="s">
        <v>226</v>
      </c>
      <c r="D4599" s="880" t="s">
        <v>30784</v>
      </c>
    </row>
    <row r="4600" spans="1:4" ht="13.5" x14ac:dyDescent="0.25">
      <c r="A4600" s="878" t="s">
        <v>12435</v>
      </c>
      <c r="B4600" s="878" t="s">
        <v>30040</v>
      </c>
      <c r="C4600" s="879" t="s">
        <v>226</v>
      </c>
      <c r="D4600" s="880" t="s">
        <v>6984</v>
      </c>
    </row>
    <row r="4601" spans="1:4" ht="13.5" x14ac:dyDescent="0.25">
      <c r="A4601" s="878" t="s">
        <v>12436</v>
      </c>
      <c r="B4601" s="878" t="s">
        <v>30041</v>
      </c>
      <c r="C4601" s="879" t="s">
        <v>226</v>
      </c>
      <c r="D4601" s="880" t="s">
        <v>14989</v>
      </c>
    </row>
    <row r="4602" spans="1:4" ht="13.5" x14ac:dyDescent="0.25">
      <c r="A4602" s="878" t="s">
        <v>12438</v>
      </c>
      <c r="B4602" s="878" t="s">
        <v>30042</v>
      </c>
      <c r="C4602" s="879" t="s">
        <v>226</v>
      </c>
      <c r="D4602" s="880" t="s">
        <v>30998</v>
      </c>
    </row>
    <row r="4603" spans="1:4" ht="13.5" x14ac:dyDescent="0.25">
      <c r="A4603" s="878" t="s">
        <v>12439</v>
      </c>
      <c r="B4603" s="878" t="s">
        <v>30043</v>
      </c>
      <c r="C4603" s="879" t="s">
        <v>226</v>
      </c>
      <c r="D4603" s="880" t="s">
        <v>12447</v>
      </c>
    </row>
    <row r="4604" spans="1:4" ht="13.5" x14ac:dyDescent="0.25">
      <c r="A4604" s="878" t="s">
        <v>12440</v>
      </c>
      <c r="B4604" s="878" t="s">
        <v>30044</v>
      </c>
      <c r="C4604" s="879" t="s">
        <v>226</v>
      </c>
      <c r="D4604" s="880" t="s">
        <v>6785</v>
      </c>
    </row>
    <row r="4605" spans="1:4" ht="13.5" x14ac:dyDescent="0.25">
      <c r="A4605" s="878" t="s">
        <v>12441</v>
      </c>
      <c r="B4605" s="878" t="s">
        <v>30045</v>
      </c>
      <c r="C4605" s="879" t="s">
        <v>226</v>
      </c>
      <c r="D4605" s="880" t="s">
        <v>4556</v>
      </c>
    </row>
    <row r="4606" spans="1:4" ht="13.5" x14ac:dyDescent="0.25">
      <c r="A4606" s="878" t="s">
        <v>12442</v>
      </c>
      <c r="B4606" s="878" t="s">
        <v>30046</v>
      </c>
      <c r="C4606" s="879" t="s">
        <v>226</v>
      </c>
      <c r="D4606" s="880" t="s">
        <v>30999</v>
      </c>
    </row>
    <row r="4607" spans="1:4" ht="13.5" x14ac:dyDescent="0.25">
      <c r="A4607" s="878" t="s">
        <v>12443</v>
      </c>
      <c r="B4607" s="878" t="s">
        <v>30047</v>
      </c>
      <c r="C4607" s="879" t="s">
        <v>226</v>
      </c>
      <c r="D4607" s="880" t="s">
        <v>31000</v>
      </c>
    </row>
    <row r="4608" spans="1:4" ht="13.5" x14ac:dyDescent="0.25">
      <c r="A4608" s="878" t="s">
        <v>12445</v>
      </c>
      <c r="B4608" s="878" t="s">
        <v>30048</v>
      </c>
      <c r="C4608" s="879" t="s">
        <v>226</v>
      </c>
      <c r="D4608" s="880" t="s">
        <v>14308</v>
      </c>
    </row>
    <row r="4609" spans="1:4" ht="13.5" x14ac:dyDescent="0.25">
      <c r="A4609" s="878" t="s">
        <v>12446</v>
      </c>
      <c r="B4609" s="878" t="s">
        <v>30049</v>
      </c>
      <c r="C4609" s="879" t="s">
        <v>226</v>
      </c>
      <c r="D4609" s="880" t="s">
        <v>30835</v>
      </c>
    </row>
    <row r="4610" spans="1:4" ht="13.5" x14ac:dyDescent="0.25">
      <c r="A4610" s="878" t="s">
        <v>12448</v>
      </c>
      <c r="B4610" s="878" t="s">
        <v>30050</v>
      </c>
      <c r="C4610" s="879" t="s">
        <v>226</v>
      </c>
      <c r="D4610" s="880" t="s">
        <v>15358</v>
      </c>
    </row>
    <row r="4611" spans="1:4" ht="13.5" x14ac:dyDescent="0.25">
      <c r="A4611" s="878" t="s">
        <v>12449</v>
      </c>
      <c r="B4611" s="878" t="s">
        <v>30051</v>
      </c>
      <c r="C4611" s="879" t="s">
        <v>226</v>
      </c>
      <c r="D4611" s="880" t="s">
        <v>17439</v>
      </c>
    </row>
    <row r="4612" spans="1:4" ht="13.5" x14ac:dyDescent="0.25">
      <c r="A4612" s="878" t="s">
        <v>12450</v>
      </c>
      <c r="B4612" s="878" t="s">
        <v>30052</v>
      </c>
      <c r="C4612" s="879" t="s">
        <v>226</v>
      </c>
      <c r="D4612" s="880" t="s">
        <v>31001</v>
      </c>
    </row>
    <row r="4613" spans="1:4" ht="13.5" x14ac:dyDescent="0.25">
      <c r="A4613" s="878" t="s">
        <v>12451</v>
      </c>
      <c r="B4613" s="878" t="s">
        <v>30053</v>
      </c>
      <c r="C4613" s="879" t="s">
        <v>226</v>
      </c>
      <c r="D4613" s="880" t="s">
        <v>17888</v>
      </c>
    </row>
    <row r="4614" spans="1:4" ht="13.5" x14ac:dyDescent="0.25">
      <c r="A4614" s="878" t="s">
        <v>12452</v>
      </c>
      <c r="B4614" s="878" t="s">
        <v>30054</v>
      </c>
      <c r="C4614" s="879" t="s">
        <v>226</v>
      </c>
      <c r="D4614" s="880" t="s">
        <v>31002</v>
      </c>
    </row>
    <row r="4615" spans="1:4" ht="13.5" x14ac:dyDescent="0.25">
      <c r="A4615" s="878" t="s">
        <v>12453</v>
      </c>
      <c r="B4615" s="878" t="s">
        <v>30055</v>
      </c>
      <c r="C4615" s="879" t="s">
        <v>226</v>
      </c>
      <c r="D4615" s="880" t="s">
        <v>31003</v>
      </c>
    </row>
    <row r="4616" spans="1:4" ht="13.5" x14ac:dyDescent="0.25">
      <c r="A4616" s="878" t="s">
        <v>12454</v>
      </c>
      <c r="B4616" s="878" t="s">
        <v>30056</v>
      </c>
      <c r="C4616" s="879" t="s">
        <v>226</v>
      </c>
      <c r="D4616" s="880" t="s">
        <v>31004</v>
      </c>
    </row>
    <row r="4617" spans="1:4" ht="13.5" x14ac:dyDescent="0.25">
      <c r="A4617" s="878" t="s">
        <v>12455</v>
      </c>
      <c r="B4617" s="878" t="s">
        <v>30057</v>
      </c>
      <c r="C4617" s="879" t="s">
        <v>226</v>
      </c>
      <c r="D4617" s="880" t="s">
        <v>31005</v>
      </c>
    </row>
    <row r="4618" spans="1:4" ht="13.5" x14ac:dyDescent="0.25">
      <c r="A4618" s="878" t="s">
        <v>12456</v>
      </c>
      <c r="B4618" s="878" t="s">
        <v>30058</v>
      </c>
      <c r="C4618" s="879" t="s">
        <v>226</v>
      </c>
      <c r="D4618" s="880" t="s">
        <v>31006</v>
      </c>
    </row>
    <row r="4619" spans="1:4" ht="13.5" x14ac:dyDescent="0.25">
      <c r="A4619" s="878" t="s">
        <v>12457</v>
      </c>
      <c r="B4619" s="878" t="s">
        <v>30059</v>
      </c>
      <c r="C4619" s="879" t="s">
        <v>226</v>
      </c>
      <c r="D4619" s="880" t="s">
        <v>31007</v>
      </c>
    </row>
    <row r="4620" spans="1:4" ht="13.5" x14ac:dyDescent="0.25">
      <c r="A4620" s="878" t="s">
        <v>12458</v>
      </c>
      <c r="B4620" s="878" t="s">
        <v>30060</v>
      </c>
      <c r="C4620" s="879" t="s">
        <v>226</v>
      </c>
      <c r="D4620" s="880" t="s">
        <v>13143</v>
      </c>
    </row>
    <row r="4621" spans="1:4" ht="13.5" x14ac:dyDescent="0.25">
      <c r="A4621" s="878" t="s">
        <v>12459</v>
      </c>
      <c r="B4621" s="878" t="s">
        <v>30061</v>
      </c>
      <c r="C4621" s="879" t="s">
        <v>226</v>
      </c>
      <c r="D4621" s="880" t="s">
        <v>30686</v>
      </c>
    </row>
    <row r="4622" spans="1:4" ht="13.5" x14ac:dyDescent="0.25">
      <c r="A4622" s="878" t="s">
        <v>12461</v>
      </c>
      <c r="B4622" s="878" t="s">
        <v>30062</v>
      </c>
      <c r="C4622" s="879" t="s">
        <v>226</v>
      </c>
      <c r="D4622" s="880" t="s">
        <v>31008</v>
      </c>
    </row>
    <row r="4623" spans="1:4" ht="13.5" x14ac:dyDescent="0.25">
      <c r="A4623" s="878" t="s">
        <v>12462</v>
      </c>
      <c r="B4623" s="878" t="s">
        <v>30063</v>
      </c>
      <c r="C4623" s="879" t="s">
        <v>226</v>
      </c>
      <c r="D4623" s="880" t="s">
        <v>31009</v>
      </c>
    </row>
    <row r="4624" spans="1:4" ht="13.5" x14ac:dyDescent="0.25">
      <c r="A4624" s="878" t="s">
        <v>12463</v>
      </c>
      <c r="B4624" s="878" t="s">
        <v>30064</v>
      </c>
      <c r="C4624" s="879" t="s">
        <v>226</v>
      </c>
      <c r="D4624" s="880" t="s">
        <v>4354</v>
      </c>
    </row>
    <row r="4625" spans="1:4" ht="13.5" x14ac:dyDescent="0.25">
      <c r="A4625" s="878" t="s">
        <v>12464</v>
      </c>
      <c r="B4625" s="878" t="s">
        <v>30065</v>
      </c>
      <c r="C4625" s="879" t="s">
        <v>226</v>
      </c>
      <c r="D4625" s="880" t="s">
        <v>31010</v>
      </c>
    </row>
    <row r="4626" spans="1:4" ht="13.5" x14ac:dyDescent="0.25">
      <c r="A4626" s="878" t="s">
        <v>12465</v>
      </c>
      <c r="B4626" s="878" t="s">
        <v>30066</v>
      </c>
      <c r="C4626" s="879" t="s">
        <v>226</v>
      </c>
      <c r="D4626" s="880" t="s">
        <v>31011</v>
      </c>
    </row>
    <row r="4627" spans="1:4" ht="13.5" x14ac:dyDescent="0.25">
      <c r="A4627" s="878" t="s">
        <v>12466</v>
      </c>
      <c r="B4627" s="878" t="s">
        <v>30067</v>
      </c>
      <c r="C4627" s="879" t="s">
        <v>226</v>
      </c>
      <c r="D4627" s="880" t="s">
        <v>31012</v>
      </c>
    </row>
    <row r="4628" spans="1:4" ht="13.5" x14ac:dyDescent="0.25">
      <c r="A4628" s="878" t="s">
        <v>12467</v>
      </c>
      <c r="B4628" s="878" t="s">
        <v>30068</v>
      </c>
      <c r="C4628" s="879" t="s">
        <v>226</v>
      </c>
      <c r="D4628" s="880" t="s">
        <v>11312</v>
      </c>
    </row>
    <row r="4629" spans="1:4" ht="13.5" x14ac:dyDescent="0.25">
      <c r="A4629" s="878" t="s">
        <v>12468</v>
      </c>
      <c r="B4629" s="878" t="s">
        <v>30069</v>
      </c>
      <c r="C4629" s="879" t="s">
        <v>226</v>
      </c>
      <c r="D4629" s="880" t="s">
        <v>31013</v>
      </c>
    </row>
    <row r="4630" spans="1:4" ht="13.5" x14ac:dyDescent="0.25">
      <c r="A4630" s="878" t="s">
        <v>12469</v>
      </c>
      <c r="B4630" s="878" t="s">
        <v>30070</v>
      </c>
      <c r="C4630" s="879" t="s">
        <v>226</v>
      </c>
      <c r="D4630" s="880" t="s">
        <v>10248</v>
      </c>
    </row>
    <row r="4631" spans="1:4" ht="13.5" x14ac:dyDescent="0.25">
      <c r="A4631" s="878" t="s">
        <v>12470</v>
      </c>
      <c r="B4631" s="878" t="s">
        <v>30071</v>
      </c>
      <c r="C4631" s="879" t="s">
        <v>226</v>
      </c>
      <c r="D4631" s="880" t="s">
        <v>31014</v>
      </c>
    </row>
    <row r="4632" spans="1:4" ht="13.5" x14ac:dyDescent="0.25">
      <c r="A4632" s="878" t="s">
        <v>12471</v>
      </c>
      <c r="B4632" s="878" t="s">
        <v>30072</v>
      </c>
      <c r="C4632" s="879" t="s">
        <v>226</v>
      </c>
      <c r="D4632" s="880" t="s">
        <v>8963</v>
      </c>
    </row>
    <row r="4633" spans="1:4" ht="13.5" x14ac:dyDescent="0.25">
      <c r="A4633" s="878" t="s">
        <v>12472</v>
      </c>
      <c r="B4633" s="878" t="s">
        <v>30073</v>
      </c>
      <c r="C4633" s="879" t="s">
        <v>226</v>
      </c>
      <c r="D4633" s="880" t="s">
        <v>8651</v>
      </c>
    </row>
    <row r="4634" spans="1:4" ht="13.5" x14ac:dyDescent="0.25">
      <c r="A4634" s="878" t="s">
        <v>12473</v>
      </c>
      <c r="B4634" s="878" t="s">
        <v>30074</v>
      </c>
      <c r="C4634" s="879" t="s">
        <v>226</v>
      </c>
      <c r="D4634" s="880" t="s">
        <v>31015</v>
      </c>
    </row>
    <row r="4635" spans="1:4" ht="13.5" x14ac:dyDescent="0.25">
      <c r="A4635" s="878" t="s">
        <v>12474</v>
      </c>
      <c r="B4635" s="878" t="s">
        <v>30075</v>
      </c>
      <c r="C4635" s="879" t="s">
        <v>226</v>
      </c>
      <c r="D4635" s="880" t="s">
        <v>15659</v>
      </c>
    </row>
    <row r="4636" spans="1:4" ht="13.5" x14ac:dyDescent="0.25">
      <c r="A4636" s="878" t="s">
        <v>12475</v>
      </c>
      <c r="B4636" s="878" t="s">
        <v>30076</v>
      </c>
      <c r="C4636" s="879" t="s">
        <v>226</v>
      </c>
      <c r="D4636" s="880" t="s">
        <v>30741</v>
      </c>
    </row>
    <row r="4637" spans="1:4" ht="13.5" x14ac:dyDescent="0.25">
      <c r="A4637" s="878" t="s">
        <v>12476</v>
      </c>
      <c r="B4637" s="878" t="s">
        <v>30077</v>
      </c>
      <c r="C4637" s="879" t="s">
        <v>226</v>
      </c>
      <c r="D4637" s="880" t="s">
        <v>30503</v>
      </c>
    </row>
    <row r="4638" spans="1:4" ht="13.5" x14ac:dyDescent="0.25">
      <c r="A4638" s="878" t="s">
        <v>12477</v>
      </c>
      <c r="B4638" s="878" t="s">
        <v>30078</v>
      </c>
      <c r="C4638" s="879" t="s">
        <v>226</v>
      </c>
      <c r="D4638" s="880" t="s">
        <v>31016</v>
      </c>
    </row>
    <row r="4639" spans="1:4" ht="13.5" x14ac:dyDescent="0.25">
      <c r="A4639" s="878" t="s">
        <v>12478</v>
      </c>
      <c r="B4639" s="878" t="s">
        <v>30079</v>
      </c>
      <c r="C4639" s="879" t="s">
        <v>226</v>
      </c>
      <c r="D4639" s="880" t="s">
        <v>31017</v>
      </c>
    </row>
    <row r="4640" spans="1:4" ht="13.5" x14ac:dyDescent="0.25">
      <c r="A4640" s="878" t="s">
        <v>12479</v>
      </c>
      <c r="B4640" s="878" t="s">
        <v>30080</v>
      </c>
      <c r="C4640" s="879" t="s">
        <v>226</v>
      </c>
      <c r="D4640" s="880" t="s">
        <v>31018</v>
      </c>
    </row>
    <row r="4641" spans="1:4" ht="13.5" x14ac:dyDescent="0.25">
      <c r="A4641" s="878" t="s">
        <v>12480</v>
      </c>
      <c r="B4641" s="878" t="s">
        <v>30081</v>
      </c>
      <c r="C4641" s="879" t="s">
        <v>226</v>
      </c>
      <c r="D4641" s="880" t="s">
        <v>31019</v>
      </c>
    </row>
    <row r="4642" spans="1:4" ht="13.5" x14ac:dyDescent="0.25">
      <c r="A4642" s="878" t="s">
        <v>12481</v>
      </c>
      <c r="B4642" s="878" t="s">
        <v>30082</v>
      </c>
      <c r="C4642" s="879" t="s">
        <v>226</v>
      </c>
      <c r="D4642" s="880" t="s">
        <v>30558</v>
      </c>
    </row>
    <row r="4643" spans="1:4" ht="13.5" x14ac:dyDescent="0.25">
      <c r="A4643" s="878" t="s">
        <v>12482</v>
      </c>
      <c r="B4643" s="878" t="s">
        <v>30083</v>
      </c>
      <c r="C4643" s="879" t="s">
        <v>226</v>
      </c>
      <c r="D4643" s="880" t="s">
        <v>31020</v>
      </c>
    </row>
    <row r="4644" spans="1:4" ht="13.5" x14ac:dyDescent="0.25">
      <c r="A4644" s="878" t="s">
        <v>12483</v>
      </c>
      <c r="B4644" s="878" t="s">
        <v>12484</v>
      </c>
      <c r="C4644" s="879" t="s">
        <v>226</v>
      </c>
      <c r="D4644" s="880" t="s">
        <v>17240</v>
      </c>
    </row>
    <row r="4645" spans="1:4" ht="13.5" x14ac:dyDescent="0.25">
      <c r="A4645" s="878" t="s">
        <v>12485</v>
      </c>
      <c r="B4645" s="878" t="s">
        <v>12486</v>
      </c>
      <c r="C4645" s="879" t="s">
        <v>226</v>
      </c>
      <c r="D4645" s="880" t="s">
        <v>30845</v>
      </c>
    </row>
    <row r="4646" spans="1:4" ht="13.5" x14ac:dyDescent="0.25">
      <c r="A4646" s="878" t="s">
        <v>12487</v>
      </c>
      <c r="B4646" s="878" t="s">
        <v>12488</v>
      </c>
      <c r="C4646" s="879" t="s">
        <v>226</v>
      </c>
      <c r="D4646" s="880" t="s">
        <v>31021</v>
      </c>
    </row>
    <row r="4647" spans="1:4" ht="13.5" x14ac:dyDescent="0.25">
      <c r="A4647" s="878" t="s">
        <v>12489</v>
      </c>
      <c r="B4647" s="878" t="s">
        <v>12490</v>
      </c>
      <c r="C4647" s="879" t="s">
        <v>226</v>
      </c>
      <c r="D4647" s="880" t="s">
        <v>30213</v>
      </c>
    </row>
    <row r="4648" spans="1:4" ht="13.5" x14ac:dyDescent="0.25">
      <c r="A4648" s="878" t="s">
        <v>12491</v>
      </c>
      <c r="B4648" s="878" t="s">
        <v>12492</v>
      </c>
      <c r="C4648" s="879" t="s">
        <v>226</v>
      </c>
      <c r="D4648" s="880" t="s">
        <v>10817</v>
      </c>
    </row>
    <row r="4649" spans="1:4" ht="13.5" x14ac:dyDescent="0.25">
      <c r="A4649" s="878" t="s">
        <v>12493</v>
      </c>
      <c r="B4649" s="878" t="s">
        <v>12494</v>
      </c>
      <c r="C4649" s="879" t="s">
        <v>226</v>
      </c>
      <c r="D4649" s="880" t="s">
        <v>42667</v>
      </c>
    </row>
    <row r="4650" spans="1:4" ht="13.5" x14ac:dyDescent="0.25">
      <c r="A4650" s="878" t="s">
        <v>12495</v>
      </c>
      <c r="B4650" s="878" t="s">
        <v>12496</v>
      </c>
      <c r="C4650" s="879" t="s">
        <v>226</v>
      </c>
      <c r="D4650" s="880" t="s">
        <v>30621</v>
      </c>
    </row>
    <row r="4651" spans="1:4" ht="13.5" x14ac:dyDescent="0.25">
      <c r="A4651" s="878" t="s">
        <v>12497</v>
      </c>
      <c r="B4651" s="878" t="s">
        <v>12498</v>
      </c>
      <c r="C4651" s="879" t="s">
        <v>226</v>
      </c>
      <c r="D4651" s="880" t="s">
        <v>42668</v>
      </c>
    </row>
    <row r="4652" spans="1:4" ht="13.5" x14ac:dyDescent="0.25">
      <c r="A4652" s="878" t="s">
        <v>12499</v>
      </c>
      <c r="B4652" s="878" t="s">
        <v>12500</v>
      </c>
      <c r="C4652" s="879" t="s">
        <v>226</v>
      </c>
      <c r="D4652" s="880" t="s">
        <v>42566</v>
      </c>
    </row>
    <row r="4653" spans="1:4" ht="13.5" x14ac:dyDescent="0.25">
      <c r="A4653" s="878" t="s">
        <v>12501</v>
      </c>
      <c r="B4653" s="878" t="s">
        <v>12502</v>
      </c>
      <c r="C4653" s="879" t="s">
        <v>226</v>
      </c>
      <c r="D4653" s="880" t="s">
        <v>42669</v>
      </c>
    </row>
    <row r="4654" spans="1:4" ht="13.5" x14ac:dyDescent="0.25">
      <c r="A4654" s="878" t="s">
        <v>12503</v>
      </c>
      <c r="B4654" s="878" t="s">
        <v>12504</v>
      </c>
      <c r="C4654" s="879" t="s">
        <v>226</v>
      </c>
      <c r="D4654" s="880" t="s">
        <v>41723</v>
      </c>
    </row>
    <row r="4655" spans="1:4" ht="13.5" x14ac:dyDescent="0.25">
      <c r="A4655" s="878" t="s">
        <v>12505</v>
      </c>
      <c r="B4655" s="878" t="s">
        <v>12506</v>
      </c>
      <c r="C4655" s="879" t="s">
        <v>226</v>
      </c>
      <c r="D4655" s="880" t="s">
        <v>42670</v>
      </c>
    </row>
    <row r="4656" spans="1:4" ht="13.5" x14ac:dyDescent="0.25">
      <c r="A4656" s="878" t="s">
        <v>12507</v>
      </c>
      <c r="B4656" s="878" t="s">
        <v>12508</v>
      </c>
      <c r="C4656" s="879" t="s">
        <v>226</v>
      </c>
      <c r="D4656" s="880" t="s">
        <v>42671</v>
      </c>
    </row>
    <row r="4657" spans="1:4" ht="13.5" x14ac:dyDescent="0.25">
      <c r="A4657" s="878" t="s">
        <v>12509</v>
      </c>
      <c r="B4657" s="878" t="s">
        <v>12510</v>
      </c>
      <c r="C4657" s="879" t="s">
        <v>226</v>
      </c>
      <c r="D4657" s="880" t="s">
        <v>42672</v>
      </c>
    </row>
    <row r="4658" spans="1:4" ht="13.5" x14ac:dyDescent="0.25">
      <c r="A4658" s="878" t="s">
        <v>12511</v>
      </c>
      <c r="B4658" s="878" t="s">
        <v>12512</v>
      </c>
      <c r="C4658" s="879" t="s">
        <v>226</v>
      </c>
      <c r="D4658" s="880" t="s">
        <v>42673</v>
      </c>
    </row>
    <row r="4659" spans="1:4" ht="13.5" x14ac:dyDescent="0.25">
      <c r="A4659" s="878" t="s">
        <v>12513</v>
      </c>
      <c r="B4659" s="878" t="s">
        <v>12514</v>
      </c>
      <c r="C4659" s="879" t="s">
        <v>226</v>
      </c>
      <c r="D4659" s="880" t="s">
        <v>42674</v>
      </c>
    </row>
    <row r="4660" spans="1:4" ht="13.5" x14ac:dyDescent="0.25">
      <c r="A4660" s="878" t="s">
        <v>12515</v>
      </c>
      <c r="B4660" s="878" t="s">
        <v>12516</v>
      </c>
      <c r="C4660" s="879" t="s">
        <v>226</v>
      </c>
      <c r="D4660" s="880" t="s">
        <v>42675</v>
      </c>
    </row>
    <row r="4661" spans="1:4" ht="13.5" x14ac:dyDescent="0.25">
      <c r="A4661" s="878" t="s">
        <v>12517</v>
      </c>
      <c r="B4661" s="878" t="s">
        <v>12518</v>
      </c>
      <c r="C4661" s="879" t="s">
        <v>226</v>
      </c>
      <c r="D4661" s="880" t="s">
        <v>42676</v>
      </c>
    </row>
    <row r="4662" spans="1:4" ht="13.5" x14ac:dyDescent="0.25">
      <c r="A4662" s="878" t="s">
        <v>12519</v>
      </c>
      <c r="B4662" s="878" t="s">
        <v>12520</v>
      </c>
      <c r="C4662" s="879" t="s">
        <v>226</v>
      </c>
      <c r="D4662" s="880" t="s">
        <v>42677</v>
      </c>
    </row>
    <row r="4663" spans="1:4" ht="13.5" x14ac:dyDescent="0.25">
      <c r="A4663" s="878" t="s">
        <v>12521</v>
      </c>
      <c r="B4663" s="878" t="s">
        <v>12522</v>
      </c>
      <c r="C4663" s="879" t="s">
        <v>226</v>
      </c>
      <c r="D4663" s="880" t="s">
        <v>42678</v>
      </c>
    </row>
    <row r="4664" spans="1:4" ht="13.5" x14ac:dyDescent="0.25">
      <c r="A4664" s="878" t="s">
        <v>12523</v>
      </c>
      <c r="B4664" s="878" t="s">
        <v>12524</v>
      </c>
      <c r="C4664" s="879" t="s">
        <v>226</v>
      </c>
      <c r="D4664" s="880" t="s">
        <v>42678</v>
      </c>
    </row>
    <row r="4665" spans="1:4" ht="13.5" x14ac:dyDescent="0.25">
      <c r="A4665" s="878" t="s">
        <v>12525</v>
      </c>
      <c r="B4665" s="878" t="s">
        <v>12526</v>
      </c>
      <c r="C4665" s="879" t="s">
        <v>226</v>
      </c>
      <c r="D4665" s="880" t="s">
        <v>42679</v>
      </c>
    </row>
    <row r="4666" spans="1:4" ht="13.5" x14ac:dyDescent="0.25">
      <c r="A4666" s="878" t="s">
        <v>12527</v>
      </c>
      <c r="B4666" s="878" t="s">
        <v>12528</v>
      </c>
      <c r="C4666" s="879" t="s">
        <v>226</v>
      </c>
      <c r="D4666" s="880" t="s">
        <v>42680</v>
      </c>
    </row>
    <row r="4667" spans="1:4" ht="13.5" x14ac:dyDescent="0.25">
      <c r="A4667" s="878" t="s">
        <v>12529</v>
      </c>
      <c r="B4667" s="878" t="s">
        <v>12530</v>
      </c>
      <c r="C4667" s="879" t="s">
        <v>226</v>
      </c>
      <c r="D4667" s="880" t="s">
        <v>30956</v>
      </c>
    </row>
    <row r="4668" spans="1:4" ht="13.5" x14ac:dyDescent="0.25">
      <c r="A4668" s="878" t="s">
        <v>12531</v>
      </c>
      <c r="B4668" s="878" t="s">
        <v>12532</v>
      </c>
      <c r="C4668" s="879" t="s">
        <v>226</v>
      </c>
      <c r="D4668" s="880" t="s">
        <v>42681</v>
      </c>
    </row>
    <row r="4669" spans="1:4" ht="13.5" x14ac:dyDescent="0.25">
      <c r="A4669" s="878" t="s">
        <v>12533</v>
      </c>
      <c r="B4669" s="878" t="s">
        <v>12534</v>
      </c>
      <c r="C4669" s="879" t="s">
        <v>226</v>
      </c>
      <c r="D4669" s="880" t="s">
        <v>42682</v>
      </c>
    </row>
    <row r="4670" spans="1:4" ht="13.5" x14ac:dyDescent="0.25">
      <c r="A4670" s="878" t="s">
        <v>12535</v>
      </c>
      <c r="B4670" s="878" t="s">
        <v>12536</v>
      </c>
      <c r="C4670" s="879" t="s">
        <v>226</v>
      </c>
      <c r="D4670" s="880" t="s">
        <v>42683</v>
      </c>
    </row>
    <row r="4671" spans="1:4" ht="13.5" x14ac:dyDescent="0.25">
      <c r="A4671" s="878" t="s">
        <v>12537</v>
      </c>
      <c r="B4671" s="878" t="s">
        <v>12538</v>
      </c>
      <c r="C4671" s="879" t="s">
        <v>226</v>
      </c>
      <c r="D4671" s="880" t="s">
        <v>42684</v>
      </c>
    </row>
    <row r="4672" spans="1:4" ht="13.5" x14ac:dyDescent="0.25">
      <c r="A4672" s="878" t="s">
        <v>12539</v>
      </c>
      <c r="B4672" s="878" t="s">
        <v>12540</v>
      </c>
      <c r="C4672" s="879" t="s">
        <v>226</v>
      </c>
      <c r="D4672" s="880" t="s">
        <v>42685</v>
      </c>
    </row>
    <row r="4673" spans="1:4" ht="13.5" x14ac:dyDescent="0.25">
      <c r="A4673" s="878" t="s">
        <v>12541</v>
      </c>
      <c r="B4673" s="878" t="s">
        <v>12542</v>
      </c>
      <c r="C4673" s="879" t="s">
        <v>226</v>
      </c>
      <c r="D4673" s="880" t="s">
        <v>42686</v>
      </c>
    </row>
    <row r="4674" spans="1:4" ht="13.5" x14ac:dyDescent="0.25">
      <c r="A4674" s="878" t="s">
        <v>12543</v>
      </c>
      <c r="B4674" s="878" t="s">
        <v>12544</v>
      </c>
      <c r="C4674" s="879" t="s">
        <v>226</v>
      </c>
      <c r="D4674" s="880" t="s">
        <v>42687</v>
      </c>
    </row>
    <row r="4675" spans="1:4" ht="13.5" x14ac:dyDescent="0.25">
      <c r="A4675" s="878" t="s">
        <v>12545</v>
      </c>
      <c r="B4675" s="878" t="s">
        <v>12546</v>
      </c>
      <c r="C4675" s="879" t="s">
        <v>226</v>
      </c>
      <c r="D4675" s="880" t="s">
        <v>42688</v>
      </c>
    </row>
    <row r="4676" spans="1:4" ht="13.5" x14ac:dyDescent="0.25">
      <c r="A4676" s="878" t="s">
        <v>12547</v>
      </c>
      <c r="B4676" s="878" t="s">
        <v>12548</v>
      </c>
      <c r="C4676" s="879" t="s">
        <v>226</v>
      </c>
      <c r="D4676" s="880" t="s">
        <v>30744</v>
      </c>
    </row>
    <row r="4677" spans="1:4" ht="13.5" x14ac:dyDescent="0.25">
      <c r="A4677" s="878" t="s">
        <v>12549</v>
      </c>
      <c r="B4677" s="878" t="s">
        <v>12550</v>
      </c>
      <c r="C4677" s="879" t="s">
        <v>226</v>
      </c>
      <c r="D4677" s="880" t="s">
        <v>17888</v>
      </c>
    </row>
    <row r="4678" spans="1:4" ht="13.5" x14ac:dyDescent="0.25">
      <c r="A4678" s="878" t="s">
        <v>12551</v>
      </c>
      <c r="B4678" s="878" t="s">
        <v>12552</v>
      </c>
      <c r="C4678" s="879" t="s">
        <v>226</v>
      </c>
      <c r="D4678" s="880" t="s">
        <v>42689</v>
      </c>
    </row>
    <row r="4679" spans="1:4" ht="13.5" x14ac:dyDescent="0.25">
      <c r="A4679" s="878" t="s">
        <v>12553</v>
      </c>
      <c r="B4679" s="878" t="s">
        <v>12554</v>
      </c>
      <c r="C4679" s="879" t="s">
        <v>226</v>
      </c>
      <c r="D4679" s="880" t="s">
        <v>42690</v>
      </c>
    </row>
    <row r="4680" spans="1:4" ht="13.5" x14ac:dyDescent="0.25">
      <c r="A4680" s="878" t="s">
        <v>12555</v>
      </c>
      <c r="B4680" s="878" t="s">
        <v>12556</v>
      </c>
      <c r="C4680" s="879" t="s">
        <v>226</v>
      </c>
      <c r="D4680" s="880" t="s">
        <v>42691</v>
      </c>
    </row>
    <row r="4681" spans="1:4" ht="13.5" x14ac:dyDescent="0.25">
      <c r="A4681" s="878" t="s">
        <v>12557</v>
      </c>
      <c r="B4681" s="878" t="s">
        <v>12558</v>
      </c>
      <c r="C4681" s="879" t="s">
        <v>226</v>
      </c>
      <c r="D4681" s="880" t="s">
        <v>42692</v>
      </c>
    </row>
    <row r="4682" spans="1:4" ht="13.5" x14ac:dyDescent="0.25">
      <c r="A4682" s="878" t="s">
        <v>12559</v>
      </c>
      <c r="B4682" s="878" t="s">
        <v>12560</v>
      </c>
      <c r="C4682" s="879" t="s">
        <v>226</v>
      </c>
      <c r="D4682" s="880" t="s">
        <v>42693</v>
      </c>
    </row>
    <row r="4683" spans="1:4" ht="13.5" x14ac:dyDescent="0.25">
      <c r="A4683" s="878" t="s">
        <v>12561</v>
      </c>
      <c r="B4683" s="878" t="s">
        <v>12562</v>
      </c>
      <c r="C4683" s="879" t="s">
        <v>226</v>
      </c>
      <c r="D4683" s="880" t="s">
        <v>42694</v>
      </c>
    </row>
    <row r="4684" spans="1:4" ht="13.5" x14ac:dyDescent="0.25">
      <c r="A4684" s="878" t="s">
        <v>12564</v>
      </c>
      <c r="B4684" s="878" t="s">
        <v>12565</v>
      </c>
      <c r="C4684" s="879" t="s">
        <v>226</v>
      </c>
      <c r="D4684" s="880" t="s">
        <v>42695</v>
      </c>
    </row>
    <row r="4685" spans="1:4" ht="13.5" x14ac:dyDescent="0.25">
      <c r="A4685" s="878" t="s">
        <v>12566</v>
      </c>
      <c r="B4685" s="878" t="s">
        <v>12567</v>
      </c>
      <c r="C4685" s="879" t="s">
        <v>226</v>
      </c>
      <c r="D4685" s="880" t="s">
        <v>42696</v>
      </c>
    </row>
    <row r="4686" spans="1:4" ht="13.5" x14ac:dyDescent="0.25">
      <c r="A4686" s="878" t="s">
        <v>12568</v>
      </c>
      <c r="B4686" s="878" t="s">
        <v>12569</v>
      </c>
      <c r="C4686" s="879" t="s">
        <v>226</v>
      </c>
      <c r="D4686" s="880" t="s">
        <v>42697</v>
      </c>
    </row>
    <row r="4687" spans="1:4" ht="13.5" x14ac:dyDescent="0.25">
      <c r="A4687" s="878" t="s">
        <v>12570</v>
      </c>
      <c r="B4687" s="878" t="s">
        <v>12571</v>
      </c>
      <c r="C4687" s="879" t="s">
        <v>226</v>
      </c>
      <c r="D4687" s="880" t="s">
        <v>42698</v>
      </c>
    </row>
    <row r="4688" spans="1:4" ht="13.5" x14ac:dyDescent="0.25">
      <c r="A4688" s="878" t="s">
        <v>12572</v>
      </c>
      <c r="B4688" s="878" t="s">
        <v>12573</v>
      </c>
      <c r="C4688" s="879" t="s">
        <v>226</v>
      </c>
      <c r="D4688" s="880" t="s">
        <v>42699</v>
      </c>
    </row>
    <row r="4689" spans="1:4" ht="13.5" x14ac:dyDescent="0.25">
      <c r="A4689" s="878" t="s">
        <v>12574</v>
      </c>
      <c r="B4689" s="878" t="s">
        <v>12575</v>
      </c>
      <c r="C4689" s="879" t="s">
        <v>226</v>
      </c>
      <c r="D4689" s="880" t="s">
        <v>42699</v>
      </c>
    </row>
    <row r="4690" spans="1:4" ht="13.5" x14ac:dyDescent="0.25">
      <c r="A4690" s="878" t="s">
        <v>12576</v>
      </c>
      <c r="B4690" s="878" t="s">
        <v>12577</v>
      </c>
      <c r="C4690" s="879" t="s">
        <v>226</v>
      </c>
      <c r="D4690" s="880" t="s">
        <v>42700</v>
      </c>
    </row>
    <row r="4691" spans="1:4" ht="13.5" x14ac:dyDescent="0.25">
      <c r="A4691" s="878" t="s">
        <v>12578</v>
      </c>
      <c r="B4691" s="878" t="s">
        <v>12579</v>
      </c>
      <c r="C4691" s="879" t="s">
        <v>226</v>
      </c>
      <c r="D4691" s="880" t="s">
        <v>42700</v>
      </c>
    </row>
    <row r="4692" spans="1:4" ht="13.5" x14ac:dyDescent="0.25">
      <c r="A4692" s="878" t="s">
        <v>12580</v>
      </c>
      <c r="B4692" s="878" t="s">
        <v>12581</v>
      </c>
      <c r="C4692" s="879" t="s">
        <v>226</v>
      </c>
      <c r="D4692" s="880" t="s">
        <v>30985</v>
      </c>
    </row>
    <row r="4693" spans="1:4" ht="13.5" x14ac:dyDescent="0.25">
      <c r="A4693" s="878" t="s">
        <v>12582</v>
      </c>
      <c r="B4693" s="878" t="s">
        <v>12583</v>
      </c>
      <c r="C4693" s="879" t="s">
        <v>226</v>
      </c>
      <c r="D4693" s="880" t="s">
        <v>30985</v>
      </c>
    </row>
    <row r="4694" spans="1:4" ht="13.5" x14ac:dyDescent="0.25">
      <c r="A4694" s="878" t="s">
        <v>12584</v>
      </c>
      <c r="B4694" s="878" t="s">
        <v>12585</v>
      </c>
      <c r="C4694" s="879" t="s">
        <v>226</v>
      </c>
      <c r="D4694" s="880" t="s">
        <v>31132</v>
      </c>
    </row>
    <row r="4695" spans="1:4" ht="13.5" x14ac:dyDescent="0.25">
      <c r="A4695" s="878" t="s">
        <v>12586</v>
      </c>
      <c r="B4695" s="878" t="s">
        <v>12587</v>
      </c>
      <c r="C4695" s="879" t="s">
        <v>226</v>
      </c>
      <c r="D4695" s="880" t="s">
        <v>42701</v>
      </c>
    </row>
    <row r="4696" spans="1:4" ht="13.5" x14ac:dyDescent="0.25">
      <c r="A4696" s="878" t="s">
        <v>12588</v>
      </c>
      <c r="B4696" s="878" t="s">
        <v>12589</v>
      </c>
      <c r="C4696" s="879" t="s">
        <v>226</v>
      </c>
      <c r="D4696" s="880" t="s">
        <v>42702</v>
      </c>
    </row>
    <row r="4697" spans="1:4" ht="13.5" x14ac:dyDescent="0.25">
      <c r="A4697" s="878" t="s">
        <v>12590</v>
      </c>
      <c r="B4697" s="878" t="s">
        <v>12591</v>
      </c>
      <c r="C4697" s="879" t="s">
        <v>226</v>
      </c>
      <c r="D4697" s="880" t="s">
        <v>42703</v>
      </c>
    </row>
    <row r="4698" spans="1:4" ht="13.5" x14ac:dyDescent="0.25">
      <c r="A4698" s="878" t="s">
        <v>12592</v>
      </c>
      <c r="B4698" s="878" t="s">
        <v>12593</v>
      </c>
      <c r="C4698" s="879" t="s">
        <v>226</v>
      </c>
      <c r="D4698" s="880" t="s">
        <v>42704</v>
      </c>
    </row>
    <row r="4699" spans="1:4" ht="13.5" x14ac:dyDescent="0.25">
      <c r="A4699" s="878" t="s">
        <v>12594</v>
      </c>
      <c r="B4699" s="878" t="s">
        <v>12595</v>
      </c>
      <c r="C4699" s="879" t="s">
        <v>226</v>
      </c>
      <c r="D4699" s="880" t="s">
        <v>42705</v>
      </c>
    </row>
    <row r="4700" spans="1:4" ht="13.5" x14ac:dyDescent="0.25">
      <c r="A4700" s="878" t="s">
        <v>12596</v>
      </c>
      <c r="B4700" s="878" t="s">
        <v>12597</v>
      </c>
      <c r="C4700" s="879" t="s">
        <v>226</v>
      </c>
      <c r="D4700" s="880" t="s">
        <v>42706</v>
      </c>
    </row>
    <row r="4701" spans="1:4" ht="13.5" x14ac:dyDescent="0.25">
      <c r="A4701" s="878" t="s">
        <v>12598</v>
      </c>
      <c r="B4701" s="878" t="s">
        <v>12599</v>
      </c>
      <c r="C4701" s="879" t="s">
        <v>226</v>
      </c>
      <c r="D4701" s="880" t="s">
        <v>42707</v>
      </c>
    </row>
    <row r="4702" spans="1:4" ht="13.5" x14ac:dyDescent="0.25">
      <c r="A4702" s="878" t="s">
        <v>12600</v>
      </c>
      <c r="B4702" s="878" t="s">
        <v>12601</v>
      </c>
      <c r="C4702" s="879" t="s">
        <v>226</v>
      </c>
      <c r="D4702" s="880" t="s">
        <v>42708</v>
      </c>
    </row>
    <row r="4703" spans="1:4" ht="13.5" x14ac:dyDescent="0.25">
      <c r="A4703" s="878" t="s">
        <v>12602</v>
      </c>
      <c r="B4703" s="878" t="s">
        <v>12603</v>
      </c>
      <c r="C4703" s="879" t="s">
        <v>226</v>
      </c>
      <c r="D4703" s="880" t="s">
        <v>42709</v>
      </c>
    </row>
    <row r="4704" spans="1:4" ht="13.5" x14ac:dyDescent="0.25">
      <c r="A4704" s="878" t="s">
        <v>12604</v>
      </c>
      <c r="B4704" s="878" t="s">
        <v>12605</v>
      </c>
      <c r="C4704" s="879" t="s">
        <v>226</v>
      </c>
      <c r="D4704" s="880" t="s">
        <v>42710</v>
      </c>
    </row>
    <row r="4705" spans="1:4" ht="13.5" x14ac:dyDescent="0.25">
      <c r="A4705" s="878" t="s">
        <v>12606</v>
      </c>
      <c r="B4705" s="878" t="s">
        <v>12607</v>
      </c>
      <c r="C4705" s="879" t="s">
        <v>226</v>
      </c>
      <c r="D4705" s="880" t="s">
        <v>42711</v>
      </c>
    </row>
    <row r="4706" spans="1:4" ht="13.5" x14ac:dyDescent="0.25">
      <c r="A4706" s="878" t="s">
        <v>12608</v>
      </c>
      <c r="B4706" s="878" t="s">
        <v>12609</v>
      </c>
      <c r="C4706" s="879" t="s">
        <v>226</v>
      </c>
      <c r="D4706" s="880" t="s">
        <v>42712</v>
      </c>
    </row>
    <row r="4707" spans="1:4" ht="13.5" x14ac:dyDescent="0.25">
      <c r="A4707" s="878" t="s">
        <v>12611</v>
      </c>
      <c r="B4707" s="878" t="s">
        <v>12612</v>
      </c>
      <c r="C4707" s="879" t="s">
        <v>226</v>
      </c>
      <c r="D4707" s="880" t="s">
        <v>42532</v>
      </c>
    </row>
    <row r="4708" spans="1:4" ht="13.5" x14ac:dyDescent="0.25">
      <c r="A4708" s="878" t="s">
        <v>12613</v>
      </c>
      <c r="B4708" s="878" t="s">
        <v>12614</v>
      </c>
      <c r="C4708" s="879" t="s">
        <v>226</v>
      </c>
      <c r="D4708" s="880" t="s">
        <v>42713</v>
      </c>
    </row>
    <row r="4709" spans="1:4" ht="13.5" x14ac:dyDescent="0.25">
      <c r="A4709" s="878" t="s">
        <v>12615</v>
      </c>
      <c r="B4709" s="878" t="s">
        <v>12616</v>
      </c>
      <c r="C4709" s="879" t="s">
        <v>226</v>
      </c>
      <c r="D4709" s="880" t="s">
        <v>31241</v>
      </c>
    </row>
    <row r="4710" spans="1:4" ht="13.5" x14ac:dyDescent="0.25">
      <c r="A4710" s="878" t="s">
        <v>12617</v>
      </c>
      <c r="B4710" s="878" t="s">
        <v>12618</v>
      </c>
      <c r="C4710" s="879" t="s">
        <v>226</v>
      </c>
      <c r="D4710" s="880" t="s">
        <v>42714</v>
      </c>
    </row>
    <row r="4711" spans="1:4" ht="13.5" x14ac:dyDescent="0.25">
      <c r="A4711" s="878" t="s">
        <v>12619</v>
      </c>
      <c r="B4711" s="878" t="s">
        <v>12620</v>
      </c>
      <c r="C4711" s="879" t="s">
        <v>226</v>
      </c>
      <c r="D4711" s="880" t="s">
        <v>42715</v>
      </c>
    </row>
    <row r="4712" spans="1:4" ht="13.5" x14ac:dyDescent="0.25">
      <c r="A4712" s="878" t="s">
        <v>12621</v>
      </c>
      <c r="B4712" s="878" t="s">
        <v>12622</v>
      </c>
      <c r="C4712" s="879" t="s">
        <v>226</v>
      </c>
      <c r="D4712" s="880" t="s">
        <v>42716</v>
      </c>
    </row>
    <row r="4713" spans="1:4" ht="13.5" x14ac:dyDescent="0.25">
      <c r="A4713" s="878" t="s">
        <v>12623</v>
      </c>
      <c r="B4713" s="878" t="s">
        <v>12624</v>
      </c>
      <c r="C4713" s="879" t="s">
        <v>226</v>
      </c>
      <c r="D4713" s="880" t="s">
        <v>42717</v>
      </c>
    </row>
    <row r="4714" spans="1:4" ht="13.5" x14ac:dyDescent="0.25">
      <c r="A4714" s="878" t="s">
        <v>12625</v>
      </c>
      <c r="B4714" s="878" t="s">
        <v>12626</v>
      </c>
      <c r="C4714" s="879" t="s">
        <v>226</v>
      </c>
      <c r="D4714" s="880" t="s">
        <v>42718</v>
      </c>
    </row>
    <row r="4715" spans="1:4" ht="13.5" x14ac:dyDescent="0.25">
      <c r="A4715" s="878" t="s">
        <v>12627</v>
      </c>
      <c r="B4715" s="878" t="s">
        <v>12628</v>
      </c>
      <c r="C4715" s="879" t="s">
        <v>226</v>
      </c>
      <c r="D4715" s="880" t="s">
        <v>42719</v>
      </c>
    </row>
    <row r="4716" spans="1:4" ht="13.5" x14ac:dyDescent="0.25">
      <c r="A4716" s="878" t="s">
        <v>12629</v>
      </c>
      <c r="B4716" s="878" t="s">
        <v>12630</v>
      </c>
      <c r="C4716" s="879" t="s">
        <v>226</v>
      </c>
      <c r="D4716" s="880" t="s">
        <v>42720</v>
      </c>
    </row>
    <row r="4717" spans="1:4" ht="13.5" x14ac:dyDescent="0.25">
      <c r="A4717" s="878" t="s">
        <v>12631</v>
      </c>
      <c r="B4717" s="878" t="s">
        <v>12632</v>
      </c>
      <c r="C4717" s="879" t="s">
        <v>226</v>
      </c>
      <c r="D4717" s="880" t="s">
        <v>42721</v>
      </c>
    </row>
    <row r="4718" spans="1:4" ht="13.5" x14ac:dyDescent="0.25">
      <c r="A4718" s="878" t="s">
        <v>12633</v>
      </c>
      <c r="B4718" s="878" t="s">
        <v>12634</v>
      </c>
      <c r="C4718" s="879" t="s">
        <v>226</v>
      </c>
      <c r="D4718" s="880" t="s">
        <v>42722</v>
      </c>
    </row>
    <row r="4719" spans="1:4" ht="13.5" x14ac:dyDescent="0.25">
      <c r="A4719" s="878" t="s">
        <v>12635</v>
      </c>
      <c r="B4719" s="878" t="s">
        <v>12636</v>
      </c>
      <c r="C4719" s="879" t="s">
        <v>226</v>
      </c>
      <c r="D4719" s="880" t="s">
        <v>42722</v>
      </c>
    </row>
    <row r="4720" spans="1:4" ht="13.5" x14ac:dyDescent="0.25">
      <c r="A4720" s="878" t="s">
        <v>12637</v>
      </c>
      <c r="B4720" s="878" t="s">
        <v>12638</v>
      </c>
      <c r="C4720" s="879" t="s">
        <v>226</v>
      </c>
      <c r="D4720" s="880" t="s">
        <v>42723</v>
      </c>
    </row>
    <row r="4721" spans="1:4" ht="13.5" x14ac:dyDescent="0.25">
      <c r="A4721" s="878" t="s">
        <v>12639</v>
      </c>
      <c r="B4721" s="878" t="s">
        <v>12640</v>
      </c>
      <c r="C4721" s="879" t="s">
        <v>226</v>
      </c>
      <c r="D4721" s="880" t="s">
        <v>42723</v>
      </c>
    </row>
    <row r="4722" spans="1:4" ht="13.5" x14ac:dyDescent="0.25">
      <c r="A4722" s="878" t="s">
        <v>12641</v>
      </c>
      <c r="B4722" s="878" t="s">
        <v>12642</v>
      </c>
      <c r="C4722" s="879" t="s">
        <v>226</v>
      </c>
      <c r="D4722" s="880" t="s">
        <v>42724</v>
      </c>
    </row>
    <row r="4723" spans="1:4" ht="13.5" x14ac:dyDescent="0.25">
      <c r="A4723" s="878" t="s">
        <v>12643</v>
      </c>
      <c r="B4723" s="878" t="s">
        <v>12644</v>
      </c>
      <c r="C4723" s="879" t="s">
        <v>226</v>
      </c>
      <c r="D4723" s="880" t="s">
        <v>42724</v>
      </c>
    </row>
    <row r="4724" spans="1:4" ht="13.5" x14ac:dyDescent="0.25">
      <c r="A4724" s="878" t="s">
        <v>12645</v>
      </c>
      <c r="B4724" s="878" t="s">
        <v>12646</v>
      </c>
      <c r="C4724" s="879" t="s">
        <v>226</v>
      </c>
      <c r="D4724" s="880" t="s">
        <v>42725</v>
      </c>
    </row>
    <row r="4725" spans="1:4" ht="13.5" x14ac:dyDescent="0.25">
      <c r="A4725" s="878" t="s">
        <v>12647</v>
      </c>
      <c r="B4725" s="878" t="s">
        <v>12648</v>
      </c>
      <c r="C4725" s="879" t="s">
        <v>226</v>
      </c>
      <c r="D4725" s="880" t="s">
        <v>42726</v>
      </c>
    </row>
    <row r="4726" spans="1:4" ht="13.5" x14ac:dyDescent="0.25">
      <c r="A4726" s="878" t="s">
        <v>12649</v>
      </c>
      <c r="B4726" s="878" t="s">
        <v>12650</v>
      </c>
      <c r="C4726" s="879" t="s">
        <v>226</v>
      </c>
      <c r="D4726" s="880" t="s">
        <v>42727</v>
      </c>
    </row>
    <row r="4727" spans="1:4" ht="13.5" x14ac:dyDescent="0.25">
      <c r="A4727" s="878" t="s">
        <v>12651</v>
      </c>
      <c r="B4727" s="878" t="s">
        <v>12652</v>
      </c>
      <c r="C4727" s="879" t="s">
        <v>226</v>
      </c>
      <c r="D4727" s="880" t="s">
        <v>42728</v>
      </c>
    </row>
    <row r="4728" spans="1:4" ht="13.5" x14ac:dyDescent="0.25">
      <c r="A4728" s="878" t="s">
        <v>12653</v>
      </c>
      <c r="B4728" s="878" t="s">
        <v>12654</v>
      </c>
      <c r="C4728" s="879" t="s">
        <v>226</v>
      </c>
      <c r="D4728" s="880" t="s">
        <v>42729</v>
      </c>
    </row>
    <row r="4729" spans="1:4" ht="13.5" x14ac:dyDescent="0.25">
      <c r="A4729" s="878" t="s">
        <v>12655</v>
      </c>
      <c r="B4729" s="878" t="s">
        <v>12656</v>
      </c>
      <c r="C4729" s="879" t="s">
        <v>226</v>
      </c>
      <c r="D4729" s="880" t="s">
        <v>42730</v>
      </c>
    </row>
    <row r="4730" spans="1:4" ht="13.5" x14ac:dyDescent="0.25">
      <c r="A4730" s="878" t="s">
        <v>12657</v>
      </c>
      <c r="B4730" s="878" t="s">
        <v>12658</v>
      </c>
      <c r="C4730" s="879" t="s">
        <v>226</v>
      </c>
      <c r="D4730" s="880" t="s">
        <v>42731</v>
      </c>
    </row>
    <row r="4731" spans="1:4" ht="13.5" x14ac:dyDescent="0.25">
      <c r="A4731" s="878" t="s">
        <v>12659</v>
      </c>
      <c r="B4731" s="878" t="s">
        <v>12660</v>
      </c>
      <c r="C4731" s="879" t="s">
        <v>226</v>
      </c>
      <c r="D4731" s="880" t="s">
        <v>40057</v>
      </c>
    </row>
    <row r="4732" spans="1:4" ht="13.5" x14ac:dyDescent="0.25">
      <c r="A4732" s="878" t="s">
        <v>12661</v>
      </c>
      <c r="B4732" s="878" t="s">
        <v>12662</v>
      </c>
      <c r="C4732" s="879" t="s">
        <v>226</v>
      </c>
      <c r="D4732" s="880" t="s">
        <v>42732</v>
      </c>
    </row>
    <row r="4733" spans="1:4" ht="13.5" x14ac:dyDescent="0.25">
      <c r="A4733" s="878" t="s">
        <v>12663</v>
      </c>
      <c r="B4733" s="878" t="s">
        <v>12664</v>
      </c>
      <c r="C4733" s="879" t="s">
        <v>226</v>
      </c>
      <c r="D4733" s="880" t="s">
        <v>42733</v>
      </c>
    </row>
    <row r="4734" spans="1:4" ht="13.5" x14ac:dyDescent="0.25">
      <c r="A4734" s="878" t="s">
        <v>12665</v>
      </c>
      <c r="B4734" s="878" t="s">
        <v>12666</v>
      </c>
      <c r="C4734" s="879" t="s">
        <v>226</v>
      </c>
      <c r="D4734" s="880" t="s">
        <v>42734</v>
      </c>
    </row>
    <row r="4735" spans="1:4" ht="13.5" x14ac:dyDescent="0.25">
      <c r="A4735" s="878" t="s">
        <v>12667</v>
      </c>
      <c r="B4735" s="878" t="s">
        <v>12668</v>
      </c>
      <c r="C4735" s="879" t="s">
        <v>226</v>
      </c>
      <c r="D4735" s="880" t="s">
        <v>42735</v>
      </c>
    </row>
    <row r="4736" spans="1:4" ht="13.5" x14ac:dyDescent="0.25">
      <c r="A4736" s="878" t="s">
        <v>12669</v>
      </c>
      <c r="B4736" s="878" t="s">
        <v>12670</v>
      </c>
      <c r="C4736" s="879" t="s">
        <v>226</v>
      </c>
      <c r="D4736" s="880" t="s">
        <v>15407</v>
      </c>
    </row>
    <row r="4737" spans="1:4" ht="13.5" x14ac:dyDescent="0.25">
      <c r="A4737" s="878" t="s">
        <v>12671</v>
      </c>
      <c r="B4737" s="878" t="s">
        <v>12672</v>
      </c>
      <c r="C4737" s="879" t="s">
        <v>226</v>
      </c>
      <c r="D4737" s="880" t="s">
        <v>42736</v>
      </c>
    </row>
    <row r="4738" spans="1:4" ht="13.5" x14ac:dyDescent="0.25">
      <c r="A4738" s="878" t="s">
        <v>12673</v>
      </c>
      <c r="B4738" s="878" t="s">
        <v>12674</v>
      </c>
      <c r="C4738" s="879" t="s">
        <v>226</v>
      </c>
      <c r="D4738" s="880" t="s">
        <v>41715</v>
      </c>
    </row>
    <row r="4739" spans="1:4" ht="13.5" x14ac:dyDescent="0.25">
      <c r="A4739" s="878" t="s">
        <v>12675</v>
      </c>
      <c r="B4739" s="878" t="s">
        <v>12676</v>
      </c>
      <c r="C4739" s="879" t="s">
        <v>226</v>
      </c>
      <c r="D4739" s="880" t="s">
        <v>42737</v>
      </c>
    </row>
    <row r="4740" spans="1:4" ht="13.5" x14ac:dyDescent="0.25">
      <c r="A4740" s="878" t="s">
        <v>12677</v>
      </c>
      <c r="B4740" s="878" t="s">
        <v>12678</v>
      </c>
      <c r="C4740" s="879" t="s">
        <v>226</v>
      </c>
      <c r="D4740" s="880" t="s">
        <v>42738</v>
      </c>
    </row>
    <row r="4741" spans="1:4" ht="13.5" x14ac:dyDescent="0.25">
      <c r="A4741" s="878" t="s">
        <v>12679</v>
      </c>
      <c r="B4741" s="878" t="s">
        <v>12680</v>
      </c>
      <c r="C4741" s="879" t="s">
        <v>226</v>
      </c>
      <c r="D4741" s="880" t="s">
        <v>42739</v>
      </c>
    </row>
    <row r="4742" spans="1:4" ht="13.5" x14ac:dyDescent="0.25">
      <c r="A4742" s="878" t="s">
        <v>12681</v>
      </c>
      <c r="B4742" s="878" t="s">
        <v>12682</v>
      </c>
      <c r="C4742" s="879" t="s">
        <v>226</v>
      </c>
      <c r="D4742" s="880" t="s">
        <v>42739</v>
      </c>
    </row>
    <row r="4743" spans="1:4" ht="13.5" x14ac:dyDescent="0.25">
      <c r="A4743" s="878" t="s">
        <v>12683</v>
      </c>
      <c r="B4743" s="878" t="s">
        <v>12684</v>
      </c>
      <c r="C4743" s="879" t="s">
        <v>226</v>
      </c>
      <c r="D4743" s="880" t="s">
        <v>42740</v>
      </c>
    </row>
    <row r="4744" spans="1:4" ht="13.5" x14ac:dyDescent="0.25">
      <c r="A4744" s="878" t="s">
        <v>12685</v>
      </c>
      <c r="B4744" s="878" t="s">
        <v>12686</v>
      </c>
      <c r="C4744" s="879" t="s">
        <v>226</v>
      </c>
      <c r="D4744" s="880" t="s">
        <v>42740</v>
      </c>
    </row>
    <row r="4745" spans="1:4" ht="13.5" x14ac:dyDescent="0.25">
      <c r="A4745" s="878" t="s">
        <v>12687</v>
      </c>
      <c r="B4745" s="878" t="s">
        <v>12688</v>
      </c>
      <c r="C4745" s="879" t="s">
        <v>226</v>
      </c>
      <c r="D4745" s="880" t="s">
        <v>42741</v>
      </c>
    </row>
    <row r="4746" spans="1:4" ht="13.5" x14ac:dyDescent="0.25">
      <c r="A4746" s="878" t="s">
        <v>12689</v>
      </c>
      <c r="B4746" s="878" t="s">
        <v>12690</v>
      </c>
      <c r="C4746" s="879" t="s">
        <v>226</v>
      </c>
      <c r="D4746" s="880" t="s">
        <v>42741</v>
      </c>
    </row>
    <row r="4747" spans="1:4" ht="13.5" x14ac:dyDescent="0.25">
      <c r="A4747" s="878" t="s">
        <v>12691</v>
      </c>
      <c r="B4747" s="878" t="s">
        <v>12692</v>
      </c>
      <c r="C4747" s="879" t="s">
        <v>226</v>
      </c>
      <c r="D4747" s="880" t="s">
        <v>42742</v>
      </c>
    </row>
    <row r="4748" spans="1:4" ht="13.5" x14ac:dyDescent="0.25">
      <c r="A4748" s="878" t="s">
        <v>12693</v>
      </c>
      <c r="B4748" s="878" t="s">
        <v>12694</v>
      </c>
      <c r="C4748" s="879" t="s">
        <v>226</v>
      </c>
      <c r="D4748" s="880" t="s">
        <v>42743</v>
      </c>
    </row>
    <row r="4749" spans="1:4" ht="13.5" x14ac:dyDescent="0.25">
      <c r="A4749" s="878" t="s">
        <v>12695</v>
      </c>
      <c r="B4749" s="878" t="s">
        <v>12696</v>
      </c>
      <c r="C4749" s="879" t="s">
        <v>226</v>
      </c>
      <c r="D4749" s="880" t="s">
        <v>42744</v>
      </c>
    </row>
    <row r="4750" spans="1:4" ht="13.5" x14ac:dyDescent="0.25">
      <c r="A4750" s="878" t="s">
        <v>12697</v>
      </c>
      <c r="B4750" s="878" t="s">
        <v>12698</v>
      </c>
      <c r="C4750" s="879" t="s">
        <v>226</v>
      </c>
      <c r="D4750" s="880" t="s">
        <v>42745</v>
      </c>
    </row>
    <row r="4751" spans="1:4" ht="13.5" x14ac:dyDescent="0.25">
      <c r="A4751" s="878" t="s">
        <v>12700</v>
      </c>
      <c r="B4751" s="878" t="s">
        <v>12701</v>
      </c>
      <c r="C4751" s="879" t="s">
        <v>226</v>
      </c>
      <c r="D4751" s="880" t="s">
        <v>42746</v>
      </c>
    </row>
    <row r="4752" spans="1:4" ht="13.5" x14ac:dyDescent="0.25">
      <c r="A4752" s="878" t="s">
        <v>12702</v>
      </c>
      <c r="B4752" s="878" t="s">
        <v>12703</v>
      </c>
      <c r="C4752" s="879" t="s">
        <v>226</v>
      </c>
      <c r="D4752" s="880" t="s">
        <v>10924</v>
      </c>
    </row>
    <row r="4753" spans="1:4" ht="13.5" x14ac:dyDescent="0.25">
      <c r="A4753" s="878" t="s">
        <v>12704</v>
      </c>
      <c r="B4753" s="878" t="s">
        <v>12705</v>
      </c>
      <c r="C4753" s="879" t="s">
        <v>226</v>
      </c>
      <c r="D4753" s="880" t="s">
        <v>41785</v>
      </c>
    </row>
    <row r="4754" spans="1:4" ht="13.5" x14ac:dyDescent="0.25">
      <c r="A4754" s="878" t="s">
        <v>12706</v>
      </c>
      <c r="B4754" s="878" t="s">
        <v>12707</v>
      </c>
      <c r="C4754" s="879" t="s">
        <v>226</v>
      </c>
      <c r="D4754" s="880" t="s">
        <v>11560</v>
      </c>
    </row>
    <row r="4755" spans="1:4" ht="13.5" x14ac:dyDescent="0.25">
      <c r="A4755" s="878" t="s">
        <v>12708</v>
      </c>
      <c r="B4755" s="878" t="s">
        <v>12709</v>
      </c>
      <c r="C4755" s="879" t="s">
        <v>226</v>
      </c>
      <c r="D4755" s="880" t="s">
        <v>42747</v>
      </c>
    </row>
    <row r="4756" spans="1:4" ht="13.5" x14ac:dyDescent="0.25">
      <c r="A4756" s="878" t="s">
        <v>12710</v>
      </c>
      <c r="B4756" s="878" t="s">
        <v>12711</v>
      </c>
      <c r="C4756" s="879" t="s">
        <v>226</v>
      </c>
      <c r="D4756" s="880" t="s">
        <v>40942</v>
      </c>
    </row>
    <row r="4757" spans="1:4" ht="13.5" x14ac:dyDescent="0.25">
      <c r="A4757" s="878" t="s">
        <v>12712</v>
      </c>
      <c r="B4757" s="878" t="s">
        <v>12713</v>
      </c>
      <c r="C4757" s="879" t="s">
        <v>226</v>
      </c>
      <c r="D4757" s="880" t="s">
        <v>42748</v>
      </c>
    </row>
    <row r="4758" spans="1:4" ht="13.5" x14ac:dyDescent="0.25">
      <c r="A4758" s="878" t="s">
        <v>12714</v>
      </c>
      <c r="B4758" s="878" t="s">
        <v>12715</v>
      </c>
      <c r="C4758" s="879" t="s">
        <v>226</v>
      </c>
      <c r="D4758" s="880" t="s">
        <v>42749</v>
      </c>
    </row>
    <row r="4759" spans="1:4" ht="13.5" x14ac:dyDescent="0.25">
      <c r="A4759" s="878" t="s">
        <v>12716</v>
      </c>
      <c r="B4759" s="878" t="s">
        <v>12717</v>
      </c>
      <c r="C4759" s="879" t="s">
        <v>226</v>
      </c>
      <c r="D4759" s="880" t="s">
        <v>42750</v>
      </c>
    </row>
    <row r="4760" spans="1:4" ht="13.5" x14ac:dyDescent="0.25">
      <c r="A4760" s="878" t="s">
        <v>12718</v>
      </c>
      <c r="B4760" s="878" t="s">
        <v>12719</v>
      </c>
      <c r="C4760" s="879" t="s">
        <v>226</v>
      </c>
      <c r="D4760" s="880" t="s">
        <v>31181</v>
      </c>
    </row>
    <row r="4761" spans="1:4" ht="13.5" x14ac:dyDescent="0.25">
      <c r="A4761" s="878" t="s">
        <v>12720</v>
      </c>
      <c r="B4761" s="878" t="s">
        <v>12721</v>
      </c>
      <c r="C4761" s="879" t="s">
        <v>226</v>
      </c>
      <c r="D4761" s="880" t="s">
        <v>41930</v>
      </c>
    </row>
    <row r="4762" spans="1:4" ht="13.5" x14ac:dyDescent="0.25">
      <c r="A4762" s="878" t="s">
        <v>12722</v>
      </c>
      <c r="B4762" s="878" t="s">
        <v>12723</v>
      </c>
      <c r="C4762" s="879" t="s">
        <v>226</v>
      </c>
      <c r="D4762" s="880" t="s">
        <v>42751</v>
      </c>
    </row>
    <row r="4763" spans="1:4" ht="13.5" x14ac:dyDescent="0.25">
      <c r="A4763" s="878" t="s">
        <v>12725</v>
      </c>
      <c r="B4763" s="878" t="s">
        <v>12726</v>
      </c>
      <c r="C4763" s="879" t="s">
        <v>226</v>
      </c>
      <c r="D4763" s="880" t="s">
        <v>42752</v>
      </c>
    </row>
    <row r="4764" spans="1:4" ht="13.5" x14ac:dyDescent="0.25">
      <c r="A4764" s="878" t="s">
        <v>12727</v>
      </c>
      <c r="B4764" s="878" t="s">
        <v>12728</v>
      </c>
      <c r="C4764" s="879" t="s">
        <v>226</v>
      </c>
      <c r="D4764" s="880" t="s">
        <v>41645</v>
      </c>
    </row>
    <row r="4765" spans="1:4" ht="13.5" x14ac:dyDescent="0.25">
      <c r="A4765" s="878" t="s">
        <v>12729</v>
      </c>
      <c r="B4765" s="878" t="s">
        <v>12730</v>
      </c>
      <c r="C4765" s="879" t="s">
        <v>226</v>
      </c>
      <c r="D4765" s="880" t="s">
        <v>16006</v>
      </c>
    </row>
    <row r="4766" spans="1:4" ht="13.5" x14ac:dyDescent="0.25">
      <c r="A4766" s="878" t="s">
        <v>12731</v>
      </c>
      <c r="B4766" s="878" t="s">
        <v>12732</v>
      </c>
      <c r="C4766" s="879" t="s">
        <v>226</v>
      </c>
      <c r="D4766" s="880" t="s">
        <v>42753</v>
      </c>
    </row>
    <row r="4767" spans="1:4" ht="13.5" x14ac:dyDescent="0.25">
      <c r="A4767" s="878" t="s">
        <v>12733</v>
      </c>
      <c r="B4767" s="878" t="s">
        <v>12734</v>
      </c>
      <c r="C4767" s="879" t="s">
        <v>226</v>
      </c>
      <c r="D4767" s="880" t="s">
        <v>42754</v>
      </c>
    </row>
    <row r="4768" spans="1:4" ht="13.5" x14ac:dyDescent="0.25">
      <c r="A4768" s="878" t="s">
        <v>12735</v>
      </c>
      <c r="B4768" s="878" t="s">
        <v>12736</v>
      </c>
      <c r="C4768" s="879" t="s">
        <v>226</v>
      </c>
      <c r="D4768" s="880" t="s">
        <v>42755</v>
      </c>
    </row>
    <row r="4769" spans="1:4" ht="13.5" x14ac:dyDescent="0.25">
      <c r="A4769" s="878" t="s">
        <v>12737</v>
      </c>
      <c r="B4769" s="878" t="s">
        <v>12738</v>
      </c>
      <c r="C4769" s="879" t="s">
        <v>226</v>
      </c>
      <c r="D4769" s="880" t="s">
        <v>13143</v>
      </c>
    </row>
    <row r="4770" spans="1:4" ht="13.5" x14ac:dyDescent="0.25">
      <c r="A4770" s="878" t="s">
        <v>12739</v>
      </c>
      <c r="B4770" s="878" t="s">
        <v>12740</v>
      </c>
      <c r="C4770" s="879" t="s">
        <v>226</v>
      </c>
      <c r="D4770" s="880" t="s">
        <v>42756</v>
      </c>
    </row>
    <row r="4771" spans="1:4" ht="13.5" x14ac:dyDescent="0.25">
      <c r="A4771" s="878" t="s">
        <v>12742</v>
      </c>
      <c r="B4771" s="878" t="s">
        <v>12743</v>
      </c>
      <c r="C4771" s="879" t="s">
        <v>226</v>
      </c>
      <c r="D4771" s="881" t="s">
        <v>30266</v>
      </c>
    </row>
    <row r="4772" spans="1:4" ht="13.5" x14ac:dyDescent="0.25">
      <c r="A4772" s="878" t="s">
        <v>12744</v>
      </c>
      <c r="B4772" s="878" t="s">
        <v>12745</v>
      </c>
      <c r="C4772" s="879" t="s">
        <v>226</v>
      </c>
      <c r="D4772" s="880" t="s">
        <v>31033</v>
      </c>
    </row>
    <row r="4773" spans="1:4" ht="13.5" x14ac:dyDescent="0.25">
      <c r="A4773" s="878" t="s">
        <v>12746</v>
      </c>
      <c r="B4773" s="878" t="s">
        <v>12747</v>
      </c>
      <c r="C4773" s="879" t="s">
        <v>226</v>
      </c>
      <c r="D4773" s="880" t="s">
        <v>31033</v>
      </c>
    </row>
    <row r="4774" spans="1:4" ht="13.5" x14ac:dyDescent="0.25">
      <c r="A4774" s="878" t="s">
        <v>12748</v>
      </c>
      <c r="B4774" s="878" t="s">
        <v>12749</v>
      </c>
      <c r="C4774" s="879" t="s">
        <v>226</v>
      </c>
      <c r="D4774" s="880" t="s">
        <v>42757</v>
      </c>
    </row>
    <row r="4775" spans="1:4" ht="13.5" x14ac:dyDescent="0.25">
      <c r="A4775" s="878" t="s">
        <v>12750</v>
      </c>
      <c r="B4775" s="878" t="s">
        <v>12751</v>
      </c>
      <c r="C4775" s="879" t="s">
        <v>226</v>
      </c>
      <c r="D4775" s="880" t="s">
        <v>42758</v>
      </c>
    </row>
    <row r="4776" spans="1:4" ht="13.5" x14ac:dyDescent="0.25">
      <c r="A4776" s="878" t="s">
        <v>12752</v>
      </c>
      <c r="B4776" s="878" t="s">
        <v>12753</v>
      </c>
      <c r="C4776" s="879" t="s">
        <v>226</v>
      </c>
      <c r="D4776" s="880" t="s">
        <v>42759</v>
      </c>
    </row>
    <row r="4777" spans="1:4" ht="13.5" x14ac:dyDescent="0.25">
      <c r="A4777" s="878" t="s">
        <v>12754</v>
      </c>
      <c r="B4777" s="878" t="s">
        <v>12755</v>
      </c>
      <c r="C4777" s="879" t="s">
        <v>226</v>
      </c>
      <c r="D4777" s="880" t="s">
        <v>31008</v>
      </c>
    </row>
    <row r="4778" spans="1:4" ht="13.5" x14ac:dyDescent="0.25">
      <c r="A4778" s="878" t="s">
        <v>12756</v>
      </c>
      <c r="B4778" s="878" t="s">
        <v>12757</v>
      </c>
      <c r="C4778" s="879" t="s">
        <v>226</v>
      </c>
      <c r="D4778" s="880" t="s">
        <v>31034</v>
      </c>
    </row>
    <row r="4779" spans="1:4" ht="13.5" x14ac:dyDescent="0.25">
      <c r="A4779" s="878" t="s">
        <v>12758</v>
      </c>
      <c r="B4779" s="878" t="s">
        <v>12759</v>
      </c>
      <c r="C4779" s="879" t="s">
        <v>226</v>
      </c>
      <c r="D4779" s="880" t="s">
        <v>42760</v>
      </c>
    </row>
    <row r="4780" spans="1:4" ht="13.5" x14ac:dyDescent="0.25">
      <c r="A4780" s="878" t="s">
        <v>12760</v>
      </c>
      <c r="B4780" s="878" t="s">
        <v>12761</v>
      </c>
      <c r="C4780" s="879" t="s">
        <v>226</v>
      </c>
      <c r="D4780" s="880" t="s">
        <v>42761</v>
      </c>
    </row>
    <row r="4781" spans="1:4" ht="13.5" x14ac:dyDescent="0.25">
      <c r="A4781" s="878" t="s">
        <v>12762</v>
      </c>
      <c r="B4781" s="878" t="s">
        <v>12763</v>
      </c>
      <c r="C4781" s="879" t="s">
        <v>226</v>
      </c>
      <c r="D4781" s="880" t="s">
        <v>15235</v>
      </c>
    </row>
    <row r="4782" spans="1:4" ht="13.5" x14ac:dyDescent="0.25">
      <c r="A4782" s="878" t="s">
        <v>12764</v>
      </c>
      <c r="B4782" s="878" t="s">
        <v>12765</v>
      </c>
      <c r="C4782" s="879" t="s">
        <v>226</v>
      </c>
      <c r="D4782" s="880" t="s">
        <v>31035</v>
      </c>
    </row>
    <row r="4783" spans="1:4" ht="13.5" x14ac:dyDescent="0.25">
      <c r="A4783" s="878" t="s">
        <v>12766</v>
      </c>
      <c r="B4783" s="878" t="s">
        <v>12767</v>
      </c>
      <c r="C4783" s="879" t="s">
        <v>226</v>
      </c>
      <c r="D4783" s="880" t="s">
        <v>30547</v>
      </c>
    </row>
    <row r="4784" spans="1:4" ht="13.5" x14ac:dyDescent="0.25">
      <c r="A4784" s="878" t="s">
        <v>12768</v>
      </c>
      <c r="B4784" s="878" t="s">
        <v>12769</v>
      </c>
      <c r="C4784" s="879" t="s">
        <v>226</v>
      </c>
      <c r="D4784" s="880" t="s">
        <v>30668</v>
      </c>
    </row>
    <row r="4785" spans="1:4" ht="13.5" x14ac:dyDescent="0.25">
      <c r="A4785" s="878" t="s">
        <v>12771</v>
      </c>
      <c r="B4785" s="878" t="s">
        <v>12772</v>
      </c>
      <c r="C4785" s="879" t="s">
        <v>226</v>
      </c>
      <c r="D4785" s="880" t="s">
        <v>41618</v>
      </c>
    </row>
    <row r="4786" spans="1:4" ht="13.5" x14ac:dyDescent="0.25">
      <c r="A4786" s="878" t="s">
        <v>12773</v>
      </c>
      <c r="B4786" s="878" t="s">
        <v>12774</v>
      </c>
      <c r="C4786" s="879" t="s">
        <v>226</v>
      </c>
      <c r="D4786" s="880" t="s">
        <v>42377</v>
      </c>
    </row>
    <row r="4787" spans="1:4" ht="13.5" x14ac:dyDescent="0.25">
      <c r="A4787" s="878" t="s">
        <v>12775</v>
      </c>
      <c r="B4787" s="878" t="s">
        <v>12776</v>
      </c>
      <c r="C4787" s="879" t="s">
        <v>226</v>
      </c>
      <c r="D4787" s="880" t="s">
        <v>30635</v>
      </c>
    </row>
    <row r="4788" spans="1:4" ht="13.5" x14ac:dyDescent="0.25">
      <c r="A4788" s="878" t="s">
        <v>12777</v>
      </c>
      <c r="B4788" s="878" t="s">
        <v>12778</v>
      </c>
      <c r="C4788" s="879" t="s">
        <v>226</v>
      </c>
      <c r="D4788" s="880" t="s">
        <v>4991</v>
      </c>
    </row>
    <row r="4789" spans="1:4" ht="13.5" x14ac:dyDescent="0.25">
      <c r="A4789" s="878" t="s">
        <v>12780</v>
      </c>
      <c r="B4789" s="878" t="s">
        <v>12781</v>
      </c>
      <c r="C4789" s="879" t="s">
        <v>226</v>
      </c>
      <c r="D4789" s="880" t="s">
        <v>42762</v>
      </c>
    </row>
    <row r="4790" spans="1:4" ht="13.5" x14ac:dyDescent="0.25">
      <c r="A4790" s="878" t="s">
        <v>12782</v>
      </c>
      <c r="B4790" s="878" t="s">
        <v>12783</v>
      </c>
      <c r="C4790" s="879" t="s">
        <v>226</v>
      </c>
      <c r="D4790" s="880" t="s">
        <v>17231</v>
      </c>
    </row>
    <row r="4791" spans="1:4" ht="13.5" x14ac:dyDescent="0.25">
      <c r="A4791" s="878" t="s">
        <v>12784</v>
      </c>
      <c r="B4791" s="878" t="s">
        <v>12785</v>
      </c>
      <c r="C4791" s="879" t="s">
        <v>226</v>
      </c>
      <c r="D4791" s="880" t="s">
        <v>40088</v>
      </c>
    </row>
    <row r="4792" spans="1:4" ht="13.5" x14ac:dyDescent="0.25">
      <c r="A4792" s="878" t="s">
        <v>12786</v>
      </c>
      <c r="B4792" s="878" t="s">
        <v>12787</v>
      </c>
      <c r="C4792" s="879" t="s">
        <v>226</v>
      </c>
      <c r="D4792" s="880" t="s">
        <v>42763</v>
      </c>
    </row>
    <row r="4793" spans="1:4" ht="13.5" x14ac:dyDescent="0.25">
      <c r="A4793" s="878" t="s">
        <v>12788</v>
      </c>
      <c r="B4793" s="878" t="s">
        <v>12789</v>
      </c>
      <c r="C4793" s="879" t="s">
        <v>226</v>
      </c>
      <c r="D4793" s="880" t="s">
        <v>42764</v>
      </c>
    </row>
    <row r="4794" spans="1:4" ht="13.5" x14ac:dyDescent="0.25">
      <c r="A4794" s="878" t="s">
        <v>12790</v>
      </c>
      <c r="B4794" s="878" t="s">
        <v>12791</v>
      </c>
      <c r="C4794" s="879" t="s">
        <v>226</v>
      </c>
      <c r="D4794" s="880" t="s">
        <v>30942</v>
      </c>
    </row>
    <row r="4795" spans="1:4" ht="13.5" x14ac:dyDescent="0.25">
      <c r="A4795" s="878" t="s">
        <v>12793</v>
      </c>
      <c r="B4795" s="878" t="s">
        <v>12794</v>
      </c>
      <c r="C4795" s="879" t="s">
        <v>226</v>
      </c>
      <c r="D4795" s="880" t="s">
        <v>31037</v>
      </c>
    </row>
    <row r="4796" spans="1:4" ht="13.5" x14ac:dyDescent="0.25">
      <c r="A4796" s="878" t="s">
        <v>12795</v>
      </c>
      <c r="B4796" s="878" t="s">
        <v>12796</v>
      </c>
      <c r="C4796" s="879" t="s">
        <v>226</v>
      </c>
      <c r="D4796" s="880" t="s">
        <v>40553</v>
      </c>
    </row>
    <row r="4797" spans="1:4" ht="13.5" x14ac:dyDescent="0.25">
      <c r="A4797" s="878" t="s">
        <v>12797</v>
      </c>
      <c r="B4797" s="878" t="s">
        <v>12798</v>
      </c>
      <c r="C4797" s="879" t="s">
        <v>226</v>
      </c>
      <c r="D4797" s="880" t="s">
        <v>42765</v>
      </c>
    </row>
    <row r="4798" spans="1:4" ht="13.5" x14ac:dyDescent="0.25">
      <c r="A4798" s="878" t="s">
        <v>12799</v>
      </c>
      <c r="B4798" s="878" t="s">
        <v>12800</v>
      </c>
      <c r="C4798" s="879" t="s">
        <v>226</v>
      </c>
      <c r="D4798" s="880" t="s">
        <v>42283</v>
      </c>
    </row>
    <row r="4799" spans="1:4" ht="13.5" x14ac:dyDescent="0.25">
      <c r="A4799" s="878" t="s">
        <v>12801</v>
      </c>
      <c r="B4799" s="878" t="s">
        <v>12802</v>
      </c>
      <c r="C4799" s="879" t="s">
        <v>226</v>
      </c>
      <c r="D4799" s="880" t="s">
        <v>42637</v>
      </c>
    </row>
    <row r="4800" spans="1:4" ht="13.5" x14ac:dyDescent="0.25">
      <c r="A4800" s="878" t="s">
        <v>12803</v>
      </c>
      <c r="B4800" s="878" t="s">
        <v>12804</v>
      </c>
      <c r="C4800" s="879" t="s">
        <v>226</v>
      </c>
      <c r="D4800" s="880" t="s">
        <v>42766</v>
      </c>
    </row>
    <row r="4801" spans="1:4" ht="13.5" x14ac:dyDescent="0.25">
      <c r="A4801" s="878" t="s">
        <v>12805</v>
      </c>
      <c r="B4801" s="878" t="s">
        <v>12806</v>
      </c>
      <c r="C4801" s="879" t="s">
        <v>226</v>
      </c>
      <c r="D4801" s="880" t="s">
        <v>31174</v>
      </c>
    </row>
    <row r="4802" spans="1:4" ht="13.5" x14ac:dyDescent="0.25">
      <c r="A4802" s="878" t="s">
        <v>12807</v>
      </c>
      <c r="B4802" s="878" t="s">
        <v>12808</v>
      </c>
      <c r="C4802" s="879" t="s">
        <v>226</v>
      </c>
      <c r="D4802" s="880" t="s">
        <v>42351</v>
      </c>
    </row>
    <row r="4803" spans="1:4" ht="13.5" x14ac:dyDescent="0.25">
      <c r="A4803" s="878" t="s">
        <v>12809</v>
      </c>
      <c r="B4803" s="878" t="s">
        <v>12810</v>
      </c>
      <c r="C4803" s="879" t="s">
        <v>226</v>
      </c>
      <c r="D4803" s="880" t="s">
        <v>42351</v>
      </c>
    </row>
    <row r="4804" spans="1:4" ht="13.5" x14ac:dyDescent="0.25">
      <c r="A4804" s="878" t="s">
        <v>12811</v>
      </c>
      <c r="B4804" s="878" t="s">
        <v>12812</v>
      </c>
      <c r="C4804" s="879" t="s">
        <v>226</v>
      </c>
      <c r="D4804" s="880" t="s">
        <v>42767</v>
      </c>
    </row>
    <row r="4805" spans="1:4" ht="13.5" x14ac:dyDescent="0.25">
      <c r="A4805" s="878" t="s">
        <v>12813</v>
      </c>
      <c r="B4805" s="878" t="s">
        <v>12814</v>
      </c>
      <c r="C4805" s="879" t="s">
        <v>226</v>
      </c>
      <c r="D4805" s="880" t="s">
        <v>42768</v>
      </c>
    </row>
    <row r="4806" spans="1:4" ht="13.5" x14ac:dyDescent="0.25">
      <c r="A4806" s="878" t="s">
        <v>12815</v>
      </c>
      <c r="B4806" s="878" t="s">
        <v>12816</v>
      </c>
      <c r="C4806" s="879" t="s">
        <v>226</v>
      </c>
      <c r="D4806" s="880" t="s">
        <v>42769</v>
      </c>
    </row>
    <row r="4807" spans="1:4" ht="13.5" x14ac:dyDescent="0.25">
      <c r="A4807" s="878" t="s">
        <v>12817</v>
      </c>
      <c r="B4807" s="878" t="s">
        <v>12818</v>
      </c>
      <c r="C4807" s="879" t="s">
        <v>226</v>
      </c>
      <c r="D4807" s="880" t="s">
        <v>42770</v>
      </c>
    </row>
    <row r="4808" spans="1:4" ht="13.5" x14ac:dyDescent="0.25">
      <c r="A4808" s="878" t="s">
        <v>12819</v>
      </c>
      <c r="B4808" s="878" t="s">
        <v>12820</v>
      </c>
      <c r="C4808" s="879" t="s">
        <v>226</v>
      </c>
      <c r="D4808" s="881" t="s">
        <v>5833</v>
      </c>
    </row>
    <row r="4809" spans="1:4" ht="13.5" x14ac:dyDescent="0.25">
      <c r="A4809" s="878" t="s">
        <v>12821</v>
      </c>
      <c r="B4809" s="878" t="s">
        <v>12822</v>
      </c>
      <c r="C4809" s="879" t="s">
        <v>226</v>
      </c>
      <c r="D4809" s="881" t="s">
        <v>42771</v>
      </c>
    </row>
    <row r="4810" spans="1:4" ht="13.5" x14ac:dyDescent="0.25">
      <c r="A4810" s="878" t="s">
        <v>12823</v>
      </c>
      <c r="B4810" s="878" t="s">
        <v>12824</v>
      </c>
      <c r="C4810" s="879" t="s">
        <v>226</v>
      </c>
      <c r="D4810" s="881" t="s">
        <v>31239</v>
      </c>
    </row>
    <row r="4811" spans="1:4" ht="13.5" x14ac:dyDescent="0.25">
      <c r="A4811" s="878" t="s">
        <v>12825</v>
      </c>
      <c r="B4811" s="878" t="s">
        <v>12826</v>
      </c>
      <c r="C4811" s="879" t="s">
        <v>226</v>
      </c>
      <c r="D4811" s="881" t="s">
        <v>31326</v>
      </c>
    </row>
    <row r="4812" spans="1:4" ht="13.5" x14ac:dyDescent="0.25">
      <c r="A4812" s="878" t="s">
        <v>12827</v>
      </c>
      <c r="B4812" s="878" t="s">
        <v>12828</v>
      </c>
      <c r="C4812" s="879" t="s">
        <v>226</v>
      </c>
      <c r="D4812" s="880" t="s">
        <v>30983</v>
      </c>
    </row>
    <row r="4813" spans="1:4" ht="13.5" x14ac:dyDescent="0.25">
      <c r="A4813" s="878" t="s">
        <v>12829</v>
      </c>
      <c r="B4813" s="878" t="s">
        <v>12830</v>
      </c>
      <c r="C4813" s="879" t="s">
        <v>226</v>
      </c>
      <c r="D4813" s="880" t="s">
        <v>42772</v>
      </c>
    </row>
    <row r="4814" spans="1:4" ht="13.5" x14ac:dyDescent="0.25">
      <c r="A4814" s="878" t="s">
        <v>12831</v>
      </c>
      <c r="B4814" s="878" t="s">
        <v>12832</v>
      </c>
      <c r="C4814" s="879" t="s">
        <v>226</v>
      </c>
      <c r="D4814" s="880" t="s">
        <v>42773</v>
      </c>
    </row>
    <row r="4815" spans="1:4" ht="13.5" x14ac:dyDescent="0.25">
      <c r="A4815" s="878" t="s">
        <v>12833</v>
      </c>
      <c r="B4815" s="878" t="s">
        <v>12834</v>
      </c>
      <c r="C4815" s="879" t="s">
        <v>226</v>
      </c>
      <c r="D4815" s="880" t="s">
        <v>11271</v>
      </c>
    </row>
    <row r="4816" spans="1:4" ht="13.5" x14ac:dyDescent="0.25">
      <c r="A4816" s="878" t="s">
        <v>12835</v>
      </c>
      <c r="B4816" s="878" t="s">
        <v>12836</v>
      </c>
      <c r="C4816" s="879" t="s">
        <v>226</v>
      </c>
      <c r="D4816" s="880" t="s">
        <v>42774</v>
      </c>
    </row>
    <row r="4817" spans="1:4" ht="13.5" x14ac:dyDescent="0.25">
      <c r="A4817" s="878" t="s">
        <v>12837</v>
      </c>
      <c r="B4817" s="878" t="s">
        <v>12838</v>
      </c>
      <c r="C4817" s="879" t="s">
        <v>226</v>
      </c>
      <c r="D4817" s="880" t="s">
        <v>42775</v>
      </c>
    </row>
    <row r="4818" spans="1:4" ht="13.5" x14ac:dyDescent="0.25">
      <c r="A4818" s="878" t="s">
        <v>12839</v>
      </c>
      <c r="B4818" s="878" t="s">
        <v>12840</v>
      </c>
      <c r="C4818" s="879" t="s">
        <v>226</v>
      </c>
      <c r="D4818" s="880" t="s">
        <v>31218</v>
      </c>
    </row>
    <row r="4819" spans="1:4" ht="13.5" x14ac:dyDescent="0.25">
      <c r="A4819" s="878" t="s">
        <v>12841</v>
      </c>
      <c r="B4819" s="878" t="s">
        <v>12842</v>
      </c>
      <c r="C4819" s="879" t="s">
        <v>226</v>
      </c>
      <c r="D4819" s="880" t="s">
        <v>30333</v>
      </c>
    </row>
    <row r="4820" spans="1:4" ht="13.5" x14ac:dyDescent="0.25">
      <c r="A4820" s="878" t="s">
        <v>12843</v>
      </c>
      <c r="B4820" s="878" t="s">
        <v>12844</v>
      </c>
      <c r="C4820" s="879" t="s">
        <v>226</v>
      </c>
      <c r="D4820" s="880" t="s">
        <v>8711</v>
      </c>
    </row>
    <row r="4821" spans="1:4" ht="13.5" x14ac:dyDescent="0.25">
      <c r="A4821" s="878" t="s">
        <v>12846</v>
      </c>
      <c r="B4821" s="878" t="s">
        <v>12847</v>
      </c>
      <c r="C4821" s="879" t="s">
        <v>226</v>
      </c>
      <c r="D4821" s="880" t="s">
        <v>14099</v>
      </c>
    </row>
    <row r="4822" spans="1:4" ht="13.5" x14ac:dyDescent="0.25">
      <c r="A4822" s="878" t="s">
        <v>12848</v>
      </c>
      <c r="B4822" s="878" t="s">
        <v>12849</v>
      </c>
      <c r="C4822" s="879" t="s">
        <v>226</v>
      </c>
      <c r="D4822" s="880" t="s">
        <v>42776</v>
      </c>
    </row>
    <row r="4823" spans="1:4" ht="13.5" x14ac:dyDescent="0.25">
      <c r="A4823" s="878" t="s">
        <v>12850</v>
      </c>
      <c r="B4823" s="878" t="s">
        <v>12851</v>
      </c>
      <c r="C4823" s="879" t="s">
        <v>226</v>
      </c>
      <c r="D4823" s="880" t="s">
        <v>42777</v>
      </c>
    </row>
    <row r="4824" spans="1:4" ht="13.5" x14ac:dyDescent="0.25">
      <c r="A4824" s="878" t="s">
        <v>12852</v>
      </c>
      <c r="B4824" s="878" t="s">
        <v>12853</v>
      </c>
      <c r="C4824" s="879" t="s">
        <v>226</v>
      </c>
      <c r="D4824" s="880" t="s">
        <v>42106</v>
      </c>
    </row>
    <row r="4825" spans="1:4" ht="13.5" x14ac:dyDescent="0.25">
      <c r="A4825" s="878" t="s">
        <v>12854</v>
      </c>
      <c r="B4825" s="878" t="s">
        <v>12855</v>
      </c>
      <c r="C4825" s="879" t="s">
        <v>226</v>
      </c>
      <c r="D4825" s="880" t="s">
        <v>42778</v>
      </c>
    </row>
    <row r="4826" spans="1:4" ht="13.5" x14ac:dyDescent="0.25">
      <c r="A4826" s="878" t="s">
        <v>12856</v>
      </c>
      <c r="B4826" s="878" t="s">
        <v>12857</v>
      </c>
      <c r="C4826" s="879" t="s">
        <v>226</v>
      </c>
      <c r="D4826" s="880" t="s">
        <v>5869</v>
      </c>
    </row>
    <row r="4827" spans="1:4" ht="13.5" x14ac:dyDescent="0.25">
      <c r="A4827" s="878" t="s">
        <v>12858</v>
      </c>
      <c r="B4827" s="878" t="s">
        <v>12859</v>
      </c>
      <c r="C4827" s="879" t="s">
        <v>226</v>
      </c>
      <c r="D4827" s="880" t="s">
        <v>42779</v>
      </c>
    </row>
    <row r="4828" spans="1:4" ht="13.5" x14ac:dyDescent="0.25">
      <c r="A4828" s="878" t="s">
        <v>12860</v>
      </c>
      <c r="B4828" s="878" t="s">
        <v>12861</v>
      </c>
      <c r="C4828" s="879" t="s">
        <v>226</v>
      </c>
      <c r="D4828" s="880" t="s">
        <v>30373</v>
      </c>
    </row>
    <row r="4829" spans="1:4" ht="13.5" x14ac:dyDescent="0.25">
      <c r="A4829" s="878" t="s">
        <v>12862</v>
      </c>
      <c r="B4829" s="878" t="s">
        <v>12863</v>
      </c>
      <c r="C4829" s="879" t="s">
        <v>226</v>
      </c>
      <c r="D4829" s="880" t="s">
        <v>42780</v>
      </c>
    </row>
    <row r="4830" spans="1:4" ht="13.5" x14ac:dyDescent="0.25">
      <c r="A4830" s="878" t="s">
        <v>12864</v>
      </c>
      <c r="B4830" s="878" t="s">
        <v>12865</v>
      </c>
      <c r="C4830" s="879" t="s">
        <v>226</v>
      </c>
      <c r="D4830" s="880" t="s">
        <v>42781</v>
      </c>
    </row>
    <row r="4831" spans="1:4" ht="13.5" x14ac:dyDescent="0.25">
      <c r="A4831" s="878" t="s">
        <v>12866</v>
      </c>
      <c r="B4831" s="878" t="s">
        <v>12867</v>
      </c>
      <c r="C4831" s="879" t="s">
        <v>226</v>
      </c>
      <c r="D4831" s="880" t="s">
        <v>10217</v>
      </c>
    </row>
    <row r="4832" spans="1:4" ht="13.5" x14ac:dyDescent="0.25">
      <c r="A4832" s="878" t="s">
        <v>12868</v>
      </c>
      <c r="B4832" s="878" t="s">
        <v>12869</v>
      </c>
      <c r="C4832" s="879" t="s">
        <v>226</v>
      </c>
      <c r="D4832" s="880" t="s">
        <v>42782</v>
      </c>
    </row>
    <row r="4833" spans="1:4" ht="13.5" x14ac:dyDescent="0.25">
      <c r="A4833" s="878" t="s">
        <v>12870</v>
      </c>
      <c r="B4833" s="878" t="s">
        <v>12871</v>
      </c>
      <c r="C4833" s="879" t="s">
        <v>226</v>
      </c>
      <c r="D4833" s="880" t="s">
        <v>42782</v>
      </c>
    </row>
    <row r="4834" spans="1:4" ht="13.5" x14ac:dyDescent="0.25">
      <c r="A4834" s="878" t="s">
        <v>12872</v>
      </c>
      <c r="B4834" s="878" t="s">
        <v>12873</v>
      </c>
      <c r="C4834" s="879" t="s">
        <v>226</v>
      </c>
      <c r="D4834" s="880" t="s">
        <v>42783</v>
      </c>
    </row>
    <row r="4835" spans="1:4" ht="13.5" x14ac:dyDescent="0.25">
      <c r="A4835" s="878" t="s">
        <v>12874</v>
      </c>
      <c r="B4835" s="878" t="s">
        <v>12875</v>
      </c>
      <c r="C4835" s="879" t="s">
        <v>226</v>
      </c>
      <c r="D4835" s="880" t="s">
        <v>42784</v>
      </c>
    </row>
    <row r="4836" spans="1:4" ht="13.5" x14ac:dyDescent="0.25">
      <c r="A4836" s="878" t="s">
        <v>12876</v>
      </c>
      <c r="B4836" s="878" t="s">
        <v>12877</v>
      </c>
      <c r="C4836" s="879" t="s">
        <v>226</v>
      </c>
      <c r="D4836" s="880" t="s">
        <v>30633</v>
      </c>
    </row>
    <row r="4837" spans="1:4" ht="13.5" x14ac:dyDescent="0.25">
      <c r="A4837" s="878" t="s">
        <v>12879</v>
      </c>
      <c r="B4837" s="878" t="s">
        <v>12880</v>
      </c>
      <c r="C4837" s="879" t="s">
        <v>226</v>
      </c>
      <c r="D4837" s="880" t="s">
        <v>42499</v>
      </c>
    </row>
    <row r="4838" spans="1:4" ht="13.5" x14ac:dyDescent="0.25">
      <c r="A4838" s="878" t="s">
        <v>12881</v>
      </c>
      <c r="B4838" s="878" t="s">
        <v>12882</v>
      </c>
      <c r="C4838" s="879" t="s">
        <v>226</v>
      </c>
      <c r="D4838" s="880" t="s">
        <v>42785</v>
      </c>
    </row>
    <row r="4839" spans="1:4" ht="13.5" x14ac:dyDescent="0.25">
      <c r="A4839" s="878" t="s">
        <v>12883</v>
      </c>
      <c r="B4839" s="878" t="s">
        <v>12884</v>
      </c>
      <c r="C4839" s="879" t="s">
        <v>226</v>
      </c>
      <c r="D4839" s="880" t="s">
        <v>42786</v>
      </c>
    </row>
    <row r="4840" spans="1:4" ht="13.5" x14ac:dyDescent="0.25">
      <c r="A4840" s="878" t="s">
        <v>12885</v>
      </c>
      <c r="B4840" s="878" t="s">
        <v>12886</v>
      </c>
      <c r="C4840" s="879" t="s">
        <v>226</v>
      </c>
      <c r="D4840" s="880" t="s">
        <v>42787</v>
      </c>
    </row>
    <row r="4841" spans="1:4" ht="13.5" x14ac:dyDescent="0.25">
      <c r="A4841" s="878" t="s">
        <v>12887</v>
      </c>
      <c r="B4841" s="878" t="s">
        <v>12888</v>
      </c>
      <c r="C4841" s="879" t="s">
        <v>226</v>
      </c>
      <c r="D4841" s="880" t="s">
        <v>42788</v>
      </c>
    </row>
    <row r="4842" spans="1:4" ht="13.5" x14ac:dyDescent="0.25">
      <c r="A4842" s="878" t="s">
        <v>12889</v>
      </c>
      <c r="B4842" s="878" t="s">
        <v>12890</v>
      </c>
      <c r="C4842" s="879" t="s">
        <v>226</v>
      </c>
      <c r="D4842" s="880" t="s">
        <v>42789</v>
      </c>
    </row>
    <row r="4843" spans="1:4" ht="13.5" x14ac:dyDescent="0.25">
      <c r="A4843" s="878" t="s">
        <v>12891</v>
      </c>
      <c r="B4843" s="878" t="s">
        <v>12892</v>
      </c>
      <c r="C4843" s="879" t="s">
        <v>226</v>
      </c>
      <c r="D4843" s="880" t="s">
        <v>42356</v>
      </c>
    </row>
    <row r="4844" spans="1:4" ht="13.5" x14ac:dyDescent="0.25">
      <c r="A4844" s="878" t="s">
        <v>12893</v>
      </c>
      <c r="B4844" s="878" t="s">
        <v>12894</v>
      </c>
      <c r="C4844" s="879" t="s">
        <v>226</v>
      </c>
      <c r="D4844" s="880" t="s">
        <v>8153</v>
      </c>
    </row>
    <row r="4845" spans="1:4" ht="13.5" x14ac:dyDescent="0.25">
      <c r="A4845" s="878" t="s">
        <v>12896</v>
      </c>
      <c r="B4845" s="878" t="s">
        <v>12897</v>
      </c>
      <c r="C4845" s="879" t="s">
        <v>226</v>
      </c>
      <c r="D4845" s="880" t="s">
        <v>14127</v>
      </c>
    </row>
    <row r="4846" spans="1:4" ht="13.5" x14ac:dyDescent="0.25">
      <c r="A4846" s="878" t="s">
        <v>12898</v>
      </c>
      <c r="B4846" s="878" t="s">
        <v>12899</v>
      </c>
      <c r="C4846" s="879" t="s">
        <v>226</v>
      </c>
      <c r="D4846" s="880" t="s">
        <v>13949</v>
      </c>
    </row>
    <row r="4847" spans="1:4" ht="13.5" x14ac:dyDescent="0.25">
      <c r="A4847" s="878" t="s">
        <v>12901</v>
      </c>
      <c r="B4847" s="878" t="s">
        <v>12902</v>
      </c>
      <c r="C4847" s="879" t="s">
        <v>226</v>
      </c>
      <c r="D4847" s="880" t="s">
        <v>13985</v>
      </c>
    </row>
    <row r="4848" spans="1:4" ht="13.5" x14ac:dyDescent="0.25">
      <c r="A4848" s="878" t="s">
        <v>12903</v>
      </c>
      <c r="B4848" s="878" t="s">
        <v>12904</v>
      </c>
      <c r="C4848" s="879" t="s">
        <v>226</v>
      </c>
      <c r="D4848" s="880" t="s">
        <v>8729</v>
      </c>
    </row>
    <row r="4849" spans="1:4" ht="13.5" x14ac:dyDescent="0.25">
      <c r="A4849" s="878" t="s">
        <v>12906</v>
      </c>
      <c r="B4849" s="878" t="s">
        <v>12907</v>
      </c>
      <c r="C4849" s="879" t="s">
        <v>226</v>
      </c>
      <c r="D4849" s="880" t="s">
        <v>42790</v>
      </c>
    </row>
    <row r="4850" spans="1:4" ht="13.5" x14ac:dyDescent="0.25">
      <c r="A4850" s="878" t="s">
        <v>12908</v>
      </c>
      <c r="B4850" s="878" t="s">
        <v>12909</v>
      </c>
      <c r="C4850" s="879" t="s">
        <v>226</v>
      </c>
      <c r="D4850" s="880" t="s">
        <v>8778</v>
      </c>
    </row>
    <row r="4851" spans="1:4" ht="13.5" x14ac:dyDescent="0.25">
      <c r="A4851" s="878" t="s">
        <v>12910</v>
      </c>
      <c r="B4851" s="878" t="s">
        <v>12911</v>
      </c>
      <c r="C4851" s="879" t="s">
        <v>226</v>
      </c>
      <c r="D4851" s="880" t="s">
        <v>40297</v>
      </c>
    </row>
    <row r="4852" spans="1:4" ht="13.5" x14ac:dyDescent="0.25">
      <c r="A4852" s="878" t="s">
        <v>12912</v>
      </c>
      <c r="B4852" s="878" t="s">
        <v>12913</v>
      </c>
      <c r="C4852" s="879" t="s">
        <v>226</v>
      </c>
      <c r="D4852" s="880" t="s">
        <v>8128</v>
      </c>
    </row>
    <row r="4853" spans="1:4" ht="13.5" x14ac:dyDescent="0.25">
      <c r="A4853" s="878" t="s">
        <v>12914</v>
      </c>
      <c r="B4853" s="878" t="s">
        <v>12915</v>
      </c>
      <c r="C4853" s="879" t="s">
        <v>226</v>
      </c>
      <c r="D4853" s="880" t="s">
        <v>8708</v>
      </c>
    </row>
    <row r="4854" spans="1:4" ht="13.5" x14ac:dyDescent="0.25">
      <c r="A4854" s="878" t="s">
        <v>12916</v>
      </c>
      <c r="B4854" s="878" t="s">
        <v>12917</v>
      </c>
      <c r="C4854" s="879" t="s">
        <v>226</v>
      </c>
      <c r="D4854" s="880" t="s">
        <v>30440</v>
      </c>
    </row>
    <row r="4855" spans="1:4" ht="13.5" x14ac:dyDescent="0.25">
      <c r="A4855" s="878" t="s">
        <v>12918</v>
      </c>
      <c r="B4855" s="878" t="s">
        <v>12919</v>
      </c>
      <c r="C4855" s="879" t="s">
        <v>226</v>
      </c>
      <c r="D4855" s="880" t="s">
        <v>8882</v>
      </c>
    </row>
    <row r="4856" spans="1:4" ht="13.5" x14ac:dyDescent="0.25">
      <c r="A4856" s="878" t="s">
        <v>12920</v>
      </c>
      <c r="B4856" s="878" t="s">
        <v>12921</v>
      </c>
      <c r="C4856" s="879" t="s">
        <v>226</v>
      </c>
      <c r="D4856" s="880" t="s">
        <v>42791</v>
      </c>
    </row>
    <row r="4857" spans="1:4" ht="13.5" x14ac:dyDescent="0.25">
      <c r="A4857" s="878" t="s">
        <v>12922</v>
      </c>
      <c r="B4857" s="878" t="s">
        <v>12923</v>
      </c>
      <c r="C4857" s="879" t="s">
        <v>226</v>
      </c>
      <c r="D4857" s="880" t="s">
        <v>42792</v>
      </c>
    </row>
    <row r="4858" spans="1:4" ht="13.5" x14ac:dyDescent="0.25">
      <c r="A4858" s="878" t="s">
        <v>12924</v>
      </c>
      <c r="B4858" s="878" t="s">
        <v>12925</v>
      </c>
      <c r="C4858" s="879" t="s">
        <v>226</v>
      </c>
      <c r="D4858" s="880" t="s">
        <v>31175</v>
      </c>
    </row>
    <row r="4859" spans="1:4" ht="13.5" x14ac:dyDescent="0.25">
      <c r="A4859" s="878" t="s">
        <v>12926</v>
      </c>
      <c r="B4859" s="878" t="s">
        <v>12927</v>
      </c>
      <c r="C4859" s="879" t="s">
        <v>226</v>
      </c>
      <c r="D4859" s="880" t="s">
        <v>11858</v>
      </c>
    </row>
    <row r="4860" spans="1:4" ht="13.5" x14ac:dyDescent="0.25">
      <c r="A4860" s="878" t="s">
        <v>12928</v>
      </c>
      <c r="B4860" s="878" t="s">
        <v>12929</v>
      </c>
      <c r="C4860" s="879" t="s">
        <v>226</v>
      </c>
      <c r="D4860" s="880" t="s">
        <v>42793</v>
      </c>
    </row>
    <row r="4861" spans="1:4" ht="13.5" x14ac:dyDescent="0.25">
      <c r="A4861" s="878" t="s">
        <v>12930</v>
      </c>
      <c r="B4861" s="878" t="s">
        <v>12931</v>
      </c>
      <c r="C4861" s="879" t="s">
        <v>226</v>
      </c>
      <c r="D4861" s="880" t="s">
        <v>42794</v>
      </c>
    </row>
    <row r="4862" spans="1:4" ht="13.5" x14ac:dyDescent="0.25">
      <c r="A4862" s="878" t="s">
        <v>12932</v>
      </c>
      <c r="B4862" s="878" t="s">
        <v>12933</v>
      </c>
      <c r="C4862" s="879" t="s">
        <v>226</v>
      </c>
      <c r="D4862" s="880" t="s">
        <v>30568</v>
      </c>
    </row>
    <row r="4863" spans="1:4" ht="13.5" x14ac:dyDescent="0.25">
      <c r="A4863" s="878" t="s">
        <v>12935</v>
      </c>
      <c r="B4863" s="878" t="s">
        <v>12936</v>
      </c>
      <c r="C4863" s="879" t="s">
        <v>226</v>
      </c>
      <c r="D4863" s="880" t="s">
        <v>42795</v>
      </c>
    </row>
    <row r="4864" spans="1:4" ht="13.5" x14ac:dyDescent="0.25">
      <c r="A4864" s="878" t="s">
        <v>12938</v>
      </c>
      <c r="B4864" s="878" t="s">
        <v>12939</v>
      </c>
      <c r="C4864" s="879" t="s">
        <v>226</v>
      </c>
      <c r="D4864" s="880" t="s">
        <v>42115</v>
      </c>
    </row>
    <row r="4865" spans="1:4" ht="13.5" x14ac:dyDescent="0.25">
      <c r="A4865" s="878" t="s">
        <v>12940</v>
      </c>
      <c r="B4865" s="878" t="s">
        <v>12941</v>
      </c>
      <c r="C4865" s="879" t="s">
        <v>226</v>
      </c>
      <c r="D4865" s="880" t="s">
        <v>42796</v>
      </c>
    </row>
    <row r="4866" spans="1:4" ht="13.5" x14ac:dyDescent="0.25">
      <c r="A4866" s="878" t="s">
        <v>12942</v>
      </c>
      <c r="B4866" s="878" t="s">
        <v>12943</v>
      </c>
      <c r="C4866" s="879" t="s">
        <v>226</v>
      </c>
      <c r="D4866" s="880" t="s">
        <v>12444</v>
      </c>
    </row>
    <row r="4867" spans="1:4" ht="13.5" x14ac:dyDescent="0.25">
      <c r="A4867" s="878" t="s">
        <v>12944</v>
      </c>
      <c r="B4867" s="878" t="s">
        <v>12945</v>
      </c>
      <c r="C4867" s="879" t="s">
        <v>226</v>
      </c>
      <c r="D4867" s="880" t="s">
        <v>30729</v>
      </c>
    </row>
    <row r="4868" spans="1:4" ht="13.5" x14ac:dyDescent="0.25">
      <c r="A4868" s="878" t="s">
        <v>12946</v>
      </c>
      <c r="B4868" s="878" t="s">
        <v>12947</v>
      </c>
      <c r="C4868" s="879" t="s">
        <v>226</v>
      </c>
      <c r="D4868" s="880" t="s">
        <v>11861</v>
      </c>
    </row>
    <row r="4869" spans="1:4" ht="13.5" x14ac:dyDescent="0.25">
      <c r="A4869" s="878" t="s">
        <v>12948</v>
      </c>
      <c r="B4869" s="878" t="s">
        <v>12949</v>
      </c>
      <c r="C4869" s="879" t="s">
        <v>226</v>
      </c>
      <c r="D4869" s="880" t="s">
        <v>42797</v>
      </c>
    </row>
    <row r="4870" spans="1:4" ht="13.5" x14ac:dyDescent="0.25">
      <c r="A4870" s="878" t="s">
        <v>12950</v>
      </c>
      <c r="B4870" s="878" t="s">
        <v>12951</v>
      </c>
      <c r="C4870" s="879" t="s">
        <v>226</v>
      </c>
      <c r="D4870" s="880" t="s">
        <v>42798</v>
      </c>
    </row>
    <row r="4871" spans="1:4" ht="13.5" x14ac:dyDescent="0.25">
      <c r="A4871" s="878" t="s">
        <v>12953</v>
      </c>
      <c r="B4871" s="878" t="s">
        <v>12954</v>
      </c>
      <c r="C4871" s="879" t="s">
        <v>226</v>
      </c>
      <c r="D4871" s="880" t="s">
        <v>10718</v>
      </c>
    </row>
    <row r="4872" spans="1:4" ht="13.5" x14ac:dyDescent="0.25">
      <c r="A4872" s="878" t="s">
        <v>12956</v>
      </c>
      <c r="B4872" s="878" t="s">
        <v>12957</v>
      </c>
      <c r="C4872" s="879" t="s">
        <v>226</v>
      </c>
      <c r="D4872" s="880" t="s">
        <v>12085</v>
      </c>
    </row>
    <row r="4873" spans="1:4" ht="13.5" x14ac:dyDescent="0.25">
      <c r="A4873" s="878" t="s">
        <v>12958</v>
      </c>
      <c r="B4873" s="878" t="s">
        <v>12959</v>
      </c>
      <c r="C4873" s="879" t="s">
        <v>226</v>
      </c>
      <c r="D4873" s="880" t="s">
        <v>42799</v>
      </c>
    </row>
    <row r="4874" spans="1:4" ht="13.5" x14ac:dyDescent="0.25">
      <c r="A4874" s="878" t="s">
        <v>12960</v>
      </c>
      <c r="B4874" s="878" t="s">
        <v>12961</v>
      </c>
      <c r="C4874" s="879" t="s">
        <v>226</v>
      </c>
      <c r="D4874" s="880" t="s">
        <v>30844</v>
      </c>
    </row>
    <row r="4875" spans="1:4" ht="13.5" x14ac:dyDescent="0.25">
      <c r="A4875" s="878" t="s">
        <v>12962</v>
      </c>
      <c r="B4875" s="878" t="s">
        <v>12963</v>
      </c>
      <c r="C4875" s="879" t="s">
        <v>226</v>
      </c>
      <c r="D4875" s="880" t="s">
        <v>42800</v>
      </c>
    </row>
    <row r="4876" spans="1:4" ht="13.5" x14ac:dyDescent="0.25">
      <c r="A4876" s="878" t="s">
        <v>12964</v>
      </c>
      <c r="B4876" s="878" t="s">
        <v>12965</v>
      </c>
      <c r="C4876" s="879" t="s">
        <v>226</v>
      </c>
      <c r="D4876" s="880" t="s">
        <v>30821</v>
      </c>
    </row>
    <row r="4877" spans="1:4" ht="13.5" x14ac:dyDescent="0.25">
      <c r="A4877" s="878" t="s">
        <v>12966</v>
      </c>
      <c r="B4877" s="878" t="s">
        <v>12967</v>
      </c>
      <c r="C4877" s="879" t="s">
        <v>226</v>
      </c>
      <c r="D4877" s="880" t="s">
        <v>42801</v>
      </c>
    </row>
    <row r="4878" spans="1:4" ht="13.5" x14ac:dyDescent="0.25">
      <c r="A4878" s="878" t="s">
        <v>12968</v>
      </c>
      <c r="B4878" s="878" t="s">
        <v>12969</v>
      </c>
      <c r="C4878" s="879" t="s">
        <v>226</v>
      </c>
      <c r="D4878" s="880" t="s">
        <v>8137</v>
      </c>
    </row>
    <row r="4879" spans="1:4" ht="13.5" x14ac:dyDescent="0.25">
      <c r="A4879" s="878" t="s">
        <v>12970</v>
      </c>
      <c r="B4879" s="878" t="s">
        <v>12971</v>
      </c>
      <c r="C4879" s="879" t="s">
        <v>226</v>
      </c>
      <c r="D4879" s="880" t="s">
        <v>30644</v>
      </c>
    </row>
    <row r="4880" spans="1:4" ht="13.5" x14ac:dyDescent="0.25">
      <c r="A4880" s="878" t="s">
        <v>12972</v>
      </c>
      <c r="B4880" s="878" t="s">
        <v>12973</v>
      </c>
      <c r="C4880" s="879" t="s">
        <v>226</v>
      </c>
      <c r="D4880" s="880" t="s">
        <v>40017</v>
      </c>
    </row>
    <row r="4881" spans="1:4" ht="13.5" x14ac:dyDescent="0.25">
      <c r="A4881" s="878" t="s">
        <v>12974</v>
      </c>
      <c r="B4881" s="878" t="s">
        <v>12975</v>
      </c>
      <c r="C4881" s="879" t="s">
        <v>226</v>
      </c>
      <c r="D4881" s="880" t="s">
        <v>15611</v>
      </c>
    </row>
    <row r="4882" spans="1:4" ht="13.5" x14ac:dyDescent="0.25">
      <c r="A4882" s="878" t="s">
        <v>12976</v>
      </c>
      <c r="B4882" s="878" t="s">
        <v>12977</v>
      </c>
      <c r="C4882" s="879" t="s">
        <v>226</v>
      </c>
      <c r="D4882" s="881" t="s">
        <v>42802</v>
      </c>
    </row>
    <row r="4883" spans="1:4" ht="13.5" x14ac:dyDescent="0.25">
      <c r="A4883" s="878" t="s">
        <v>12978</v>
      </c>
      <c r="B4883" s="878" t="s">
        <v>12979</v>
      </c>
      <c r="C4883" s="879" t="s">
        <v>226</v>
      </c>
      <c r="D4883" s="880" t="s">
        <v>40090</v>
      </c>
    </row>
    <row r="4884" spans="1:4" ht="13.5" x14ac:dyDescent="0.25">
      <c r="A4884" s="878" t="s">
        <v>12981</v>
      </c>
      <c r="B4884" s="878" t="s">
        <v>12982</v>
      </c>
      <c r="C4884" s="879" t="s">
        <v>226</v>
      </c>
      <c r="D4884" s="881" t="s">
        <v>6009</v>
      </c>
    </row>
    <row r="4885" spans="1:4" ht="13.5" x14ac:dyDescent="0.25">
      <c r="A4885" s="878" t="s">
        <v>12984</v>
      </c>
      <c r="B4885" s="878" t="s">
        <v>12985</v>
      </c>
      <c r="C4885" s="879" t="s">
        <v>226</v>
      </c>
      <c r="D4885" s="881" t="s">
        <v>30233</v>
      </c>
    </row>
    <row r="4886" spans="1:4" ht="13.5" x14ac:dyDescent="0.25">
      <c r="A4886" s="878" t="s">
        <v>12986</v>
      </c>
      <c r="B4886" s="878" t="s">
        <v>12987</v>
      </c>
      <c r="C4886" s="879" t="s">
        <v>226</v>
      </c>
      <c r="D4886" s="880" t="s">
        <v>42324</v>
      </c>
    </row>
    <row r="4887" spans="1:4" ht="13.5" x14ac:dyDescent="0.25">
      <c r="A4887" s="878" t="s">
        <v>12989</v>
      </c>
      <c r="B4887" s="878" t="s">
        <v>12990</v>
      </c>
      <c r="C4887" s="879" t="s">
        <v>226</v>
      </c>
      <c r="D4887" s="880" t="s">
        <v>42803</v>
      </c>
    </row>
    <row r="4888" spans="1:4" ht="13.5" x14ac:dyDescent="0.25">
      <c r="A4888" s="878" t="s">
        <v>12991</v>
      </c>
      <c r="B4888" s="878" t="s">
        <v>12992</v>
      </c>
      <c r="C4888" s="879" t="s">
        <v>226</v>
      </c>
      <c r="D4888" s="880" t="s">
        <v>31116</v>
      </c>
    </row>
    <row r="4889" spans="1:4" ht="13.5" x14ac:dyDescent="0.25">
      <c r="A4889" s="878" t="s">
        <v>12993</v>
      </c>
      <c r="B4889" s="878" t="s">
        <v>12994</v>
      </c>
      <c r="C4889" s="879" t="s">
        <v>226</v>
      </c>
      <c r="D4889" s="880" t="s">
        <v>5394</v>
      </c>
    </row>
    <row r="4890" spans="1:4" ht="13.5" x14ac:dyDescent="0.25">
      <c r="A4890" s="878" t="s">
        <v>12995</v>
      </c>
      <c r="B4890" s="878" t="s">
        <v>12996</v>
      </c>
      <c r="C4890" s="879" t="s">
        <v>226</v>
      </c>
      <c r="D4890" s="880" t="s">
        <v>31050</v>
      </c>
    </row>
    <row r="4891" spans="1:4" ht="13.5" x14ac:dyDescent="0.25">
      <c r="A4891" s="878" t="s">
        <v>12998</v>
      </c>
      <c r="B4891" s="878" t="s">
        <v>12999</v>
      </c>
      <c r="C4891" s="879" t="s">
        <v>226</v>
      </c>
      <c r="D4891" s="880" t="s">
        <v>42804</v>
      </c>
    </row>
    <row r="4892" spans="1:4" ht="13.5" x14ac:dyDescent="0.25">
      <c r="A4892" s="878" t="s">
        <v>13001</v>
      </c>
      <c r="B4892" s="878" t="s">
        <v>13002</v>
      </c>
      <c r="C4892" s="879" t="s">
        <v>226</v>
      </c>
      <c r="D4892" s="880" t="s">
        <v>31032</v>
      </c>
    </row>
    <row r="4893" spans="1:4" ht="13.5" x14ac:dyDescent="0.25">
      <c r="A4893" s="878" t="s">
        <v>13003</v>
      </c>
      <c r="B4893" s="878" t="s">
        <v>13004</v>
      </c>
      <c r="C4893" s="879" t="s">
        <v>226</v>
      </c>
      <c r="D4893" s="880" t="s">
        <v>42805</v>
      </c>
    </row>
    <row r="4894" spans="1:4" ht="13.5" x14ac:dyDescent="0.25">
      <c r="A4894" s="878" t="s">
        <v>13005</v>
      </c>
      <c r="B4894" s="878" t="s">
        <v>13006</v>
      </c>
      <c r="C4894" s="879" t="s">
        <v>226</v>
      </c>
      <c r="D4894" s="880" t="s">
        <v>11809</v>
      </c>
    </row>
    <row r="4895" spans="1:4" ht="13.5" x14ac:dyDescent="0.25">
      <c r="A4895" s="878" t="s">
        <v>13007</v>
      </c>
      <c r="B4895" s="878" t="s">
        <v>13008</v>
      </c>
      <c r="C4895" s="879" t="s">
        <v>226</v>
      </c>
      <c r="D4895" s="880" t="s">
        <v>17542</v>
      </c>
    </row>
    <row r="4896" spans="1:4" ht="13.5" x14ac:dyDescent="0.25">
      <c r="A4896" s="878" t="s">
        <v>13009</v>
      </c>
      <c r="B4896" s="878" t="s">
        <v>13010</v>
      </c>
      <c r="C4896" s="879" t="s">
        <v>226</v>
      </c>
      <c r="D4896" s="880" t="s">
        <v>12460</v>
      </c>
    </row>
    <row r="4897" spans="1:4" ht="13.5" x14ac:dyDescent="0.25">
      <c r="A4897" s="878" t="s">
        <v>13011</v>
      </c>
      <c r="B4897" s="878" t="s">
        <v>13012</v>
      </c>
      <c r="C4897" s="879" t="s">
        <v>226</v>
      </c>
      <c r="D4897" s="880" t="s">
        <v>30789</v>
      </c>
    </row>
    <row r="4898" spans="1:4" ht="13.5" x14ac:dyDescent="0.25">
      <c r="A4898" s="878" t="s">
        <v>13014</v>
      </c>
      <c r="B4898" s="878" t="s">
        <v>13015</v>
      </c>
      <c r="C4898" s="879" t="s">
        <v>226</v>
      </c>
      <c r="D4898" s="880" t="s">
        <v>42806</v>
      </c>
    </row>
    <row r="4899" spans="1:4" ht="13.5" x14ac:dyDescent="0.25">
      <c r="A4899" s="878" t="s">
        <v>13016</v>
      </c>
      <c r="B4899" s="878" t="s">
        <v>13017</v>
      </c>
      <c r="C4899" s="879" t="s">
        <v>226</v>
      </c>
      <c r="D4899" s="880" t="s">
        <v>42807</v>
      </c>
    </row>
    <row r="4900" spans="1:4" ht="13.5" x14ac:dyDescent="0.25">
      <c r="A4900" s="878" t="s">
        <v>13018</v>
      </c>
      <c r="B4900" s="878" t="s">
        <v>13019</v>
      </c>
      <c r="C4900" s="879" t="s">
        <v>226</v>
      </c>
      <c r="D4900" s="880" t="s">
        <v>42808</v>
      </c>
    </row>
    <row r="4901" spans="1:4" ht="13.5" x14ac:dyDescent="0.25">
      <c r="A4901" s="878" t="s">
        <v>13020</v>
      </c>
      <c r="B4901" s="878" t="s">
        <v>13019</v>
      </c>
      <c r="C4901" s="879" t="s">
        <v>226</v>
      </c>
      <c r="D4901" s="881" t="s">
        <v>30785</v>
      </c>
    </row>
    <row r="4902" spans="1:4" ht="13.5" x14ac:dyDescent="0.25">
      <c r="A4902" s="878" t="s">
        <v>13021</v>
      </c>
      <c r="B4902" s="878" t="s">
        <v>13022</v>
      </c>
      <c r="C4902" s="879" t="s">
        <v>226</v>
      </c>
      <c r="D4902" s="880" t="s">
        <v>42809</v>
      </c>
    </row>
    <row r="4903" spans="1:4" ht="13.5" x14ac:dyDescent="0.25">
      <c r="A4903" s="878" t="s">
        <v>13023</v>
      </c>
      <c r="B4903" s="878" t="s">
        <v>13024</v>
      </c>
      <c r="C4903" s="879" t="s">
        <v>226</v>
      </c>
      <c r="D4903" s="880" t="s">
        <v>12034</v>
      </c>
    </row>
    <row r="4904" spans="1:4" ht="13.5" x14ac:dyDescent="0.25">
      <c r="A4904" s="878" t="s">
        <v>13026</v>
      </c>
      <c r="B4904" s="878" t="s">
        <v>13027</v>
      </c>
      <c r="C4904" s="879" t="s">
        <v>226</v>
      </c>
      <c r="D4904" s="880" t="s">
        <v>42810</v>
      </c>
    </row>
    <row r="4905" spans="1:4" ht="13.5" x14ac:dyDescent="0.25">
      <c r="A4905" s="878" t="s">
        <v>13028</v>
      </c>
      <c r="B4905" s="878" t="s">
        <v>13029</v>
      </c>
      <c r="C4905" s="879" t="s">
        <v>226</v>
      </c>
      <c r="D4905" s="880" t="s">
        <v>42811</v>
      </c>
    </row>
    <row r="4906" spans="1:4" ht="13.5" x14ac:dyDescent="0.25">
      <c r="A4906" s="878" t="s">
        <v>13030</v>
      </c>
      <c r="B4906" s="878" t="s">
        <v>13031</v>
      </c>
      <c r="C4906" s="879" t="s">
        <v>226</v>
      </c>
      <c r="D4906" s="880" t="s">
        <v>42812</v>
      </c>
    </row>
    <row r="4907" spans="1:4" ht="13.5" x14ac:dyDescent="0.25">
      <c r="A4907" s="878" t="s">
        <v>13032</v>
      </c>
      <c r="B4907" s="878" t="s">
        <v>13033</v>
      </c>
      <c r="C4907" s="879" t="s">
        <v>226</v>
      </c>
      <c r="D4907" s="880" t="s">
        <v>30998</v>
      </c>
    </row>
    <row r="4908" spans="1:4" ht="13.5" x14ac:dyDescent="0.25">
      <c r="A4908" s="878" t="s">
        <v>13035</v>
      </c>
      <c r="B4908" s="878" t="s">
        <v>13036</v>
      </c>
      <c r="C4908" s="879" t="s">
        <v>226</v>
      </c>
      <c r="D4908" s="880" t="s">
        <v>42813</v>
      </c>
    </row>
    <row r="4909" spans="1:4" ht="13.5" x14ac:dyDescent="0.25">
      <c r="A4909" s="878" t="s">
        <v>13037</v>
      </c>
      <c r="B4909" s="878" t="s">
        <v>13038</v>
      </c>
      <c r="C4909" s="879" t="s">
        <v>226</v>
      </c>
      <c r="D4909" s="880" t="s">
        <v>42814</v>
      </c>
    </row>
    <row r="4910" spans="1:4" ht="13.5" x14ac:dyDescent="0.25">
      <c r="A4910" s="878" t="s">
        <v>13039</v>
      </c>
      <c r="B4910" s="878" t="s">
        <v>13040</v>
      </c>
      <c r="C4910" s="879" t="s">
        <v>226</v>
      </c>
      <c r="D4910" s="880" t="s">
        <v>42815</v>
      </c>
    </row>
    <row r="4911" spans="1:4" ht="13.5" x14ac:dyDescent="0.25">
      <c r="A4911" s="878" t="s">
        <v>13041</v>
      </c>
      <c r="B4911" s="878" t="s">
        <v>13042</v>
      </c>
      <c r="C4911" s="879" t="s">
        <v>226</v>
      </c>
      <c r="D4911" s="880" t="s">
        <v>42816</v>
      </c>
    </row>
    <row r="4912" spans="1:4" ht="13.5" x14ac:dyDescent="0.25">
      <c r="A4912" s="878" t="s">
        <v>13043</v>
      </c>
      <c r="B4912" s="878" t="s">
        <v>13044</v>
      </c>
      <c r="C4912" s="879" t="s">
        <v>226</v>
      </c>
      <c r="D4912" s="880" t="s">
        <v>42817</v>
      </c>
    </row>
    <row r="4913" spans="1:4" ht="13.5" x14ac:dyDescent="0.25">
      <c r="A4913" s="878" t="s">
        <v>13045</v>
      </c>
      <c r="B4913" s="878" t="s">
        <v>13046</v>
      </c>
      <c r="C4913" s="879" t="s">
        <v>226</v>
      </c>
      <c r="D4913" s="880" t="s">
        <v>42818</v>
      </c>
    </row>
    <row r="4914" spans="1:4" ht="13.5" x14ac:dyDescent="0.25">
      <c r="A4914" s="878" t="s">
        <v>13048</v>
      </c>
      <c r="B4914" s="878" t="s">
        <v>13049</v>
      </c>
      <c r="C4914" s="879" t="s">
        <v>226</v>
      </c>
      <c r="D4914" s="880" t="s">
        <v>42819</v>
      </c>
    </row>
    <row r="4915" spans="1:4" ht="13.5" x14ac:dyDescent="0.25">
      <c r="A4915" s="878" t="s">
        <v>13050</v>
      </c>
      <c r="B4915" s="878" t="s">
        <v>13051</v>
      </c>
      <c r="C4915" s="879" t="s">
        <v>226</v>
      </c>
      <c r="D4915" s="880" t="s">
        <v>42820</v>
      </c>
    </row>
    <row r="4916" spans="1:4" ht="13.5" x14ac:dyDescent="0.25">
      <c r="A4916" s="878" t="s">
        <v>13052</v>
      </c>
      <c r="B4916" s="878" t="s">
        <v>13053</v>
      </c>
      <c r="C4916" s="879" t="s">
        <v>226</v>
      </c>
      <c r="D4916" s="880" t="s">
        <v>42821</v>
      </c>
    </row>
    <row r="4917" spans="1:4" ht="13.5" x14ac:dyDescent="0.25">
      <c r="A4917" s="878" t="s">
        <v>13054</v>
      </c>
      <c r="B4917" s="878" t="s">
        <v>13055</v>
      </c>
      <c r="C4917" s="879" t="s">
        <v>226</v>
      </c>
      <c r="D4917" s="880" t="s">
        <v>42822</v>
      </c>
    </row>
    <row r="4918" spans="1:4" ht="13.5" x14ac:dyDescent="0.25">
      <c r="A4918" s="878" t="s">
        <v>13056</v>
      </c>
      <c r="B4918" s="878" t="s">
        <v>13057</v>
      </c>
      <c r="C4918" s="879" t="s">
        <v>226</v>
      </c>
      <c r="D4918" s="880" t="s">
        <v>42823</v>
      </c>
    </row>
    <row r="4919" spans="1:4" ht="13.5" x14ac:dyDescent="0.25">
      <c r="A4919" s="878" t="s">
        <v>13058</v>
      </c>
      <c r="B4919" s="878" t="s">
        <v>13059</v>
      </c>
      <c r="C4919" s="879" t="s">
        <v>226</v>
      </c>
      <c r="D4919" s="880" t="s">
        <v>42824</v>
      </c>
    </row>
    <row r="4920" spans="1:4" ht="13.5" x14ac:dyDescent="0.25">
      <c r="A4920" s="878" t="s">
        <v>13060</v>
      </c>
      <c r="B4920" s="878" t="s">
        <v>13061</v>
      </c>
      <c r="C4920" s="879" t="s">
        <v>226</v>
      </c>
      <c r="D4920" s="880" t="s">
        <v>42825</v>
      </c>
    </row>
    <row r="4921" spans="1:4" ht="13.5" x14ac:dyDescent="0.25">
      <c r="A4921" s="878" t="s">
        <v>13062</v>
      </c>
      <c r="B4921" s="878" t="s">
        <v>13063</v>
      </c>
      <c r="C4921" s="879" t="s">
        <v>226</v>
      </c>
      <c r="D4921" s="880" t="s">
        <v>42826</v>
      </c>
    </row>
    <row r="4922" spans="1:4" ht="13.5" x14ac:dyDescent="0.25">
      <c r="A4922" s="878" t="s">
        <v>13064</v>
      </c>
      <c r="B4922" s="878" t="s">
        <v>13065</v>
      </c>
      <c r="C4922" s="879" t="s">
        <v>226</v>
      </c>
      <c r="D4922" s="880" t="s">
        <v>42827</v>
      </c>
    </row>
    <row r="4923" spans="1:4" ht="13.5" x14ac:dyDescent="0.25">
      <c r="A4923" s="878" t="s">
        <v>13066</v>
      </c>
      <c r="B4923" s="878" t="s">
        <v>13067</v>
      </c>
      <c r="C4923" s="879" t="s">
        <v>226</v>
      </c>
      <c r="D4923" s="880" t="s">
        <v>42828</v>
      </c>
    </row>
    <row r="4924" spans="1:4" ht="13.5" x14ac:dyDescent="0.25">
      <c r="A4924" s="878" t="s">
        <v>13068</v>
      </c>
      <c r="B4924" s="878" t="s">
        <v>13069</v>
      </c>
      <c r="C4924" s="879" t="s">
        <v>226</v>
      </c>
      <c r="D4924" s="881" t="s">
        <v>42829</v>
      </c>
    </row>
    <row r="4925" spans="1:4" ht="13.5" x14ac:dyDescent="0.25">
      <c r="A4925" s="878" t="s">
        <v>13070</v>
      </c>
      <c r="B4925" s="878" t="s">
        <v>13071</v>
      </c>
      <c r="C4925" s="879" t="s">
        <v>226</v>
      </c>
      <c r="D4925" s="881" t="s">
        <v>30804</v>
      </c>
    </row>
    <row r="4926" spans="1:4" ht="13.5" x14ac:dyDescent="0.25">
      <c r="A4926" s="878" t="s">
        <v>13072</v>
      </c>
      <c r="B4926" s="878" t="s">
        <v>13073</v>
      </c>
      <c r="C4926" s="879" t="s">
        <v>226</v>
      </c>
      <c r="D4926" s="881" t="s">
        <v>42830</v>
      </c>
    </row>
    <row r="4927" spans="1:4" ht="13.5" x14ac:dyDescent="0.25">
      <c r="A4927" s="878" t="s">
        <v>13074</v>
      </c>
      <c r="B4927" s="878" t="s">
        <v>13075</v>
      </c>
      <c r="C4927" s="879" t="s">
        <v>226</v>
      </c>
      <c r="D4927" s="881" t="s">
        <v>42831</v>
      </c>
    </row>
    <row r="4928" spans="1:4" ht="13.5" x14ac:dyDescent="0.25">
      <c r="A4928" s="878" t="s">
        <v>13077</v>
      </c>
      <c r="B4928" s="878" t="s">
        <v>13078</v>
      </c>
      <c r="C4928" s="879" t="s">
        <v>226</v>
      </c>
      <c r="D4928" s="881" t="s">
        <v>31071</v>
      </c>
    </row>
    <row r="4929" spans="1:4" ht="13.5" x14ac:dyDescent="0.25">
      <c r="A4929" s="878" t="s">
        <v>13079</v>
      </c>
      <c r="B4929" s="878" t="s">
        <v>13080</v>
      </c>
      <c r="C4929" s="879" t="s">
        <v>226</v>
      </c>
      <c r="D4929" s="881" t="s">
        <v>42832</v>
      </c>
    </row>
    <row r="4930" spans="1:4" ht="13.5" x14ac:dyDescent="0.25">
      <c r="A4930" s="878" t="s">
        <v>13081</v>
      </c>
      <c r="B4930" s="878" t="s">
        <v>13082</v>
      </c>
      <c r="C4930" s="879" t="s">
        <v>226</v>
      </c>
      <c r="D4930" s="881" t="s">
        <v>14694</v>
      </c>
    </row>
    <row r="4931" spans="1:4" ht="13.5" x14ac:dyDescent="0.25">
      <c r="A4931" s="878" t="s">
        <v>13083</v>
      </c>
      <c r="B4931" s="878" t="s">
        <v>13084</v>
      </c>
      <c r="C4931" s="879" t="s">
        <v>226</v>
      </c>
      <c r="D4931" s="881" t="s">
        <v>31347</v>
      </c>
    </row>
    <row r="4932" spans="1:4" ht="13.5" x14ac:dyDescent="0.25">
      <c r="A4932" s="878" t="s">
        <v>13085</v>
      </c>
      <c r="B4932" s="878" t="s">
        <v>13086</v>
      </c>
      <c r="C4932" s="879" t="s">
        <v>226</v>
      </c>
      <c r="D4932" s="881" t="s">
        <v>42833</v>
      </c>
    </row>
    <row r="4933" spans="1:4" ht="13.5" x14ac:dyDescent="0.25">
      <c r="A4933" s="878" t="s">
        <v>13087</v>
      </c>
      <c r="B4933" s="878" t="s">
        <v>13088</v>
      </c>
      <c r="C4933" s="879" t="s">
        <v>226</v>
      </c>
      <c r="D4933" s="881" t="s">
        <v>17136</v>
      </c>
    </row>
    <row r="4934" spans="1:4" ht="13.5" x14ac:dyDescent="0.25">
      <c r="A4934" s="878" t="s">
        <v>13089</v>
      </c>
      <c r="B4934" s="878" t="s">
        <v>13090</v>
      </c>
      <c r="C4934" s="879" t="s">
        <v>226</v>
      </c>
      <c r="D4934" s="881" t="s">
        <v>12102</v>
      </c>
    </row>
    <row r="4935" spans="1:4" ht="13.5" x14ac:dyDescent="0.25">
      <c r="A4935" s="878" t="s">
        <v>13092</v>
      </c>
      <c r="B4935" s="878" t="s">
        <v>13093</v>
      </c>
      <c r="C4935" s="879" t="s">
        <v>226</v>
      </c>
      <c r="D4935" s="881" t="s">
        <v>42106</v>
      </c>
    </row>
    <row r="4936" spans="1:4" ht="13.5" x14ac:dyDescent="0.25">
      <c r="A4936" s="878" t="s">
        <v>13095</v>
      </c>
      <c r="B4936" s="878" t="s">
        <v>13096</v>
      </c>
      <c r="C4936" s="879" t="s">
        <v>226</v>
      </c>
      <c r="D4936" s="881" t="s">
        <v>42834</v>
      </c>
    </row>
    <row r="4937" spans="1:4" ht="13.5" x14ac:dyDescent="0.25">
      <c r="A4937" s="878" t="s">
        <v>13097</v>
      </c>
      <c r="B4937" s="878" t="s">
        <v>13098</v>
      </c>
      <c r="C4937" s="879" t="s">
        <v>226</v>
      </c>
      <c r="D4937" s="881" t="s">
        <v>42113</v>
      </c>
    </row>
    <row r="4938" spans="1:4" ht="13.5" x14ac:dyDescent="0.25">
      <c r="A4938" s="878" t="s">
        <v>13099</v>
      </c>
      <c r="B4938" s="878" t="s">
        <v>13100</v>
      </c>
      <c r="C4938" s="879" t="s">
        <v>226</v>
      </c>
      <c r="D4938" s="881" t="s">
        <v>40382</v>
      </c>
    </row>
    <row r="4939" spans="1:4" ht="13.5" x14ac:dyDescent="0.25">
      <c r="A4939" s="878" t="s">
        <v>13101</v>
      </c>
      <c r="B4939" s="878" t="s">
        <v>13102</v>
      </c>
      <c r="C4939" s="879" t="s">
        <v>226</v>
      </c>
      <c r="D4939" s="881" t="s">
        <v>3346</v>
      </c>
    </row>
    <row r="4940" spans="1:4" ht="13.5" x14ac:dyDescent="0.25">
      <c r="A4940" s="878" t="s">
        <v>13103</v>
      </c>
      <c r="B4940" s="878" t="s">
        <v>13104</v>
      </c>
      <c r="C4940" s="879" t="s">
        <v>226</v>
      </c>
      <c r="D4940" s="881" t="s">
        <v>42621</v>
      </c>
    </row>
    <row r="4941" spans="1:4" ht="13.5" x14ac:dyDescent="0.25">
      <c r="A4941" s="878" t="s">
        <v>13105</v>
      </c>
      <c r="B4941" s="878" t="s">
        <v>13106</v>
      </c>
      <c r="C4941" s="879" t="s">
        <v>226</v>
      </c>
      <c r="D4941" s="881" t="s">
        <v>42835</v>
      </c>
    </row>
    <row r="4942" spans="1:4" ht="13.5" x14ac:dyDescent="0.25">
      <c r="A4942" s="878" t="s">
        <v>13107</v>
      </c>
      <c r="B4942" s="878" t="s">
        <v>13108</v>
      </c>
      <c r="C4942" s="879" t="s">
        <v>226</v>
      </c>
      <c r="D4942" s="881" t="s">
        <v>31123</v>
      </c>
    </row>
    <row r="4943" spans="1:4" ht="13.5" x14ac:dyDescent="0.25">
      <c r="A4943" s="878" t="s">
        <v>13109</v>
      </c>
      <c r="B4943" s="878" t="s">
        <v>13110</v>
      </c>
      <c r="C4943" s="879" t="s">
        <v>226</v>
      </c>
      <c r="D4943" s="881" t="s">
        <v>42836</v>
      </c>
    </row>
    <row r="4944" spans="1:4" ht="13.5" x14ac:dyDescent="0.25">
      <c r="A4944" s="878" t="s">
        <v>13111</v>
      </c>
      <c r="B4944" s="878" t="s">
        <v>13112</v>
      </c>
      <c r="C4944" s="879" t="s">
        <v>226</v>
      </c>
      <c r="D4944" s="881" t="s">
        <v>42837</v>
      </c>
    </row>
    <row r="4945" spans="1:4" ht="13.5" x14ac:dyDescent="0.25">
      <c r="A4945" s="878" t="s">
        <v>13113</v>
      </c>
      <c r="B4945" s="878" t="s">
        <v>13114</v>
      </c>
      <c r="C4945" s="879" t="s">
        <v>226</v>
      </c>
      <c r="D4945" s="881" t="s">
        <v>8184</v>
      </c>
    </row>
    <row r="4946" spans="1:4" ht="13.5" x14ac:dyDescent="0.25">
      <c r="A4946" s="878" t="s">
        <v>13115</v>
      </c>
      <c r="B4946" s="878" t="s">
        <v>13116</v>
      </c>
      <c r="C4946" s="879" t="s">
        <v>226</v>
      </c>
      <c r="D4946" s="881" t="s">
        <v>42838</v>
      </c>
    </row>
    <row r="4947" spans="1:4" ht="13.5" x14ac:dyDescent="0.25">
      <c r="A4947" s="878" t="s">
        <v>13117</v>
      </c>
      <c r="B4947" s="878" t="s">
        <v>13118</v>
      </c>
      <c r="C4947" s="879" t="s">
        <v>226</v>
      </c>
      <c r="D4947" s="881" t="s">
        <v>10796</v>
      </c>
    </row>
    <row r="4948" spans="1:4" ht="13.5" x14ac:dyDescent="0.25">
      <c r="A4948" s="878" t="s">
        <v>13119</v>
      </c>
      <c r="B4948" s="878" t="s">
        <v>13120</v>
      </c>
      <c r="C4948" s="879" t="s">
        <v>226</v>
      </c>
      <c r="D4948" s="881" t="s">
        <v>30502</v>
      </c>
    </row>
    <row r="4949" spans="1:4" ht="13.5" x14ac:dyDescent="0.25">
      <c r="A4949" s="878" t="s">
        <v>13121</v>
      </c>
      <c r="B4949" s="878" t="s">
        <v>13122</v>
      </c>
      <c r="C4949" s="879" t="s">
        <v>226</v>
      </c>
      <c r="D4949" s="881" t="s">
        <v>42839</v>
      </c>
    </row>
    <row r="4950" spans="1:4" ht="13.5" x14ac:dyDescent="0.25">
      <c r="A4950" s="878" t="s">
        <v>13123</v>
      </c>
      <c r="B4950" s="878" t="s">
        <v>13124</v>
      </c>
      <c r="C4950" s="879" t="s">
        <v>226</v>
      </c>
      <c r="D4950" s="881" t="s">
        <v>42840</v>
      </c>
    </row>
    <row r="4951" spans="1:4" ht="13.5" x14ac:dyDescent="0.25">
      <c r="A4951" s="878" t="s">
        <v>13125</v>
      </c>
      <c r="B4951" s="878" t="s">
        <v>13126</v>
      </c>
      <c r="C4951" s="879" t="s">
        <v>226</v>
      </c>
      <c r="D4951" s="881" t="s">
        <v>2990</v>
      </c>
    </row>
    <row r="4952" spans="1:4" ht="13.5" x14ac:dyDescent="0.25">
      <c r="A4952" s="878" t="s">
        <v>13127</v>
      </c>
      <c r="B4952" s="878" t="s">
        <v>13128</v>
      </c>
      <c r="C4952" s="879" t="s">
        <v>226</v>
      </c>
      <c r="D4952" s="881" t="s">
        <v>42841</v>
      </c>
    </row>
    <row r="4953" spans="1:4" ht="13.5" x14ac:dyDescent="0.25">
      <c r="A4953" s="878" t="s">
        <v>13129</v>
      </c>
      <c r="B4953" s="878" t="s">
        <v>13130</v>
      </c>
      <c r="C4953" s="879" t="s">
        <v>226</v>
      </c>
      <c r="D4953" s="881" t="s">
        <v>31268</v>
      </c>
    </row>
    <row r="4954" spans="1:4" ht="13.5" x14ac:dyDescent="0.25">
      <c r="A4954" s="878" t="s">
        <v>13131</v>
      </c>
      <c r="B4954" s="878" t="s">
        <v>13132</v>
      </c>
      <c r="C4954" s="879" t="s">
        <v>226</v>
      </c>
      <c r="D4954" s="881" t="s">
        <v>42354</v>
      </c>
    </row>
    <row r="4955" spans="1:4" ht="13.5" x14ac:dyDescent="0.25">
      <c r="A4955" s="878" t="s">
        <v>13133</v>
      </c>
      <c r="B4955" s="878" t="s">
        <v>13134</v>
      </c>
      <c r="C4955" s="879" t="s">
        <v>226</v>
      </c>
      <c r="D4955" s="881" t="s">
        <v>30742</v>
      </c>
    </row>
    <row r="4956" spans="1:4" ht="13.5" x14ac:dyDescent="0.25">
      <c r="A4956" s="878" t="s">
        <v>13135</v>
      </c>
      <c r="B4956" s="878" t="s">
        <v>13136</v>
      </c>
      <c r="C4956" s="879" t="s">
        <v>226</v>
      </c>
      <c r="D4956" s="881" t="s">
        <v>42842</v>
      </c>
    </row>
    <row r="4957" spans="1:4" ht="13.5" x14ac:dyDescent="0.25">
      <c r="A4957" s="878" t="s">
        <v>13137</v>
      </c>
      <c r="B4957" s="878" t="s">
        <v>13138</v>
      </c>
      <c r="C4957" s="879" t="s">
        <v>226</v>
      </c>
      <c r="D4957" s="881" t="s">
        <v>42843</v>
      </c>
    </row>
    <row r="4958" spans="1:4" ht="13.5" x14ac:dyDescent="0.25">
      <c r="A4958" s="878" t="s">
        <v>13139</v>
      </c>
      <c r="B4958" s="878" t="s">
        <v>13140</v>
      </c>
      <c r="C4958" s="879" t="s">
        <v>226</v>
      </c>
      <c r="D4958" s="881" t="s">
        <v>42844</v>
      </c>
    </row>
    <row r="4959" spans="1:4" ht="13.5" x14ac:dyDescent="0.25">
      <c r="A4959" s="878" t="s">
        <v>13141</v>
      </c>
      <c r="B4959" s="878" t="s">
        <v>13142</v>
      </c>
      <c r="C4959" s="879" t="s">
        <v>226</v>
      </c>
      <c r="D4959" s="881" t="s">
        <v>42845</v>
      </c>
    </row>
    <row r="4960" spans="1:4" ht="13.5" x14ac:dyDescent="0.25">
      <c r="A4960" s="878" t="s">
        <v>13144</v>
      </c>
      <c r="B4960" s="878" t="s">
        <v>13145</v>
      </c>
      <c r="C4960" s="879" t="s">
        <v>226</v>
      </c>
      <c r="D4960" s="881" t="s">
        <v>31064</v>
      </c>
    </row>
    <row r="4961" spans="1:4" ht="13.5" x14ac:dyDescent="0.25">
      <c r="A4961" s="878" t="s">
        <v>13146</v>
      </c>
      <c r="B4961" s="878" t="s">
        <v>13147</v>
      </c>
      <c r="C4961" s="879" t="s">
        <v>226</v>
      </c>
      <c r="D4961" s="881" t="s">
        <v>42846</v>
      </c>
    </row>
    <row r="4962" spans="1:4" ht="13.5" x14ac:dyDescent="0.25">
      <c r="A4962" s="878" t="s">
        <v>13148</v>
      </c>
      <c r="B4962" s="878" t="s">
        <v>13149</v>
      </c>
      <c r="C4962" s="879" t="s">
        <v>226</v>
      </c>
      <c r="D4962" s="881" t="s">
        <v>42847</v>
      </c>
    </row>
    <row r="4963" spans="1:4" ht="13.5" x14ac:dyDescent="0.25">
      <c r="A4963" s="878" t="s">
        <v>13150</v>
      </c>
      <c r="B4963" s="878" t="s">
        <v>13151</v>
      </c>
      <c r="C4963" s="879" t="s">
        <v>226</v>
      </c>
      <c r="D4963" s="881" t="s">
        <v>42848</v>
      </c>
    </row>
    <row r="4964" spans="1:4" ht="13.5" x14ac:dyDescent="0.25">
      <c r="A4964" s="878" t="s">
        <v>13152</v>
      </c>
      <c r="B4964" s="878" t="s">
        <v>13153</v>
      </c>
      <c r="C4964" s="879" t="s">
        <v>226</v>
      </c>
      <c r="D4964" s="881" t="s">
        <v>42849</v>
      </c>
    </row>
    <row r="4965" spans="1:4" ht="13.5" x14ac:dyDescent="0.25">
      <c r="A4965" s="878" t="s">
        <v>13154</v>
      </c>
      <c r="B4965" s="878" t="s">
        <v>13155</v>
      </c>
      <c r="C4965" s="879" t="s">
        <v>226</v>
      </c>
      <c r="D4965" s="881" t="s">
        <v>42850</v>
      </c>
    </row>
    <row r="4966" spans="1:4" ht="13.5" x14ac:dyDescent="0.25">
      <c r="A4966" s="878" t="s">
        <v>13156</v>
      </c>
      <c r="B4966" s="878" t="s">
        <v>13157</v>
      </c>
      <c r="C4966" s="879" t="s">
        <v>226</v>
      </c>
      <c r="D4966" s="881" t="s">
        <v>42851</v>
      </c>
    </row>
    <row r="4967" spans="1:4" ht="13.5" x14ac:dyDescent="0.25">
      <c r="A4967" s="878" t="s">
        <v>13158</v>
      </c>
      <c r="B4967" s="878" t="s">
        <v>13159</v>
      </c>
      <c r="C4967" s="879" t="s">
        <v>226</v>
      </c>
      <c r="D4967" s="881" t="s">
        <v>42852</v>
      </c>
    </row>
    <row r="4968" spans="1:4" ht="13.5" x14ac:dyDescent="0.25">
      <c r="A4968" s="878" t="s">
        <v>13160</v>
      </c>
      <c r="B4968" s="878" t="s">
        <v>13161</v>
      </c>
      <c r="C4968" s="879" t="s">
        <v>226</v>
      </c>
      <c r="D4968" s="881" t="s">
        <v>42853</v>
      </c>
    </row>
    <row r="4969" spans="1:4" ht="13.5" x14ac:dyDescent="0.25">
      <c r="A4969" s="878" t="s">
        <v>13162</v>
      </c>
      <c r="B4969" s="878" t="s">
        <v>13163</v>
      </c>
      <c r="C4969" s="879" t="s">
        <v>226</v>
      </c>
      <c r="D4969" s="881" t="s">
        <v>42854</v>
      </c>
    </row>
    <row r="4970" spans="1:4" ht="13.5" x14ac:dyDescent="0.25">
      <c r="A4970" s="878" t="s">
        <v>13164</v>
      </c>
      <c r="B4970" s="878" t="s">
        <v>13165</v>
      </c>
      <c r="C4970" s="879" t="s">
        <v>226</v>
      </c>
      <c r="D4970" s="880" t="s">
        <v>42855</v>
      </c>
    </row>
    <row r="4971" spans="1:4" ht="13.5" x14ac:dyDescent="0.25">
      <c r="A4971" s="878" t="s">
        <v>13166</v>
      </c>
      <c r="B4971" s="878" t="s">
        <v>13167</v>
      </c>
      <c r="C4971" s="879" t="s">
        <v>226</v>
      </c>
      <c r="D4971" s="880" t="s">
        <v>42856</v>
      </c>
    </row>
    <row r="4972" spans="1:4" ht="13.5" x14ac:dyDescent="0.25">
      <c r="A4972" s="878" t="s">
        <v>13168</v>
      </c>
      <c r="B4972" s="878" t="s">
        <v>13169</v>
      </c>
      <c r="C4972" s="879" t="s">
        <v>226</v>
      </c>
      <c r="D4972" s="880" t="s">
        <v>42857</v>
      </c>
    </row>
    <row r="4973" spans="1:4" ht="13.5" x14ac:dyDescent="0.25">
      <c r="A4973" s="878" t="s">
        <v>13170</v>
      </c>
      <c r="B4973" s="878" t="s">
        <v>13171</v>
      </c>
      <c r="C4973" s="879" t="s">
        <v>226</v>
      </c>
      <c r="D4973" s="880" t="s">
        <v>42858</v>
      </c>
    </row>
    <row r="4974" spans="1:4" ht="13.5" x14ac:dyDescent="0.25">
      <c r="A4974" s="878" t="s">
        <v>13172</v>
      </c>
      <c r="B4974" s="878" t="s">
        <v>13173</v>
      </c>
      <c r="C4974" s="879" t="s">
        <v>226</v>
      </c>
      <c r="D4974" s="880" t="s">
        <v>42859</v>
      </c>
    </row>
    <row r="4975" spans="1:4" ht="13.5" x14ac:dyDescent="0.25">
      <c r="A4975" s="878" t="s">
        <v>13174</v>
      </c>
      <c r="B4975" s="878" t="s">
        <v>13175</v>
      </c>
      <c r="C4975" s="879" t="s">
        <v>226</v>
      </c>
      <c r="D4975" s="880" t="s">
        <v>42860</v>
      </c>
    </row>
    <row r="4976" spans="1:4" ht="13.5" x14ac:dyDescent="0.25">
      <c r="A4976" s="878" t="s">
        <v>13176</v>
      </c>
      <c r="B4976" s="878" t="s">
        <v>13177</v>
      </c>
      <c r="C4976" s="879" t="s">
        <v>226</v>
      </c>
      <c r="D4976" s="880" t="s">
        <v>42861</v>
      </c>
    </row>
    <row r="4977" spans="1:4" ht="13.5" x14ac:dyDescent="0.25">
      <c r="A4977" s="878" t="s">
        <v>13178</v>
      </c>
      <c r="B4977" s="878" t="s">
        <v>13179</v>
      </c>
      <c r="C4977" s="879" t="s">
        <v>226</v>
      </c>
      <c r="D4977" s="880" t="s">
        <v>42862</v>
      </c>
    </row>
    <row r="4978" spans="1:4" ht="13.5" x14ac:dyDescent="0.25">
      <c r="A4978" s="878" t="s">
        <v>13180</v>
      </c>
      <c r="B4978" s="878" t="s">
        <v>13181</v>
      </c>
      <c r="C4978" s="879" t="s">
        <v>226</v>
      </c>
      <c r="D4978" s="880" t="s">
        <v>42863</v>
      </c>
    </row>
    <row r="4979" spans="1:4" ht="13.5" x14ac:dyDescent="0.25">
      <c r="A4979" s="878" t="s">
        <v>13182</v>
      </c>
      <c r="B4979" s="878" t="s">
        <v>13183</v>
      </c>
      <c r="C4979" s="879" t="s">
        <v>226</v>
      </c>
      <c r="D4979" s="880" t="s">
        <v>42864</v>
      </c>
    </row>
    <row r="4980" spans="1:4" ht="13.5" x14ac:dyDescent="0.25">
      <c r="A4980" s="878" t="s">
        <v>13184</v>
      </c>
      <c r="B4980" s="878" t="s">
        <v>13185</v>
      </c>
      <c r="C4980" s="879" t="s">
        <v>226</v>
      </c>
      <c r="D4980" s="880" t="s">
        <v>42865</v>
      </c>
    </row>
    <row r="4981" spans="1:4" ht="13.5" x14ac:dyDescent="0.25">
      <c r="A4981" s="878" t="s">
        <v>13186</v>
      </c>
      <c r="B4981" s="878" t="s">
        <v>13187</v>
      </c>
      <c r="C4981" s="879" t="s">
        <v>226</v>
      </c>
      <c r="D4981" s="880" t="s">
        <v>42866</v>
      </c>
    </row>
    <row r="4982" spans="1:4" ht="13.5" x14ac:dyDescent="0.25">
      <c r="A4982" s="878" t="s">
        <v>13188</v>
      </c>
      <c r="B4982" s="878" t="s">
        <v>13189</v>
      </c>
      <c r="C4982" s="879" t="s">
        <v>226</v>
      </c>
      <c r="D4982" s="880" t="s">
        <v>42867</v>
      </c>
    </row>
    <row r="4983" spans="1:4" ht="13.5" x14ac:dyDescent="0.25">
      <c r="A4983" s="878" t="s">
        <v>13190</v>
      </c>
      <c r="B4983" s="878" t="s">
        <v>13191</v>
      </c>
      <c r="C4983" s="879" t="s">
        <v>226</v>
      </c>
      <c r="D4983" s="880" t="s">
        <v>42868</v>
      </c>
    </row>
    <row r="4984" spans="1:4" ht="13.5" x14ac:dyDescent="0.25">
      <c r="A4984" s="878" t="s">
        <v>13192</v>
      </c>
      <c r="B4984" s="878" t="s">
        <v>13193</v>
      </c>
      <c r="C4984" s="879" t="s">
        <v>226</v>
      </c>
      <c r="D4984" s="880" t="s">
        <v>42869</v>
      </c>
    </row>
    <row r="4985" spans="1:4" ht="13.5" x14ac:dyDescent="0.25">
      <c r="A4985" s="878" t="s">
        <v>13194</v>
      </c>
      <c r="B4985" s="878" t="s">
        <v>13195</v>
      </c>
      <c r="C4985" s="879" t="s">
        <v>226</v>
      </c>
      <c r="D4985" s="880" t="s">
        <v>42870</v>
      </c>
    </row>
    <row r="4986" spans="1:4" ht="13.5" x14ac:dyDescent="0.25">
      <c r="A4986" s="878" t="s">
        <v>13196</v>
      </c>
      <c r="B4986" s="878" t="s">
        <v>13197</v>
      </c>
      <c r="C4986" s="879" t="s">
        <v>226</v>
      </c>
      <c r="D4986" s="880" t="s">
        <v>42871</v>
      </c>
    </row>
    <row r="4987" spans="1:4" ht="13.5" x14ac:dyDescent="0.25">
      <c r="A4987" s="878" t="s">
        <v>13198</v>
      </c>
      <c r="B4987" s="878" t="s">
        <v>13199</v>
      </c>
      <c r="C4987" s="879" t="s">
        <v>226</v>
      </c>
      <c r="D4987" s="880" t="s">
        <v>42872</v>
      </c>
    </row>
    <row r="4988" spans="1:4" ht="13.5" x14ac:dyDescent="0.25">
      <c r="A4988" s="878" t="s">
        <v>13200</v>
      </c>
      <c r="B4988" s="878" t="s">
        <v>13201</v>
      </c>
      <c r="C4988" s="879" t="s">
        <v>226</v>
      </c>
      <c r="D4988" s="880" t="s">
        <v>5351</v>
      </c>
    </row>
    <row r="4989" spans="1:4" ht="13.5" x14ac:dyDescent="0.25">
      <c r="A4989" s="878" t="s">
        <v>13202</v>
      </c>
      <c r="B4989" s="878" t="s">
        <v>13203</v>
      </c>
      <c r="C4989" s="879" t="s">
        <v>226</v>
      </c>
      <c r="D4989" s="880" t="s">
        <v>30259</v>
      </c>
    </row>
    <row r="4990" spans="1:4" ht="13.5" x14ac:dyDescent="0.25">
      <c r="A4990" s="878" t="s">
        <v>13204</v>
      </c>
      <c r="B4990" s="878" t="s">
        <v>13205</v>
      </c>
      <c r="C4990" s="879" t="s">
        <v>226</v>
      </c>
      <c r="D4990" s="880" t="s">
        <v>5216</v>
      </c>
    </row>
    <row r="4991" spans="1:4" ht="13.5" x14ac:dyDescent="0.25">
      <c r="A4991" s="878" t="s">
        <v>13206</v>
      </c>
      <c r="B4991" s="878" t="s">
        <v>13207</v>
      </c>
      <c r="C4991" s="879" t="s">
        <v>226</v>
      </c>
      <c r="D4991" s="880" t="s">
        <v>13091</v>
      </c>
    </row>
    <row r="4992" spans="1:4" ht="13.5" x14ac:dyDescent="0.25">
      <c r="A4992" s="878" t="s">
        <v>13208</v>
      </c>
      <c r="B4992" s="878" t="s">
        <v>13209</v>
      </c>
      <c r="C4992" s="879" t="s">
        <v>226</v>
      </c>
      <c r="D4992" s="880" t="s">
        <v>31066</v>
      </c>
    </row>
    <row r="4993" spans="1:4" ht="13.5" x14ac:dyDescent="0.25">
      <c r="A4993" s="878" t="s">
        <v>13210</v>
      </c>
      <c r="B4993" s="878" t="s">
        <v>13211</v>
      </c>
      <c r="C4993" s="879" t="s">
        <v>226</v>
      </c>
      <c r="D4993" s="880" t="s">
        <v>10644</v>
      </c>
    </row>
    <row r="4994" spans="1:4" ht="13.5" x14ac:dyDescent="0.25">
      <c r="A4994" s="878" t="s">
        <v>13212</v>
      </c>
      <c r="B4994" s="878" t="s">
        <v>13213</v>
      </c>
      <c r="C4994" s="879" t="s">
        <v>226</v>
      </c>
      <c r="D4994" s="880" t="s">
        <v>3757</v>
      </c>
    </row>
    <row r="4995" spans="1:4" ht="13.5" x14ac:dyDescent="0.25">
      <c r="A4995" s="878" t="s">
        <v>13214</v>
      </c>
      <c r="B4995" s="878" t="s">
        <v>13215</v>
      </c>
      <c r="C4995" s="879" t="s">
        <v>226</v>
      </c>
      <c r="D4995" s="880" t="s">
        <v>4653</v>
      </c>
    </row>
    <row r="4996" spans="1:4" ht="13.5" x14ac:dyDescent="0.25">
      <c r="A4996" s="878" t="s">
        <v>13217</v>
      </c>
      <c r="B4996" s="878" t="s">
        <v>13218</v>
      </c>
      <c r="C4996" s="879" t="s">
        <v>226</v>
      </c>
      <c r="D4996" s="880" t="s">
        <v>30727</v>
      </c>
    </row>
    <row r="4997" spans="1:4" ht="13.5" x14ac:dyDescent="0.25">
      <c r="A4997" s="878" t="s">
        <v>13219</v>
      </c>
      <c r="B4997" s="878" t="s">
        <v>13220</v>
      </c>
      <c r="C4997" s="879" t="s">
        <v>226</v>
      </c>
      <c r="D4997" s="880" t="s">
        <v>9763</v>
      </c>
    </row>
    <row r="4998" spans="1:4" ht="13.5" x14ac:dyDescent="0.25">
      <c r="A4998" s="878" t="s">
        <v>13221</v>
      </c>
      <c r="B4998" s="878" t="s">
        <v>13222</v>
      </c>
      <c r="C4998" s="879" t="s">
        <v>226</v>
      </c>
      <c r="D4998" s="880" t="s">
        <v>31048</v>
      </c>
    </row>
    <row r="4999" spans="1:4" ht="13.5" x14ac:dyDescent="0.25">
      <c r="A4999" s="878" t="s">
        <v>13223</v>
      </c>
      <c r="B4999" s="878" t="s">
        <v>13224</v>
      </c>
      <c r="C4999" s="879" t="s">
        <v>226</v>
      </c>
      <c r="D4999" s="880" t="s">
        <v>11823</v>
      </c>
    </row>
    <row r="5000" spans="1:4" ht="13.5" x14ac:dyDescent="0.25">
      <c r="A5000" s="878" t="s">
        <v>13225</v>
      </c>
      <c r="B5000" s="878" t="s">
        <v>13226</v>
      </c>
      <c r="C5000" s="879" t="s">
        <v>226</v>
      </c>
      <c r="D5000" s="880" t="s">
        <v>4120</v>
      </c>
    </row>
    <row r="5001" spans="1:4" ht="13.5" x14ac:dyDescent="0.25">
      <c r="A5001" s="878" t="s">
        <v>13228</v>
      </c>
      <c r="B5001" s="878" t="s">
        <v>13229</v>
      </c>
      <c r="C5001" s="879" t="s">
        <v>226</v>
      </c>
      <c r="D5001" s="880" t="s">
        <v>6835</v>
      </c>
    </row>
    <row r="5002" spans="1:4" ht="13.5" x14ac:dyDescent="0.25">
      <c r="A5002" s="878" t="s">
        <v>13230</v>
      </c>
      <c r="B5002" s="878" t="s">
        <v>13231</v>
      </c>
      <c r="C5002" s="879" t="s">
        <v>226</v>
      </c>
      <c r="D5002" s="880" t="s">
        <v>30828</v>
      </c>
    </row>
    <row r="5003" spans="1:4" ht="13.5" x14ac:dyDescent="0.25">
      <c r="A5003" s="878" t="s">
        <v>13232</v>
      </c>
      <c r="B5003" s="878" t="s">
        <v>13233</v>
      </c>
      <c r="C5003" s="879" t="s">
        <v>226</v>
      </c>
      <c r="D5003" s="880" t="s">
        <v>8184</v>
      </c>
    </row>
    <row r="5004" spans="1:4" ht="13.5" x14ac:dyDescent="0.25">
      <c r="A5004" s="878" t="s">
        <v>13234</v>
      </c>
      <c r="B5004" s="878" t="s">
        <v>13235</v>
      </c>
      <c r="C5004" s="879" t="s">
        <v>226</v>
      </c>
      <c r="D5004" s="880" t="s">
        <v>31067</v>
      </c>
    </row>
    <row r="5005" spans="1:4" ht="13.5" x14ac:dyDescent="0.25">
      <c r="A5005" s="878" t="s">
        <v>13236</v>
      </c>
      <c r="B5005" s="878" t="s">
        <v>13237</v>
      </c>
      <c r="C5005" s="879" t="s">
        <v>226</v>
      </c>
      <c r="D5005" s="880" t="s">
        <v>31068</v>
      </c>
    </row>
    <row r="5006" spans="1:4" ht="13.5" x14ac:dyDescent="0.25">
      <c r="A5006" s="878" t="s">
        <v>13238</v>
      </c>
      <c r="B5006" s="878" t="s">
        <v>13239</v>
      </c>
      <c r="C5006" s="879" t="s">
        <v>226</v>
      </c>
      <c r="D5006" s="880" t="s">
        <v>42873</v>
      </c>
    </row>
    <row r="5007" spans="1:4" ht="13.5" x14ac:dyDescent="0.25">
      <c r="A5007" s="878" t="s">
        <v>13240</v>
      </c>
      <c r="B5007" s="878" t="s">
        <v>13241</v>
      </c>
      <c r="C5007" s="879" t="s">
        <v>226</v>
      </c>
      <c r="D5007" s="880" t="s">
        <v>42874</v>
      </c>
    </row>
    <row r="5008" spans="1:4" ht="13.5" x14ac:dyDescent="0.25">
      <c r="A5008" s="878" t="s">
        <v>13242</v>
      </c>
      <c r="B5008" s="878" t="s">
        <v>13243</v>
      </c>
      <c r="C5008" s="879" t="s">
        <v>226</v>
      </c>
      <c r="D5008" s="880" t="s">
        <v>42875</v>
      </c>
    </row>
    <row r="5009" spans="1:4" ht="13.5" x14ac:dyDescent="0.25">
      <c r="A5009" s="878" t="s">
        <v>13244</v>
      </c>
      <c r="B5009" s="878" t="s">
        <v>13245</v>
      </c>
      <c r="C5009" s="879" t="s">
        <v>226</v>
      </c>
      <c r="D5009" s="880" t="s">
        <v>42876</v>
      </c>
    </row>
    <row r="5010" spans="1:4" ht="13.5" x14ac:dyDescent="0.25">
      <c r="A5010" s="878" t="s">
        <v>13246</v>
      </c>
      <c r="B5010" s="878" t="s">
        <v>13247</v>
      </c>
      <c r="C5010" s="879" t="s">
        <v>226</v>
      </c>
      <c r="D5010" s="880" t="s">
        <v>42877</v>
      </c>
    </row>
    <row r="5011" spans="1:4" ht="13.5" x14ac:dyDescent="0.25">
      <c r="A5011" s="878" t="s">
        <v>39960</v>
      </c>
      <c r="B5011" s="878" t="s">
        <v>39961</v>
      </c>
      <c r="C5011" s="879" t="s">
        <v>226</v>
      </c>
      <c r="D5011" s="880" t="s">
        <v>42878</v>
      </c>
    </row>
    <row r="5012" spans="1:4" ht="13.5" x14ac:dyDescent="0.25">
      <c r="A5012" s="878" t="s">
        <v>13248</v>
      </c>
      <c r="B5012" s="878" t="s">
        <v>13249</v>
      </c>
      <c r="C5012" s="879" t="s">
        <v>226</v>
      </c>
      <c r="D5012" s="880" t="s">
        <v>42879</v>
      </c>
    </row>
    <row r="5013" spans="1:4" ht="13.5" x14ac:dyDescent="0.25">
      <c r="A5013" s="878" t="s">
        <v>39962</v>
      </c>
      <c r="B5013" s="878" t="s">
        <v>39963</v>
      </c>
      <c r="C5013" s="879" t="s">
        <v>226</v>
      </c>
      <c r="D5013" s="880" t="s">
        <v>42880</v>
      </c>
    </row>
    <row r="5014" spans="1:4" ht="13.5" x14ac:dyDescent="0.25">
      <c r="A5014" s="878" t="s">
        <v>13250</v>
      </c>
      <c r="B5014" s="878" t="s">
        <v>13251</v>
      </c>
      <c r="C5014" s="879" t="s">
        <v>226</v>
      </c>
      <c r="D5014" s="880" t="s">
        <v>42881</v>
      </c>
    </row>
    <row r="5015" spans="1:4" ht="13.5" x14ac:dyDescent="0.25">
      <c r="A5015" s="878" t="s">
        <v>13252</v>
      </c>
      <c r="B5015" s="878" t="s">
        <v>13253</v>
      </c>
      <c r="C5015" s="879" t="s">
        <v>226</v>
      </c>
      <c r="D5015" s="880" t="s">
        <v>42882</v>
      </c>
    </row>
    <row r="5016" spans="1:4" ht="13.5" x14ac:dyDescent="0.25">
      <c r="A5016" s="878" t="s">
        <v>13254</v>
      </c>
      <c r="B5016" s="878" t="s">
        <v>13255</v>
      </c>
      <c r="C5016" s="879" t="s">
        <v>226</v>
      </c>
      <c r="D5016" s="880" t="s">
        <v>42883</v>
      </c>
    </row>
    <row r="5017" spans="1:4" ht="13.5" x14ac:dyDescent="0.25">
      <c r="A5017" s="878" t="s">
        <v>39964</v>
      </c>
      <c r="B5017" s="878" t="s">
        <v>39965</v>
      </c>
      <c r="C5017" s="879" t="s">
        <v>226</v>
      </c>
      <c r="D5017" s="880" t="s">
        <v>42884</v>
      </c>
    </row>
    <row r="5018" spans="1:4" ht="13.5" x14ac:dyDescent="0.25">
      <c r="A5018" s="878" t="s">
        <v>13256</v>
      </c>
      <c r="B5018" s="878" t="s">
        <v>13257</v>
      </c>
      <c r="C5018" s="879" t="s">
        <v>226</v>
      </c>
      <c r="D5018" s="880" t="s">
        <v>42885</v>
      </c>
    </row>
    <row r="5019" spans="1:4" ht="13.5" x14ac:dyDescent="0.25">
      <c r="A5019" s="878" t="s">
        <v>39966</v>
      </c>
      <c r="B5019" s="878" t="s">
        <v>39967</v>
      </c>
      <c r="C5019" s="879" t="s">
        <v>226</v>
      </c>
      <c r="D5019" s="880" t="s">
        <v>42886</v>
      </c>
    </row>
    <row r="5020" spans="1:4" ht="13.5" x14ac:dyDescent="0.25">
      <c r="A5020" s="878" t="s">
        <v>13258</v>
      </c>
      <c r="B5020" s="878" t="s">
        <v>13259</v>
      </c>
      <c r="C5020" s="879" t="s">
        <v>226</v>
      </c>
      <c r="D5020" s="880" t="s">
        <v>42887</v>
      </c>
    </row>
    <row r="5021" spans="1:4" ht="13.5" x14ac:dyDescent="0.25">
      <c r="A5021" s="878" t="s">
        <v>39968</v>
      </c>
      <c r="B5021" s="878" t="s">
        <v>39969</v>
      </c>
      <c r="C5021" s="879" t="s">
        <v>226</v>
      </c>
      <c r="D5021" s="880" t="s">
        <v>42888</v>
      </c>
    </row>
    <row r="5022" spans="1:4" ht="13.5" x14ac:dyDescent="0.25">
      <c r="A5022" s="878" t="s">
        <v>39970</v>
      </c>
      <c r="B5022" s="878" t="s">
        <v>39971</v>
      </c>
      <c r="C5022" s="879" t="s">
        <v>226</v>
      </c>
      <c r="D5022" s="880" t="s">
        <v>42889</v>
      </c>
    </row>
    <row r="5023" spans="1:4" ht="13.5" x14ac:dyDescent="0.25">
      <c r="A5023" s="878" t="s">
        <v>13260</v>
      </c>
      <c r="B5023" s="878" t="s">
        <v>13261</v>
      </c>
      <c r="C5023" s="879" t="s">
        <v>226</v>
      </c>
      <c r="D5023" s="880" t="s">
        <v>42890</v>
      </c>
    </row>
    <row r="5024" spans="1:4" ht="13.5" x14ac:dyDescent="0.25">
      <c r="A5024" s="878" t="s">
        <v>13262</v>
      </c>
      <c r="B5024" s="878" t="s">
        <v>13263</v>
      </c>
      <c r="C5024" s="879" t="s">
        <v>226</v>
      </c>
      <c r="D5024" s="880" t="s">
        <v>42891</v>
      </c>
    </row>
    <row r="5025" spans="1:4" ht="13.5" x14ac:dyDescent="0.25">
      <c r="A5025" s="878" t="s">
        <v>13264</v>
      </c>
      <c r="B5025" s="878" t="s">
        <v>13265</v>
      </c>
      <c r="C5025" s="879" t="s">
        <v>226</v>
      </c>
      <c r="D5025" s="880" t="s">
        <v>31101</v>
      </c>
    </row>
    <row r="5026" spans="1:4" ht="13.5" x14ac:dyDescent="0.25">
      <c r="A5026" s="878" t="s">
        <v>13266</v>
      </c>
      <c r="B5026" s="878" t="s">
        <v>13267</v>
      </c>
      <c r="C5026" s="879" t="s">
        <v>226</v>
      </c>
      <c r="D5026" s="880" t="s">
        <v>31238</v>
      </c>
    </row>
    <row r="5027" spans="1:4" ht="13.5" x14ac:dyDescent="0.25">
      <c r="A5027" s="878" t="s">
        <v>13268</v>
      </c>
      <c r="B5027" s="878" t="s">
        <v>13269</v>
      </c>
      <c r="C5027" s="879" t="s">
        <v>226</v>
      </c>
      <c r="D5027" s="880" t="s">
        <v>31326</v>
      </c>
    </row>
    <row r="5028" spans="1:4" ht="13.5" x14ac:dyDescent="0.25">
      <c r="A5028" s="878" t="s">
        <v>13270</v>
      </c>
      <c r="B5028" s="878" t="s">
        <v>13271</v>
      </c>
      <c r="C5028" s="879" t="s">
        <v>226</v>
      </c>
      <c r="D5028" s="880" t="s">
        <v>42892</v>
      </c>
    </row>
    <row r="5029" spans="1:4" ht="13.5" x14ac:dyDescent="0.25">
      <c r="A5029" s="878" t="s">
        <v>13272</v>
      </c>
      <c r="B5029" s="878" t="s">
        <v>13273</v>
      </c>
      <c r="C5029" s="879" t="s">
        <v>226</v>
      </c>
      <c r="D5029" s="880" t="s">
        <v>42893</v>
      </c>
    </row>
    <row r="5030" spans="1:4" ht="13.5" x14ac:dyDescent="0.25">
      <c r="A5030" s="878" t="s">
        <v>13274</v>
      </c>
      <c r="B5030" s="878" t="s">
        <v>13275</v>
      </c>
      <c r="C5030" s="879" t="s">
        <v>226</v>
      </c>
      <c r="D5030" s="880" t="s">
        <v>40094</v>
      </c>
    </row>
    <row r="5031" spans="1:4" ht="13.5" x14ac:dyDescent="0.25">
      <c r="A5031" s="878" t="s">
        <v>13276</v>
      </c>
      <c r="B5031" s="878" t="s">
        <v>13277</v>
      </c>
      <c r="C5031" s="879" t="s">
        <v>226</v>
      </c>
      <c r="D5031" s="880" t="s">
        <v>8754</v>
      </c>
    </row>
    <row r="5032" spans="1:4" ht="13.5" x14ac:dyDescent="0.25">
      <c r="A5032" s="878" t="s">
        <v>13278</v>
      </c>
      <c r="B5032" s="878" t="s">
        <v>13279</v>
      </c>
      <c r="C5032" s="879" t="s">
        <v>226</v>
      </c>
      <c r="D5032" s="880" t="s">
        <v>8727</v>
      </c>
    </row>
    <row r="5033" spans="1:4" ht="13.5" x14ac:dyDescent="0.25">
      <c r="A5033" s="878" t="s">
        <v>13280</v>
      </c>
      <c r="B5033" s="878" t="s">
        <v>13281</v>
      </c>
      <c r="C5033" s="879" t="s">
        <v>226</v>
      </c>
      <c r="D5033" s="880" t="s">
        <v>11361</v>
      </c>
    </row>
    <row r="5034" spans="1:4" ht="13.5" x14ac:dyDescent="0.25">
      <c r="A5034" s="878" t="s">
        <v>13282</v>
      </c>
      <c r="B5034" s="878" t="s">
        <v>13283</v>
      </c>
      <c r="C5034" s="879" t="s">
        <v>226</v>
      </c>
      <c r="D5034" s="880" t="s">
        <v>42894</v>
      </c>
    </row>
    <row r="5035" spans="1:4" ht="13.5" x14ac:dyDescent="0.25">
      <c r="A5035" s="878" t="s">
        <v>13284</v>
      </c>
      <c r="B5035" s="878" t="s">
        <v>13285</v>
      </c>
      <c r="C5035" s="879" t="s">
        <v>226</v>
      </c>
      <c r="D5035" s="880" t="s">
        <v>42895</v>
      </c>
    </row>
    <row r="5036" spans="1:4" ht="13.5" x14ac:dyDescent="0.25">
      <c r="A5036" s="878" t="s">
        <v>13286</v>
      </c>
      <c r="B5036" s="878" t="s">
        <v>13287</v>
      </c>
      <c r="C5036" s="879" t="s">
        <v>226</v>
      </c>
      <c r="D5036" s="880" t="s">
        <v>42896</v>
      </c>
    </row>
    <row r="5037" spans="1:4" ht="13.5" x14ac:dyDescent="0.25">
      <c r="A5037" s="878" t="s">
        <v>13288</v>
      </c>
      <c r="B5037" s="878" t="s">
        <v>13289</v>
      </c>
      <c r="C5037" s="879" t="s">
        <v>226</v>
      </c>
      <c r="D5037" s="880" t="s">
        <v>42897</v>
      </c>
    </row>
    <row r="5038" spans="1:4" ht="13.5" x14ac:dyDescent="0.25">
      <c r="A5038" s="878" t="s">
        <v>13290</v>
      </c>
      <c r="B5038" s="878" t="s">
        <v>13291</v>
      </c>
      <c r="C5038" s="879" t="s">
        <v>226</v>
      </c>
      <c r="D5038" s="880" t="s">
        <v>42898</v>
      </c>
    </row>
    <row r="5039" spans="1:4" ht="13.5" x14ac:dyDescent="0.25">
      <c r="A5039" s="878" t="s">
        <v>13292</v>
      </c>
      <c r="B5039" s="878" t="s">
        <v>13293</v>
      </c>
      <c r="C5039" s="879" t="s">
        <v>226</v>
      </c>
      <c r="D5039" s="880" t="s">
        <v>30202</v>
      </c>
    </row>
    <row r="5040" spans="1:4" ht="13.5" x14ac:dyDescent="0.25">
      <c r="A5040" s="878" t="s">
        <v>13294</v>
      </c>
      <c r="B5040" s="878" t="s">
        <v>13295</v>
      </c>
      <c r="C5040" s="879" t="s">
        <v>226</v>
      </c>
      <c r="D5040" s="880" t="s">
        <v>31070</v>
      </c>
    </row>
    <row r="5041" spans="1:4" ht="13.5" x14ac:dyDescent="0.25">
      <c r="A5041" s="878" t="s">
        <v>13296</v>
      </c>
      <c r="B5041" s="878" t="s">
        <v>13297</v>
      </c>
      <c r="C5041" s="879" t="s">
        <v>226</v>
      </c>
      <c r="D5041" s="880" t="s">
        <v>42899</v>
      </c>
    </row>
    <row r="5042" spans="1:4" ht="13.5" x14ac:dyDescent="0.25">
      <c r="A5042" s="878" t="s">
        <v>13298</v>
      </c>
      <c r="B5042" s="878" t="s">
        <v>13299</v>
      </c>
      <c r="C5042" s="879" t="s">
        <v>226</v>
      </c>
      <c r="D5042" s="880" t="s">
        <v>12934</v>
      </c>
    </row>
    <row r="5043" spans="1:4" ht="13.5" x14ac:dyDescent="0.25">
      <c r="A5043" s="878" t="s">
        <v>13300</v>
      </c>
      <c r="B5043" s="878" t="s">
        <v>13301</v>
      </c>
      <c r="C5043" s="879" t="s">
        <v>226</v>
      </c>
      <c r="D5043" s="880" t="s">
        <v>9201</v>
      </c>
    </row>
    <row r="5044" spans="1:4" ht="13.5" x14ac:dyDescent="0.25">
      <c r="A5044" s="878" t="s">
        <v>13302</v>
      </c>
      <c r="B5044" s="878" t="s">
        <v>13303</v>
      </c>
      <c r="C5044" s="879" t="s">
        <v>226</v>
      </c>
      <c r="D5044" s="880" t="s">
        <v>42900</v>
      </c>
    </row>
    <row r="5045" spans="1:4" ht="13.5" x14ac:dyDescent="0.25">
      <c r="A5045" s="878" t="s">
        <v>13304</v>
      </c>
      <c r="B5045" s="878" t="s">
        <v>13305</v>
      </c>
      <c r="C5045" s="879" t="s">
        <v>226</v>
      </c>
      <c r="D5045" s="880" t="s">
        <v>42782</v>
      </c>
    </row>
    <row r="5046" spans="1:4" ht="13.5" x14ac:dyDescent="0.25">
      <c r="A5046" s="878" t="s">
        <v>13306</v>
      </c>
      <c r="B5046" s="878" t="s">
        <v>13307</v>
      </c>
      <c r="C5046" s="879" t="s">
        <v>226</v>
      </c>
      <c r="D5046" s="880" t="s">
        <v>42901</v>
      </c>
    </row>
    <row r="5047" spans="1:4" ht="13.5" x14ac:dyDescent="0.25">
      <c r="A5047" s="878" t="s">
        <v>13309</v>
      </c>
      <c r="B5047" s="878" t="s">
        <v>13310</v>
      </c>
      <c r="C5047" s="879" t="s">
        <v>226</v>
      </c>
      <c r="D5047" s="880" t="s">
        <v>42902</v>
      </c>
    </row>
    <row r="5048" spans="1:4" ht="13.5" x14ac:dyDescent="0.25">
      <c r="A5048" s="878" t="s">
        <v>13311</v>
      </c>
      <c r="B5048" s="878" t="s">
        <v>13312</v>
      </c>
      <c r="C5048" s="879" t="s">
        <v>226</v>
      </c>
      <c r="D5048" s="880" t="s">
        <v>42903</v>
      </c>
    </row>
    <row r="5049" spans="1:4" ht="13.5" x14ac:dyDescent="0.25">
      <c r="A5049" s="878" t="s">
        <v>13314</v>
      </c>
      <c r="B5049" s="878" t="s">
        <v>13315</v>
      </c>
      <c r="C5049" s="879" t="s">
        <v>226</v>
      </c>
      <c r="D5049" s="880" t="s">
        <v>42904</v>
      </c>
    </row>
    <row r="5050" spans="1:4" ht="13.5" x14ac:dyDescent="0.25">
      <c r="A5050" s="878" t="s">
        <v>13316</v>
      </c>
      <c r="B5050" s="878" t="s">
        <v>13317</v>
      </c>
      <c r="C5050" s="879" t="s">
        <v>226</v>
      </c>
      <c r="D5050" s="880" t="s">
        <v>30837</v>
      </c>
    </row>
    <row r="5051" spans="1:4" ht="13.5" x14ac:dyDescent="0.25">
      <c r="A5051" s="878" t="s">
        <v>13318</v>
      </c>
      <c r="B5051" s="878" t="s">
        <v>13319</v>
      </c>
      <c r="C5051" s="879" t="s">
        <v>226</v>
      </c>
      <c r="D5051" s="880" t="s">
        <v>42905</v>
      </c>
    </row>
    <row r="5052" spans="1:4" ht="13.5" x14ac:dyDescent="0.25">
      <c r="A5052" s="878" t="s">
        <v>13320</v>
      </c>
      <c r="B5052" s="878" t="s">
        <v>13321</v>
      </c>
      <c r="C5052" s="879" t="s">
        <v>226</v>
      </c>
      <c r="D5052" s="880" t="s">
        <v>42906</v>
      </c>
    </row>
    <row r="5053" spans="1:4" ht="13.5" x14ac:dyDescent="0.25">
      <c r="A5053" s="878" t="s">
        <v>13322</v>
      </c>
      <c r="B5053" s="878" t="s">
        <v>13323</v>
      </c>
      <c r="C5053" s="879" t="s">
        <v>226</v>
      </c>
      <c r="D5053" s="880" t="s">
        <v>42907</v>
      </c>
    </row>
    <row r="5054" spans="1:4" ht="13.5" x14ac:dyDescent="0.25">
      <c r="A5054" s="878" t="s">
        <v>13324</v>
      </c>
      <c r="B5054" s="878" t="s">
        <v>13325</v>
      </c>
      <c r="C5054" s="879" t="s">
        <v>226</v>
      </c>
      <c r="D5054" s="880" t="s">
        <v>42908</v>
      </c>
    </row>
    <row r="5055" spans="1:4" ht="13.5" x14ac:dyDescent="0.25">
      <c r="A5055" s="878" t="s">
        <v>13326</v>
      </c>
      <c r="B5055" s="878" t="s">
        <v>13327</v>
      </c>
      <c r="C5055" s="879" t="s">
        <v>226</v>
      </c>
      <c r="D5055" s="880" t="s">
        <v>42909</v>
      </c>
    </row>
    <row r="5056" spans="1:4" ht="13.5" x14ac:dyDescent="0.25">
      <c r="A5056" s="878" t="s">
        <v>13328</v>
      </c>
      <c r="B5056" s="878" t="s">
        <v>13329</v>
      </c>
      <c r="C5056" s="879" t="s">
        <v>226</v>
      </c>
      <c r="D5056" s="880" t="s">
        <v>42910</v>
      </c>
    </row>
    <row r="5057" spans="1:4" ht="13.5" x14ac:dyDescent="0.25">
      <c r="A5057" s="878" t="s">
        <v>13330</v>
      </c>
      <c r="B5057" s="878" t="s">
        <v>13331</v>
      </c>
      <c r="C5057" s="879" t="s">
        <v>226</v>
      </c>
      <c r="D5057" s="880" t="s">
        <v>42911</v>
      </c>
    </row>
    <row r="5058" spans="1:4" ht="13.5" x14ac:dyDescent="0.25">
      <c r="A5058" s="878" t="s">
        <v>13332</v>
      </c>
      <c r="B5058" s="878" t="s">
        <v>13333</v>
      </c>
      <c r="C5058" s="879" t="s">
        <v>226</v>
      </c>
      <c r="D5058" s="880" t="s">
        <v>42912</v>
      </c>
    </row>
    <row r="5059" spans="1:4" ht="13.5" x14ac:dyDescent="0.25">
      <c r="A5059" s="878" t="s">
        <v>13334</v>
      </c>
      <c r="B5059" s="878" t="s">
        <v>13335</v>
      </c>
      <c r="C5059" s="879" t="s">
        <v>226</v>
      </c>
      <c r="D5059" s="880" t="s">
        <v>42913</v>
      </c>
    </row>
    <row r="5060" spans="1:4" ht="13.5" x14ac:dyDescent="0.25">
      <c r="A5060" s="878" t="s">
        <v>13336</v>
      </c>
      <c r="B5060" s="878" t="s">
        <v>13337</v>
      </c>
      <c r="C5060" s="879" t="s">
        <v>226</v>
      </c>
      <c r="D5060" s="880" t="s">
        <v>42914</v>
      </c>
    </row>
    <row r="5061" spans="1:4" ht="13.5" x14ac:dyDescent="0.25">
      <c r="A5061" s="878" t="s">
        <v>13338</v>
      </c>
      <c r="B5061" s="878" t="s">
        <v>13339</v>
      </c>
      <c r="C5061" s="879" t="s">
        <v>226</v>
      </c>
      <c r="D5061" s="880" t="s">
        <v>42915</v>
      </c>
    </row>
    <row r="5062" spans="1:4" ht="13.5" x14ac:dyDescent="0.25">
      <c r="A5062" s="878" t="s">
        <v>13340</v>
      </c>
      <c r="B5062" s="878" t="s">
        <v>13341</v>
      </c>
      <c r="C5062" s="879" t="s">
        <v>226</v>
      </c>
      <c r="D5062" s="880" t="s">
        <v>42916</v>
      </c>
    </row>
    <row r="5063" spans="1:4" ht="13.5" x14ac:dyDescent="0.25">
      <c r="A5063" s="878" t="s">
        <v>13342</v>
      </c>
      <c r="B5063" s="878" t="s">
        <v>13343</v>
      </c>
      <c r="C5063" s="879" t="s">
        <v>226</v>
      </c>
      <c r="D5063" s="880" t="s">
        <v>30679</v>
      </c>
    </row>
    <row r="5064" spans="1:4" ht="13.5" x14ac:dyDescent="0.25">
      <c r="A5064" s="878" t="s">
        <v>13344</v>
      </c>
      <c r="B5064" s="878" t="s">
        <v>13345</v>
      </c>
      <c r="C5064" s="879" t="s">
        <v>226</v>
      </c>
      <c r="D5064" s="880" t="s">
        <v>42917</v>
      </c>
    </row>
    <row r="5065" spans="1:4" ht="13.5" x14ac:dyDescent="0.25">
      <c r="A5065" s="878" t="s">
        <v>13346</v>
      </c>
      <c r="B5065" s="878" t="s">
        <v>13347</v>
      </c>
      <c r="C5065" s="879" t="s">
        <v>226</v>
      </c>
      <c r="D5065" s="880" t="s">
        <v>42918</v>
      </c>
    </row>
    <row r="5066" spans="1:4" ht="13.5" x14ac:dyDescent="0.25">
      <c r="A5066" s="878" t="s">
        <v>13348</v>
      </c>
      <c r="B5066" s="878" t="s">
        <v>13349</v>
      </c>
      <c r="C5066" s="879" t="s">
        <v>226</v>
      </c>
      <c r="D5066" s="880" t="s">
        <v>42919</v>
      </c>
    </row>
    <row r="5067" spans="1:4" ht="13.5" x14ac:dyDescent="0.25">
      <c r="A5067" s="878" t="s">
        <v>13350</v>
      </c>
      <c r="B5067" s="878" t="s">
        <v>13351</v>
      </c>
      <c r="C5067" s="879" t="s">
        <v>226</v>
      </c>
      <c r="D5067" s="880" t="s">
        <v>42920</v>
      </c>
    </row>
    <row r="5068" spans="1:4" ht="13.5" x14ac:dyDescent="0.25">
      <c r="A5068" s="878" t="s">
        <v>13352</v>
      </c>
      <c r="B5068" s="878" t="s">
        <v>13353</v>
      </c>
      <c r="C5068" s="879" t="s">
        <v>226</v>
      </c>
      <c r="D5068" s="880" t="s">
        <v>42921</v>
      </c>
    </row>
    <row r="5069" spans="1:4" ht="13.5" x14ac:dyDescent="0.25">
      <c r="A5069" s="878" t="s">
        <v>13354</v>
      </c>
      <c r="B5069" s="878" t="s">
        <v>13355</v>
      </c>
      <c r="C5069" s="879" t="s">
        <v>226</v>
      </c>
      <c r="D5069" s="880" t="s">
        <v>42922</v>
      </c>
    </row>
    <row r="5070" spans="1:4" ht="13.5" x14ac:dyDescent="0.25">
      <c r="A5070" s="878" t="s">
        <v>13356</v>
      </c>
      <c r="B5070" s="878" t="s">
        <v>13357</v>
      </c>
      <c r="C5070" s="879" t="s">
        <v>226</v>
      </c>
      <c r="D5070" s="880" t="s">
        <v>42923</v>
      </c>
    </row>
    <row r="5071" spans="1:4" ht="13.5" x14ac:dyDescent="0.25">
      <c r="A5071" s="878" t="s">
        <v>13358</v>
      </c>
      <c r="B5071" s="878" t="s">
        <v>13359</v>
      </c>
      <c r="C5071" s="879" t="s">
        <v>226</v>
      </c>
      <c r="D5071" s="880" t="s">
        <v>9019</v>
      </c>
    </row>
    <row r="5072" spans="1:4" ht="13.5" x14ac:dyDescent="0.25">
      <c r="A5072" s="878" t="s">
        <v>13360</v>
      </c>
      <c r="B5072" s="878" t="s">
        <v>13361</v>
      </c>
      <c r="C5072" s="879" t="s">
        <v>226</v>
      </c>
      <c r="D5072" s="880" t="s">
        <v>42924</v>
      </c>
    </row>
    <row r="5073" spans="1:4" ht="13.5" x14ac:dyDescent="0.25">
      <c r="A5073" s="878" t="s">
        <v>13362</v>
      </c>
      <c r="B5073" s="878" t="s">
        <v>13363</v>
      </c>
      <c r="C5073" s="879" t="s">
        <v>226</v>
      </c>
      <c r="D5073" s="880" t="s">
        <v>42925</v>
      </c>
    </row>
    <row r="5074" spans="1:4" ht="13.5" x14ac:dyDescent="0.25">
      <c r="A5074" s="878" t="s">
        <v>13364</v>
      </c>
      <c r="B5074" s="878" t="s">
        <v>13365</v>
      </c>
      <c r="C5074" s="879" t="s">
        <v>226</v>
      </c>
      <c r="D5074" s="880" t="s">
        <v>42926</v>
      </c>
    </row>
    <row r="5075" spans="1:4" ht="13.5" x14ac:dyDescent="0.25">
      <c r="A5075" s="878" t="s">
        <v>13366</v>
      </c>
      <c r="B5075" s="878" t="s">
        <v>13367</v>
      </c>
      <c r="C5075" s="879" t="s">
        <v>226</v>
      </c>
      <c r="D5075" s="880" t="s">
        <v>42927</v>
      </c>
    </row>
    <row r="5076" spans="1:4" ht="13.5" x14ac:dyDescent="0.25">
      <c r="A5076" s="878" t="s">
        <v>13368</v>
      </c>
      <c r="B5076" s="878" t="s">
        <v>13369</v>
      </c>
      <c r="C5076" s="879" t="s">
        <v>226</v>
      </c>
      <c r="D5076" s="880" t="s">
        <v>42928</v>
      </c>
    </row>
    <row r="5077" spans="1:4" ht="13.5" x14ac:dyDescent="0.25">
      <c r="A5077" s="878" t="s">
        <v>13370</v>
      </c>
      <c r="B5077" s="878" t="s">
        <v>13371</v>
      </c>
      <c r="C5077" s="879" t="s">
        <v>226</v>
      </c>
      <c r="D5077" s="880" t="s">
        <v>42929</v>
      </c>
    </row>
    <row r="5078" spans="1:4" ht="13.5" x14ac:dyDescent="0.25">
      <c r="A5078" s="878" t="s">
        <v>13372</v>
      </c>
      <c r="B5078" s="878" t="s">
        <v>13373</v>
      </c>
      <c r="C5078" s="879" t="s">
        <v>226</v>
      </c>
      <c r="D5078" s="880" t="s">
        <v>42930</v>
      </c>
    </row>
    <row r="5079" spans="1:4" ht="13.5" x14ac:dyDescent="0.25">
      <c r="A5079" s="878" t="s">
        <v>13374</v>
      </c>
      <c r="B5079" s="878" t="s">
        <v>13375</v>
      </c>
      <c r="C5079" s="879" t="s">
        <v>226</v>
      </c>
      <c r="D5079" s="880" t="s">
        <v>42931</v>
      </c>
    </row>
    <row r="5080" spans="1:4" ht="13.5" x14ac:dyDescent="0.25">
      <c r="A5080" s="878" t="s">
        <v>13376</v>
      </c>
      <c r="B5080" s="878" t="s">
        <v>13377</v>
      </c>
      <c r="C5080" s="879" t="s">
        <v>226</v>
      </c>
      <c r="D5080" s="880" t="s">
        <v>42932</v>
      </c>
    </row>
    <row r="5081" spans="1:4" ht="13.5" x14ac:dyDescent="0.25">
      <c r="A5081" s="878" t="s">
        <v>13378</v>
      </c>
      <c r="B5081" s="878" t="s">
        <v>13379</v>
      </c>
      <c r="C5081" s="879" t="s">
        <v>226</v>
      </c>
      <c r="D5081" s="880" t="s">
        <v>42933</v>
      </c>
    </row>
    <row r="5082" spans="1:4" ht="13.5" x14ac:dyDescent="0.25">
      <c r="A5082" s="878" t="s">
        <v>13380</v>
      </c>
      <c r="B5082" s="878" t="s">
        <v>13381</v>
      </c>
      <c r="C5082" s="879" t="s">
        <v>226</v>
      </c>
      <c r="D5082" s="880" t="s">
        <v>42934</v>
      </c>
    </row>
    <row r="5083" spans="1:4" ht="13.5" x14ac:dyDescent="0.25">
      <c r="A5083" s="878" t="s">
        <v>13382</v>
      </c>
      <c r="B5083" s="878" t="s">
        <v>13383</v>
      </c>
      <c r="C5083" s="879" t="s">
        <v>226</v>
      </c>
      <c r="D5083" s="880" t="s">
        <v>31269</v>
      </c>
    </row>
    <row r="5084" spans="1:4" ht="13.5" x14ac:dyDescent="0.25">
      <c r="A5084" s="878" t="s">
        <v>13384</v>
      </c>
      <c r="B5084" s="878" t="s">
        <v>13385</v>
      </c>
      <c r="C5084" s="879" t="s">
        <v>226</v>
      </c>
      <c r="D5084" s="880" t="s">
        <v>42935</v>
      </c>
    </row>
    <row r="5085" spans="1:4" ht="13.5" x14ac:dyDescent="0.25">
      <c r="A5085" s="878" t="s">
        <v>13386</v>
      </c>
      <c r="B5085" s="878" t="s">
        <v>13387</v>
      </c>
      <c r="C5085" s="879" t="s">
        <v>226</v>
      </c>
      <c r="D5085" s="880" t="s">
        <v>42936</v>
      </c>
    </row>
    <row r="5086" spans="1:4" ht="13.5" x14ac:dyDescent="0.25">
      <c r="A5086" s="878" t="s">
        <v>13388</v>
      </c>
      <c r="B5086" s="878" t="s">
        <v>13389</v>
      </c>
      <c r="C5086" s="879" t="s">
        <v>226</v>
      </c>
      <c r="D5086" s="880" t="s">
        <v>42937</v>
      </c>
    </row>
    <row r="5087" spans="1:4" ht="13.5" x14ac:dyDescent="0.25">
      <c r="A5087" s="878" t="s">
        <v>13390</v>
      </c>
      <c r="B5087" s="878" t="s">
        <v>13391</v>
      </c>
      <c r="C5087" s="879" t="s">
        <v>226</v>
      </c>
      <c r="D5087" s="880" t="s">
        <v>42938</v>
      </c>
    </row>
    <row r="5088" spans="1:4" ht="13.5" x14ac:dyDescent="0.25">
      <c r="A5088" s="878" t="s">
        <v>13392</v>
      </c>
      <c r="B5088" s="878" t="s">
        <v>13393</v>
      </c>
      <c r="C5088" s="879" t="s">
        <v>226</v>
      </c>
      <c r="D5088" s="880" t="s">
        <v>42939</v>
      </c>
    </row>
    <row r="5089" spans="1:4" ht="13.5" x14ac:dyDescent="0.25">
      <c r="A5089" s="878" t="s">
        <v>13394</v>
      </c>
      <c r="B5089" s="878" t="s">
        <v>13395</v>
      </c>
      <c r="C5089" s="879" t="s">
        <v>226</v>
      </c>
      <c r="D5089" s="880" t="s">
        <v>42940</v>
      </c>
    </row>
    <row r="5090" spans="1:4" ht="13.5" x14ac:dyDescent="0.25">
      <c r="A5090" s="878" t="s">
        <v>13396</v>
      </c>
      <c r="B5090" s="878" t="s">
        <v>13397</v>
      </c>
      <c r="C5090" s="879" t="s">
        <v>226</v>
      </c>
      <c r="D5090" s="880" t="s">
        <v>42941</v>
      </c>
    </row>
    <row r="5091" spans="1:4" ht="13.5" x14ac:dyDescent="0.25">
      <c r="A5091" s="878" t="s">
        <v>13398</v>
      </c>
      <c r="B5091" s="878" t="s">
        <v>13399</v>
      </c>
      <c r="C5091" s="879" t="s">
        <v>226</v>
      </c>
      <c r="D5091" s="880" t="s">
        <v>42942</v>
      </c>
    </row>
    <row r="5092" spans="1:4" ht="13.5" x14ac:dyDescent="0.25">
      <c r="A5092" s="878" t="s">
        <v>13400</v>
      </c>
      <c r="B5092" s="878" t="s">
        <v>13401</v>
      </c>
      <c r="C5092" s="879" t="s">
        <v>226</v>
      </c>
      <c r="D5092" s="880" t="s">
        <v>30526</v>
      </c>
    </row>
    <row r="5093" spans="1:4" ht="13.5" x14ac:dyDescent="0.25">
      <c r="A5093" s="878" t="s">
        <v>13402</v>
      </c>
      <c r="B5093" s="878" t="s">
        <v>13403</v>
      </c>
      <c r="C5093" s="879" t="s">
        <v>226</v>
      </c>
      <c r="D5093" s="880" t="s">
        <v>42943</v>
      </c>
    </row>
    <row r="5094" spans="1:4" ht="13.5" x14ac:dyDescent="0.25">
      <c r="A5094" s="878" t="s">
        <v>13404</v>
      </c>
      <c r="B5094" s="878" t="s">
        <v>13405</v>
      </c>
      <c r="C5094" s="879" t="s">
        <v>226</v>
      </c>
      <c r="D5094" s="880" t="s">
        <v>42944</v>
      </c>
    </row>
    <row r="5095" spans="1:4" ht="13.5" x14ac:dyDescent="0.25">
      <c r="A5095" s="878" t="s">
        <v>13406</v>
      </c>
      <c r="B5095" s="878" t="s">
        <v>13407</v>
      </c>
      <c r="C5095" s="879" t="s">
        <v>226</v>
      </c>
      <c r="D5095" s="880" t="s">
        <v>42945</v>
      </c>
    </row>
    <row r="5096" spans="1:4" ht="13.5" x14ac:dyDescent="0.25">
      <c r="A5096" s="878" t="s">
        <v>13408</v>
      </c>
      <c r="B5096" s="878" t="s">
        <v>13409</v>
      </c>
      <c r="C5096" s="879" t="s">
        <v>226</v>
      </c>
      <c r="D5096" s="880" t="s">
        <v>42946</v>
      </c>
    </row>
    <row r="5097" spans="1:4" ht="13.5" x14ac:dyDescent="0.25">
      <c r="A5097" s="878" t="s">
        <v>13410</v>
      </c>
      <c r="B5097" s="878" t="s">
        <v>13411</v>
      </c>
      <c r="C5097" s="879" t="s">
        <v>226</v>
      </c>
      <c r="D5097" s="880" t="s">
        <v>42947</v>
      </c>
    </row>
    <row r="5098" spans="1:4" ht="13.5" x14ac:dyDescent="0.25">
      <c r="A5098" s="878" t="s">
        <v>13412</v>
      </c>
      <c r="B5098" s="878" t="s">
        <v>13413</v>
      </c>
      <c r="C5098" s="879" t="s">
        <v>226</v>
      </c>
      <c r="D5098" s="880" t="s">
        <v>42948</v>
      </c>
    </row>
    <row r="5099" spans="1:4" ht="13.5" x14ac:dyDescent="0.25">
      <c r="A5099" s="878" t="s">
        <v>13414</v>
      </c>
      <c r="B5099" s="878" t="s">
        <v>13415</v>
      </c>
      <c r="C5099" s="879" t="s">
        <v>226</v>
      </c>
      <c r="D5099" s="880" t="s">
        <v>42949</v>
      </c>
    </row>
    <row r="5100" spans="1:4" ht="13.5" x14ac:dyDescent="0.25">
      <c r="A5100" s="878" t="s">
        <v>13416</v>
      </c>
      <c r="B5100" s="878" t="s">
        <v>13417</v>
      </c>
      <c r="C5100" s="879" t="s">
        <v>226</v>
      </c>
      <c r="D5100" s="880" t="s">
        <v>42950</v>
      </c>
    </row>
    <row r="5101" spans="1:4" ht="13.5" x14ac:dyDescent="0.25">
      <c r="A5101" s="878" t="s">
        <v>13418</v>
      </c>
      <c r="B5101" s="878" t="s">
        <v>13419</v>
      </c>
      <c r="C5101" s="879" t="s">
        <v>226</v>
      </c>
      <c r="D5101" s="880" t="s">
        <v>30478</v>
      </c>
    </row>
    <row r="5102" spans="1:4" ht="13.5" x14ac:dyDescent="0.25">
      <c r="A5102" s="878" t="s">
        <v>13420</v>
      </c>
      <c r="B5102" s="878" t="s">
        <v>13421</v>
      </c>
      <c r="C5102" s="879" t="s">
        <v>226</v>
      </c>
      <c r="D5102" s="880" t="s">
        <v>42951</v>
      </c>
    </row>
    <row r="5103" spans="1:4" ht="13.5" x14ac:dyDescent="0.25">
      <c r="A5103" s="878" t="s">
        <v>13422</v>
      </c>
      <c r="B5103" s="878" t="s">
        <v>13423</v>
      </c>
      <c r="C5103" s="879" t="s">
        <v>226</v>
      </c>
      <c r="D5103" s="880" t="s">
        <v>42952</v>
      </c>
    </row>
    <row r="5104" spans="1:4" ht="13.5" x14ac:dyDescent="0.25">
      <c r="A5104" s="878" t="s">
        <v>13424</v>
      </c>
      <c r="B5104" s="878" t="s">
        <v>13425</v>
      </c>
      <c r="C5104" s="879" t="s">
        <v>226</v>
      </c>
      <c r="D5104" s="880" t="s">
        <v>42953</v>
      </c>
    </row>
    <row r="5105" spans="1:4" ht="13.5" x14ac:dyDescent="0.25">
      <c r="A5105" s="878" t="s">
        <v>13426</v>
      </c>
      <c r="B5105" s="878" t="s">
        <v>13427</v>
      </c>
      <c r="C5105" s="879" t="s">
        <v>226</v>
      </c>
      <c r="D5105" s="880" t="s">
        <v>15620</v>
      </c>
    </row>
    <row r="5106" spans="1:4" ht="13.5" x14ac:dyDescent="0.25">
      <c r="A5106" s="878" t="s">
        <v>13428</v>
      </c>
      <c r="B5106" s="878" t="s">
        <v>13429</v>
      </c>
      <c r="C5106" s="879" t="s">
        <v>226</v>
      </c>
      <c r="D5106" s="880" t="s">
        <v>31074</v>
      </c>
    </row>
    <row r="5107" spans="1:4" ht="13.5" x14ac:dyDescent="0.25">
      <c r="A5107" s="878" t="s">
        <v>13430</v>
      </c>
      <c r="B5107" s="878" t="s">
        <v>13431</v>
      </c>
      <c r="C5107" s="879" t="s">
        <v>226</v>
      </c>
      <c r="D5107" s="880" t="s">
        <v>15490</v>
      </c>
    </row>
    <row r="5108" spans="1:4" ht="13.5" x14ac:dyDescent="0.25">
      <c r="A5108" s="878" t="s">
        <v>13432</v>
      </c>
      <c r="B5108" s="878" t="s">
        <v>13433</v>
      </c>
      <c r="C5108" s="879" t="s">
        <v>226</v>
      </c>
      <c r="D5108" s="880" t="s">
        <v>31075</v>
      </c>
    </row>
    <row r="5109" spans="1:4" ht="13.5" x14ac:dyDescent="0.25">
      <c r="A5109" s="878" t="s">
        <v>13434</v>
      </c>
      <c r="B5109" s="878" t="s">
        <v>13435</v>
      </c>
      <c r="C5109" s="879" t="s">
        <v>226</v>
      </c>
      <c r="D5109" s="880" t="s">
        <v>31076</v>
      </c>
    </row>
    <row r="5110" spans="1:4" ht="13.5" x14ac:dyDescent="0.25">
      <c r="A5110" s="878" t="s">
        <v>13436</v>
      </c>
      <c r="B5110" s="878" t="s">
        <v>13437</v>
      </c>
      <c r="C5110" s="879" t="s">
        <v>226</v>
      </c>
      <c r="D5110" s="880" t="s">
        <v>30818</v>
      </c>
    </row>
    <row r="5111" spans="1:4" ht="13.5" x14ac:dyDescent="0.25">
      <c r="A5111" s="878" t="s">
        <v>13438</v>
      </c>
      <c r="B5111" s="878" t="s">
        <v>13439</v>
      </c>
      <c r="C5111" s="879" t="s">
        <v>226</v>
      </c>
      <c r="D5111" s="880" t="s">
        <v>42954</v>
      </c>
    </row>
    <row r="5112" spans="1:4" ht="13.5" x14ac:dyDescent="0.25">
      <c r="A5112" s="878" t="s">
        <v>13440</v>
      </c>
      <c r="B5112" s="878" t="s">
        <v>13441</v>
      </c>
      <c r="C5112" s="879" t="s">
        <v>226</v>
      </c>
      <c r="D5112" s="880" t="s">
        <v>42955</v>
      </c>
    </row>
    <row r="5113" spans="1:4" ht="13.5" x14ac:dyDescent="0.25">
      <c r="A5113" s="878" t="s">
        <v>13442</v>
      </c>
      <c r="B5113" s="878" t="s">
        <v>13443</v>
      </c>
      <c r="C5113" s="879" t="s">
        <v>226</v>
      </c>
      <c r="D5113" s="880" t="s">
        <v>42956</v>
      </c>
    </row>
    <row r="5114" spans="1:4" ht="13.5" x14ac:dyDescent="0.25">
      <c r="A5114" s="878" t="s">
        <v>13444</v>
      </c>
      <c r="B5114" s="878" t="s">
        <v>13445</v>
      </c>
      <c r="C5114" s="879" t="s">
        <v>226</v>
      </c>
      <c r="D5114" s="880" t="s">
        <v>42957</v>
      </c>
    </row>
    <row r="5115" spans="1:4" ht="13.5" x14ac:dyDescent="0.25">
      <c r="A5115" s="878" t="s">
        <v>13446</v>
      </c>
      <c r="B5115" s="878" t="s">
        <v>13447</v>
      </c>
      <c r="C5115" s="879" t="s">
        <v>226</v>
      </c>
      <c r="D5115" s="880" t="s">
        <v>42958</v>
      </c>
    </row>
    <row r="5116" spans="1:4" ht="13.5" x14ac:dyDescent="0.25">
      <c r="A5116" s="878" t="s">
        <v>13448</v>
      </c>
      <c r="B5116" s="878" t="s">
        <v>13449</v>
      </c>
      <c r="C5116" s="879" t="s">
        <v>226</v>
      </c>
      <c r="D5116" s="880" t="s">
        <v>42959</v>
      </c>
    </row>
    <row r="5117" spans="1:4" ht="13.5" x14ac:dyDescent="0.25">
      <c r="A5117" s="878" t="s">
        <v>13450</v>
      </c>
      <c r="B5117" s="878" t="s">
        <v>13451</v>
      </c>
      <c r="C5117" s="879" t="s">
        <v>226</v>
      </c>
      <c r="D5117" s="880" t="s">
        <v>31075</v>
      </c>
    </row>
    <row r="5118" spans="1:4" ht="13.5" x14ac:dyDescent="0.25">
      <c r="A5118" s="878" t="s">
        <v>13452</v>
      </c>
      <c r="B5118" s="878" t="s">
        <v>13453</v>
      </c>
      <c r="C5118" s="879" t="s">
        <v>226</v>
      </c>
      <c r="D5118" s="880" t="s">
        <v>31078</v>
      </c>
    </row>
    <row r="5119" spans="1:4" ht="13.5" x14ac:dyDescent="0.25">
      <c r="A5119" s="878" t="s">
        <v>13454</v>
      </c>
      <c r="B5119" s="878" t="s">
        <v>13455</v>
      </c>
      <c r="C5119" s="879" t="s">
        <v>226</v>
      </c>
      <c r="D5119" s="880" t="s">
        <v>42960</v>
      </c>
    </row>
    <row r="5120" spans="1:4" ht="13.5" x14ac:dyDescent="0.25">
      <c r="A5120" s="878" t="s">
        <v>13456</v>
      </c>
      <c r="B5120" s="878" t="s">
        <v>13457</v>
      </c>
      <c r="C5120" s="879" t="s">
        <v>226</v>
      </c>
      <c r="D5120" s="880" t="s">
        <v>42961</v>
      </c>
    </row>
    <row r="5121" spans="1:4" ht="13.5" x14ac:dyDescent="0.25">
      <c r="A5121" s="878" t="s">
        <v>13458</v>
      </c>
      <c r="B5121" s="878" t="s">
        <v>13459</v>
      </c>
      <c r="C5121" s="879" t="s">
        <v>226</v>
      </c>
      <c r="D5121" s="880" t="s">
        <v>42962</v>
      </c>
    </row>
    <row r="5122" spans="1:4" ht="13.5" x14ac:dyDescent="0.25">
      <c r="A5122" s="878" t="s">
        <v>13460</v>
      </c>
      <c r="B5122" s="878" t="s">
        <v>13461</v>
      </c>
      <c r="C5122" s="879" t="s">
        <v>226</v>
      </c>
      <c r="D5122" s="880" t="s">
        <v>30750</v>
      </c>
    </row>
    <row r="5123" spans="1:4" ht="13.5" x14ac:dyDescent="0.25">
      <c r="A5123" s="878" t="s">
        <v>13462</v>
      </c>
      <c r="B5123" s="878" t="s">
        <v>13463</v>
      </c>
      <c r="C5123" s="879" t="s">
        <v>226</v>
      </c>
      <c r="D5123" s="880" t="s">
        <v>42963</v>
      </c>
    </row>
    <row r="5124" spans="1:4" ht="13.5" x14ac:dyDescent="0.25">
      <c r="A5124" s="878" t="s">
        <v>13464</v>
      </c>
      <c r="B5124" s="878" t="s">
        <v>13465</v>
      </c>
      <c r="C5124" s="879" t="s">
        <v>226</v>
      </c>
      <c r="D5124" s="880" t="s">
        <v>42964</v>
      </c>
    </row>
    <row r="5125" spans="1:4" ht="13.5" x14ac:dyDescent="0.25">
      <c r="A5125" s="878" t="s">
        <v>13467</v>
      </c>
      <c r="B5125" s="878" t="s">
        <v>13468</v>
      </c>
      <c r="C5125" s="879" t="s">
        <v>226</v>
      </c>
      <c r="D5125" s="880" t="s">
        <v>42965</v>
      </c>
    </row>
    <row r="5126" spans="1:4" ht="13.5" x14ac:dyDescent="0.25">
      <c r="A5126" s="878" t="s">
        <v>13469</v>
      </c>
      <c r="B5126" s="878" t="s">
        <v>13470</v>
      </c>
      <c r="C5126" s="879" t="s">
        <v>226</v>
      </c>
      <c r="D5126" s="880" t="s">
        <v>42966</v>
      </c>
    </row>
    <row r="5127" spans="1:4" ht="13.5" x14ac:dyDescent="0.25">
      <c r="A5127" s="878" t="s">
        <v>13471</v>
      </c>
      <c r="B5127" s="878" t="s">
        <v>13472</v>
      </c>
      <c r="C5127" s="879" t="s">
        <v>226</v>
      </c>
      <c r="D5127" s="880" t="s">
        <v>42967</v>
      </c>
    </row>
    <row r="5128" spans="1:4" ht="13.5" x14ac:dyDescent="0.25">
      <c r="A5128" s="878" t="s">
        <v>13473</v>
      </c>
      <c r="B5128" s="878" t="s">
        <v>13474</v>
      </c>
      <c r="C5128" s="879" t="s">
        <v>226</v>
      </c>
      <c r="D5128" s="880" t="s">
        <v>42968</v>
      </c>
    </row>
    <row r="5129" spans="1:4" ht="13.5" x14ac:dyDescent="0.25">
      <c r="A5129" s="878" t="s">
        <v>13475</v>
      </c>
      <c r="B5129" s="878" t="s">
        <v>13476</v>
      </c>
      <c r="C5129" s="879" t="s">
        <v>226</v>
      </c>
      <c r="D5129" s="880" t="s">
        <v>42969</v>
      </c>
    </row>
    <row r="5130" spans="1:4" ht="13.5" x14ac:dyDescent="0.25">
      <c r="A5130" s="878" t="s">
        <v>13477</v>
      </c>
      <c r="B5130" s="878" t="s">
        <v>13478</v>
      </c>
      <c r="C5130" s="879" t="s">
        <v>226</v>
      </c>
      <c r="D5130" s="880" t="s">
        <v>42970</v>
      </c>
    </row>
    <row r="5131" spans="1:4" ht="13.5" x14ac:dyDescent="0.25">
      <c r="A5131" s="878" t="s">
        <v>13479</v>
      </c>
      <c r="B5131" s="878" t="s">
        <v>13480</v>
      </c>
      <c r="C5131" s="879" t="s">
        <v>226</v>
      </c>
      <c r="D5131" s="880" t="s">
        <v>42971</v>
      </c>
    </row>
    <row r="5132" spans="1:4" ht="13.5" x14ac:dyDescent="0.25">
      <c r="A5132" s="878" t="s">
        <v>13481</v>
      </c>
      <c r="B5132" s="878" t="s">
        <v>13482</v>
      </c>
      <c r="C5132" s="879" t="s">
        <v>226</v>
      </c>
      <c r="D5132" s="880" t="s">
        <v>42972</v>
      </c>
    </row>
    <row r="5133" spans="1:4" ht="13.5" x14ac:dyDescent="0.25">
      <c r="A5133" s="878" t="s">
        <v>13483</v>
      </c>
      <c r="B5133" s="878" t="s">
        <v>13484</v>
      </c>
      <c r="C5133" s="879" t="s">
        <v>226</v>
      </c>
      <c r="D5133" s="880" t="s">
        <v>42973</v>
      </c>
    </row>
    <row r="5134" spans="1:4" ht="13.5" x14ac:dyDescent="0.25">
      <c r="A5134" s="878" t="s">
        <v>13485</v>
      </c>
      <c r="B5134" s="878" t="s">
        <v>13486</v>
      </c>
      <c r="C5134" s="879" t="s">
        <v>226</v>
      </c>
      <c r="D5134" s="880" t="s">
        <v>42974</v>
      </c>
    </row>
    <row r="5135" spans="1:4" ht="13.5" x14ac:dyDescent="0.25">
      <c r="A5135" s="878" t="s">
        <v>13487</v>
      </c>
      <c r="B5135" s="878" t="s">
        <v>13488</v>
      </c>
      <c r="C5135" s="879" t="s">
        <v>226</v>
      </c>
      <c r="D5135" s="880" t="s">
        <v>42975</v>
      </c>
    </row>
    <row r="5136" spans="1:4" ht="13.5" x14ac:dyDescent="0.25">
      <c r="A5136" s="878" t="s">
        <v>13489</v>
      </c>
      <c r="B5136" s="878" t="s">
        <v>13490</v>
      </c>
      <c r="C5136" s="879" t="s">
        <v>226</v>
      </c>
      <c r="D5136" s="880" t="s">
        <v>42968</v>
      </c>
    </row>
    <row r="5137" spans="1:4" ht="13.5" x14ac:dyDescent="0.25">
      <c r="A5137" s="878" t="s">
        <v>13491</v>
      </c>
      <c r="B5137" s="878" t="s">
        <v>13492</v>
      </c>
      <c r="C5137" s="879" t="s">
        <v>226</v>
      </c>
      <c r="D5137" s="880" t="s">
        <v>42976</v>
      </c>
    </row>
    <row r="5138" spans="1:4" ht="13.5" x14ac:dyDescent="0.25">
      <c r="A5138" s="878" t="s">
        <v>13493</v>
      </c>
      <c r="B5138" s="878" t="s">
        <v>13494</v>
      </c>
      <c r="C5138" s="879" t="s">
        <v>226</v>
      </c>
      <c r="D5138" s="880" t="s">
        <v>42977</v>
      </c>
    </row>
    <row r="5139" spans="1:4" ht="13.5" x14ac:dyDescent="0.25">
      <c r="A5139" s="878" t="s">
        <v>13495</v>
      </c>
      <c r="B5139" s="878" t="s">
        <v>13496</v>
      </c>
      <c r="C5139" s="879" t="s">
        <v>226</v>
      </c>
      <c r="D5139" s="880" t="s">
        <v>42978</v>
      </c>
    </row>
    <row r="5140" spans="1:4" ht="13.5" x14ac:dyDescent="0.25">
      <c r="A5140" s="878" t="s">
        <v>13497</v>
      </c>
      <c r="B5140" s="878" t="s">
        <v>13498</v>
      </c>
      <c r="C5140" s="879" t="s">
        <v>226</v>
      </c>
      <c r="D5140" s="880" t="s">
        <v>42979</v>
      </c>
    </row>
    <row r="5141" spans="1:4" ht="13.5" x14ac:dyDescent="0.25">
      <c r="A5141" s="878" t="s">
        <v>13499</v>
      </c>
      <c r="B5141" s="878" t="s">
        <v>13500</v>
      </c>
      <c r="C5141" s="879" t="s">
        <v>226</v>
      </c>
      <c r="D5141" s="880" t="s">
        <v>42980</v>
      </c>
    </row>
    <row r="5142" spans="1:4" ht="13.5" x14ac:dyDescent="0.25">
      <c r="A5142" s="878" t="s">
        <v>13501</v>
      </c>
      <c r="B5142" s="878" t="s">
        <v>13502</v>
      </c>
      <c r="C5142" s="879" t="s">
        <v>226</v>
      </c>
      <c r="D5142" s="880" t="s">
        <v>42981</v>
      </c>
    </row>
    <row r="5143" spans="1:4" ht="13.5" x14ac:dyDescent="0.25">
      <c r="A5143" s="878" t="s">
        <v>13503</v>
      </c>
      <c r="B5143" s="878" t="s">
        <v>13504</v>
      </c>
      <c r="C5143" s="879" t="s">
        <v>226</v>
      </c>
      <c r="D5143" s="881" t="s">
        <v>42982</v>
      </c>
    </row>
    <row r="5144" spans="1:4" ht="13.5" x14ac:dyDescent="0.25">
      <c r="A5144" s="878" t="s">
        <v>13505</v>
      </c>
      <c r="B5144" s="878" t="s">
        <v>13506</v>
      </c>
      <c r="C5144" s="879" t="s">
        <v>226</v>
      </c>
      <c r="D5144" s="881" t="s">
        <v>42983</v>
      </c>
    </row>
    <row r="5145" spans="1:4" ht="13.5" x14ac:dyDescent="0.25">
      <c r="A5145" s="878" t="s">
        <v>13507</v>
      </c>
      <c r="B5145" s="878" t="s">
        <v>13508</v>
      </c>
      <c r="C5145" s="879" t="s">
        <v>226</v>
      </c>
      <c r="D5145" s="881" t="s">
        <v>42984</v>
      </c>
    </row>
    <row r="5146" spans="1:4" ht="13.5" x14ac:dyDescent="0.25">
      <c r="A5146" s="878" t="s">
        <v>13509</v>
      </c>
      <c r="B5146" s="878" t="s">
        <v>13510</v>
      </c>
      <c r="C5146" s="879" t="s">
        <v>226</v>
      </c>
      <c r="D5146" s="881" t="s">
        <v>42985</v>
      </c>
    </row>
    <row r="5147" spans="1:4" ht="13.5" x14ac:dyDescent="0.25">
      <c r="A5147" s="878" t="s">
        <v>13511</v>
      </c>
      <c r="B5147" s="878" t="s">
        <v>13512</v>
      </c>
      <c r="C5147" s="879" t="s">
        <v>226</v>
      </c>
      <c r="D5147" s="880" t="s">
        <v>42986</v>
      </c>
    </row>
    <row r="5148" spans="1:4" ht="13.5" x14ac:dyDescent="0.25">
      <c r="A5148" s="878" t="s">
        <v>13513</v>
      </c>
      <c r="B5148" s="878" t="s">
        <v>13514</v>
      </c>
      <c r="C5148" s="879" t="s">
        <v>226</v>
      </c>
      <c r="D5148" s="880" t="s">
        <v>42987</v>
      </c>
    </row>
    <row r="5149" spans="1:4" ht="13.5" x14ac:dyDescent="0.25">
      <c r="A5149" s="878" t="s">
        <v>13515</v>
      </c>
      <c r="B5149" s="878" t="s">
        <v>13516</v>
      </c>
      <c r="C5149" s="879" t="s">
        <v>226</v>
      </c>
      <c r="D5149" s="880" t="s">
        <v>42988</v>
      </c>
    </row>
    <row r="5150" spans="1:4" ht="13.5" x14ac:dyDescent="0.25">
      <c r="A5150" s="878" t="s">
        <v>13517</v>
      </c>
      <c r="B5150" s="878" t="s">
        <v>13518</v>
      </c>
      <c r="C5150" s="879" t="s">
        <v>226</v>
      </c>
      <c r="D5150" s="880" t="s">
        <v>42989</v>
      </c>
    </row>
    <row r="5151" spans="1:4" ht="13.5" x14ac:dyDescent="0.25">
      <c r="A5151" s="878" t="s">
        <v>13519</v>
      </c>
      <c r="B5151" s="878" t="s">
        <v>13520</v>
      </c>
      <c r="C5151" s="879" t="s">
        <v>226</v>
      </c>
      <c r="D5151" s="880" t="s">
        <v>42990</v>
      </c>
    </row>
    <row r="5152" spans="1:4" ht="13.5" x14ac:dyDescent="0.25">
      <c r="A5152" s="878" t="s">
        <v>13521</v>
      </c>
      <c r="B5152" s="878" t="s">
        <v>13522</v>
      </c>
      <c r="C5152" s="879" t="s">
        <v>226</v>
      </c>
      <c r="D5152" s="880" t="s">
        <v>42991</v>
      </c>
    </row>
    <row r="5153" spans="1:4" ht="13.5" x14ac:dyDescent="0.25">
      <c r="A5153" s="878" t="s">
        <v>13523</v>
      </c>
      <c r="B5153" s="878" t="s">
        <v>13524</v>
      </c>
      <c r="C5153" s="879" t="s">
        <v>226</v>
      </c>
      <c r="D5153" s="881" t="s">
        <v>42992</v>
      </c>
    </row>
    <row r="5154" spans="1:4" ht="13.5" x14ac:dyDescent="0.25">
      <c r="A5154" s="878" t="s">
        <v>13525</v>
      </c>
      <c r="B5154" s="878" t="s">
        <v>13526</v>
      </c>
      <c r="C5154" s="879" t="s">
        <v>226</v>
      </c>
      <c r="D5154" s="880" t="s">
        <v>42993</v>
      </c>
    </row>
    <row r="5155" spans="1:4" ht="13.5" x14ac:dyDescent="0.25">
      <c r="A5155" s="878" t="s">
        <v>13527</v>
      </c>
      <c r="B5155" s="878" t="s">
        <v>13528</v>
      </c>
      <c r="C5155" s="879" t="s">
        <v>226</v>
      </c>
      <c r="D5155" s="881" t="s">
        <v>42994</v>
      </c>
    </row>
    <row r="5156" spans="1:4" ht="13.5" x14ac:dyDescent="0.25">
      <c r="A5156" s="878" t="s">
        <v>13529</v>
      </c>
      <c r="B5156" s="878" t="s">
        <v>13530</v>
      </c>
      <c r="C5156" s="879" t="s">
        <v>226</v>
      </c>
      <c r="D5156" s="881" t="s">
        <v>42995</v>
      </c>
    </row>
    <row r="5157" spans="1:4" ht="13.5" x14ac:dyDescent="0.25">
      <c r="A5157" s="878" t="s">
        <v>13531</v>
      </c>
      <c r="B5157" s="878" t="s">
        <v>13532</v>
      </c>
      <c r="C5157" s="879" t="s">
        <v>226</v>
      </c>
      <c r="D5157" s="880" t="s">
        <v>42996</v>
      </c>
    </row>
    <row r="5158" spans="1:4" ht="13.5" x14ac:dyDescent="0.25">
      <c r="A5158" s="878" t="s">
        <v>13533</v>
      </c>
      <c r="B5158" s="878" t="s">
        <v>13534</v>
      </c>
      <c r="C5158" s="879" t="s">
        <v>226</v>
      </c>
      <c r="D5158" s="880" t="s">
        <v>42997</v>
      </c>
    </row>
    <row r="5159" spans="1:4" ht="13.5" x14ac:dyDescent="0.25">
      <c r="A5159" s="878" t="s">
        <v>13535</v>
      </c>
      <c r="B5159" s="878" t="s">
        <v>13536</v>
      </c>
      <c r="C5159" s="879" t="s">
        <v>226</v>
      </c>
      <c r="D5159" s="881" t="s">
        <v>42998</v>
      </c>
    </row>
    <row r="5160" spans="1:4" ht="13.5" x14ac:dyDescent="0.25">
      <c r="A5160" s="878" t="s">
        <v>13537</v>
      </c>
      <c r="B5160" s="878" t="s">
        <v>13538</v>
      </c>
      <c r="C5160" s="879" t="s">
        <v>226</v>
      </c>
      <c r="D5160" s="880" t="s">
        <v>42999</v>
      </c>
    </row>
    <row r="5161" spans="1:4" ht="13.5" x14ac:dyDescent="0.25">
      <c r="A5161" s="878" t="s">
        <v>13539</v>
      </c>
      <c r="B5161" s="878" t="s">
        <v>13540</v>
      </c>
      <c r="C5161" s="879" t="s">
        <v>226</v>
      </c>
      <c r="D5161" s="881" t="s">
        <v>43000</v>
      </c>
    </row>
    <row r="5162" spans="1:4" ht="13.5" x14ac:dyDescent="0.25">
      <c r="A5162" s="878" t="s">
        <v>13541</v>
      </c>
      <c r="B5162" s="878" t="s">
        <v>13542</v>
      </c>
      <c r="C5162" s="879" t="s">
        <v>226</v>
      </c>
      <c r="D5162" s="881" t="s">
        <v>43001</v>
      </c>
    </row>
    <row r="5163" spans="1:4" ht="13.5" x14ac:dyDescent="0.25">
      <c r="A5163" s="878" t="s">
        <v>13543</v>
      </c>
      <c r="B5163" s="878" t="s">
        <v>13544</v>
      </c>
      <c r="C5163" s="879" t="s">
        <v>226</v>
      </c>
      <c r="D5163" s="880" t="s">
        <v>43002</v>
      </c>
    </row>
    <row r="5164" spans="1:4" ht="13.5" x14ac:dyDescent="0.25">
      <c r="A5164" s="878" t="s">
        <v>13545</v>
      </c>
      <c r="B5164" s="878" t="s">
        <v>13546</v>
      </c>
      <c r="C5164" s="879" t="s">
        <v>226</v>
      </c>
      <c r="D5164" s="881" t="s">
        <v>43003</v>
      </c>
    </row>
    <row r="5165" spans="1:4" ht="13.5" x14ac:dyDescent="0.25">
      <c r="A5165" s="878" t="s">
        <v>13547</v>
      </c>
      <c r="B5165" s="878" t="s">
        <v>13548</v>
      </c>
      <c r="C5165" s="879" t="s">
        <v>226</v>
      </c>
      <c r="D5165" s="880" t="s">
        <v>43004</v>
      </c>
    </row>
    <row r="5166" spans="1:4" ht="13.5" x14ac:dyDescent="0.25">
      <c r="A5166" s="878" t="s">
        <v>13549</v>
      </c>
      <c r="B5166" s="878" t="s">
        <v>13550</v>
      </c>
      <c r="C5166" s="879" t="s">
        <v>226</v>
      </c>
      <c r="D5166" s="880" t="s">
        <v>43005</v>
      </c>
    </row>
    <row r="5167" spans="1:4" ht="13.5" x14ac:dyDescent="0.25">
      <c r="A5167" s="878" t="s">
        <v>13551</v>
      </c>
      <c r="B5167" s="878" t="s">
        <v>13552</v>
      </c>
      <c r="C5167" s="879" t="s">
        <v>226</v>
      </c>
      <c r="D5167" s="881" t="s">
        <v>43006</v>
      </c>
    </row>
    <row r="5168" spans="1:4" ht="13.5" x14ac:dyDescent="0.25">
      <c r="A5168" s="878" t="s">
        <v>13553</v>
      </c>
      <c r="B5168" s="878" t="s">
        <v>13554</v>
      </c>
      <c r="C5168" s="879" t="s">
        <v>226</v>
      </c>
      <c r="D5168" s="880" t="s">
        <v>43007</v>
      </c>
    </row>
    <row r="5169" spans="1:4" ht="13.5" x14ac:dyDescent="0.25">
      <c r="A5169" s="878" t="s">
        <v>13555</v>
      </c>
      <c r="B5169" s="878" t="s">
        <v>13556</v>
      </c>
      <c r="C5169" s="879" t="s">
        <v>226</v>
      </c>
      <c r="D5169" s="880" t="s">
        <v>43008</v>
      </c>
    </row>
    <row r="5170" spans="1:4" ht="13.5" x14ac:dyDescent="0.25">
      <c r="A5170" s="878" t="s">
        <v>13557</v>
      </c>
      <c r="B5170" s="878" t="s">
        <v>13558</v>
      </c>
      <c r="C5170" s="879" t="s">
        <v>226</v>
      </c>
      <c r="D5170" s="880" t="s">
        <v>43009</v>
      </c>
    </row>
    <row r="5171" spans="1:4" ht="13.5" x14ac:dyDescent="0.25">
      <c r="A5171" s="878" t="s">
        <v>13559</v>
      </c>
      <c r="B5171" s="878" t="s">
        <v>13560</v>
      </c>
      <c r="C5171" s="879" t="s">
        <v>226</v>
      </c>
      <c r="D5171" s="880" t="s">
        <v>43010</v>
      </c>
    </row>
    <row r="5172" spans="1:4" ht="13.5" x14ac:dyDescent="0.25">
      <c r="A5172" s="878" t="s">
        <v>13561</v>
      </c>
      <c r="B5172" s="878" t="s">
        <v>13562</v>
      </c>
      <c r="C5172" s="879" t="s">
        <v>226</v>
      </c>
      <c r="D5172" s="881" t="s">
        <v>43011</v>
      </c>
    </row>
    <row r="5173" spans="1:4" ht="13.5" x14ac:dyDescent="0.25">
      <c r="A5173" s="878" t="s">
        <v>13563</v>
      </c>
      <c r="B5173" s="878" t="s">
        <v>13564</v>
      </c>
      <c r="C5173" s="879" t="s">
        <v>226</v>
      </c>
      <c r="D5173" s="880" t="s">
        <v>43012</v>
      </c>
    </row>
    <row r="5174" spans="1:4" ht="13.5" x14ac:dyDescent="0.25">
      <c r="A5174" s="878" t="s">
        <v>13565</v>
      </c>
      <c r="B5174" s="878" t="s">
        <v>13566</v>
      </c>
      <c r="C5174" s="879" t="s">
        <v>226</v>
      </c>
      <c r="D5174" s="881" t="s">
        <v>43013</v>
      </c>
    </row>
    <row r="5175" spans="1:4" ht="13.5" x14ac:dyDescent="0.25">
      <c r="A5175" s="878" t="s">
        <v>13567</v>
      </c>
      <c r="B5175" s="878" t="s">
        <v>13568</v>
      </c>
      <c r="C5175" s="879" t="s">
        <v>226</v>
      </c>
      <c r="D5175" s="881" t="s">
        <v>43014</v>
      </c>
    </row>
    <row r="5176" spans="1:4" ht="13.5" x14ac:dyDescent="0.25">
      <c r="A5176" s="878" t="s">
        <v>13569</v>
      </c>
      <c r="B5176" s="878" t="s">
        <v>13570</v>
      </c>
      <c r="C5176" s="879" t="s">
        <v>226</v>
      </c>
      <c r="D5176" s="881" t="s">
        <v>43015</v>
      </c>
    </row>
    <row r="5177" spans="1:4" ht="13.5" x14ac:dyDescent="0.25">
      <c r="A5177" s="878" t="s">
        <v>13571</v>
      </c>
      <c r="B5177" s="878" t="s">
        <v>13572</v>
      </c>
      <c r="C5177" s="879" t="s">
        <v>226</v>
      </c>
      <c r="D5177" s="881" t="s">
        <v>43016</v>
      </c>
    </row>
    <row r="5178" spans="1:4" ht="13.5" x14ac:dyDescent="0.25">
      <c r="A5178" s="878" t="s">
        <v>13573</v>
      </c>
      <c r="B5178" s="878" t="s">
        <v>13574</v>
      </c>
      <c r="C5178" s="879" t="s">
        <v>226</v>
      </c>
      <c r="D5178" s="881" t="s">
        <v>43017</v>
      </c>
    </row>
    <row r="5179" spans="1:4" ht="13.5" x14ac:dyDescent="0.25">
      <c r="A5179" s="878" t="s">
        <v>13575</v>
      </c>
      <c r="B5179" s="878" t="s">
        <v>13576</v>
      </c>
      <c r="C5179" s="879" t="s">
        <v>226</v>
      </c>
      <c r="D5179" s="880" t="s">
        <v>43018</v>
      </c>
    </row>
    <row r="5180" spans="1:4" ht="13.5" x14ac:dyDescent="0.25">
      <c r="A5180" s="878" t="s">
        <v>13577</v>
      </c>
      <c r="B5180" s="878" t="s">
        <v>13578</v>
      </c>
      <c r="C5180" s="879" t="s">
        <v>226</v>
      </c>
      <c r="D5180" s="880" t="s">
        <v>43019</v>
      </c>
    </row>
    <row r="5181" spans="1:4" ht="13.5" x14ac:dyDescent="0.25">
      <c r="A5181" s="878" t="s">
        <v>13579</v>
      </c>
      <c r="B5181" s="878" t="s">
        <v>13580</v>
      </c>
      <c r="C5181" s="879" t="s">
        <v>226</v>
      </c>
      <c r="D5181" s="880" t="s">
        <v>43020</v>
      </c>
    </row>
    <row r="5182" spans="1:4" ht="13.5" x14ac:dyDescent="0.25">
      <c r="A5182" s="878" t="s">
        <v>13581</v>
      </c>
      <c r="B5182" s="878" t="s">
        <v>13582</v>
      </c>
      <c r="C5182" s="879" t="s">
        <v>226</v>
      </c>
      <c r="D5182" s="880" t="s">
        <v>43021</v>
      </c>
    </row>
    <row r="5183" spans="1:4" ht="13.5" x14ac:dyDescent="0.25">
      <c r="A5183" s="878" t="s">
        <v>13583</v>
      </c>
      <c r="B5183" s="878" t="s">
        <v>13584</v>
      </c>
      <c r="C5183" s="879" t="s">
        <v>226</v>
      </c>
      <c r="D5183" s="880" t="s">
        <v>43022</v>
      </c>
    </row>
    <row r="5184" spans="1:4" ht="13.5" x14ac:dyDescent="0.25">
      <c r="A5184" s="878" t="s">
        <v>13585</v>
      </c>
      <c r="B5184" s="878" t="s">
        <v>13586</v>
      </c>
      <c r="C5184" s="879" t="s">
        <v>226</v>
      </c>
      <c r="D5184" s="880" t="s">
        <v>43023</v>
      </c>
    </row>
    <row r="5185" spans="1:4" ht="13.5" x14ac:dyDescent="0.25">
      <c r="A5185" s="878" t="s">
        <v>13587</v>
      </c>
      <c r="B5185" s="878" t="s">
        <v>13588</v>
      </c>
      <c r="C5185" s="879" t="s">
        <v>226</v>
      </c>
      <c r="D5185" s="880" t="s">
        <v>43024</v>
      </c>
    </row>
    <row r="5186" spans="1:4" ht="13.5" x14ac:dyDescent="0.25">
      <c r="A5186" s="878" t="s">
        <v>13589</v>
      </c>
      <c r="B5186" s="878" t="s">
        <v>13590</v>
      </c>
      <c r="C5186" s="879" t="s">
        <v>226</v>
      </c>
      <c r="D5186" s="880" t="s">
        <v>43025</v>
      </c>
    </row>
    <row r="5187" spans="1:4" ht="13.5" x14ac:dyDescent="0.25">
      <c r="A5187" s="878" t="s">
        <v>13591</v>
      </c>
      <c r="B5187" s="878" t="s">
        <v>13592</v>
      </c>
      <c r="C5187" s="879" t="s">
        <v>226</v>
      </c>
      <c r="D5187" s="880" t="s">
        <v>9206</v>
      </c>
    </row>
    <row r="5188" spans="1:4" ht="13.5" x14ac:dyDescent="0.25">
      <c r="A5188" s="878" t="s">
        <v>13593</v>
      </c>
      <c r="B5188" s="878" t="s">
        <v>13594</v>
      </c>
      <c r="C5188" s="879" t="s">
        <v>226</v>
      </c>
      <c r="D5188" s="880" t="s">
        <v>43026</v>
      </c>
    </row>
    <row r="5189" spans="1:4" ht="13.5" x14ac:dyDescent="0.25">
      <c r="A5189" s="878" t="s">
        <v>13595</v>
      </c>
      <c r="B5189" s="878" t="s">
        <v>13596</v>
      </c>
      <c r="C5189" s="879" t="s">
        <v>226</v>
      </c>
      <c r="D5189" s="880" t="s">
        <v>43027</v>
      </c>
    </row>
    <row r="5190" spans="1:4" ht="13.5" x14ac:dyDescent="0.25">
      <c r="A5190" s="878" t="s">
        <v>13597</v>
      </c>
      <c r="B5190" s="878" t="s">
        <v>13598</v>
      </c>
      <c r="C5190" s="879" t="s">
        <v>226</v>
      </c>
      <c r="D5190" s="880" t="s">
        <v>30801</v>
      </c>
    </row>
    <row r="5191" spans="1:4" ht="13.5" x14ac:dyDescent="0.25">
      <c r="A5191" s="878" t="s">
        <v>13599</v>
      </c>
      <c r="B5191" s="878" t="s">
        <v>13600</v>
      </c>
      <c r="C5191" s="879" t="s">
        <v>226</v>
      </c>
      <c r="D5191" s="880" t="s">
        <v>43028</v>
      </c>
    </row>
    <row r="5192" spans="1:4" ht="13.5" x14ac:dyDescent="0.25">
      <c r="A5192" s="878" t="s">
        <v>13601</v>
      </c>
      <c r="B5192" s="878" t="s">
        <v>13602</v>
      </c>
      <c r="C5192" s="879" t="s">
        <v>226</v>
      </c>
      <c r="D5192" s="880" t="s">
        <v>43029</v>
      </c>
    </row>
    <row r="5193" spans="1:4" ht="13.5" x14ac:dyDescent="0.25">
      <c r="A5193" s="878" t="s">
        <v>13603</v>
      </c>
      <c r="B5193" s="878" t="s">
        <v>13604</v>
      </c>
      <c r="C5193" s="879" t="s">
        <v>226</v>
      </c>
      <c r="D5193" s="880" t="s">
        <v>43030</v>
      </c>
    </row>
    <row r="5194" spans="1:4" ht="13.5" x14ac:dyDescent="0.25">
      <c r="A5194" s="878" t="s">
        <v>13605</v>
      </c>
      <c r="B5194" s="878" t="s">
        <v>13606</v>
      </c>
      <c r="C5194" s="879" t="s">
        <v>226</v>
      </c>
      <c r="D5194" s="880" t="s">
        <v>42763</v>
      </c>
    </row>
    <row r="5195" spans="1:4" ht="13.5" x14ac:dyDescent="0.25">
      <c r="A5195" s="878" t="s">
        <v>13608</v>
      </c>
      <c r="B5195" s="878" t="s">
        <v>13609</v>
      </c>
      <c r="C5195" s="879" t="s">
        <v>226</v>
      </c>
      <c r="D5195" s="880" t="s">
        <v>43031</v>
      </c>
    </row>
    <row r="5196" spans="1:4" ht="13.5" x14ac:dyDescent="0.25">
      <c r="A5196" s="878" t="s">
        <v>13610</v>
      </c>
      <c r="B5196" s="878" t="s">
        <v>13611</v>
      </c>
      <c r="C5196" s="879" t="s">
        <v>226</v>
      </c>
      <c r="D5196" s="880" t="s">
        <v>30843</v>
      </c>
    </row>
    <row r="5197" spans="1:4" ht="13.5" x14ac:dyDescent="0.25">
      <c r="A5197" s="878" t="s">
        <v>13612</v>
      </c>
      <c r="B5197" s="878" t="s">
        <v>13613</v>
      </c>
      <c r="C5197" s="879" t="s">
        <v>226</v>
      </c>
      <c r="D5197" s="880" t="s">
        <v>43032</v>
      </c>
    </row>
    <row r="5198" spans="1:4" ht="13.5" x14ac:dyDescent="0.25">
      <c r="A5198" s="878" t="s">
        <v>13614</v>
      </c>
      <c r="B5198" s="878" t="s">
        <v>13615</v>
      </c>
      <c r="C5198" s="879" t="s">
        <v>226</v>
      </c>
      <c r="D5198" s="880" t="s">
        <v>43033</v>
      </c>
    </row>
    <row r="5199" spans="1:4" ht="13.5" x14ac:dyDescent="0.25">
      <c r="A5199" s="878" t="s">
        <v>13616</v>
      </c>
      <c r="B5199" s="878" t="s">
        <v>13617</v>
      </c>
      <c r="C5199" s="879" t="s">
        <v>226</v>
      </c>
      <c r="D5199" s="880" t="s">
        <v>43034</v>
      </c>
    </row>
    <row r="5200" spans="1:4" ht="13.5" x14ac:dyDescent="0.25">
      <c r="A5200" s="878" t="s">
        <v>13618</v>
      </c>
      <c r="B5200" s="878" t="s">
        <v>13619</v>
      </c>
      <c r="C5200" s="879" t="s">
        <v>226</v>
      </c>
      <c r="D5200" s="880" t="s">
        <v>43035</v>
      </c>
    </row>
    <row r="5201" spans="1:4" ht="13.5" x14ac:dyDescent="0.25">
      <c r="A5201" s="878" t="s">
        <v>13620</v>
      </c>
      <c r="B5201" s="878" t="s">
        <v>13621</v>
      </c>
      <c r="C5201" s="879" t="s">
        <v>226</v>
      </c>
      <c r="D5201" s="880" t="s">
        <v>43036</v>
      </c>
    </row>
    <row r="5202" spans="1:4" ht="13.5" x14ac:dyDescent="0.25">
      <c r="A5202" s="878" t="s">
        <v>13622</v>
      </c>
      <c r="B5202" s="878" t="s">
        <v>13623</v>
      </c>
      <c r="C5202" s="879" t="s">
        <v>226</v>
      </c>
      <c r="D5202" s="880" t="s">
        <v>43037</v>
      </c>
    </row>
    <row r="5203" spans="1:4" ht="13.5" x14ac:dyDescent="0.25">
      <c r="A5203" s="878" t="s">
        <v>13624</v>
      </c>
      <c r="B5203" s="878" t="s">
        <v>13625</v>
      </c>
      <c r="C5203" s="879" t="s">
        <v>226</v>
      </c>
      <c r="D5203" s="880" t="s">
        <v>43038</v>
      </c>
    </row>
    <row r="5204" spans="1:4" ht="13.5" x14ac:dyDescent="0.25">
      <c r="A5204" s="878" t="s">
        <v>13626</v>
      </c>
      <c r="B5204" s="878" t="s">
        <v>13627</v>
      </c>
      <c r="C5204" s="879" t="s">
        <v>226</v>
      </c>
      <c r="D5204" s="880" t="s">
        <v>30561</v>
      </c>
    </row>
    <row r="5205" spans="1:4" ht="13.5" x14ac:dyDescent="0.25">
      <c r="A5205" s="878" t="s">
        <v>13628</v>
      </c>
      <c r="B5205" s="878" t="s">
        <v>13629</v>
      </c>
      <c r="C5205" s="879" t="s">
        <v>226</v>
      </c>
      <c r="D5205" s="880" t="s">
        <v>43039</v>
      </c>
    </row>
    <row r="5206" spans="1:4" ht="13.5" x14ac:dyDescent="0.25">
      <c r="A5206" s="878" t="s">
        <v>13630</v>
      </c>
      <c r="B5206" s="878" t="s">
        <v>13631</v>
      </c>
      <c r="C5206" s="879" t="s">
        <v>226</v>
      </c>
      <c r="D5206" s="880" t="s">
        <v>43040</v>
      </c>
    </row>
    <row r="5207" spans="1:4" ht="13.5" x14ac:dyDescent="0.25">
      <c r="A5207" s="878" t="s">
        <v>13632</v>
      </c>
      <c r="B5207" s="878" t="s">
        <v>13633</v>
      </c>
      <c r="C5207" s="879" t="s">
        <v>226</v>
      </c>
      <c r="D5207" s="880" t="s">
        <v>43041</v>
      </c>
    </row>
    <row r="5208" spans="1:4" ht="13.5" x14ac:dyDescent="0.25">
      <c r="A5208" s="878" t="s">
        <v>13634</v>
      </c>
      <c r="B5208" s="878" t="s">
        <v>13635</v>
      </c>
      <c r="C5208" s="879" t="s">
        <v>226</v>
      </c>
      <c r="D5208" s="880" t="s">
        <v>41622</v>
      </c>
    </row>
    <row r="5209" spans="1:4" ht="13.5" x14ac:dyDescent="0.25">
      <c r="A5209" s="878" t="s">
        <v>13636</v>
      </c>
      <c r="B5209" s="878" t="s">
        <v>13637</v>
      </c>
      <c r="C5209" s="879" t="s">
        <v>226</v>
      </c>
      <c r="D5209" s="880" t="s">
        <v>43042</v>
      </c>
    </row>
    <row r="5210" spans="1:4" ht="13.5" x14ac:dyDescent="0.25">
      <c r="A5210" s="878" t="s">
        <v>13638</v>
      </c>
      <c r="B5210" s="878" t="s">
        <v>13639</v>
      </c>
      <c r="C5210" s="879" t="s">
        <v>226</v>
      </c>
      <c r="D5210" s="880" t="s">
        <v>43043</v>
      </c>
    </row>
    <row r="5211" spans="1:4" ht="13.5" x14ac:dyDescent="0.25">
      <c r="A5211" s="878" t="s">
        <v>13640</v>
      </c>
      <c r="B5211" s="878" t="s">
        <v>13641</v>
      </c>
      <c r="C5211" s="879" t="s">
        <v>226</v>
      </c>
      <c r="D5211" s="880" t="s">
        <v>30692</v>
      </c>
    </row>
    <row r="5212" spans="1:4" ht="13.5" x14ac:dyDescent="0.25">
      <c r="A5212" s="878" t="s">
        <v>13642</v>
      </c>
      <c r="B5212" s="878" t="s">
        <v>13643</v>
      </c>
      <c r="C5212" s="879" t="s">
        <v>226</v>
      </c>
      <c r="D5212" s="880" t="s">
        <v>43044</v>
      </c>
    </row>
    <row r="5213" spans="1:4" ht="13.5" x14ac:dyDescent="0.25">
      <c r="A5213" s="878" t="s">
        <v>13644</v>
      </c>
      <c r="B5213" s="878" t="s">
        <v>13645</v>
      </c>
      <c r="C5213" s="879" t="s">
        <v>226</v>
      </c>
      <c r="D5213" s="880" t="s">
        <v>43045</v>
      </c>
    </row>
    <row r="5214" spans="1:4" ht="13.5" x14ac:dyDescent="0.25">
      <c r="A5214" s="878" t="s">
        <v>13646</v>
      </c>
      <c r="B5214" s="878" t="s">
        <v>13647</v>
      </c>
      <c r="C5214" s="879" t="s">
        <v>226</v>
      </c>
      <c r="D5214" s="880" t="s">
        <v>43046</v>
      </c>
    </row>
    <row r="5215" spans="1:4" ht="13.5" x14ac:dyDescent="0.25">
      <c r="A5215" s="878" t="s">
        <v>13648</v>
      </c>
      <c r="B5215" s="878" t="s">
        <v>13649</v>
      </c>
      <c r="C5215" s="879" t="s">
        <v>226</v>
      </c>
      <c r="D5215" s="880" t="s">
        <v>43047</v>
      </c>
    </row>
    <row r="5216" spans="1:4" ht="13.5" x14ac:dyDescent="0.25">
      <c r="A5216" s="878" t="s">
        <v>13650</v>
      </c>
      <c r="B5216" s="878" t="s">
        <v>13651</v>
      </c>
      <c r="C5216" s="879" t="s">
        <v>226</v>
      </c>
      <c r="D5216" s="880" t="s">
        <v>41344</v>
      </c>
    </row>
    <row r="5217" spans="1:4" ht="13.5" x14ac:dyDescent="0.25">
      <c r="A5217" s="878" t="s">
        <v>13652</v>
      </c>
      <c r="B5217" s="878" t="s">
        <v>13653</v>
      </c>
      <c r="C5217" s="879" t="s">
        <v>226</v>
      </c>
      <c r="D5217" s="880" t="s">
        <v>43048</v>
      </c>
    </row>
    <row r="5218" spans="1:4" ht="13.5" x14ac:dyDescent="0.25">
      <c r="A5218" s="878" t="s">
        <v>13654</v>
      </c>
      <c r="B5218" s="878" t="s">
        <v>13655</v>
      </c>
      <c r="C5218" s="879" t="s">
        <v>226</v>
      </c>
      <c r="D5218" s="880" t="s">
        <v>43049</v>
      </c>
    </row>
    <row r="5219" spans="1:4" ht="13.5" x14ac:dyDescent="0.25">
      <c r="A5219" s="878" t="s">
        <v>13656</v>
      </c>
      <c r="B5219" s="878" t="s">
        <v>13657</v>
      </c>
      <c r="C5219" s="879" t="s">
        <v>226</v>
      </c>
      <c r="D5219" s="880" t="s">
        <v>43050</v>
      </c>
    </row>
    <row r="5220" spans="1:4" ht="13.5" x14ac:dyDescent="0.25">
      <c r="A5220" s="878" t="s">
        <v>13658</v>
      </c>
      <c r="B5220" s="878" t="s">
        <v>13659</v>
      </c>
      <c r="C5220" s="879" t="s">
        <v>226</v>
      </c>
      <c r="D5220" s="880" t="s">
        <v>43051</v>
      </c>
    </row>
    <row r="5221" spans="1:4" ht="13.5" x14ac:dyDescent="0.25">
      <c r="A5221" s="878" t="s">
        <v>13660</v>
      </c>
      <c r="B5221" s="878" t="s">
        <v>13661</v>
      </c>
      <c r="C5221" s="879" t="s">
        <v>226</v>
      </c>
      <c r="D5221" s="880" t="s">
        <v>43052</v>
      </c>
    </row>
    <row r="5222" spans="1:4" ht="13.5" x14ac:dyDescent="0.25">
      <c r="A5222" s="878" t="s">
        <v>13662</v>
      </c>
      <c r="B5222" s="878" t="s">
        <v>13663</v>
      </c>
      <c r="C5222" s="879" t="s">
        <v>226</v>
      </c>
      <c r="D5222" s="880" t="s">
        <v>43053</v>
      </c>
    </row>
    <row r="5223" spans="1:4" ht="13.5" x14ac:dyDescent="0.25">
      <c r="A5223" s="878" t="s">
        <v>13664</v>
      </c>
      <c r="B5223" s="878" t="s">
        <v>13665</v>
      </c>
      <c r="C5223" s="879" t="s">
        <v>226</v>
      </c>
      <c r="D5223" s="880" t="s">
        <v>43054</v>
      </c>
    </row>
    <row r="5224" spans="1:4" ht="13.5" x14ac:dyDescent="0.25">
      <c r="A5224" s="878" t="s">
        <v>13666</v>
      </c>
      <c r="B5224" s="878" t="s">
        <v>13667</v>
      </c>
      <c r="C5224" s="879" t="s">
        <v>226</v>
      </c>
      <c r="D5224" s="880" t="s">
        <v>43055</v>
      </c>
    </row>
    <row r="5225" spans="1:4" ht="13.5" x14ac:dyDescent="0.25">
      <c r="A5225" s="878" t="s">
        <v>13668</v>
      </c>
      <c r="B5225" s="878" t="s">
        <v>13669</v>
      </c>
      <c r="C5225" s="879" t="s">
        <v>226</v>
      </c>
      <c r="D5225" s="880" t="s">
        <v>43056</v>
      </c>
    </row>
    <row r="5226" spans="1:4" ht="13.5" x14ac:dyDescent="0.25">
      <c r="A5226" s="878" t="s">
        <v>13670</v>
      </c>
      <c r="B5226" s="878" t="s">
        <v>13671</v>
      </c>
      <c r="C5226" s="879" t="s">
        <v>226</v>
      </c>
      <c r="D5226" s="880" t="s">
        <v>43057</v>
      </c>
    </row>
    <row r="5227" spans="1:4" ht="13.5" x14ac:dyDescent="0.25">
      <c r="A5227" s="878" t="s">
        <v>13672</v>
      </c>
      <c r="B5227" s="878" t="s">
        <v>13673</v>
      </c>
      <c r="C5227" s="879" t="s">
        <v>226</v>
      </c>
      <c r="D5227" s="880" t="s">
        <v>43058</v>
      </c>
    </row>
    <row r="5228" spans="1:4" s="468" customFormat="1" ht="13.5" x14ac:dyDescent="0.25">
      <c r="A5228" s="889" t="s">
        <v>13674</v>
      </c>
      <c r="B5228" s="889" t="s">
        <v>13675</v>
      </c>
      <c r="C5228" s="890" t="s">
        <v>226</v>
      </c>
      <c r="D5228" s="891" t="s">
        <v>43059</v>
      </c>
    </row>
    <row r="5229" spans="1:4" s="36" customFormat="1" ht="13.5" x14ac:dyDescent="0.25">
      <c r="A5229" s="892" t="s">
        <v>13676</v>
      </c>
      <c r="B5229" s="892" t="s">
        <v>13677</v>
      </c>
      <c r="C5229" s="893" t="s">
        <v>226</v>
      </c>
      <c r="D5229" s="894" t="s">
        <v>43060</v>
      </c>
    </row>
    <row r="5230" spans="1:4" ht="13.5" x14ac:dyDescent="0.25">
      <c r="A5230" s="878" t="s">
        <v>13678</v>
      </c>
      <c r="B5230" s="878" t="s">
        <v>13679</v>
      </c>
      <c r="C5230" s="879" t="s">
        <v>226</v>
      </c>
      <c r="D5230" s="880" t="s">
        <v>43061</v>
      </c>
    </row>
    <row r="5231" spans="1:4" ht="13.5" x14ac:dyDescent="0.25">
      <c r="A5231" s="878" t="s">
        <v>13680</v>
      </c>
      <c r="B5231" s="878" t="s">
        <v>13681</v>
      </c>
      <c r="C5231" s="879" t="s">
        <v>226</v>
      </c>
      <c r="D5231" s="880" t="s">
        <v>43062</v>
      </c>
    </row>
    <row r="5232" spans="1:4" ht="13.5" x14ac:dyDescent="0.25">
      <c r="A5232" s="878" t="s">
        <v>13682</v>
      </c>
      <c r="B5232" s="878" t="s">
        <v>13683</v>
      </c>
      <c r="C5232" s="879" t="s">
        <v>226</v>
      </c>
      <c r="D5232" s="880" t="s">
        <v>43063</v>
      </c>
    </row>
    <row r="5233" spans="1:4" ht="13.5" x14ac:dyDescent="0.25">
      <c r="A5233" s="878" t="s">
        <v>13684</v>
      </c>
      <c r="B5233" s="878" t="s">
        <v>13685</v>
      </c>
      <c r="C5233" s="879" t="s">
        <v>226</v>
      </c>
      <c r="D5233" s="880" t="s">
        <v>43064</v>
      </c>
    </row>
    <row r="5234" spans="1:4" ht="13.5" x14ac:dyDescent="0.25">
      <c r="A5234" s="878" t="s">
        <v>13686</v>
      </c>
      <c r="B5234" s="878" t="s">
        <v>13687</v>
      </c>
      <c r="C5234" s="879" t="s">
        <v>226</v>
      </c>
      <c r="D5234" s="880" t="s">
        <v>43065</v>
      </c>
    </row>
    <row r="5235" spans="1:4" ht="13.5" x14ac:dyDescent="0.25">
      <c r="A5235" s="878" t="s">
        <v>13688</v>
      </c>
      <c r="B5235" s="878" t="s">
        <v>13689</v>
      </c>
      <c r="C5235" s="879" t="s">
        <v>226</v>
      </c>
      <c r="D5235" s="880" t="s">
        <v>43066</v>
      </c>
    </row>
    <row r="5236" spans="1:4" ht="13.5" x14ac:dyDescent="0.25">
      <c r="A5236" s="878" t="s">
        <v>13690</v>
      </c>
      <c r="B5236" s="878" t="s">
        <v>13691</v>
      </c>
      <c r="C5236" s="879" t="s">
        <v>226</v>
      </c>
      <c r="D5236" s="880" t="s">
        <v>43048</v>
      </c>
    </row>
    <row r="5237" spans="1:4" ht="13.5" x14ac:dyDescent="0.25">
      <c r="A5237" s="878" t="s">
        <v>13692</v>
      </c>
      <c r="B5237" s="878" t="s">
        <v>13693</v>
      </c>
      <c r="C5237" s="879" t="s">
        <v>226</v>
      </c>
      <c r="D5237" s="880" t="s">
        <v>43067</v>
      </c>
    </row>
    <row r="5238" spans="1:4" ht="13.5" x14ac:dyDescent="0.25">
      <c r="A5238" s="878" t="s">
        <v>13694</v>
      </c>
      <c r="B5238" s="878" t="s">
        <v>13695</v>
      </c>
      <c r="C5238" s="879" t="s">
        <v>226</v>
      </c>
      <c r="D5238" s="880" t="s">
        <v>43068</v>
      </c>
    </row>
    <row r="5239" spans="1:4" ht="13.5" x14ac:dyDescent="0.25">
      <c r="A5239" s="878" t="s">
        <v>13696</v>
      </c>
      <c r="B5239" s="878" t="s">
        <v>13697</v>
      </c>
      <c r="C5239" s="879" t="s">
        <v>226</v>
      </c>
      <c r="D5239" s="880" t="s">
        <v>43069</v>
      </c>
    </row>
    <row r="5240" spans="1:4" ht="13.5" x14ac:dyDescent="0.25">
      <c r="A5240" s="878" t="s">
        <v>13698</v>
      </c>
      <c r="B5240" s="878" t="s">
        <v>13699</v>
      </c>
      <c r="C5240" s="879" t="s">
        <v>226</v>
      </c>
      <c r="D5240" s="880" t="s">
        <v>41504</v>
      </c>
    </row>
    <row r="5241" spans="1:4" ht="13.5" x14ac:dyDescent="0.25">
      <c r="A5241" s="878" t="s">
        <v>13700</v>
      </c>
      <c r="B5241" s="878" t="s">
        <v>13701</v>
      </c>
      <c r="C5241" s="879" t="s">
        <v>226</v>
      </c>
      <c r="D5241" s="880" t="s">
        <v>43070</v>
      </c>
    </row>
    <row r="5242" spans="1:4" ht="13.5" x14ac:dyDescent="0.25">
      <c r="A5242" s="878" t="s">
        <v>13702</v>
      </c>
      <c r="B5242" s="878" t="s">
        <v>13703</v>
      </c>
      <c r="C5242" s="879" t="s">
        <v>226</v>
      </c>
      <c r="D5242" s="880" t="s">
        <v>43071</v>
      </c>
    </row>
    <row r="5243" spans="1:4" ht="13.5" x14ac:dyDescent="0.25">
      <c r="A5243" s="878" t="s">
        <v>13704</v>
      </c>
      <c r="B5243" s="878" t="s">
        <v>13705</v>
      </c>
      <c r="C5243" s="879" t="s">
        <v>226</v>
      </c>
      <c r="D5243" s="880" t="s">
        <v>43072</v>
      </c>
    </row>
    <row r="5244" spans="1:4" ht="13.5" x14ac:dyDescent="0.25">
      <c r="A5244" s="878" t="s">
        <v>13706</v>
      </c>
      <c r="B5244" s="878" t="s">
        <v>13707</v>
      </c>
      <c r="C5244" s="879" t="s">
        <v>226</v>
      </c>
      <c r="D5244" s="880" t="s">
        <v>43073</v>
      </c>
    </row>
    <row r="5245" spans="1:4" ht="13.5" x14ac:dyDescent="0.25">
      <c r="A5245" s="878" t="s">
        <v>13708</v>
      </c>
      <c r="B5245" s="878" t="s">
        <v>13709</v>
      </c>
      <c r="C5245" s="879" t="s">
        <v>226</v>
      </c>
      <c r="D5245" s="880" t="s">
        <v>43074</v>
      </c>
    </row>
    <row r="5246" spans="1:4" ht="13.5" x14ac:dyDescent="0.25">
      <c r="A5246" s="878" t="s">
        <v>13711</v>
      </c>
      <c r="B5246" s="878" t="s">
        <v>13712</v>
      </c>
      <c r="C5246" s="879" t="s">
        <v>226</v>
      </c>
      <c r="D5246" s="880" t="s">
        <v>43075</v>
      </c>
    </row>
    <row r="5247" spans="1:4" ht="13.5" x14ac:dyDescent="0.25">
      <c r="A5247" s="878" t="s">
        <v>13714</v>
      </c>
      <c r="B5247" s="878" t="s">
        <v>13715</v>
      </c>
      <c r="C5247" s="879" t="s">
        <v>226</v>
      </c>
      <c r="D5247" s="880" t="s">
        <v>43076</v>
      </c>
    </row>
    <row r="5248" spans="1:4" ht="13.5" x14ac:dyDescent="0.25">
      <c r="A5248" s="878" t="s">
        <v>13716</v>
      </c>
      <c r="B5248" s="878" t="s">
        <v>13717</v>
      </c>
      <c r="C5248" s="879" t="s">
        <v>226</v>
      </c>
      <c r="D5248" s="880" t="s">
        <v>43077</v>
      </c>
    </row>
    <row r="5249" spans="1:4" ht="13.5" x14ac:dyDescent="0.25">
      <c r="A5249" s="878" t="s">
        <v>13718</v>
      </c>
      <c r="B5249" s="878" t="s">
        <v>13719</v>
      </c>
      <c r="C5249" s="879" t="s">
        <v>226</v>
      </c>
      <c r="D5249" s="880" t="s">
        <v>43078</v>
      </c>
    </row>
    <row r="5250" spans="1:4" ht="13.5" x14ac:dyDescent="0.25">
      <c r="A5250" s="878" t="s">
        <v>13720</v>
      </c>
      <c r="B5250" s="878" t="s">
        <v>13721</v>
      </c>
      <c r="C5250" s="879" t="s">
        <v>226</v>
      </c>
      <c r="D5250" s="880" t="s">
        <v>43079</v>
      </c>
    </row>
    <row r="5251" spans="1:4" ht="13.5" x14ac:dyDescent="0.25">
      <c r="A5251" s="878" t="s">
        <v>13722</v>
      </c>
      <c r="B5251" s="878" t="s">
        <v>13723</v>
      </c>
      <c r="C5251" s="879" t="s">
        <v>226</v>
      </c>
      <c r="D5251" s="880" t="s">
        <v>43080</v>
      </c>
    </row>
    <row r="5252" spans="1:4" ht="13.5" x14ac:dyDescent="0.25">
      <c r="A5252" s="878" t="s">
        <v>13724</v>
      </c>
      <c r="B5252" s="878" t="s">
        <v>13725</v>
      </c>
      <c r="C5252" s="879" t="s">
        <v>226</v>
      </c>
      <c r="D5252" s="880" t="s">
        <v>43081</v>
      </c>
    </row>
    <row r="5253" spans="1:4" ht="13.5" x14ac:dyDescent="0.25">
      <c r="A5253" s="878" t="s">
        <v>13726</v>
      </c>
      <c r="B5253" s="878" t="s">
        <v>13727</v>
      </c>
      <c r="C5253" s="879" t="s">
        <v>226</v>
      </c>
      <c r="D5253" s="880" t="s">
        <v>43082</v>
      </c>
    </row>
    <row r="5254" spans="1:4" ht="13.5" x14ac:dyDescent="0.25">
      <c r="A5254" s="878" t="s">
        <v>13728</v>
      </c>
      <c r="B5254" s="878" t="s">
        <v>13729</v>
      </c>
      <c r="C5254" s="879" t="s">
        <v>226</v>
      </c>
      <c r="D5254" s="880" t="s">
        <v>43083</v>
      </c>
    </row>
    <row r="5255" spans="1:4" ht="13.5" x14ac:dyDescent="0.25">
      <c r="A5255" s="878" t="s">
        <v>13730</v>
      </c>
      <c r="B5255" s="878" t="s">
        <v>13731</v>
      </c>
      <c r="C5255" s="879" t="s">
        <v>226</v>
      </c>
      <c r="D5255" s="880" t="s">
        <v>43084</v>
      </c>
    </row>
    <row r="5256" spans="1:4" ht="13.5" x14ac:dyDescent="0.25">
      <c r="A5256" s="878" t="s">
        <v>13732</v>
      </c>
      <c r="B5256" s="878" t="s">
        <v>13733</v>
      </c>
      <c r="C5256" s="879" t="s">
        <v>226</v>
      </c>
      <c r="D5256" s="880" t="s">
        <v>43085</v>
      </c>
    </row>
    <row r="5257" spans="1:4" ht="13.5" x14ac:dyDescent="0.25">
      <c r="A5257" s="878" t="s">
        <v>13734</v>
      </c>
      <c r="B5257" s="878" t="s">
        <v>13735</v>
      </c>
      <c r="C5257" s="879" t="s">
        <v>226</v>
      </c>
      <c r="D5257" s="880" t="s">
        <v>43086</v>
      </c>
    </row>
    <row r="5258" spans="1:4" ht="13.5" x14ac:dyDescent="0.25">
      <c r="A5258" s="878" t="s">
        <v>13736</v>
      </c>
      <c r="B5258" s="878" t="s">
        <v>13737</v>
      </c>
      <c r="C5258" s="879" t="s">
        <v>226</v>
      </c>
      <c r="D5258" s="880" t="s">
        <v>40678</v>
      </c>
    </row>
    <row r="5259" spans="1:4" ht="13.5" x14ac:dyDescent="0.25">
      <c r="A5259" s="878" t="s">
        <v>13738</v>
      </c>
      <c r="B5259" s="878" t="s">
        <v>13739</v>
      </c>
      <c r="C5259" s="879" t="s">
        <v>226</v>
      </c>
      <c r="D5259" s="880" t="s">
        <v>43087</v>
      </c>
    </row>
    <row r="5260" spans="1:4" ht="13.5" x14ac:dyDescent="0.25">
      <c r="A5260" s="878" t="s">
        <v>13740</v>
      </c>
      <c r="B5260" s="878" t="s">
        <v>13741</v>
      </c>
      <c r="C5260" s="879" t="s">
        <v>226</v>
      </c>
      <c r="D5260" s="880" t="s">
        <v>43088</v>
      </c>
    </row>
    <row r="5261" spans="1:4" ht="13.5" x14ac:dyDescent="0.25">
      <c r="A5261" s="878" t="s">
        <v>13742</v>
      </c>
      <c r="B5261" s="878" t="s">
        <v>13743</v>
      </c>
      <c r="C5261" s="879" t="s">
        <v>226</v>
      </c>
      <c r="D5261" s="880" t="s">
        <v>43089</v>
      </c>
    </row>
    <row r="5262" spans="1:4" ht="13.5" x14ac:dyDescent="0.25">
      <c r="A5262" s="878" t="s">
        <v>13744</v>
      </c>
      <c r="B5262" s="878" t="s">
        <v>13745</v>
      </c>
      <c r="C5262" s="879" t="s">
        <v>226</v>
      </c>
      <c r="D5262" s="880" t="s">
        <v>43090</v>
      </c>
    </row>
    <row r="5263" spans="1:4" ht="13.5" x14ac:dyDescent="0.25">
      <c r="A5263" s="878" t="s">
        <v>13746</v>
      </c>
      <c r="B5263" s="878" t="s">
        <v>13747</v>
      </c>
      <c r="C5263" s="879" t="s">
        <v>226</v>
      </c>
      <c r="D5263" s="880" t="s">
        <v>43091</v>
      </c>
    </row>
    <row r="5264" spans="1:4" ht="13.5" x14ac:dyDescent="0.25">
      <c r="A5264" s="878" t="s">
        <v>13748</v>
      </c>
      <c r="B5264" s="878" t="s">
        <v>13749</v>
      </c>
      <c r="C5264" s="879" t="s">
        <v>226</v>
      </c>
      <c r="D5264" s="880" t="s">
        <v>31084</v>
      </c>
    </row>
    <row r="5265" spans="1:4" ht="13.5" x14ac:dyDescent="0.25">
      <c r="A5265" s="878" t="s">
        <v>13750</v>
      </c>
      <c r="B5265" s="878" t="s">
        <v>13751</v>
      </c>
      <c r="C5265" s="879" t="s">
        <v>226</v>
      </c>
      <c r="D5265" s="880" t="s">
        <v>30258</v>
      </c>
    </row>
    <row r="5266" spans="1:4" ht="13.5" x14ac:dyDescent="0.25">
      <c r="A5266" s="878" t="s">
        <v>13752</v>
      </c>
      <c r="B5266" s="878" t="s">
        <v>13753</v>
      </c>
      <c r="C5266" s="879" t="s">
        <v>226</v>
      </c>
      <c r="D5266" s="880" t="s">
        <v>42434</v>
      </c>
    </row>
    <row r="5267" spans="1:4" ht="13.5" x14ac:dyDescent="0.25">
      <c r="A5267" s="878" t="s">
        <v>13754</v>
      </c>
      <c r="B5267" s="878" t="s">
        <v>13755</v>
      </c>
      <c r="C5267" s="879" t="s">
        <v>226</v>
      </c>
      <c r="D5267" s="880" t="s">
        <v>43092</v>
      </c>
    </row>
    <row r="5268" spans="1:4" ht="13.5" x14ac:dyDescent="0.25">
      <c r="A5268" s="878" t="s">
        <v>13756</v>
      </c>
      <c r="B5268" s="878" t="s">
        <v>13757</v>
      </c>
      <c r="C5268" s="879" t="s">
        <v>226</v>
      </c>
      <c r="D5268" s="880" t="s">
        <v>43093</v>
      </c>
    </row>
    <row r="5269" spans="1:4" ht="13.5" x14ac:dyDescent="0.25">
      <c r="A5269" s="878" t="s">
        <v>13758</v>
      </c>
      <c r="B5269" s="878" t="s">
        <v>13759</v>
      </c>
      <c r="C5269" s="879" t="s">
        <v>226</v>
      </c>
      <c r="D5269" s="880" t="s">
        <v>43094</v>
      </c>
    </row>
    <row r="5270" spans="1:4" ht="13.5" x14ac:dyDescent="0.25">
      <c r="A5270" s="878" t="s">
        <v>13760</v>
      </c>
      <c r="B5270" s="878" t="s">
        <v>13761</v>
      </c>
      <c r="C5270" s="879" t="s">
        <v>226</v>
      </c>
      <c r="D5270" s="880" t="s">
        <v>43095</v>
      </c>
    </row>
    <row r="5271" spans="1:4" ht="13.5" x14ac:dyDescent="0.25">
      <c r="A5271" s="878" t="s">
        <v>13762</v>
      </c>
      <c r="B5271" s="878" t="s">
        <v>13763</v>
      </c>
      <c r="C5271" s="879" t="s">
        <v>226</v>
      </c>
      <c r="D5271" s="880" t="s">
        <v>43096</v>
      </c>
    </row>
    <row r="5272" spans="1:4" ht="13.5" x14ac:dyDescent="0.25">
      <c r="A5272" s="878" t="s">
        <v>13764</v>
      </c>
      <c r="B5272" s="878" t="s">
        <v>13765</v>
      </c>
      <c r="C5272" s="879" t="s">
        <v>226</v>
      </c>
      <c r="D5272" s="880" t="s">
        <v>30360</v>
      </c>
    </row>
    <row r="5273" spans="1:4" ht="13.5" x14ac:dyDescent="0.25">
      <c r="A5273" s="878" t="s">
        <v>13766</v>
      </c>
      <c r="B5273" s="878" t="s">
        <v>13767</v>
      </c>
      <c r="C5273" s="879" t="s">
        <v>226</v>
      </c>
      <c r="D5273" s="880" t="s">
        <v>43097</v>
      </c>
    </row>
    <row r="5274" spans="1:4" ht="13.5" x14ac:dyDescent="0.25">
      <c r="A5274" s="878" t="s">
        <v>13768</v>
      </c>
      <c r="B5274" s="878" t="s">
        <v>13769</v>
      </c>
      <c r="C5274" s="879" t="s">
        <v>226</v>
      </c>
      <c r="D5274" s="880" t="s">
        <v>31276</v>
      </c>
    </row>
    <row r="5275" spans="1:4" ht="13.5" x14ac:dyDescent="0.25">
      <c r="A5275" s="878" t="s">
        <v>13770</v>
      </c>
      <c r="B5275" s="878" t="s">
        <v>13771</v>
      </c>
      <c r="C5275" s="879" t="s">
        <v>226</v>
      </c>
      <c r="D5275" s="880" t="s">
        <v>43098</v>
      </c>
    </row>
    <row r="5276" spans="1:4" ht="13.5" x14ac:dyDescent="0.25">
      <c r="A5276" s="878" t="s">
        <v>13773</v>
      </c>
      <c r="B5276" s="878" t="s">
        <v>13774</v>
      </c>
      <c r="C5276" s="879" t="s">
        <v>226</v>
      </c>
      <c r="D5276" s="880" t="s">
        <v>43099</v>
      </c>
    </row>
    <row r="5277" spans="1:4" ht="13.5" x14ac:dyDescent="0.25">
      <c r="A5277" s="878" t="s">
        <v>13775</v>
      </c>
      <c r="B5277" s="878" t="s">
        <v>13776</v>
      </c>
      <c r="C5277" s="879" t="s">
        <v>226</v>
      </c>
      <c r="D5277" s="880" t="s">
        <v>43100</v>
      </c>
    </row>
    <row r="5278" spans="1:4" ht="13.5" x14ac:dyDescent="0.25">
      <c r="A5278" s="878" t="s">
        <v>13777</v>
      </c>
      <c r="B5278" s="878" t="s">
        <v>13778</v>
      </c>
      <c r="C5278" s="879" t="s">
        <v>226</v>
      </c>
      <c r="D5278" s="880" t="s">
        <v>40508</v>
      </c>
    </row>
    <row r="5279" spans="1:4" ht="13.5" x14ac:dyDescent="0.25">
      <c r="A5279" s="878" t="s">
        <v>13779</v>
      </c>
      <c r="B5279" s="878" t="s">
        <v>13780</v>
      </c>
      <c r="C5279" s="879" t="s">
        <v>226</v>
      </c>
      <c r="D5279" s="880" t="s">
        <v>41680</v>
      </c>
    </row>
    <row r="5280" spans="1:4" ht="13.5" x14ac:dyDescent="0.25">
      <c r="A5280" s="878" t="s">
        <v>13781</v>
      </c>
      <c r="B5280" s="878" t="s">
        <v>13782</v>
      </c>
      <c r="C5280" s="879" t="s">
        <v>226</v>
      </c>
      <c r="D5280" s="880" t="s">
        <v>30552</v>
      </c>
    </row>
    <row r="5281" spans="1:4" ht="13.5" x14ac:dyDescent="0.25">
      <c r="A5281" s="878" t="s">
        <v>13784</v>
      </c>
      <c r="B5281" s="878" t="s">
        <v>13785</v>
      </c>
      <c r="C5281" s="879" t="s">
        <v>226</v>
      </c>
      <c r="D5281" s="880" t="s">
        <v>31095</v>
      </c>
    </row>
    <row r="5282" spans="1:4" ht="13.5" x14ac:dyDescent="0.25">
      <c r="A5282" s="878" t="s">
        <v>13786</v>
      </c>
      <c r="B5282" s="878" t="s">
        <v>13787</v>
      </c>
      <c r="C5282" s="879" t="s">
        <v>226</v>
      </c>
      <c r="D5282" s="880" t="s">
        <v>31219</v>
      </c>
    </row>
    <row r="5283" spans="1:4" ht="13.5" x14ac:dyDescent="0.25">
      <c r="A5283" s="878" t="s">
        <v>13788</v>
      </c>
      <c r="B5283" s="878" t="s">
        <v>13789</v>
      </c>
      <c r="C5283" s="879" t="s">
        <v>226</v>
      </c>
      <c r="D5283" s="880" t="s">
        <v>43101</v>
      </c>
    </row>
    <row r="5284" spans="1:4" ht="13.5" x14ac:dyDescent="0.25">
      <c r="A5284" s="878" t="s">
        <v>13790</v>
      </c>
      <c r="B5284" s="878" t="s">
        <v>13791</v>
      </c>
      <c r="C5284" s="879" t="s">
        <v>226</v>
      </c>
      <c r="D5284" s="880" t="s">
        <v>43102</v>
      </c>
    </row>
    <row r="5285" spans="1:4" ht="13.5" x14ac:dyDescent="0.25">
      <c r="A5285" s="878" t="s">
        <v>13792</v>
      </c>
      <c r="B5285" s="878" t="s">
        <v>13793</v>
      </c>
      <c r="C5285" s="879" t="s">
        <v>226</v>
      </c>
      <c r="D5285" s="880" t="s">
        <v>43103</v>
      </c>
    </row>
    <row r="5286" spans="1:4" ht="13.5" x14ac:dyDescent="0.25">
      <c r="A5286" s="878" t="s">
        <v>13794</v>
      </c>
      <c r="B5286" s="878" t="s">
        <v>13795</v>
      </c>
      <c r="C5286" s="879" t="s">
        <v>226</v>
      </c>
      <c r="D5286" s="880" t="s">
        <v>43104</v>
      </c>
    </row>
    <row r="5287" spans="1:4" ht="13.5" x14ac:dyDescent="0.25">
      <c r="A5287" s="878" t="s">
        <v>13796</v>
      </c>
      <c r="B5287" s="878" t="s">
        <v>13797</v>
      </c>
      <c r="C5287" s="879" t="s">
        <v>226</v>
      </c>
      <c r="D5287" s="880" t="s">
        <v>43105</v>
      </c>
    </row>
    <row r="5288" spans="1:4" ht="13.5" x14ac:dyDescent="0.25">
      <c r="A5288" s="878" t="s">
        <v>13798</v>
      </c>
      <c r="B5288" s="878" t="s">
        <v>13799</v>
      </c>
      <c r="C5288" s="879" t="s">
        <v>226</v>
      </c>
      <c r="D5288" s="880" t="s">
        <v>43106</v>
      </c>
    </row>
    <row r="5289" spans="1:4" ht="13.5" x14ac:dyDescent="0.25">
      <c r="A5289" s="878" t="s">
        <v>13800</v>
      </c>
      <c r="B5289" s="878" t="s">
        <v>13801</v>
      </c>
      <c r="C5289" s="879" t="s">
        <v>226</v>
      </c>
      <c r="D5289" s="880" t="s">
        <v>43107</v>
      </c>
    </row>
    <row r="5290" spans="1:4" ht="13.5" x14ac:dyDescent="0.25">
      <c r="A5290" s="878" t="s">
        <v>13802</v>
      </c>
      <c r="B5290" s="878" t="s">
        <v>13803</v>
      </c>
      <c r="C5290" s="879" t="s">
        <v>226</v>
      </c>
      <c r="D5290" s="880" t="s">
        <v>43108</v>
      </c>
    </row>
    <row r="5291" spans="1:4" ht="13.5" x14ac:dyDescent="0.25">
      <c r="A5291" s="878" t="s">
        <v>13804</v>
      </c>
      <c r="B5291" s="878" t="s">
        <v>13805</v>
      </c>
      <c r="C5291" s="879" t="s">
        <v>226</v>
      </c>
      <c r="D5291" s="880" t="s">
        <v>43109</v>
      </c>
    </row>
    <row r="5292" spans="1:4" ht="13.5" x14ac:dyDescent="0.25">
      <c r="A5292" s="878" t="s">
        <v>13806</v>
      </c>
      <c r="B5292" s="878" t="s">
        <v>13807</v>
      </c>
      <c r="C5292" s="879" t="s">
        <v>226</v>
      </c>
      <c r="D5292" s="880" t="s">
        <v>43110</v>
      </c>
    </row>
    <row r="5293" spans="1:4" ht="13.5" x14ac:dyDescent="0.25">
      <c r="A5293" s="878" t="s">
        <v>13808</v>
      </c>
      <c r="B5293" s="878" t="s">
        <v>13809</v>
      </c>
      <c r="C5293" s="879" t="s">
        <v>226</v>
      </c>
      <c r="D5293" s="880" t="s">
        <v>43111</v>
      </c>
    </row>
    <row r="5294" spans="1:4" ht="13.5" x14ac:dyDescent="0.25">
      <c r="A5294" s="878" t="s">
        <v>13810</v>
      </c>
      <c r="B5294" s="878" t="s">
        <v>13811</v>
      </c>
      <c r="C5294" s="879" t="s">
        <v>226</v>
      </c>
      <c r="D5294" s="880" t="s">
        <v>43112</v>
      </c>
    </row>
    <row r="5295" spans="1:4" ht="13.5" x14ac:dyDescent="0.25">
      <c r="A5295" s="878" t="s">
        <v>13812</v>
      </c>
      <c r="B5295" s="878" t="s">
        <v>13813</v>
      </c>
      <c r="C5295" s="879" t="s">
        <v>226</v>
      </c>
      <c r="D5295" s="880" t="s">
        <v>43113</v>
      </c>
    </row>
    <row r="5296" spans="1:4" ht="13.5" x14ac:dyDescent="0.25">
      <c r="A5296" s="878" t="s">
        <v>13814</v>
      </c>
      <c r="B5296" s="878" t="s">
        <v>13815</v>
      </c>
      <c r="C5296" s="879" t="s">
        <v>226</v>
      </c>
      <c r="D5296" s="880" t="s">
        <v>43114</v>
      </c>
    </row>
    <row r="5297" spans="1:4" ht="13.5" x14ac:dyDescent="0.25">
      <c r="A5297" s="878" t="s">
        <v>13816</v>
      </c>
      <c r="B5297" s="878" t="s">
        <v>13817</v>
      </c>
      <c r="C5297" s="879" t="s">
        <v>226</v>
      </c>
      <c r="D5297" s="880" t="s">
        <v>43115</v>
      </c>
    </row>
    <row r="5298" spans="1:4" ht="13.5" x14ac:dyDescent="0.25">
      <c r="A5298" s="878" t="s">
        <v>13818</v>
      </c>
      <c r="B5298" s="878" t="s">
        <v>13819</v>
      </c>
      <c r="C5298" s="879" t="s">
        <v>226</v>
      </c>
      <c r="D5298" s="880" t="s">
        <v>43116</v>
      </c>
    </row>
    <row r="5299" spans="1:4" ht="13.5" x14ac:dyDescent="0.25">
      <c r="A5299" s="878" t="s">
        <v>13820</v>
      </c>
      <c r="B5299" s="878" t="s">
        <v>13821</v>
      </c>
      <c r="C5299" s="879" t="s">
        <v>226</v>
      </c>
      <c r="D5299" s="880" t="s">
        <v>43117</v>
      </c>
    </row>
    <row r="5300" spans="1:4" ht="13.5" x14ac:dyDescent="0.25">
      <c r="A5300" s="878" t="s">
        <v>13822</v>
      </c>
      <c r="B5300" s="878" t="s">
        <v>13823</v>
      </c>
      <c r="C5300" s="879" t="s">
        <v>226</v>
      </c>
      <c r="D5300" s="880" t="s">
        <v>43118</v>
      </c>
    </row>
    <row r="5301" spans="1:4" ht="13.5" x14ac:dyDescent="0.25">
      <c r="A5301" s="878" t="s">
        <v>13824</v>
      </c>
      <c r="B5301" s="878" t="s">
        <v>13825</v>
      </c>
      <c r="C5301" s="879" t="s">
        <v>226</v>
      </c>
      <c r="D5301" s="880" t="s">
        <v>43119</v>
      </c>
    </row>
    <row r="5302" spans="1:4" ht="13.5" x14ac:dyDescent="0.25">
      <c r="A5302" s="878" t="s">
        <v>13826</v>
      </c>
      <c r="B5302" s="878" t="s">
        <v>13827</v>
      </c>
      <c r="C5302" s="879" t="s">
        <v>226</v>
      </c>
      <c r="D5302" s="880" t="s">
        <v>43120</v>
      </c>
    </row>
    <row r="5303" spans="1:4" ht="13.5" x14ac:dyDescent="0.25">
      <c r="A5303" s="878" t="s">
        <v>13828</v>
      </c>
      <c r="B5303" s="878" t="s">
        <v>13829</v>
      </c>
      <c r="C5303" s="879" t="s">
        <v>226</v>
      </c>
      <c r="D5303" s="880" t="s">
        <v>43121</v>
      </c>
    </row>
    <row r="5304" spans="1:4" ht="13.5" x14ac:dyDescent="0.25">
      <c r="A5304" s="878" t="s">
        <v>13830</v>
      </c>
      <c r="B5304" s="878" t="s">
        <v>13831</v>
      </c>
      <c r="C5304" s="879" t="s">
        <v>226</v>
      </c>
      <c r="D5304" s="880" t="s">
        <v>43122</v>
      </c>
    </row>
    <row r="5305" spans="1:4" ht="13.5" x14ac:dyDescent="0.25">
      <c r="A5305" s="878" t="s">
        <v>13832</v>
      </c>
      <c r="B5305" s="878" t="s">
        <v>13833</v>
      </c>
      <c r="C5305" s="879" t="s">
        <v>226</v>
      </c>
      <c r="D5305" s="880" t="s">
        <v>43123</v>
      </c>
    </row>
    <row r="5306" spans="1:4" ht="13.5" x14ac:dyDescent="0.25">
      <c r="A5306" s="878" t="s">
        <v>13834</v>
      </c>
      <c r="B5306" s="878" t="s">
        <v>13835</v>
      </c>
      <c r="C5306" s="879" t="s">
        <v>226</v>
      </c>
      <c r="D5306" s="880" t="s">
        <v>43124</v>
      </c>
    </row>
    <row r="5307" spans="1:4" ht="13.5" x14ac:dyDescent="0.25">
      <c r="A5307" s="878" t="s">
        <v>13836</v>
      </c>
      <c r="B5307" s="878" t="s">
        <v>13837</v>
      </c>
      <c r="C5307" s="879" t="s">
        <v>226</v>
      </c>
      <c r="D5307" s="880" t="s">
        <v>43125</v>
      </c>
    </row>
    <row r="5308" spans="1:4" ht="13.5" x14ac:dyDescent="0.25">
      <c r="A5308" s="878" t="s">
        <v>13838</v>
      </c>
      <c r="B5308" s="878" t="s">
        <v>13839</v>
      </c>
      <c r="C5308" s="879" t="s">
        <v>226</v>
      </c>
      <c r="D5308" s="880" t="s">
        <v>43126</v>
      </c>
    </row>
    <row r="5309" spans="1:4" ht="13.5" x14ac:dyDescent="0.25">
      <c r="A5309" s="878" t="s">
        <v>13840</v>
      </c>
      <c r="B5309" s="878" t="s">
        <v>13841</v>
      </c>
      <c r="C5309" s="879" t="s">
        <v>226</v>
      </c>
      <c r="D5309" s="880" t="s">
        <v>43127</v>
      </c>
    </row>
    <row r="5310" spans="1:4" ht="13.5" x14ac:dyDescent="0.25">
      <c r="A5310" s="878" t="s">
        <v>13842</v>
      </c>
      <c r="B5310" s="878" t="s">
        <v>13843</v>
      </c>
      <c r="C5310" s="879" t="s">
        <v>226</v>
      </c>
      <c r="D5310" s="880" t="s">
        <v>43128</v>
      </c>
    </row>
    <row r="5311" spans="1:4" ht="13.5" x14ac:dyDescent="0.25">
      <c r="A5311" s="878" t="s">
        <v>13844</v>
      </c>
      <c r="B5311" s="878" t="s">
        <v>13845</v>
      </c>
      <c r="C5311" s="879" t="s">
        <v>226</v>
      </c>
      <c r="D5311" s="880" t="s">
        <v>43129</v>
      </c>
    </row>
    <row r="5312" spans="1:4" ht="13.5" x14ac:dyDescent="0.25">
      <c r="A5312" s="878" t="s">
        <v>13846</v>
      </c>
      <c r="B5312" s="878" t="s">
        <v>13847</v>
      </c>
      <c r="C5312" s="879" t="s">
        <v>226</v>
      </c>
      <c r="D5312" s="880" t="s">
        <v>43130</v>
      </c>
    </row>
    <row r="5313" spans="1:4" ht="13.5" x14ac:dyDescent="0.25">
      <c r="A5313" s="878" t="s">
        <v>13848</v>
      </c>
      <c r="B5313" s="878" t="s">
        <v>13849</v>
      </c>
      <c r="C5313" s="879" t="s">
        <v>226</v>
      </c>
      <c r="D5313" s="880" t="s">
        <v>43131</v>
      </c>
    </row>
    <row r="5314" spans="1:4" ht="13.5" x14ac:dyDescent="0.25">
      <c r="A5314" s="878" t="s">
        <v>13850</v>
      </c>
      <c r="B5314" s="878" t="s">
        <v>13851</v>
      </c>
      <c r="C5314" s="879" t="s">
        <v>226</v>
      </c>
      <c r="D5314" s="880" t="s">
        <v>43132</v>
      </c>
    </row>
    <row r="5315" spans="1:4" ht="13.5" x14ac:dyDescent="0.25">
      <c r="A5315" s="878" t="s">
        <v>13852</v>
      </c>
      <c r="B5315" s="878" t="s">
        <v>13853</v>
      </c>
      <c r="C5315" s="879" t="s">
        <v>226</v>
      </c>
      <c r="D5315" s="880" t="s">
        <v>43133</v>
      </c>
    </row>
    <row r="5316" spans="1:4" ht="13.5" x14ac:dyDescent="0.25">
      <c r="A5316" s="878" t="s">
        <v>13854</v>
      </c>
      <c r="B5316" s="878" t="s">
        <v>13855</v>
      </c>
      <c r="C5316" s="879" t="s">
        <v>226</v>
      </c>
      <c r="D5316" s="880" t="s">
        <v>43134</v>
      </c>
    </row>
    <row r="5317" spans="1:4" ht="13.5" x14ac:dyDescent="0.25">
      <c r="A5317" s="878" t="s">
        <v>13856</v>
      </c>
      <c r="B5317" s="878" t="s">
        <v>13857</v>
      </c>
      <c r="C5317" s="879" t="s">
        <v>226</v>
      </c>
      <c r="D5317" s="880" t="s">
        <v>43135</v>
      </c>
    </row>
    <row r="5318" spans="1:4" ht="13.5" x14ac:dyDescent="0.25">
      <c r="A5318" s="878" t="s">
        <v>13858</v>
      </c>
      <c r="B5318" s="878" t="s">
        <v>13859</v>
      </c>
      <c r="C5318" s="879" t="s">
        <v>226</v>
      </c>
      <c r="D5318" s="880" t="s">
        <v>43136</v>
      </c>
    </row>
    <row r="5319" spans="1:4" ht="13.5" x14ac:dyDescent="0.25">
      <c r="A5319" s="878" t="s">
        <v>13860</v>
      </c>
      <c r="B5319" s="878" t="s">
        <v>13861</v>
      </c>
      <c r="C5319" s="879" t="s">
        <v>226</v>
      </c>
      <c r="D5319" s="880" t="s">
        <v>43137</v>
      </c>
    </row>
    <row r="5320" spans="1:4" ht="13.5" x14ac:dyDescent="0.25">
      <c r="A5320" s="878" t="s">
        <v>13862</v>
      </c>
      <c r="B5320" s="878" t="s">
        <v>13863</v>
      </c>
      <c r="C5320" s="879" t="s">
        <v>226</v>
      </c>
      <c r="D5320" s="880" t="s">
        <v>43138</v>
      </c>
    </row>
    <row r="5321" spans="1:4" ht="13.5" x14ac:dyDescent="0.25">
      <c r="A5321" s="878" t="s">
        <v>13864</v>
      </c>
      <c r="B5321" s="878" t="s">
        <v>13865</v>
      </c>
      <c r="C5321" s="879" t="s">
        <v>226</v>
      </c>
      <c r="D5321" s="880" t="s">
        <v>43139</v>
      </c>
    </row>
    <row r="5322" spans="1:4" ht="13.5" x14ac:dyDescent="0.25">
      <c r="A5322" s="878" t="s">
        <v>13866</v>
      </c>
      <c r="B5322" s="878" t="s">
        <v>13867</v>
      </c>
      <c r="C5322" s="879" t="s">
        <v>226</v>
      </c>
      <c r="D5322" s="880" t="s">
        <v>43140</v>
      </c>
    </row>
    <row r="5323" spans="1:4" ht="13.5" x14ac:dyDescent="0.25">
      <c r="A5323" s="878" t="s">
        <v>13868</v>
      </c>
      <c r="B5323" s="878" t="s">
        <v>13869</v>
      </c>
      <c r="C5323" s="879" t="s">
        <v>226</v>
      </c>
      <c r="D5323" s="880" t="s">
        <v>31085</v>
      </c>
    </row>
    <row r="5324" spans="1:4" ht="13.5" x14ac:dyDescent="0.25">
      <c r="A5324" s="878" t="s">
        <v>13870</v>
      </c>
      <c r="B5324" s="878" t="s">
        <v>13871</v>
      </c>
      <c r="C5324" s="879" t="s">
        <v>226</v>
      </c>
      <c r="D5324" s="880" t="s">
        <v>43141</v>
      </c>
    </row>
    <row r="5325" spans="1:4" ht="13.5" x14ac:dyDescent="0.25">
      <c r="A5325" s="878" t="s">
        <v>13872</v>
      </c>
      <c r="B5325" s="878" t="s">
        <v>13873</v>
      </c>
      <c r="C5325" s="879" t="s">
        <v>158</v>
      </c>
      <c r="D5325" s="880" t="s">
        <v>12699</v>
      </c>
    </row>
    <row r="5326" spans="1:4" ht="13.5" x14ac:dyDescent="0.25">
      <c r="A5326" s="878" t="s">
        <v>13874</v>
      </c>
      <c r="B5326" s="878" t="s">
        <v>13875</v>
      </c>
      <c r="C5326" s="879" t="s">
        <v>158</v>
      </c>
      <c r="D5326" s="880" t="s">
        <v>31086</v>
      </c>
    </row>
    <row r="5327" spans="1:4" ht="13.5" x14ac:dyDescent="0.25">
      <c r="A5327" s="878" t="s">
        <v>13876</v>
      </c>
      <c r="B5327" s="878" t="s">
        <v>13877</v>
      </c>
      <c r="C5327" s="879" t="s">
        <v>158</v>
      </c>
      <c r="D5327" s="880" t="s">
        <v>31087</v>
      </c>
    </row>
    <row r="5328" spans="1:4" ht="13.5" x14ac:dyDescent="0.25">
      <c r="A5328" s="878" t="s">
        <v>13878</v>
      </c>
      <c r="B5328" s="878" t="s">
        <v>13879</v>
      </c>
      <c r="C5328" s="879" t="s">
        <v>158</v>
      </c>
      <c r="D5328" s="880" t="s">
        <v>43142</v>
      </c>
    </row>
    <row r="5329" spans="1:4" ht="13.5" x14ac:dyDescent="0.25">
      <c r="A5329" s="878" t="s">
        <v>13880</v>
      </c>
      <c r="B5329" s="878" t="s">
        <v>13881</v>
      </c>
      <c r="C5329" s="879" t="s">
        <v>158</v>
      </c>
      <c r="D5329" s="880" t="s">
        <v>43143</v>
      </c>
    </row>
    <row r="5330" spans="1:4" ht="13.5" x14ac:dyDescent="0.25">
      <c r="A5330" s="878" t="s">
        <v>13882</v>
      </c>
      <c r="B5330" s="878" t="s">
        <v>13883</v>
      </c>
      <c r="C5330" s="879" t="s">
        <v>226</v>
      </c>
      <c r="D5330" s="880" t="s">
        <v>43144</v>
      </c>
    </row>
    <row r="5331" spans="1:4" ht="13.5" x14ac:dyDescent="0.25">
      <c r="A5331" s="878" t="s">
        <v>13884</v>
      </c>
      <c r="B5331" s="878" t="s">
        <v>13885</v>
      </c>
      <c r="C5331" s="879" t="s">
        <v>226</v>
      </c>
      <c r="D5331" s="880" t="s">
        <v>8088</v>
      </c>
    </row>
    <row r="5332" spans="1:4" ht="13.5" x14ac:dyDescent="0.25">
      <c r="A5332" s="878" t="s">
        <v>13886</v>
      </c>
      <c r="B5332" s="878" t="s">
        <v>13887</v>
      </c>
      <c r="C5332" s="879" t="s">
        <v>226</v>
      </c>
      <c r="D5332" s="880" t="s">
        <v>43145</v>
      </c>
    </row>
    <row r="5333" spans="1:4" ht="13.5" x14ac:dyDescent="0.25">
      <c r="A5333" s="878" t="s">
        <v>13889</v>
      </c>
      <c r="B5333" s="878" t="s">
        <v>13890</v>
      </c>
      <c r="C5333" s="879" t="s">
        <v>226</v>
      </c>
      <c r="D5333" s="880" t="s">
        <v>43146</v>
      </c>
    </row>
    <row r="5334" spans="1:4" ht="13.5" x14ac:dyDescent="0.25">
      <c r="A5334" s="878" t="s">
        <v>13891</v>
      </c>
      <c r="B5334" s="878" t="s">
        <v>13892</v>
      </c>
      <c r="C5334" s="879" t="s">
        <v>226</v>
      </c>
      <c r="D5334" s="880" t="s">
        <v>6758</v>
      </c>
    </row>
    <row r="5335" spans="1:4" ht="13.5" x14ac:dyDescent="0.25">
      <c r="A5335" s="878" t="s">
        <v>13893</v>
      </c>
      <c r="B5335" s="878" t="s">
        <v>13894</v>
      </c>
      <c r="C5335" s="879" t="s">
        <v>226</v>
      </c>
      <c r="D5335" s="880" t="s">
        <v>31088</v>
      </c>
    </row>
    <row r="5336" spans="1:4" ht="13.5" x14ac:dyDescent="0.25">
      <c r="A5336" s="878" t="s">
        <v>13895</v>
      </c>
      <c r="B5336" s="878" t="s">
        <v>13896</v>
      </c>
      <c r="C5336" s="879" t="s">
        <v>226</v>
      </c>
      <c r="D5336" s="880" t="s">
        <v>30186</v>
      </c>
    </row>
    <row r="5337" spans="1:4" ht="13.5" x14ac:dyDescent="0.25">
      <c r="A5337" s="878" t="s">
        <v>13898</v>
      </c>
      <c r="B5337" s="878" t="s">
        <v>13899</v>
      </c>
      <c r="C5337" s="879" t="s">
        <v>226</v>
      </c>
      <c r="D5337" s="880" t="s">
        <v>43147</v>
      </c>
    </row>
    <row r="5338" spans="1:4" ht="13.5" x14ac:dyDescent="0.25">
      <c r="A5338" s="878" t="s">
        <v>13900</v>
      </c>
      <c r="B5338" s="878" t="s">
        <v>13901</v>
      </c>
      <c r="C5338" s="879" t="s">
        <v>226</v>
      </c>
      <c r="D5338" s="880" t="s">
        <v>4005</v>
      </c>
    </row>
    <row r="5339" spans="1:4" ht="13.5" x14ac:dyDescent="0.25">
      <c r="A5339" s="878" t="s">
        <v>13902</v>
      </c>
      <c r="B5339" s="878" t="s">
        <v>13903</v>
      </c>
      <c r="C5339" s="879" t="s">
        <v>158</v>
      </c>
      <c r="D5339" s="880" t="s">
        <v>8843</v>
      </c>
    </row>
    <row r="5340" spans="1:4" ht="13.5" x14ac:dyDescent="0.25">
      <c r="A5340" s="878" t="s">
        <v>13904</v>
      </c>
      <c r="B5340" s="878" t="s">
        <v>13905</v>
      </c>
      <c r="C5340" s="879" t="s">
        <v>158</v>
      </c>
      <c r="D5340" s="880" t="s">
        <v>31104</v>
      </c>
    </row>
    <row r="5341" spans="1:4" ht="13.5" x14ac:dyDescent="0.25">
      <c r="A5341" s="878" t="s">
        <v>13906</v>
      </c>
      <c r="B5341" s="878" t="s">
        <v>13907</v>
      </c>
      <c r="C5341" s="879" t="s">
        <v>158</v>
      </c>
      <c r="D5341" s="880" t="s">
        <v>4041</v>
      </c>
    </row>
    <row r="5342" spans="1:4" ht="13.5" x14ac:dyDescent="0.25">
      <c r="A5342" s="878" t="s">
        <v>13908</v>
      </c>
      <c r="B5342" s="878" t="s">
        <v>13909</v>
      </c>
      <c r="C5342" s="879" t="s">
        <v>158</v>
      </c>
      <c r="D5342" s="880" t="s">
        <v>31090</v>
      </c>
    </row>
    <row r="5343" spans="1:4" ht="13.5" x14ac:dyDescent="0.25">
      <c r="A5343" s="878" t="s">
        <v>13910</v>
      </c>
      <c r="B5343" s="878" t="s">
        <v>13911</v>
      </c>
      <c r="C5343" s="879" t="s">
        <v>158</v>
      </c>
      <c r="D5343" s="880" t="s">
        <v>4650</v>
      </c>
    </row>
    <row r="5344" spans="1:4" ht="13.5" x14ac:dyDescent="0.25">
      <c r="A5344" s="878" t="s">
        <v>13912</v>
      </c>
      <c r="B5344" s="878" t="s">
        <v>13913</v>
      </c>
      <c r="C5344" s="879" t="s">
        <v>158</v>
      </c>
      <c r="D5344" s="880" t="s">
        <v>15659</v>
      </c>
    </row>
    <row r="5345" spans="1:4" ht="13.5" x14ac:dyDescent="0.25">
      <c r="A5345" s="878" t="s">
        <v>13914</v>
      </c>
      <c r="B5345" s="878" t="s">
        <v>13915</v>
      </c>
      <c r="C5345" s="879" t="s">
        <v>158</v>
      </c>
      <c r="D5345" s="880" t="s">
        <v>8234</v>
      </c>
    </row>
    <row r="5346" spans="1:4" ht="13.5" x14ac:dyDescent="0.25">
      <c r="A5346" s="878" t="s">
        <v>13916</v>
      </c>
      <c r="B5346" s="878" t="s">
        <v>13917</v>
      </c>
      <c r="C5346" s="879" t="s">
        <v>158</v>
      </c>
      <c r="D5346" s="880" t="s">
        <v>30189</v>
      </c>
    </row>
    <row r="5347" spans="1:4" ht="13.5" x14ac:dyDescent="0.25">
      <c r="A5347" s="878" t="s">
        <v>13919</v>
      </c>
      <c r="B5347" s="878" t="s">
        <v>13920</v>
      </c>
      <c r="C5347" s="879" t="s">
        <v>158</v>
      </c>
      <c r="D5347" s="880" t="s">
        <v>43148</v>
      </c>
    </row>
    <row r="5348" spans="1:4" ht="13.5" x14ac:dyDescent="0.25">
      <c r="A5348" s="878" t="s">
        <v>13922</v>
      </c>
      <c r="B5348" s="878" t="s">
        <v>13923</v>
      </c>
      <c r="C5348" s="879" t="s">
        <v>158</v>
      </c>
      <c r="D5348" s="880" t="s">
        <v>16992</v>
      </c>
    </row>
    <row r="5349" spans="1:4" ht="13.5" x14ac:dyDescent="0.25">
      <c r="A5349" s="878" t="s">
        <v>13924</v>
      </c>
      <c r="B5349" s="878" t="s">
        <v>13925</v>
      </c>
      <c r="C5349" s="879" t="s">
        <v>158</v>
      </c>
      <c r="D5349" s="880" t="s">
        <v>43149</v>
      </c>
    </row>
    <row r="5350" spans="1:4" ht="13.5" x14ac:dyDescent="0.25">
      <c r="A5350" s="878" t="s">
        <v>13926</v>
      </c>
      <c r="B5350" s="878" t="s">
        <v>13927</v>
      </c>
      <c r="C5350" s="879" t="s">
        <v>158</v>
      </c>
      <c r="D5350" s="880" t="s">
        <v>43150</v>
      </c>
    </row>
    <row r="5351" spans="1:4" ht="13.5" x14ac:dyDescent="0.25">
      <c r="A5351" s="878" t="s">
        <v>13928</v>
      </c>
      <c r="B5351" s="878" t="s">
        <v>13929</v>
      </c>
      <c r="C5351" s="879" t="s">
        <v>158</v>
      </c>
      <c r="D5351" s="880" t="s">
        <v>41632</v>
      </c>
    </row>
    <row r="5352" spans="1:4" ht="13.5" x14ac:dyDescent="0.25">
      <c r="A5352" s="878" t="s">
        <v>13930</v>
      </c>
      <c r="B5352" s="878" t="s">
        <v>13931</v>
      </c>
      <c r="C5352" s="879" t="s">
        <v>158</v>
      </c>
      <c r="D5352" s="880" t="s">
        <v>16567</v>
      </c>
    </row>
    <row r="5353" spans="1:4" ht="13.5" x14ac:dyDescent="0.25">
      <c r="A5353" s="878" t="s">
        <v>13932</v>
      </c>
      <c r="B5353" s="878" t="s">
        <v>13933</v>
      </c>
      <c r="C5353" s="879" t="s">
        <v>158</v>
      </c>
      <c r="D5353" s="880" t="s">
        <v>14240</v>
      </c>
    </row>
    <row r="5354" spans="1:4" ht="13.5" x14ac:dyDescent="0.25">
      <c r="A5354" s="878" t="s">
        <v>13934</v>
      </c>
      <c r="B5354" s="878" t="s">
        <v>13935</v>
      </c>
      <c r="C5354" s="879" t="s">
        <v>158</v>
      </c>
      <c r="D5354" s="880" t="s">
        <v>17060</v>
      </c>
    </row>
    <row r="5355" spans="1:4" ht="13.5" x14ac:dyDescent="0.25">
      <c r="A5355" s="878" t="s">
        <v>13937</v>
      </c>
      <c r="B5355" s="878" t="s">
        <v>13938</v>
      </c>
      <c r="C5355" s="879" t="s">
        <v>158</v>
      </c>
      <c r="D5355" s="880" t="s">
        <v>10921</v>
      </c>
    </row>
    <row r="5356" spans="1:4" ht="13.5" x14ac:dyDescent="0.25">
      <c r="A5356" s="878" t="s">
        <v>13939</v>
      </c>
      <c r="B5356" s="878" t="s">
        <v>13940</v>
      </c>
      <c r="C5356" s="879" t="s">
        <v>158</v>
      </c>
      <c r="D5356" s="880" t="s">
        <v>41482</v>
      </c>
    </row>
    <row r="5357" spans="1:4" ht="13.5" x14ac:dyDescent="0.25">
      <c r="A5357" s="878" t="s">
        <v>13941</v>
      </c>
      <c r="B5357" s="878" t="s">
        <v>13942</v>
      </c>
      <c r="C5357" s="879" t="s">
        <v>158</v>
      </c>
      <c r="D5357" s="880" t="s">
        <v>30175</v>
      </c>
    </row>
    <row r="5358" spans="1:4" ht="13.5" x14ac:dyDescent="0.25">
      <c r="A5358" s="878" t="s">
        <v>13943</v>
      </c>
      <c r="B5358" s="878" t="s">
        <v>13944</v>
      </c>
      <c r="C5358" s="879" t="s">
        <v>158</v>
      </c>
      <c r="D5358" s="880" t="s">
        <v>43151</v>
      </c>
    </row>
    <row r="5359" spans="1:4" ht="13.5" x14ac:dyDescent="0.25">
      <c r="A5359" s="878" t="s">
        <v>13945</v>
      </c>
      <c r="B5359" s="878" t="s">
        <v>13946</v>
      </c>
      <c r="C5359" s="879" t="s">
        <v>158</v>
      </c>
      <c r="D5359" s="880" t="s">
        <v>41681</v>
      </c>
    </row>
    <row r="5360" spans="1:4" ht="13.5" x14ac:dyDescent="0.25">
      <c r="A5360" s="878" t="s">
        <v>13947</v>
      </c>
      <c r="B5360" s="878" t="s">
        <v>13948</v>
      </c>
      <c r="C5360" s="879" t="s">
        <v>158</v>
      </c>
      <c r="D5360" s="880" t="s">
        <v>31325</v>
      </c>
    </row>
    <row r="5361" spans="1:4" ht="13.5" x14ac:dyDescent="0.25">
      <c r="A5361" s="878" t="s">
        <v>13950</v>
      </c>
      <c r="B5361" s="878" t="s">
        <v>13951</v>
      </c>
      <c r="C5361" s="879" t="s">
        <v>158</v>
      </c>
      <c r="D5361" s="880" t="s">
        <v>40071</v>
      </c>
    </row>
    <row r="5362" spans="1:4" ht="13.5" x14ac:dyDescent="0.25">
      <c r="A5362" s="878" t="s">
        <v>13952</v>
      </c>
      <c r="B5362" s="878" t="s">
        <v>13953</v>
      </c>
      <c r="C5362" s="879" t="s">
        <v>158</v>
      </c>
      <c r="D5362" s="880" t="s">
        <v>31403</v>
      </c>
    </row>
    <row r="5363" spans="1:4" ht="13.5" x14ac:dyDescent="0.25">
      <c r="A5363" s="878" t="s">
        <v>13954</v>
      </c>
      <c r="B5363" s="878" t="s">
        <v>13955</v>
      </c>
      <c r="C5363" s="879" t="s">
        <v>158</v>
      </c>
      <c r="D5363" s="880" t="s">
        <v>12900</v>
      </c>
    </row>
    <row r="5364" spans="1:4" ht="13.5" x14ac:dyDescent="0.25">
      <c r="A5364" s="878" t="s">
        <v>13956</v>
      </c>
      <c r="B5364" s="878" t="s">
        <v>13957</v>
      </c>
      <c r="C5364" s="879" t="s">
        <v>158</v>
      </c>
      <c r="D5364" s="880" t="s">
        <v>31365</v>
      </c>
    </row>
    <row r="5365" spans="1:4" ht="13.5" x14ac:dyDescent="0.25">
      <c r="A5365" s="878" t="s">
        <v>13959</v>
      </c>
      <c r="B5365" s="878" t="s">
        <v>13960</v>
      </c>
      <c r="C5365" s="879" t="s">
        <v>158</v>
      </c>
      <c r="D5365" s="880" t="s">
        <v>30800</v>
      </c>
    </row>
    <row r="5366" spans="1:4" ht="13.5" x14ac:dyDescent="0.25">
      <c r="A5366" s="878" t="s">
        <v>13961</v>
      </c>
      <c r="B5366" s="878" t="s">
        <v>13962</v>
      </c>
      <c r="C5366" s="879" t="s">
        <v>158</v>
      </c>
      <c r="D5366" s="880" t="s">
        <v>12937</v>
      </c>
    </row>
    <row r="5367" spans="1:4" ht="13.5" x14ac:dyDescent="0.25">
      <c r="A5367" s="878" t="s">
        <v>13963</v>
      </c>
      <c r="B5367" s="878" t="s">
        <v>13964</v>
      </c>
      <c r="C5367" s="879" t="s">
        <v>158</v>
      </c>
      <c r="D5367" s="880" t="s">
        <v>43152</v>
      </c>
    </row>
    <row r="5368" spans="1:4" ht="13.5" x14ac:dyDescent="0.25">
      <c r="A5368" s="878" t="s">
        <v>13965</v>
      </c>
      <c r="B5368" s="878" t="s">
        <v>13966</v>
      </c>
      <c r="C5368" s="879" t="s">
        <v>158</v>
      </c>
      <c r="D5368" s="880" t="s">
        <v>40534</v>
      </c>
    </row>
    <row r="5369" spans="1:4" ht="13.5" x14ac:dyDescent="0.25">
      <c r="A5369" s="878" t="s">
        <v>13967</v>
      </c>
      <c r="B5369" s="878" t="s">
        <v>13968</v>
      </c>
      <c r="C5369" s="879" t="s">
        <v>158</v>
      </c>
      <c r="D5369" s="880" t="s">
        <v>14571</v>
      </c>
    </row>
    <row r="5370" spans="1:4" ht="13.5" x14ac:dyDescent="0.25">
      <c r="A5370" s="878" t="s">
        <v>13969</v>
      </c>
      <c r="B5370" s="878" t="s">
        <v>13970</v>
      </c>
      <c r="C5370" s="879" t="s">
        <v>226</v>
      </c>
      <c r="D5370" s="880" t="s">
        <v>31093</v>
      </c>
    </row>
    <row r="5371" spans="1:4" ht="13.5" x14ac:dyDescent="0.25">
      <c r="A5371" s="878" t="s">
        <v>13972</v>
      </c>
      <c r="B5371" s="878" t="s">
        <v>13973</v>
      </c>
      <c r="C5371" s="879" t="s">
        <v>226</v>
      </c>
      <c r="D5371" s="880" t="s">
        <v>31094</v>
      </c>
    </row>
    <row r="5372" spans="1:4" ht="13.5" x14ac:dyDescent="0.25">
      <c r="A5372" s="878" t="s">
        <v>13974</v>
      </c>
      <c r="B5372" s="878" t="s">
        <v>13975</v>
      </c>
      <c r="C5372" s="879" t="s">
        <v>226</v>
      </c>
      <c r="D5372" s="880" t="s">
        <v>14253</v>
      </c>
    </row>
    <row r="5373" spans="1:4" ht="13.5" x14ac:dyDescent="0.25">
      <c r="A5373" s="878" t="s">
        <v>13977</v>
      </c>
      <c r="B5373" s="878" t="s">
        <v>13978</v>
      </c>
      <c r="C5373" s="879" t="s">
        <v>226</v>
      </c>
      <c r="D5373" s="880" t="s">
        <v>8054</v>
      </c>
    </row>
    <row r="5374" spans="1:4" ht="13.5" x14ac:dyDescent="0.25">
      <c r="A5374" s="878" t="s">
        <v>13979</v>
      </c>
      <c r="B5374" s="878" t="s">
        <v>13980</v>
      </c>
      <c r="C5374" s="879" t="s">
        <v>226</v>
      </c>
      <c r="D5374" s="880" t="s">
        <v>4915</v>
      </c>
    </row>
    <row r="5375" spans="1:4" ht="13.5" x14ac:dyDescent="0.25">
      <c r="A5375" s="878" t="s">
        <v>13981</v>
      </c>
      <c r="B5375" s="878" t="s">
        <v>13982</v>
      </c>
      <c r="C5375" s="879" t="s">
        <v>158</v>
      </c>
      <c r="D5375" s="880" t="s">
        <v>3969</v>
      </c>
    </row>
    <row r="5376" spans="1:4" ht="13.5" x14ac:dyDescent="0.25">
      <c r="A5376" s="878" t="s">
        <v>13983</v>
      </c>
      <c r="B5376" s="878" t="s">
        <v>13984</v>
      </c>
      <c r="C5376" s="879" t="s">
        <v>226</v>
      </c>
      <c r="D5376" s="880" t="s">
        <v>15745</v>
      </c>
    </row>
    <row r="5377" spans="1:4" ht="13.5" x14ac:dyDescent="0.25">
      <c r="A5377" s="878" t="s">
        <v>13986</v>
      </c>
      <c r="B5377" s="878" t="s">
        <v>13987</v>
      </c>
      <c r="C5377" s="879" t="s">
        <v>226</v>
      </c>
      <c r="D5377" s="880" t="s">
        <v>30301</v>
      </c>
    </row>
    <row r="5378" spans="1:4" ht="13.5" x14ac:dyDescent="0.25">
      <c r="A5378" s="878" t="s">
        <v>13988</v>
      </c>
      <c r="B5378" s="878" t="s">
        <v>13989</v>
      </c>
      <c r="C5378" s="879" t="s">
        <v>226</v>
      </c>
      <c r="D5378" s="880" t="s">
        <v>30419</v>
      </c>
    </row>
    <row r="5379" spans="1:4" ht="13.5" x14ac:dyDescent="0.25">
      <c r="A5379" s="878" t="s">
        <v>13991</v>
      </c>
      <c r="B5379" s="878" t="s">
        <v>13992</v>
      </c>
      <c r="C5379" s="879" t="s">
        <v>226</v>
      </c>
      <c r="D5379" s="880" t="s">
        <v>3847</v>
      </c>
    </row>
    <row r="5380" spans="1:4" ht="13.5" x14ac:dyDescent="0.25">
      <c r="A5380" s="878" t="s">
        <v>13993</v>
      </c>
      <c r="B5380" s="878" t="s">
        <v>13994</v>
      </c>
      <c r="C5380" s="879" t="s">
        <v>226</v>
      </c>
      <c r="D5380" s="880" t="s">
        <v>10978</v>
      </c>
    </row>
    <row r="5381" spans="1:4" ht="13.5" x14ac:dyDescent="0.25">
      <c r="A5381" s="878" t="s">
        <v>13996</v>
      </c>
      <c r="B5381" s="878" t="s">
        <v>13997</v>
      </c>
      <c r="C5381" s="879" t="s">
        <v>227</v>
      </c>
      <c r="D5381" s="880" t="s">
        <v>12029</v>
      </c>
    </row>
    <row r="5382" spans="1:4" ht="13.5" x14ac:dyDescent="0.25">
      <c r="A5382" s="878" t="s">
        <v>13999</v>
      </c>
      <c r="B5382" s="878" t="s">
        <v>14000</v>
      </c>
      <c r="C5382" s="879" t="s">
        <v>227</v>
      </c>
      <c r="D5382" s="880" t="s">
        <v>43153</v>
      </c>
    </row>
    <row r="5383" spans="1:4" ht="13.5" x14ac:dyDescent="0.25">
      <c r="A5383" s="878" t="s">
        <v>14001</v>
      </c>
      <c r="B5383" s="878" t="s">
        <v>14002</v>
      </c>
      <c r="C5383" s="879" t="s">
        <v>227</v>
      </c>
      <c r="D5383" s="880" t="s">
        <v>43154</v>
      </c>
    </row>
    <row r="5384" spans="1:4" ht="13.5" x14ac:dyDescent="0.25">
      <c r="A5384" s="878" t="s">
        <v>14003</v>
      </c>
      <c r="B5384" s="878" t="s">
        <v>14004</v>
      </c>
      <c r="C5384" s="879" t="s">
        <v>158</v>
      </c>
      <c r="D5384" s="880" t="s">
        <v>43155</v>
      </c>
    </row>
    <row r="5385" spans="1:4" ht="13.5" x14ac:dyDescent="0.25">
      <c r="A5385" s="878" t="s">
        <v>14005</v>
      </c>
      <c r="B5385" s="878" t="s">
        <v>14006</v>
      </c>
      <c r="C5385" s="879" t="s">
        <v>158</v>
      </c>
      <c r="D5385" s="880" t="s">
        <v>43156</v>
      </c>
    </row>
    <row r="5386" spans="1:4" ht="13.5" x14ac:dyDescent="0.25">
      <c r="A5386" s="878" t="s">
        <v>14007</v>
      </c>
      <c r="B5386" s="878" t="s">
        <v>14008</v>
      </c>
      <c r="C5386" s="879" t="s">
        <v>226</v>
      </c>
      <c r="D5386" s="880" t="s">
        <v>3961</v>
      </c>
    </row>
    <row r="5387" spans="1:4" ht="13.5" x14ac:dyDescent="0.25">
      <c r="A5387" s="878" t="s">
        <v>14009</v>
      </c>
      <c r="B5387" s="878" t="s">
        <v>14010</v>
      </c>
      <c r="C5387" s="879" t="s">
        <v>226</v>
      </c>
      <c r="D5387" s="880" t="s">
        <v>42521</v>
      </c>
    </row>
    <row r="5388" spans="1:4" ht="13.5" x14ac:dyDescent="0.25">
      <c r="A5388" s="878" t="s">
        <v>14011</v>
      </c>
      <c r="B5388" s="878" t="s">
        <v>14012</v>
      </c>
      <c r="C5388" s="879" t="s">
        <v>226</v>
      </c>
      <c r="D5388" s="880" t="s">
        <v>11361</v>
      </c>
    </row>
    <row r="5389" spans="1:4" ht="13.5" x14ac:dyDescent="0.25">
      <c r="A5389" s="878" t="s">
        <v>14013</v>
      </c>
      <c r="B5389" s="878" t="s">
        <v>14014</v>
      </c>
      <c r="C5389" s="879" t="s">
        <v>226</v>
      </c>
      <c r="D5389" s="880" t="s">
        <v>43157</v>
      </c>
    </row>
    <row r="5390" spans="1:4" ht="13.5" x14ac:dyDescent="0.25">
      <c r="A5390" s="878" t="s">
        <v>14016</v>
      </c>
      <c r="B5390" s="878" t="s">
        <v>14017</v>
      </c>
      <c r="C5390" s="879" t="s">
        <v>226</v>
      </c>
      <c r="D5390" s="880" t="s">
        <v>12952</v>
      </c>
    </row>
    <row r="5391" spans="1:4" ht="13.5" x14ac:dyDescent="0.25">
      <c r="A5391" s="878" t="s">
        <v>14018</v>
      </c>
      <c r="B5391" s="878" t="s">
        <v>14019</v>
      </c>
      <c r="C5391" s="879" t="s">
        <v>226</v>
      </c>
      <c r="D5391" s="880" t="s">
        <v>41662</v>
      </c>
    </row>
    <row r="5392" spans="1:4" ht="13.5" x14ac:dyDescent="0.25">
      <c r="A5392" s="878" t="s">
        <v>14020</v>
      </c>
      <c r="B5392" s="878" t="s">
        <v>14021</v>
      </c>
      <c r="C5392" s="879" t="s">
        <v>226</v>
      </c>
      <c r="D5392" s="880" t="s">
        <v>43158</v>
      </c>
    </row>
    <row r="5393" spans="1:4" ht="13.5" x14ac:dyDescent="0.25">
      <c r="A5393" s="878" t="s">
        <v>14022</v>
      </c>
      <c r="B5393" s="878" t="s">
        <v>14023</v>
      </c>
      <c r="C5393" s="879" t="s">
        <v>226</v>
      </c>
      <c r="D5393" s="880" t="s">
        <v>43159</v>
      </c>
    </row>
    <row r="5394" spans="1:4" ht="13.5" x14ac:dyDescent="0.25">
      <c r="A5394" s="878" t="s">
        <v>14024</v>
      </c>
      <c r="B5394" s="878" t="s">
        <v>14025</v>
      </c>
      <c r="C5394" s="879" t="s">
        <v>226</v>
      </c>
      <c r="D5394" s="880" t="s">
        <v>43160</v>
      </c>
    </row>
    <row r="5395" spans="1:4" ht="13.5" x14ac:dyDescent="0.25">
      <c r="A5395" s="878" t="s">
        <v>14026</v>
      </c>
      <c r="B5395" s="878" t="s">
        <v>14027</v>
      </c>
      <c r="C5395" s="879" t="s">
        <v>226</v>
      </c>
      <c r="D5395" s="880" t="s">
        <v>43161</v>
      </c>
    </row>
    <row r="5396" spans="1:4" ht="13.5" x14ac:dyDescent="0.25">
      <c r="A5396" s="878" t="s">
        <v>14028</v>
      </c>
      <c r="B5396" s="878" t="s">
        <v>14029</v>
      </c>
      <c r="C5396" s="879" t="s">
        <v>226</v>
      </c>
      <c r="D5396" s="880" t="s">
        <v>43162</v>
      </c>
    </row>
    <row r="5397" spans="1:4" ht="13.5" x14ac:dyDescent="0.25">
      <c r="A5397" s="878" t="s">
        <v>14030</v>
      </c>
      <c r="B5397" s="878" t="s">
        <v>14031</v>
      </c>
      <c r="C5397" s="879" t="s">
        <v>226</v>
      </c>
      <c r="D5397" s="880" t="s">
        <v>43163</v>
      </c>
    </row>
    <row r="5398" spans="1:4" ht="13.5" x14ac:dyDescent="0.25">
      <c r="A5398" s="878" t="s">
        <v>14032</v>
      </c>
      <c r="B5398" s="878" t="s">
        <v>14033</v>
      </c>
      <c r="C5398" s="879" t="s">
        <v>226</v>
      </c>
      <c r="D5398" s="880" t="s">
        <v>43164</v>
      </c>
    </row>
    <row r="5399" spans="1:4" ht="13.5" x14ac:dyDescent="0.25">
      <c r="A5399" s="878" t="s">
        <v>14034</v>
      </c>
      <c r="B5399" s="878" t="s">
        <v>14035</v>
      </c>
      <c r="C5399" s="879" t="s">
        <v>226</v>
      </c>
      <c r="D5399" s="880" t="s">
        <v>43165</v>
      </c>
    </row>
    <row r="5400" spans="1:4" ht="13.5" x14ac:dyDescent="0.25">
      <c r="A5400" s="878" t="s">
        <v>14036</v>
      </c>
      <c r="B5400" s="878" t="s">
        <v>14037</v>
      </c>
      <c r="C5400" s="879" t="s">
        <v>226</v>
      </c>
      <c r="D5400" s="880" t="s">
        <v>43166</v>
      </c>
    </row>
    <row r="5401" spans="1:4" ht="13.5" x14ac:dyDescent="0.25">
      <c r="A5401" s="878" t="s">
        <v>14038</v>
      </c>
      <c r="B5401" s="878" t="s">
        <v>14039</v>
      </c>
      <c r="C5401" s="879" t="s">
        <v>226</v>
      </c>
      <c r="D5401" s="880" t="s">
        <v>43167</v>
      </c>
    </row>
    <row r="5402" spans="1:4" ht="13.5" x14ac:dyDescent="0.25">
      <c r="A5402" s="878" t="s">
        <v>14040</v>
      </c>
      <c r="B5402" s="878" t="s">
        <v>14041</v>
      </c>
      <c r="C5402" s="879" t="s">
        <v>226</v>
      </c>
      <c r="D5402" s="880" t="s">
        <v>43168</v>
      </c>
    </row>
    <row r="5403" spans="1:4" ht="13.5" x14ac:dyDescent="0.25">
      <c r="A5403" s="878" t="s">
        <v>14042</v>
      </c>
      <c r="B5403" s="878" t="s">
        <v>14043</v>
      </c>
      <c r="C5403" s="879" t="s">
        <v>226</v>
      </c>
      <c r="D5403" s="880" t="s">
        <v>43169</v>
      </c>
    </row>
    <row r="5404" spans="1:4" ht="13.5" x14ac:dyDescent="0.25">
      <c r="A5404" s="878" t="s">
        <v>14044</v>
      </c>
      <c r="B5404" s="878" t="s">
        <v>14045</v>
      </c>
      <c r="C5404" s="879" t="s">
        <v>226</v>
      </c>
      <c r="D5404" s="880" t="s">
        <v>43170</v>
      </c>
    </row>
    <row r="5405" spans="1:4" ht="13.5" x14ac:dyDescent="0.25">
      <c r="A5405" s="878" t="s">
        <v>14046</v>
      </c>
      <c r="B5405" s="878" t="s">
        <v>14047</v>
      </c>
      <c r="C5405" s="879" t="s">
        <v>226</v>
      </c>
      <c r="D5405" s="880" t="s">
        <v>43171</v>
      </c>
    </row>
    <row r="5406" spans="1:4" ht="13.5" x14ac:dyDescent="0.25">
      <c r="A5406" s="878" t="s">
        <v>14048</v>
      </c>
      <c r="B5406" s="878" t="s">
        <v>14049</v>
      </c>
      <c r="C5406" s="879" t="s">
        <v>226</v>
      </c>
      <c r="D5406" s="880" t="s">
        <v>43172</v>
      </c>
    </row>
    <row r="5407" spans="1:4" ht="13.5" x14ac:dyDescent="0.25">
      <c r="A5407" s="878" t="s">
        <v>14050</v>
      </c>
      <c r="B5407" s="878" t="s">
        <v>14051</v>
      </c>
      <c r="C5407" s="879" t="s">
        <v>226</v>
      </c>
      <c r="D5407" s="880" t="s">
        <v>43173</v>
      </c>
    </row>
    <row r="5408" spans="1:4" ht="13.5" x14ac:dyDescent="0.25">
      <c r="A5408" s="878" t="s">
        <v>14052</v>
      </c>
      <c r="B5408" s="878" t="s">
        <v>14053</v>
      </c>
      <c r="C5408" s="879" t="s">
        <v>226</v>
      </c>
      <c r="D5408" s="880" t="s">
        <v>43174</v>
      </c>
    </row>
    <row r="5409" spans="1:4" ht="13.5" x14ac:dyDescent="0.25">
      <c r="A5409" s="878" t="s">
        <v>14054</v>
      </c>
      <c r="B5409" s="878" t="s">
        <v>14055</v>
      </c>
      <c r="C5409" s="879" t="s">
        <v>226</v>
      </c>
      <c r="D5409" s="880" t="s">
        <v>31096</v>
      </c>
    </row>
    <row r="5410" spans="1:4" ht="13.5" x14ac:dyDescent="0.25">
      <c r="A5410" s="878" t="s">
        <v>14056</v>
      </c>
      <c r="B5410" s="878" t="s">
        <v>14057</v>
      </c>
      <c r="C5410" s="879" t="s">
        <v>226</v>
      </c>
      <c r="D5410" s="880" t="s">
        <v>43175</v>
      </c>
    </row>
    <row r="5411" spans="1:4" ht="13.5" x14ac:dyDescent="0.25">
      <c r="A5411" s="878" t="s">
        <v>14058</v>
      </c>
      <c r="B5411" s="878" t="s">
        <v>14059</v>
      </c>
      <c r="C5411" s="879" t="s">
        <v>226</v>
      </c>
      <c r="D5411" s="880" t="s">
        <v>43176</v>
      </c>
    </row>
    <row r="5412" spans="1:4" ht="13.5" x14ac:dyDescent="0.25">
      <c r="A5412" s="878" t="s">
        <v>14060</v>
      </c>
      <c r="B5412" s="878" t="s">
        <v>14061</v>
      </c>
      <c r="C5412" s="879" t="s">
        <v>226</v>
      </c>
      <c r="D5412" s="880" t="s">
        <v>31097</v>
      </c>
    </row>
    <row r="5413" spans="1:4" ht="13.5" x14ac:dyDescent="0.25">
      <c r="A5413" s="878" t="s">
        <v>14062</v>
      </c>
      <c r="B5413" s="878" t="s">
        <v>14063</v>
      </c>
      <c r="C5413" s="879" t="s">
        <v>226</v>
      </c>
      <c r="D5413" s="880" t="s">
        <v>31103</v>
      </c>
    </row>
    <row r="5414" spans="1:4" ht="13.5" x14ac:dyDescent="0.25">
      <c r="A5414" s="878" t="s">
        <v>14064</v>
      </c>
      <c r="B5414" s="878" t="s">
        <v>14065</v>
      </c>
      <c r="C5414" s="879" t="s">
        <v>226</v>
      </c>
      <c r="D5414" s="880" t="s">
        <v>31099</v>
      </c>
    </row>
    <row r="5415" spans="1:4" ht="13.5" x14ac:dyDescent="0.25">
      <c r="A5415" s="878" t="s">
        <v>14066</v>
      </c>
      <c r="B5415" s="878" t="s">
        <v>14067</v>
      </c>
      <c r="C5415" s="879" t="s">
        <v>226</v>
      </c>
      <c r="D5415" s="880" t="s">
        <v>31100</v>
      </c>
    </row>
    <row r="5416" spans="1:4" ht="13.5" x14ac:dyDescent="0.25">
      <c r="A5416" s="878" t="s">
        <v>14068</v>
      </c>
      <c r="B5416" s="878" t="s">
        <v>14069</v>
      </c>
      <c r="C5416" s="879" t="s">
        <v>226</v>
      </c>
      <c r="D5416" s="880" t="s">
        <v>43177</v>
      </c>
    </row>
    <row r="5417" spans="1:4" ht="13.5" x14ac:dyDescent="0.25">
      <c r="A5417" s="878" t="s">
        <v>14070</v>
      </c>
      <c r="B5417" s="878" t="s">
        <v>14071</v>
      </c>
      <c r="C5417" s="879" t="s">
        <v>226</v>
      </c>
      <c r="D5417" s="880" t="s">
        <v>43178</v>
      </c>
    </row>
    <row r="5418" spans="1:4" ht="13.5" x14ac:dyDescent="0.25">
      <c r="A5418" s="878" t="s">
        <v>14072</v>
      </c>
      <c r="B5418" s="878" t="s">
        <v>14073</v>
      </c>
      <c r="C5418" s="879" t="s">
        <v>226</v>
      </c>
      <c r="D5418" s="880" t="s">
        <v>30335</v>
      </c>
    </row>
    <row r="5419" spans="1:4" ht="13.5" x14ac:dyDescent="0.25">
      <c r="A5419" s="878" t="s">
        <v>14075</v>
      </c>
      <c r="B5419" s="878" t="s">
        <v>14076</v>
      </c>
      <c r="C5419" s="879" t="s">
        <v>226</v>
      </c>
      <c r="D5419" s="880" t="s">
        <v>40101</v>
      </c>
    </row>
    <row r="5420" spans="1:4" ht="13.5" x14ac:dyDescent="0.25">
      <c r="A5420" s="878" t="s">
        <v>14077</v>
      </c>
      <c r="B5420" s="878" t="s">
        <v>14078</v>
      </c>
      <c r="C5420" s="879" t="s">
        <v>226</v>
      </c>
      <c r="D5420" s="880" t="s">
        <v>30326</v>
      </c>
    </row>
    <row r="5421" spans="1:4" ht="13.5" x14ac:dyDescent="0.25">
      <c r="A5421" s="878" t="s">
        <v>14079</v>
      </c>
      <c r="B5421" s="878" t="s">
        <v>14080</v>
      </c>
      <c r="C5421" s="879" t="s">
        <v>226</v>
      </c>
      <c r="D5421" s="880" t="s">
        <v>43179</v>
      </c>
    </row>
    <row r="5422" spans="1:4" ht="13.5" x14ac:dyDescent="0.25">
      <c r="A5422" s="878" t="s">
        <v>14081</v>
      </c>
      <c r="B5422" s="878" t="s">
        <v>14082</v>
      </c>
      <c r="C5422" s="879" t="s">
        <v>226</v>
      </c>
      <c r="D5422" s="880" t="s">
        <v>43180</v>
      </c>
    </row>
    <row r="5423" spans="1:4" ht="13.5" x14ac:dyDescent="0.25">
      <c r="A5423" s="878" t="s">
        <v>14083</v>
      </c>
      <c r="B5423" s="878" t="s">
        <v>14084</v>
      </c>
      <c r="C5423" s="879" t="s">
        <v>226</v>
      </c>
      <c r="D5423" s="880" t="s">
        <v>43181</v>
      </c>
    </row>
    <row r="5424" spans="1:4" ht="13.5" x14ac:dyDescent="0.25">
      <c r="A5424" s="878" t="s">
        <v>14085</v>
      </c>
      <c r="B5424" s="878" t="s">
        <v>14086</v>
      </c>
      <c r="C5424" s="879" t="s">
        <v>226</v>
      </c>
      <c r="D5424" s="880" t="s">
        <v>43182</v>
      </c>
    </row>
    <row r="5425" spans="1:4" ht="13.5" x14ac:dyDescent="0.25">
      <c r="A5425" s="878" t="s">
        <v>14087</v>
      </c>
      <c r="B5425" s="878" t="s">
        <v>14088</v>
      </c>
      <c r="C5425" s="879" t="s">
        <v>226</v>
      </c>
      <c r="D5425" s="880" t="s">
        <v>43183</v>
      </c>
    </row>
    <row r="5426" spans="1:4" ht="13.5" x14ac:dyDescent="0.25">
      <c r="A5426" s="878" t="s">
        <v>14089</v>
      </c>
      <c r="B5426" s="878" t="s">
        <v>14090</v>
      </c>
      <c r="C5426" s="879" t="s">
        <v>226</v>
      </c>
      <c r="D5426" s="880" t="s">
        <v>14488</v>
      </c>
    </row>
    <row r="5427" spans="1:4" ht="13.5" x14ac:dyDescent="0.25">
      <c r="A5427" s="878" t="s">
        <v>14091</v>
      </c>
      <c r="B5427" s="878" t="s">
        <v>14092</v>
      </c>
      <c r="C5427" s="879" t="s">
        <v>226</v>
      </c>
      <c r="D5427" s="880" t="s">
        <v>41231</v>
      </c>
    </row>
    <row r="5428" spans="1:4" ht="13.5" x14ac:dyDescent="0.25">
      <c r="A5428" s="878" t="s">
        <v>14093</v>
      </c>
      <c r="B5428" s="878" t="s">
        <v>14094</v>
      </c>
      <c r="C5428" s="879" t="s">
        <v>226</v>
      </c>
      <c r="D5428" s="880" t="s">
        <v>30363</v>
      </c>
    </row>
    <row r="5429" spans="1:4" ht="13.5" x14ac:dyDescent="0.25">
      <c r="A5429" s="878" t="s">
        <v>14095</v>
      </c>
      <c r="B5429" s="878" t="s">
        <v>14096</v>
      </c>
      <c r="C5429" s="879" t="s">
        <v>226</v>
      </c>
      <c r="D5429" s="880" t="s">
        <v>30574</v>
      </c>
    </row>
    <row r="5430" spans="1:4" ht="13.5" x14ac:dyDescent="0.25">
      <c r="A5430" s="878" t="s">
        <v>14097</v>
      </c>
      <c r="B5430" s="878" t="s">
        <v>14098</v>
      </c>
      <c r="C5430" s="879" t="s">
        <v>226</v>
      </c>
      <c r="D5430" s="880" t="s">
        <v>42837</v>
      </c>
    </row>
    <row r="5431" spans="1:4" ht="13.5" x14ac:dyDescent="0.25">
      <c r="A5431" s="878" t="s">
        <v>14100</v>
      </c>
      <c r="B5431" s="878" t="s">
        <v>14101</v>
      </c>
      <c r="C5431" s="879" t="s">
        <v>226</v>
      </c>
      <c r="D5431" s="880" t="s">
        <v>13949</v>
      </c>
    </row>
    <row r="5432" spans="1:4" ht="13.5" x14ac:dyDescent="0.25">
      <c r="A5432" s="878" t="s">
        <v>14102</v>
      </c>
      <c r="B5432" s="878" t="s">
        <v>14103</v>
      </c>
      <c r="C5432" s="879" t="s">
        <v>226</v>
      </c>
      <c r="D5432" s="880" t="s">
        <v>8774</v>
      </c>
    </row>
    <row r="5433" spans="1:4" ht="13.5" x14ac:dyDescent="0.25">
      <c r="A5433" s="878" t="s">
        <v>14104</v>
      </c>
      <c r="B5433" s="878" t="s">
        <v>14105</v>
      </c>
      <c r="C5433" s="879" t="s">
        <v>226</v>
      </c>
      <c r="D5433" s="880" t="s">
        <v>15745</v>
      </c>
    </row>
    <row r="5434" spans="1:4" ht="13.5" x14ac:dyDescent="0.25">
      <c r="A5434" s="878" t="s">
        <v>14106</v>
      </c>
      <c r="B5434" s="878" t="s">
        <v>14107</v>
      </c>
      <c r="C5434" s="879" t="s">
        <v>226</v>
      </c>
      <c r="D5434" s="880" t="s">
        <v>30792</v>
      </c>
    </row>
    <row r="5435" spans="1:4" ht="13.5" x14ac:dyDescent="0.25">
      <c r="A5435" s="878" t="s">
        <v>14109</v>
      </c>
      <c r="B5435" s="878" t="s">
        <v>14110</v>
      </c>
      <c r="C5435" s="879" t="s">
        <v>158</v>
      </c>
      <c r="D5435" s="880" t="s">
        <v>40024</v>
      </c>
    </row>
    <row r="5436" spans="1:4" ht="13.5" x14ac:dyDescent="0.25">
      <c r="A5436" s="878" t="s">
        <v>14111</v>
      </c>
      <c r="B5436" s="878" t="s">
        <v>14112</v>
      </c>
      <c r="C5436" s="879" t="s">
        <v>158</v>
      </c>
      <c r="D5436" s="880" t="s">
        <v>43184</v>
      </c>
    </row>
    <row r="5437" spans="1:4" ht="13.5" x14ac:dyDescent="0.25">
      <c r="A5437" s="878" t="s">
        <v>14114</v>
      </c>
      <c r="B5437" s="878" t="s">
        <v>14115</v>
      </c>
      <c r="C5437" s="879" t="s">
        <v>226</v>
      </c>
      <c r="D5437" s="880" t="s">
        <v>14226</v>
      </c>
    </row>
    <row r="5438" spans="1:4" ht="13.5" x14ac:dyDescent="0.25">
      <c r="A5438" s="878" t="s">
        <v>14117</v>
      </c>
      <c r="B5438" s="878" t="s">
        <v>14118</v>
      </c>
      <c r="C5438" s="879" t="s">
        <v>226</v>
      </c>
      <c r="D5438" s="880" t="s">
        <v>42285</v>
      </c>
    </row>
    <row r="5439" spans="1:4" ht="13.5" x14ac:dyDescent="0.25">
      <c r="A5439" s="878" t="s">
        <v>14119</v>
      </c>
      <c r="B5439" s="878" t="s">
        <v>14120</v>
      </c>
      <c r="C5439" s="879" t="s">
        <v>226</v>
      </c>
      <c r="D5439" s="880" t="s">
        <v>31104</v>
      </c>
    </row>
    <row r="5440" spans="1:4" ht="13.5" x14ac:dyDescent="0.25">
      <c r="A5440" s="878" t="s">
        <v>14121</v>
      </c>
      <c r="B5440" s="878" t="s">
        <v>14122</v>
      </c>
      <c r="C5440" s="879" t="s">
        <v>226</v>
      </c>
      <c r="D5440" s="880" t="s">
        <v>9991</v>
      </c>
    </row>
    <row r="5441" spans="1:4" ht="13.5" x14ac:dyDescent="0.25">
      <c r="A5441" s="878" t="s">
        <v>14123</v>
      </c>
      <c r="B5441" s="878" t="s">
        <v>14124</v>
      </c>
      <c r="C5441" s="879" t="s">
        <v>226</v>
      </c>
      <c r="D5441" s="880" t="s">
        <v>30508</v>
      </c>
    </row>
    <row r="5442" spans="1:4" ht="13.5" x14ac:dyDescent="0.25">
      <c r="A5442" s="878" t="s">
        <v>14125</v>
      </c>
      <c r="B5442" s="878" t="s">
        <v>14126</v>
      </c>
      <c r="C5442" s="879" t="s">
        <v>226</v>
      </c>
      <c r="D5442" s="880" t="s">
        <v>31105</v>
      </c>
    </row>
    <row r="5443" spans="1:4" ht="13.5" x14ac:dyDescent="0.25">
      <c r="A5443" s="878" t="s">
        <v>14128</v>
      </c>
      <c r="B5443" s="878" t="s">
        <v>14129</v>
      </c>
      <c r="C5443" s="879" t="s">
        <v>226</v>
      </c>
      <c r="D5443" s="880" t="s">
        <v>43185</v>
      </c>
    </row>
    <row r="5444" spans="1:4" ht="13.5" x14ac:dyDescent="0.25">
      <c r="A5444" s="878" t="s">
        <v>14130</v>
      </c>
      <c r="B5444" s="878" t="s">
        <v>14131</v>
      </c>
      <c r="C5444" s="879" t="s">
        <v>226</v>
      </c>
      <c r="D5444" s="880" t="s">
        <v>43186</v>
      </c>
    </row>
    <row r="5445" spans="1:4" ht="13.5" x14ac:dyDescent="0.25">
      <c r="A5445" s="878" t="s">
        <v>14132</v>
      </c>
      <c r="B5445" s="878" t="s">
        <v>14133</v>
      </c>
      <c r="C5445" s="879" t="s">
        <v>226</v>
      </c>
      <c r="D5445" s="880" t="s">
        <v>43187</v>
      </c>
    </row>
    <row r="5446" spans="1:4" ht="13.5" x14ac:dyDescent="0.25">
      <c r="A5446" s="878" t="s">
        <v>14134</v>
      </c>
      <c r="B5446" s="878" t="s">
        <v>14135</v>
      </c>
      <c r="C5446" s="879" t="s">
        <v>226</v>
      </c>
      <c r="D5446" s="880" t="s">
        <v>42698</v>
      </c>
    </row>
    <row r="5447" spans="1:4" ht="13.5" x14ac:dyDescent="0.25">
      <c r="A5447" s="878" t="s">
        <v>14136</v>
      </c>
      <c r="B5447" s="878" t="s">
        <v>14137</v>
      </c>
      <c r="C5447" s="879" t="s">
        <v>226</v>
      </c>
      <c r="D5447" s="880" t="s">
        <v>43188</v>
      </c>
    </row>
    <row r="5448" spans="1:4" ht="13.5" x14ac:dyDescent="0.25">
      <c r="A5448" s="878" t="s">
        <v>14138</v>
      </c>
      <c r="B5448" s="878" t="s">
        <v>14139</v>
      </c>
      <c r="C5448" s="879" t="s">
        <v>226</v>
      </c>
      <c r="D5448" s="880" t="s">
        <v>43189</v>
      </c>
    </row>
    <row r="5449" spans="1:4" ht="13.5" x14ac:dyDescent="0.25">
      <c r="A5449" s="878" t="s">
        <v>14140</v>
      </c>
      <c r="B5449" s="878" t="s">
        <v>14141</v>
      </c>
      <c r="C5449" s="879" t="s">
        <v>226</v>
      </c>
      <c r="D5449" s="880" t="s">
        <v>43190</v>
      </c>
    </row>
    <row r="5450" spans="1:4" ht="13.5" x14ac:dyDescent="0.25">
      <c r="A5450" s="878" t="s">
        <v>14142</v>
      </c>
      <c r="B5450" s="878" t="s">
        <v>14143</v>
      </c>
      <c r="C5450" s="879" t="s">
        <v>226</v>
      </c>
      <c r="D5450" s="880" t="s">
        <v>43191</v>
      </c>
    </row>
    <row r="5451" spans="1:4" ht="13.5" x14ac:dyDescent="0.25">
      <c r="A5451" s="878" t="s">
        <v>14144</v>
      </c>
      <c r="B5451" s="878" t="s">
        <v>14145</v>
      </c>
      <c r="C5451" s="879" t="s">
        <v>226</v>
      </c>
      <c r="D5451" s="880" t="s">
        <v>43192</v>
      </c>
    </row>
    <row r="5452" spans="1:4" ht="13.5" x14ac:dyDescent="0.25">
      <c r="A5452" s="878" t="s">
        <v>14146</v>
      </c>
      <c r="B5452" s="878" t="s">
        <v>14147</v>
      </c>
      <c r="C5452" s="879" t="s">
        <v>158</v>
      </c>
      <c r="D5452" s="880" t="s">
        <v>43193</v>
      </c>
    </row>
    <row r="5453" spans="1:4" ht="13.5" x14ac:dyDescent="0.25">
      <c r="A5453" s="878" t="s">
        <v>14148</v>
      </c>
      <c r="B5453" s="878" t="s">
        <v>14149</v>
      </c>
      <c r="C5453" s="879" t="s">
        <v>158</v>
      </c>
      <c r="D5453" s="880" t="s">
        <v>43194</v>
      </c>
    </row>
    <row r="5454" spans="1:4" ht="13.5" x14ac:dyDescent="0.25">
      <c r="A5454" s="878" t="s">
        <v>14150</v>
      </c>
      <c r="B5454" s="878" t="s">
        <v>14151</v>
      </c>
      <c r="C5454" s="879" t="s">
        <v>226</v>
      </c>
      <c r="D5454" s="880" t="s">
        <v>43195</v>
      </c>
    </row>
    <row r="5455" spans="1:4" ht="13.5" x14ac:dyDescent="0.25">
      <c r="A5455" s="878" t="s">
        <v>14152</v>
      </c>
      <c r="B5455" s="878" t="s">
        <v>14153</v>
      </c>
      <c r="C5455" s="879" t="s">
        <v>226</v>
      </c>
      <c r="D5455" s="880" t="s">
        <v>42628</v>
      </c>
    </row>
    <row r="5456" spans="1:4" ht="13.5" x14ac:dyDescent="0.25">
      <c r="A5456" s="878" t="s">
        <v>14154</v>
      </c>
      <c r="B5456" s="878" t="s">
        <v>14155</v>
      </c>
      <c r="C5456" s="879" t="s">
        <v>226</v>
      </c>
      <c r="D5456" s="880" t="s">
        <v>43196</v>
      </c>
    </row>
    <row r="5457" spans="1:5" ht="13.5" x14ac:dyDescent="0.25">
      <c r="A5457" s="878" t="s">
        <v>14156</v>
      </c>
      <c r="B5457" s="878" t="s">
        <v>14157</v>
      </c>
      <c r="C5457" s="879" t="s">
        <v>226</v>
      </c>
      <c r="D5457" s="880" t="s">
        <v>43197</v>
      </c>
    </row>
    <row r="5458" spans="1:5" ht="13.5" x14ac:dyDescent="0.25">
      <c r="A5458" s="878" t="s">
        <v>14158</v>
      </c>
      <c r="B5458" s="878" t="s">
        <v>14159</v>
      </c>
      <c r="C5458" s="879" t="s">
        <v>226</v>
      </c>
      <c r="D5458" s="880" t="s">
        <v>31022</v>
      </c>
    </row>
    <row r="5459" spans="1:5" ht="13.5" x14ac:dyDescent="0.25">
      <c r="A5459" s="878" t="s">
        <v>14160</v>
      </c>
      <c r="B5459" s="878" t="s">
        <v>14161</v>
      </c>
      <c r="C5459" s="879" t="s">
        <v>226</v>
      </c>
      <c r="D5459" s="880" t="s">
        <v>43198</v>
      </c>
    </row>
    <row r="5460" spans="1:5" ht="13.5" x14ac:dyDescent="0.25">
      <c r="A5460" s="878" t="s">
        <v>14162</v>
      </c>
      <c r="B5460" s="878" t="s">
        <v>14163</v>
      </c>
      <c r="C5460" s="879" t="s">
        <v>159</v>
      </c>
      <c r="D5460" s="880" t="s">
        <v>43199</v>
      </c>
    </row>
    <row r="5461" spans="1:5" ht="13.5" x14ac:dyDescent="0.25">
      <c r="A5461" s="878" t="s">
        <v>14164</v>
      </c>
      <c r="B5461" s="878" t="s">
        <v>14165</v>
      </c>
      <c r="C5461" s="879" t="s">
        <v>159</v>
      </c>
      <c r="D5461" s="880" t="s">
        <v>43200</v>
      </c>
    </row>
    <row r="5462" spans="1:5" ht="13.5" x14ac:dyDescent="0.25">
      <c r="A5462" s="878" t="s">
        <v>14166</v>
      </c>
      <c r="B5462" s="878" t="s">
        <v>14167</v>
      </c>
      <c r="C5462" s="879" t="s">
        <v>159</v>
      </c>
      <c r="D5462" s="880" t="s">
        <v>43201</v>
      </c>
    </row>
    <row r="5463" spans="1:5" ht="13.5" x14ac:dyDescent="0.25">
      <c r="A5463" s="878" t="s">
        <v>14168</v>
      </c>
      <c r="B5463" s="878" t="s">
        <v>14169</v>
      </c>
      <c r="C5463" s="879" t="s">
        <v>159</v>
      </c>
      <c r="D5463" s="880" t="s">
        <v>43202</v>
      </c>
    </row>
    <row r="5464" spans="1:5" ht="13.5" x14ac:dyDescent="0.25">
      <c r="A5464" s="878" t="s">
        <v>14170</v>
      </c>
      <c r="B5464" s="878" t="s">
        <v>14171</v>
      </c>
      <c r="C5464" s="879" t="s">
        <v>159</v>
      </c>
      <c r="D5464" s="880" t="s">
        <v>43203</v>
      </c>
    </row>
    <row r="5465" spans="1:5" ht="13.5" x14ac:dyDescent="0.25">
      <c r="A5465" s="878" t="s">
        <v>14172</v>
      </c>
      <c r="B5465" s="878" t="s">
        <v>14173</v>
      </c>
      <c r="C5465" s="879" t="s">
        <v>159</v>
      </c>
      <c r="D5465" s="880" t="s">
        <v>43204</v>
      </c>
    </row>
    <row r="5466" spans="1:5" ht="13.5" x14ac:dyDescent="0.25">
      <c r="A5466" s="878" t="s">
        <v>14174</v>
      </c>
      <c r="B5466" s="878" t="s">
        <v>14175</v>
      </c>
      <c r="C5466" s="879" t="s">
        <v>159</v>
      </c>
      <c r="D5466" s="880" t="s">
        <v>43205</v>
      </c>
    </row>
    <row r="5467" spans="1:5" ht="13.5" x14ac:dyDescent="0.25">
      <c r="A5467" s="878" t="s">
        <v>14176</v>
      </c>
      <c r="B5467" s="878" t="s">
        <v>14177</v>
      </c>
      <c r="C5467" s="879" t="s">
        <v>159</v>
      </c>
      <c r="D5467" s="880" t="s">
        <v>30665</v>
      </c>
    </row>
    <row r="5468" spans="1:5" ht="13.5" x14ac:dyDescent="0.25">
      <c r="A5468" s="878" t="s">
        <v>14178</v>
      </c>
      <c r="B5468" s="878" t="s">
        <v>14179</v>
      </c>
      <c r="C5468" s="879" t="s">
        <v>227</v>
      </c>
      <c r="D5468" s="880" t="s">
        <v>30201</v>
      </c>
    </row>
    <row r="5469" spans="1:5" ht="13.5" x14ac:dyDescent="0.25">
      <c r="A5469" s="1157" t="s">
        <v>14180</v>
      </c>
      <c r="B5469" s="1157" t="s">
        <v>14181</v>
      </c>
      <c r="C5469" s="1158" t="s">
        <v>159</v>
      </c>
      <c r="D5469" s="1159" t="s">
        <v>3871</v>
      </c>
      <c r="E5469" s="14" t="s">
        <v>31563</v>
      </c>
    </row>
    <row r="5470" spans="1:5" ht="13.5" x14ac:dyDescent="0.25">
      <c r="A5470" s="1157" t="s">
        <v>14182</v>
      </c>
      <c r="B5470" s="1157" t="s">
        <v>14183</v>
      </c>
      <c r="C5470" s="1158" t="s">
        <v>159</v>
      </c>
      <c r="D5470" s="1159" t="s">
        <v>30732</v>
      </c>
      <c r="E5470" s="14" t="s">
        <v>31563</v>
      </c>
    </row>
    <row r="5471" spans="1:5" ht="13.5" x14ac:dyDescent="0.25">
      <c r="A5471" s="1157" t="s">
        <v>14184</v>
      </c>
      <c r="B5471" s="1157" t="s">
        <v>14185</v>
      </c>
      <c r="C5471" s="1158" t="s">
        <v>159</v>
      </c>
      <c r="D5471" s="1159" t="s">
        <v>15853</v>
      </c>
      <c r="E5471" s="14" t="s">
        <v>31563</v>
      </c>
    </row>
    <row r="5472" spans="1:5" ht="13.5" x14ac:dyDescent="0.25">
      <c r="A5472" s="1157" t="s">
        <v>14186</v>
      </c>
      <c r="B5472" s="1157" t="s">
        <v>14187</v>
      </c>
      <c r="C5472" s="1158" t="s">
        <v>159</v>
      </c>
      <c r="D5472" s="1159" t="s">
        <v>31107</v>
      </c>
      <c r="E5472" s="14" t="s">
        <v>31563</v>
      </c>
    </row>
    <row r="5473" spans="1:5" ht="13.5" x14ac:dyDescent="0.25">
      <c r="A5473" s="1157" t="s">
        <v>14188</v>
      </c>
      <c r="B5473" s="1157" t="s">
        <v>14189</v>
      </c>
      <c r="C5473" s="1158" t="s">
        <v>159</v>
      </c>
      <c r="D5473" s="1159" t="s">
        <v>31108</v>
      </c>
      <c r="E5473" s="14" t="s">
        <v>31563</v>
      </c>
    </row>
    <row r="5474" spans="1:5" ht="13.5" x14ac:dyDescent="0.25">
      <c r="A5474" s="878" t="s">
        <v>14190</v>
      </c>
      <c r="B5474" s="878" t="s">
        <v>14191</v>
      </c>
      <c r="C5474" s="879" t="s">
        <v>159</v>
      </c>
      <c r="D5474" s="880" t="s">
        <v>43206</v>
      </c>
    </row>
    <row r="5475" spans="1:5" ht="13.5" x14ac:dyDescent="0.25">
      <c r="A5475" s="878" t="s">
        <v>14192</v>
      </c>
      <c r="B5475" s="878" t="s">
        <v>14193</v>
      </c>
      <c r="C5475" s="879" t="s">
        <v>159</v>
      </c>
      <c r="D5475" s="880" t="s">
        <v>40455</v>
      </c>
    </row>
    <row r="5476" spans="1:5" ht="13.5" x14ac:dyDescent="0.25">
      <c r="A5476" s="878" t="s">
        <v>14194</v>
      </c>
      <c r="B5476" s="878" t="s">
        <v>14195</v>
      </c>
      <c r="C5476" s="879" t="s">
        <v>159</v>
      </c>
      <c r="D5476" s="880" t="s">
        <v>4071</v>
      </c>
    </row>
    <row r="5477" spans="1:5" ht="13.5" x14ac:dyDescent="0.25">
      <c r="A5477" s="878" t="s">
        <v>14196</v>
      </c>
      <c r="B5477" s="878" t="s">
        <v>14197</v>
      </c>
      <c r="C5477" s="879" t="s">
        <v>159</v>
      </c>
      <c r="D5477" s="880" t="s">
        <v>17302</v>
      </c>
    </row>
    <row r="5478" spans="1:5" ht="13.5" x14ac:dyDescent="0.25">
      <c r="A5478" s="878" t="s">
        <v>14198</v>
      </c>
      <c r="B5478" s="878" t="s">
        <v>14199</v>
      </c>
      <c r="C5478" s="879" t="s">
        <v>159</v>
      </c>
      <c r="D5478" s="880" t="s">
        <v>31301</v>
      </c>
    </row>
    <row r="5479" spans="1:5" ht="13.5" x14ac:dyDescent="0.25">
      <c r="A5479" s="878" t="s">
        <v>14201</v>
      </c>
      <c r="B5479" s="878" t="s">
        <v>14202</v>
      </c>
      <c r="C5479" s="879" t="s">
        <v>159</v>
      </c>
      <c r="D5479" s="880" t="s">
        <v>43207</v>
      </c>
    </row>
    <row r="5480" spans="1:5" ht="13.5" x14ac:dyDescent="0.25">
      <c r="A5480" s="878" t="s">
        <v>14203</v>
      </c>
      <c r="B5480" s="878" t="s">
        <v>14204</v>
      </c>
      <c r="C5480" s="879" t="s">
        <v>159</v>
      </c>
      <c r="D5480" s="880" t="s">
        <v>42553</v>
      </c>
    </row>
    <row r="5481" spans="1:5" ht="13.5" x14ac:dyDescent="0.25">
      <c r="A5481" s="878" t="s">
        <v>14205</v>
      </c>
      <c r="B5481" s="878" t="s">
        <v>14206</v>
      </c>
      <c r="C5481" s="879" t="s">
        <v>159</v>
      </c>
      <c r="D5481" s="880" t="s">
        <v>30191</v>
      </c>
    </row>
    <row r="5482" spans="1:5" ht="13.5" x14ac:dyDescent="0.25">
      <c r="A5482" s="878" t="s">
        <v>14207</v>
      </c>
      <c r="B5482" s="878" t="s">
        <v>14208</v>
      </c>
      <c r="C5482" s="879" t="s">
        <v>159</v>
      </c>
      <c r="D5482" s="880" t="s">
        <v>30654</v>
      </c>
    </row>
    <row r="5483" spans="1:5" ht="13.5" x14ac:dyDescent="0.25">
      <c r="A5483" s="878" t="s">
        <v>14209</v>
      </c>
      <c r="B5483" s="878" t="s">
        <v>14210</v>
      </c>
      <c r="C5483" s="879" t="s">
        <v>159</v>
      </c>
      <c r="D5483" s="880" t="s">
        <v>31062</v>
      </c>
    </row>
    <row r="5484" spans="1:5" ht="13.5" x14ac:dyDescent="0.25">
      <c r="A5484" s="878" t="s">
        <v>14211</v>
      </c>
      <c r="B5484" s="878" t="s">
        <v>14212</v>
      </c>
      <c r="C5484" s="879" t="s">
        <v>159</v>
      </c>
      <c r="D5484" s="880" t="s">
        <v>31325</v>
      </c>
    </row>
    <row r="5485" spans="1:5" ht="13.5" x14ac:dyDescent="0.25">
      <c r="A5485" s="878" t="s">
        <v>14213</v>
      </c>
      <c r="B5485" s="878" t="s">
        <v>14214</v>
      </c>
      <c r="C5485" s="879" t="s">
        <v>159</v>
      </c>
      <c r="D5485" s="880" t="s">
        <v>42324</v>
      </c>
    </row>
    <row r="5486" spans="1:5" ht="13.5" x14ac:dyDescent="0.25">
      <c r="A5486" s="878" t="s">
        <v>14215</v>
      </c>
      <c r="B5486" s="878" t="s">
        <v>14216</v>
      </c>
      <c r="C5486" s="879" t="s">
        <v>159</v>
      </c>
      <c r="D5486" s="880" t="s">
        <v>7628</v>
      </c>
    </row>
    <row r="5487" spans="1:5" ht="13.5" x14ac:dyDescent="0.25">
      <c r="A5487" s="878" t="s">
        <v>14217</v>
      </c>
      <c r="B5487" s="878" t="s">
        <v>14218</v>
      </c>
      <c r="C5487" s="879" t="s">
        <v>159</v>
      </c>
      <c r="D5487" s="880" t="s">
        <v>30636</v>
      </c>
    </row>
    <row r="5488" spans="1:5" ht="13.5" x14ac:dyDescent="0.25">
      <c r="A5488" s="878" t="s">
        <v>14219</v>
      </c>
      <c r="B5488" s="878" t="s">
        <v>14220</v>
      </c>
      <c r="C5488" s="879" t="s">
        <v>159</v>
      </c>
      <c r="D5488" s="880" t="s">
        <v>6009</v>
      </c>
    </row>
    <row r="5489" spans="1:4" ht="13.5" x14ac:dyDescent="0.25">
      <c r="A5489" s="878" t="s">
        <v>14221</v>
      </c>
      <c r="B5489" s="878" t="s">
        <v>14222</v>
      </c>
      <c r="C5489" s="879" t="s">
        <v>159</v>
      </c>
      <c r="D5489" s="880" t="s">
        <v>41652</v>
      </c>
    </row>
    <row r="5490" spans="1:4" ht="13.5" x14ac:dyDescent="0.25">
      <c r="A5490" s="878" t="s">
        <v>14224</v>
      </c>
      <c r="B5490" s="878" t="s">
        <v>14225</v>
      </c>
      <c r="C5490" s="879" t="s">
        <v>159</v>
      </c>
      <c r="D5490" s="880" t="s">
        <v>41485</v>
      </c>
    </row>
    <row r="5491" spans="1:4" ht="13.5" x14ac:dyDescent="0.25">
      <c r="A5491" s="878" t="s">
        <v>14227</v>
      </c>
      <c r="B5491" s="878" t="s">
        <v>14228</v>
      </c>
      <c r="C5491" s="879" t="s">
        <v>159</v>
      </c>
      <c r="D5491" s="880" t="s">
        <v>18051</v>
      </c>
    </row>
    <row r="5492" spans="1:4" ht="13.5" x14ac:dyDescent="0.25">
      <c r="A5492" s="878" t="s">
        <v>14229</v>
      </c>
      <c r="B5492" s="878" t="s">
        <v>14230</v>
      </c>
      <c r="C5492" s="879" t="s">
        <v>159</v>
      </c>
      <c r="D5492" s="880" t="s">
        <v>43208</v>
      </c>
    </row>
    <row r="5493" spans="1:4" ht="13.5" x14ac:dyDescent="0.25">
      <c r="A5493" s="878" t="s">
        <v>14231</v>
      </c>
      <c r="B5493" s="878" t="s">
        <v>14232</v>
      </c>
      <c r="C5493" s="879" t="s">
        <v>159</v>
      </c>
      <c r="D5493" s="880" t="s">
        <v>42421</v>
      </c>
    </row>
    <row r="5494" spans="1:4" ht="13.5" x14ac:dyDescent="0.25">
      <c r="A5494" s="878" t="s">
        <v>14233</v>
      </c>
      <c r="B5494" s="878" t="s">
        <v>14234</v>
      </c>
      <c r="C5494" s="879" t="s">
        <v>159</v>
      </c>
      <c r="D5494" s="880" t="s">
        <v>43209</v>
      </c>
    </row>
    <row r="5495" spans="1:4" ht="13.5" x14ac:dyDescent="0.25">
      <c r="A5495" s="878" t="s">
        <v>14236</v>
      </c>
      <c r="B5495" s="878" t="s">
        <v>14237</v>
      </c>
      <c r="C5495" s="879" t="s">
        <v>159</v>
      </c>
      <c r="D5495" s="880" t="s">
        <v>42312</v>
      </c>
    </row>
    <row r="5496" spans="1:4" ht="13.5" x14ac:dyDescent="0.25">
      <c r="A5496" s="878" t="s">
        <v>14238</v>
      </c>
      <c r="B5496" s="878" t="s">
        <v>14239</v>
      </c>
      <c r="C5496" s="879" t="s">
        <v>159</v>
      </c>
      <c r="D5496" s="880" t="s">
        <v>30263</v>
      </c>
    </row>
    <row r="5497" spans="1:4" ht="13.5" x14ac:dyDescent="0.25">
      <c r="A5497" s="878" t="s">
        <v>14241</v>
      </c>
      <c r="B5497" s="878" t="s">
        <v>14242</v>
      </c>
      <c r="C5497" s="879" t="s">
        <v>159</v>
      </c>
      <c r="D5497" s="880" t="s">
        <v>43210</v>
      </c>
    </row>
    <row r="5498" spans="1:4" ht="13.5" x14ac:dyDescent="0.25">
      <c r="A5498" s="878" t="s">
        <v>14243</v>
      </c>
      <c r="B5498" s="878" t="s">
        <v>14244</v>
      </c>
      <c r="C5498" s="879" t="s">
        <v>159</v>
      </c>
      <c r="D5498" s="880" t="s">
        <v>40669</v>
      </c>
    </row>
    <row r="5499" spans="1:4" ht="13.5" x14ac:dyDescent="0.25">
      <c r="A5499" s="1157" t="s">
        <v>14245</v>
      </c>
      <c r="B5499" s="1157" t="s">
        <v>14246</v>
      </c>
      <c r="C5499" s="1158" t="s">
        <v>159</v>
      </c>
      <c r="D5499" s="1159" t="s">
        <v>12136</v>
      </c>
    </row>
    <row r="5500" spans="1:4" ht="13.5" x14ac:dyDescent="0.25">
      <c r="A5500" s="1157" t="s">
        <v>14247</v>
      </c>
      <c r="B5500" s="1157" t="s">
        <v>14248</v>
      </c>
      <c r="C5500" s="1158" t="s">
        <v>159</v>
      </c>
      <c r="D5500" s="1159" t="s">
        <v>43211</v>
      </c>
    </row>
    <row r="5501" spans="1:4" ht="13.5" x14ac:dyDescent="0.25">
      <c r="A5501" s="1157" t="s">
        <v>14249</v>
      </c>
      <c r="B5501" s="1157" t="s">
        <v>14250</v>
      </c>
      <c r="C5501" s="1158" t="s">
        <v>159</v>
      </c>
      <c r="D5501" s="1159" t="s">
        <v>30990</v>
      </c>
    </row>
    <row r="5502" spans="1:4" ht="13.5" x14ac:dyDescent="0.25">
      <c r="A5502" s="1157" t="s">
        <v>14251</v>
      </c>
      <c r="B5502" s="1157" t="s">
        <v>14252</v>
      </c>
      <c r="C5502" s="1158" t="s">
        <v>159</v>
      </c>
      <c r="D5502" s="1159" t="s">
        <v>43212</v>
      </c>
    </row>
    <row r="5503" spans="1:4" ht="13.5" x14ac:dyDescent="0.25">
      <c r="A5503" s="1157" t="s">
        <v>14254</v>
      </c>
      <c r="B5503" s="1157" t="s">
        <v>14255</v>
      </c>
      <c r="C5503" s="1158" t="s">
        <v>159</v>
      </c>
      <c r="D5503" s="1159" t="s">
        <v>43213</v>
      </c>
    </row>
    <row r="5504" spans="1:4" ht="13.5" x14ac:dyDescent="0.25">
      <c r="A5504" s="878" t="s">
        <v>14256</v>
      </c>
      <c r="B5504" s="878" t="s">
        <v>14257</v>
      </c>
      <c r="C5504" s="879" t="s">
        <v>159</v>
      </c>
      <c r="D5504" s="880" t="s">
        <v>42306</v>
      </c>
    </row>
    <row r="5505" spans="1:4" ht="13.5" x14ac:dyDescent="0.25">
      <c r="A5505" s="878" t="s">
        <v>14258</v>
      </c>
      <c r="B5505" s="878" t="s">
        <v>14259</v>
      </c>
      <c r="C5505" s="879" t="s">
        <v>159</v>
      </c>
      <c r="D5505" s="880" t="s">
        <v>43214</v>
      </c>
    </row>
    <row r="5506" spans="1:4" ht="13.5" x14ac:dyDescent="0.25">
      <c r="A5506" s="878" t="s">
        <v>14260</v>
      </c>
      <c r="B5506" s="878" t="s">
        <v>14261</v>
      </c>
      <c r="C5506" s="879" t="s">
        <v>159</v>
      </c>
      <c r="D5506" s="880" t="s">
        <v>12988</v>
      </c>
    </row>
    <row r="5507" spans="1:4" ht="13.5" x14ac:dyDescent="0.25">
      <c r="A5507" s="878" t="s">
        <v>14262</v>
      </c>
      <c r="B5507" s="878" t="s">
        <v>14263</v>
      </c>
      <c r="C5507" s="879" t="s">
        <v>159</v>
      </c>
      <c r="D5507" s="880" t="s">
        <v>31183</v>
      </c>
    </row>
    <row r="5508" spans="1:4" ht="13.5" x14ac:dyDescent="0.25">
      <c r="A5508" s="878" t="s">
        <v>14264</v>
      </c>
      <c r="B5508" s="878" t="s">
        <v>14265</v>
      </c>
      <c r="C5508" s="879" t="s">
        <v>159</v>
      </c>
      <c r="D5508" s="880" t="s">
        <v>14223</v>
      </c>
    </row>
    <row r="5509" spans="1:4" ht="13.5" x14ac:dyDescent="0.25">
      <c r="A5509" s="878" t="s">
        <v>14266</v>
      </c>
      <c r="B5509" s="878" t="s">
        <v>14267</v>
      </c>
      <c r="C5509" s="879" t="s">
        <v>159</v>
      </c>
      <c r="D5509" s="880" t="s">
        <v>42385</v>
      </c>
    </row>
    <row r="5510" spans="1:4" ht="13.5" x14ac:dyDescent="0.25">
      <c r="A5510" s="878" t="s">
        <v>14268</v>
      </c>
      <c r="B5510" s="878" t="s">
        <v>14269</v>
      </c>
      <c r="C5510" s="879" t="s">
        <v>159</v>
      </c>
      <c r="D5510" s="880" t="s">
        <v>15235</v>
      </c>
    </row>
    <row r="5511" spans="1:4" ht="13.5" x14ac:dyDescent="0.25">
      <c r="A5511" s="878" t="s">
        <v>14270</v>
      </c>
      <c r="B5511" s="878" t="s">
        <v>14271</v>
      </c>
      <c r="C5511" s="879" t="s">
        <v>159</v>
      </c>
      <c r="D5511" s="880" t="s">
        <v>30834</v>
      </c>
    </row>
    <row r="5512" spans="1:4" ht="13.5" x14ac:dyDescent="0.25">
      <c r="A5512" s="878" t="s">
        <v>14272</v>
      </c>
      <c r="B5512" s="878" t="s">
        <v>14273</v>
      </c>
      <c r="C5512" s="879" t="s">
        <v>159</v>
      </c>
      <c r="D5512" s="880" t="s">
        <v>41703</v>
      </c>
    </row>
    <row r="5513" spans="1:4" ht="13.5" x14ac:dyDescent="0.25">
      <c r="A5513" s="878" t="s">
        <v>14274</v>
      </c>
      <c r="B5513" s="878" t="s">
        <v>14275</v>
      </c>
      <c r="C5513" s="879" t="s">
        <v>159</v>
      </c>
      <c r="D5513" s="880" t="s">
        <v>30582</v>
      </c>
    </row>
    <row r="5514" spans="1:4" ht="13.5" x14ac:dyDescent="0.25">
      <c r="A5514" s="878" t="s">
        <v>14276</v>
      </c>
      <c r="B5514" s="878" t="s">
        <v>14277</v>
      </c>
      <c r="C5514" s="879" t="s">
        <v>159</v>
      </c>
      <c r="D5514" s="880" t="s">
        <v>5076</v>
      </c>
    </row>
    <row r="5515" spans="1:4" ht="13.5" x14ac:dyDescent="0.25">
      <c r="A5515" s="878" t="s">
        <v>14278</v>
      </c>
      <c r="B5515" s="878" t="s">
        <v>14279</v>
      </c>
      <c r="C5515" s="879" t="s">
        <v>159</v>
      </c>
      <c r="D5515" s="880" t="s">
        <v>12312</v>
      </c>
    </row>
    <row r="5516" spans="1:4" ht="13.5" x14ac:dyDescent="0.25">
      <c r="A5516" s="878" t="s">
        <v>14281</v>
      </c>
      <c r="B5516" s="878" t="s">
        <v>14282</v>
      </c>
      <c r="C5516" s="879" t="s">
        <v>159</v>
      </c>
      <c r="D5516" s="880" t="s">
        <v>31287</v>
      </c>
    </row>
    <row r="5517" spans="1:4" ht="13.5" x14ac:dyDescent="0.25">
      <c r="A5517" s="878" t="s">
        <v>14283</v>
      </c>
      <c r="B5517" s="878" t="s">
        <v>14284</v>
      </c>
      <c r="C5517" s="879" t="s">
        <v>159</v>
      </c>
      <c r="D5517" s="880" t="s">
        <v>41454</v>
      </c>
    </row>
    <row r="5518" spans="1:4" ht="13.5" x14ac:dyDescent="0.25">
      <c r="A5518" s="878" t="s">
        <v>14285</v>
      </c>
      <c r="B5518" s="878" t="s">
        <v>14286</v>
      </c>
      <c r="C5518" s="879" t="s">
        <v>159</v>
      </c>
      <c r="D5518" s="880" t="s">
        <v>40316</v>
      </c>
    </row>
    <row r="5519" spans="1:4" ht="13.5" x14ac:dyDescent="0.25">
      <c r="A5519" s="878" t="s">
        <v>14287</v>
      </c>
      <c r="B5519" s="878" t="s">
        <v>14288</v>
      </c>
      <c r="C5519" s="879" t="s">
        <v>159</v>
      </c>
      <c r="D5519" s="880" t="s">
        <v>43215</v>
      </c>
    </row>
    <row r="5520" spans="1:4" ht="13.5" x14ac:dyDescent="0.25">
      <c r="A5520" s="878" t="s">
        <v>14289</v>
      </c>
      <c r="B5520" s="878" t="s">
        <v>14290</v>
      </c>
      <c r="C5520" s="879" t="s">
        <v>159</v>
      </c>
      <c r="D5520" s="880" t="s">
        <v>43216</v>
      </c>
    </row>
    <row r="5521" spans="1:4" ht="13.5" x14ac:dyDescent="0.25">
      <c r="A5521" s="878" t="s">
        <v>14291</v>
      </c>
      <c r="B5521" s="878" t="s">
        <v>14292</v>
      </c>
      <c r="C5521" s="879" t="s">
        <v>159</v>
      </c>
      <c r="D5521" s="880" t="s">
        <v>43217</v>
      </c>
    </row>
    <row r="5522" spans="1:4" ht="13.5" x14ac:dyDescent="0.25">
      <c r="A5522" s="878" t="s">
        <v>14293</v>
      </c>
      <c r="B5522" s="878" t="s">
        <v>14294</v>
      </c>
      <c r="C5522" s="879" t="s">
        <v>159</v>
      </c>
      <c r="D5522" s="880" t="s">
        <v>30630</v>
      </c>
    </row>
    <row r="5523" spans="1:4" ht="13.5" x14ac:dyDescent="0.25">
      <c r="A5523" s="878" t="s">
        <v>14295</v>
      </c>
      <c r="B5523" s="878" t="s">
        <v>14296</v>
      </c>
      <c r="C5523" s="879" t="s">
        <v>159</v>
      </c>
      <c r="D5523" s="880" t="s">
        <v>43218</v>
      </c>
    </row>
    <row r="5524" spans="1:4" ht="13.5" x14ac:dyDescent="0.25">
      <c r="A5524" s="878" t="s">
        <v>14298</v>
      </c>
      <c r="B5524" s="878" t="s">
        <v>14299</v>
      </c>
      <c r="C5524" s="879" t="s">
        <v>159</v>
      </c>
      <c r="D5524" s="880" t="s">
        <v>10961</v>
      </c>
    </row>
    <row r="5525" spans="1:4" ht="13.5" x14ac:dyDescent="0.25">
      <c r="A5525" s="878" t="s">
        <v>14300</v>
      </c>
      <c r="B5525" s="878" t="s">
        <v>14301</v>
      </c>
      <c r="C5525" s="879" t="s">
        <v>159</v>
      </c>
      <c r="D5525" s="880" t="s">
        <v>43219</v>
      </c>
    </row>
    <row r="5526" spans="1:4" ht="13.5" x14ac:dyDescent="0.25">
      <c r="A5526" s="878" t="s">
        <v>14302</v>
      </c>
      <c r="B5526" s="878" t="s">
        <v>14303</v>
      </c>
      <c r="C5526" s="879" t="s">
        <v>159</v>
      </c>
      <c r="D5526" s="880" t="s">
        <v>41659</v>
      </c>
    </row>
    <row r="5527" spans="1:4" ht="13.5" x14ac:dyDescent="0.25">
      <c r="A5527" s="878" t="s">
        <v>14304</v>
      </c>
      <c r="B5527" s="878" t="s">
        <v>14305</v>
      </c>
      <c r="C5527" s="879" t="s">
        <v>159</v>
      </c>
      <c r="D5527" s="880" t="s">
        <v>30728</v>
      </c>
    </row>
    <row r="5528" spans="1:4" ht="13.5" x14ac:dyDescent="0.25">
      <c r="A5528" s="878" t="s">
        <v>14306</v>
      </c>
      <c r="B5528" s="878" t="s">
        <v>14307</v>
      </c>
      <c r="C5528" s="879" t="s">
        <v>159</v>
      </c>
      <c r="D5528" s="880" t="s">
        <v>30743</v>
      </c>
    </row>
    <row r="5529" spans="1:4" ht="13.5" x14ac:dyDescent="0.25">
      <c r="A5529" s="878" t="s">
        <v>14309</v>
      </c>
      <c r="B5529" s="878" t="s">
        <v>14310</v>
      </c>
      <c r="C5529" s="879" t="s">
        <v>159</v>
      </c>
      <c r="D5529" s="880" t="s">
        <v>8958</v>
      </c>
    </row>
    <row r="5530" spans="1:4" ht="13.5" x14ac:dyDescent="0.25">
      <c r="A5530" s="878" t="s">
        <v>14311</v>
      </c>
      <c r="B5530" s="878" t="s">
        <v>14312</v>
      </c>
      <c r="C5530" s="879" t="s">
        <v>159</v>
      </c>
      <c r="D5530" s="880" t="s">
        <v>41477</v>
      </c>
    </row>
    <row r="5531" spans="1:4" ht="13.5" x14ac:dyDescent="0.25">
      <c r="A5531" s="878" t="s">
        <v>14313</v>
      </c>
      <c r="B5531" s="878" t="s">
        <v>14314</v>
      </c>
      <c r="C5531" s="879" t="s">
        <v>159</v>
      </c>
      <c r="D5531" s="880" t="s">
        <v>43220</v>
      </c>
    </row>
    <row r="5532" spans="1:4" ht="13.5" x14ac:dyDescent="0.25">
      <c r="A5532" s="878" t="s">
        <v>14315</v>
      </c>
      <c r="B5532" s="878" t="s">
        <v>14316</v>
      </c>
      <c r="C5532" s="879" t="s">
        <v>159</v>
      </c>
      <c r="D5532" s="880" t="s">
        <v>43221</v>
      </c>
    </row>
    <row r="5533" spans="1:4" ht="13.5" x14ac:dyDescent="0.25">
      <c r="A5533" s="878" t="s">
        <v>14317</v>
      </c>
      <c r="B5533" s="878" t="s">
        <v>14318</v>
      </c>
      <c r="C5533" s="879" t="s">
        <v>159</v>
      </c>
      <c r="D5533" s="880" t="s">
        <v>43222</v>
      </c>
    </row>
    <row r="5534" spans="1:4" ht="13.5" x14ac:dyDescent="0.25">
      <c r="A5534" s="878" t="s">
        <v>14319</v>
      </c>
      <c r="B5534" s="878" t="s">
        <v>14320</v>
      </c>
      <c r="C5534" s="879" t="s">
        <v>159</v>
      </c>
      <c r="D5534" s="880" t="s">
        <v>41475</v>
      </c>
    </row>
    <row r="5535" spans="1:4" ht="13.5" x14ac:dyDescent="0.25">
      <c r="A5535" s="878" t="s">
        <v>14322</v>
      </c>
      <c r="B5535" s="878" t="s">
        <v>14323</v>
      </c>
      <c r="C5535" s="879" t="s">
        <v>159</v>
      </c>
      <c r="D5535" s="880" t="s">
        <v>7500</v>
      </c>
    </row>
    <row r="5536" spans="1:4" ht="13.5" x14ac:dyDescent="0.25">
      <c r="A5536" s="878" t="s">
        <v>14324</v>
      </c>
      <c r="B5536" s="878" t="s">
        <v>14325</v>
      </c>
      <c r="C5536" s="879" t="s">
        <v>159</v>
      </c>
      <c r="D5536" s="880" t="s">
        <v>43223</v>
      </c>
    </row>
    <row r="5537" spans="1:4" ht="13.5" x14ac:dyDescent="0.25">
      <c r="A5537" s="878" t="s">
        <v>14326</v>
      </c>
      <c r="B5537" s="878" t="s">
        <v>14327</v>
      </c>
      <c r="C5537" s="879" t="s">
        <v>159</v>
      </c>
      <c r="D5537" s="880" t="s">
        <v>30628</v>
      </c>
    </row>
    <row r="5538" spans="1:4" ht="13.5" x14ac:dyDescent="0.25">
      <c r="A5538" s="878" t="s">
        <v>14328</v>
      </c>
      <c r="B5538" s="878" t="s">
        <v>14329</v>
      </c>
      <c r="C5538" s="879" t="s">
        <v>159</v>
      </c>
      <c r="D5538" s="880" t="s">
        <v>43224</v>
      </c>
    </row>
    <row r="5539" spans="1:4" ht="13.5" x14ac:dyDescent="0.25">
      <c r="A5539" s="878" t="s">
        <v>14330</v>
      </c>
      <c r="B5539" s="878" t="s">
        <v>14331</v>
      </c>
      <c r="C5539" s="879" t="s">
        <v>159</v>
      </c>
      <c r="D5539" s="880" t="s">
        <v>43225</v>
      </c>
    </row>
    <row r="5540" spans="1:4" ht="13.5" x14ac:dyDescent="0.25">
      <c r="A5540" s="878" t="s">
        <v>14332</v>
      </c>
      <c r="B5540" s="878" t="s">
        <v>14333</v>
      </c>
      <c r="C5540" s="879" t="s">
        <v>159</v>
      </c>
      <c r="D5540" s="880" t="s">
        <v>8766</v>
      </c>
    </row>
    <row r="5541" spans="1:4" ht="13.5" x14ac:dyDescent="0.25">
      <c r="A5541" s="878" t="s">
        <v>14334</v>
      </c>
      <c r="B5541" s="878" t="s">
        <v>14335</v>
      </c>
      <c r="C5541" s="879" t="s">
        <v>159</v>
      </c>
      <c r="D5541" s="880" t="s">
        <v>30571</v>
      </c>
    </row>
    <row r="5542" spans="1:4" ht="13.5" x14ac:dyDescent="0.25">
      <c r="A5542" s="878" t="s">
        <v>14336</v>
      </c>
      <c r="B5542" s="878" t="s">
        <v>14337</v>
      </c>
      <c r="C5542" s="879" t="s">
        <v>159</v>
      </c>
      <c r="D5542" s="880" t="s">
        <v>8248</v>
      </c>
    </row>
    <row r="5543" spans="1:4" ht="13.5" x14ac:dyDescent="0.25">
      <c r="A5543" s="878" t="s">
        <v>14338</v>
      </c>
      <c r="B5543" s="878" t="s">
        <v>14339</v>
      </c>
      <c r="C5543" s="879" t="s">
        <v>159</v>
      </c>
      <c r="D5543" s="880" t="s">
        <v>41665</v>
      </c>
    </row>
    <row r="5544" spans="1:4" ht="13.5" x14ac:dyDescent="0.25">
      <c r="A5544" s="878" t="s">
        <v>14340</v>
      </c>
      <c r="B5544" s="878" t="s">
        <v>14341</v>
      </c>
      <c r="C5544" s="879" t="s">
        <v>159</v>
      </c>
      <c r="D5544" s="880" t="s">
        <v>12269</v>
      </c>
    </row>
    <row r="5545" spans="1:4" ht="13.5" x14ac:dyDescent="0.25">
      <c r="A5545" s="878" t="s">
        <v>14343</v>
      </c>
      <c r="B5545" s="878" t="s">
        <v>14344</v>
      </c>
      <c r="C5545" s="879" t="s">
        <v>159</v>
      </c>
      <c r="D5545" s="880" t="s">
        <v>9141</v>
      </c>
    </row>
    <row r="5546" spans="1:4" ht="13.5" x14ac:dyDescent="0.25">
      <c r="A5546" s="878" t="s">
        <v>14346</v>
      </c>
      <c r="B5546" s="878" t="s">
        <v>14347</v>
      </c>
      <c r="C5546" s="879" t="s">
        <v>159</v>
      </c>
      <c r="D5546" s="880" t="s">
        <v>43226</v>
      </c>
    </row>
    <row r="5547" spans="1:4" ht="13.5" x14ac:dyDescent="0.25">
      <c r="A5547" s="878" t="s">
        <v>14348</v>
      </c>
      <c r="B5547" s="878" t="s">
        <v>14349</v>
      </c>
      <c r="C5547" s="879" t="s">
        <v>159</v>
      </c>
      <c r="D5547" s="880" t="s">
        <v>40367</v>
      </c>
    </row>
    <row r="5548" spans="1:4" ht="13.5" x14ac:dyDescent="0.25">
      <c r="A5548" s="878" t="s">
        <v>14350</v>
      </c>
      <c r="B5548" s="878" t="s">
        <v>14351</v>
      </c>
      <c r="C5548" s="879" t="s">
        <v>159</v>
      </c>
      <c r="D5548" s="880" t="s">
        <v>30780</v>
      </c>
    </row>
    <row r="5549" spans="1:4" ht="13.5" x14ac:dyDescent="0.25">
      <c r="A5549" s="878" t="s">
        <v>14352</v>
      </c>
      <c r="B5549" s="878" t="s">
        <v>14353</v>
      </c>
      <c r="C5549" s="879" t="s">
        <v>159</v>
      </c>
      <c r="D5549" s="880" t="s">
        <v>31117</v>
      </c>
    </row>
    <row r="5550" spans="1:4" ht="13.5" x14ac:dyDescent="0.25">
      <c r="A5550" s="878" t="s">
        <v>14354</v>
      </c>
      <c r="B5550" s="878" t="s">
        <v>14355</v>
      </c>
      <c r="C5550" s="879" t="s">
        <v>159</v>
      </c>
      <c r="D5550" s="880" t="s">
        <v>30328</v>
      </c>
    </row>
    <row r="5551" spans="1:4" ht="13.5" x14ac:dyDescent="0.25">
      <c r="A5551" s="878" t="s">
        <v>14356</v>
      </c>
      <c r="B5551" s="878" t="s">
        <v>14357</v>
      </c>
      <c r="C5551" s="879" t="s">
        <v>159</v>
      </c>
      <c r="D5551" s="880" t="s">
        <v>43227</v>
      </c>
    </row>
    <row r="5552" spans="1:4" ht="13.5" x14ac:dyDescent="0.25">
      <c r="A5552" s="878" t="s">
        <v>14359</v>
      </c>
      <c r="B5552" s="878" t="s">
        <v>14360</v>
      </c>
      <c r="C5552" s="879" t="s">
        <v>159</v>
      </c>
      <c r="D5552" s="880" t="s">
        <v>41532</v>
      </c>
    </row>
    <row r="5553" spans="1:4" ht="13.5" x14ac:dyDescent="0.25">
      <c r="A5553" s="878" t="s">
        <v>14361</v>
      </c>
      <c r="B5553" s="878" t="s">
        <v>14362</v>
      </c>
      <c r="C5553" s="879" t="s">
        <v>159</v>
      </c>
      <c r="D5553" s="880" t="s">
        <v>30824</v>
      </c>
    </row>
    <row r="5554" spans="1:4" ht="13.5" x14ac:dyDescent="0.25">
      <c r="A5554" s="878" t="s">
        <v>14364</v>
      </c>
      <c r="B5554" s="878" t="s">
        <v>14365</v>
      </c>
      <c r="C5554" s="879" t="s">
        <v>159</v>
      </c>
      <c r="D5554" s="880" t="s">
        <v>8088</v>
      </c>
    </row>
    <row r="5555" spans="1:4" ht="13.5" x14ac:dyDescent="0.25">
      <c r="A5555" s="878" t="s">
        <v>14366</v>
      </c>
      <c r="B5555" s="878" t="s">
        <v>14367</v>
      </c>
      <c r="C5555" s="879" t="s">
        <v>159</v>
      </c>
      <c r="D5555" s="880" t="s">
        <v>30721</v>
      </c>
    </row>
    <row r="5556" spans="1:4" ht="13.5" x14ac:dyDescent="0.25">
      <c r="A5556" s="878" t="s">
        <v>14369</v>
      </c>
      <c r="B5556" s="878" t="s">
        <v>14370</v>
      </c>
      <c r="C5556" s="879" t="s">
        <v>159</v>
      </c>
      <c r="D5556" s="880" t="s">
        <v>43228</v>
      </c>
    </row>
    <row r="5557" spans="1:4" ht="13.5" x14ac:dyDescent="0.25">
      <c r="A5557" s="878" t="s">
        <v>14372</v>
      </c>
      <c r="B5557" s="878" t="s">
        <v>14373</v>
      </c>
      <c r="C5557" s="879" t="s">
        <v>159</v>
      </c>
      <c r="D5557" s="880" t="s">
        <v>5607</v>
      </c>
    </row>
    <row r="5558" spans="1:4" ht="13.5" x14ac:dyDescent="0.25">
      <c r="A5558" s="878" t="s">
        <v>14374</v>
      </c>
      <c r="B5558" s="878" t="s">
        <v>14375</v>
      </c>
      <c r="C5558" s="879" t="s">
        <v>159</v>
      </c>
      <c r="D5558" s="880" t="s">
        <v>10563</v>
      </c>
    </row>
    <row r="5559" spans="1:4" ht="13.5" x14ac:dyDescent="0.25">
      <c r="A5559" s="878" t="s">
        <v>14376</v>
      </c>
      <c r="B5559" s="878" t="s">
        <v>14377</v>
      </c>
      <c r="C5559" s="879" t="s">
        <v>159</v>
      </c>
      <c r="D5559" s="880" t="s">
        <v>30495</v>
      </c>
    </row>
    <row r="5560" spans="1:4" ht="13.5" x14ac:dyDescent="0.25">
      <c r="A5560" s="878" t="s">
        <v>14378</v>
      </c>
      <c r="B5560" s="878" t="s">
        <v>14379</v>
      </c>
      <c r="C5560" s="879" t="s">
        <v>159</v>
      </c>
      <c r="D5560" s="880" t="s">
        <v>4366</v>
      </c>
    </row>
    <row r="5561" spans="1:4" ht="13.5" x14ac:dyDescent="0.25">
      <c r="A5561" s="878" t="s">
        <v>14380</v>
      </c>
      <c r="B5561" s="878" t="s">
        <v>14381</v>
      </c>
      <c r="C5561" s="879" t="s">
        <v>159</v>
      </c>
      <c r="D5561" s="880" t="s">
        <v>41926</v>
      </c>
    </row>
    <row r="5562" spans="1:4" ht="13.5" x14ac:dyDescent="0.25">
      <c r="A5562" s="878" t="s">
        <v>14382</v>
      </c>
      <c r="B5562" s="878" t="s">
        <v>14383</v>
      </c>
      <c r="C5562" s="879" t="s">
        <v>159</v>
      </c>
      <c r="D5562" s="880" t="s">
        <v>43229</v>
      </c>
    </row>
    <row r="5563" spans="1:4" ht="13.5" x14ac:dyDescent="0.25">
      <c r="A5563" s="878" t="s">
        <v>14384</v>
      </c>
      <c r="B5563" s="878" t="s">
        <v>14385</v>
      </c>
      <c r="C5563" s="879" t="s">
        <v>159</v>
      </c>
      <c r="D5563" s="880" t="s">
        <v>43230</v>
      </c>
    </row>
    <row r="5564" spans="1:4" ht="13.5" x14ac:dyDescent="0.25">
      <c r="A5564" s="878" t="s">
        <v>14387</v>
      </c>
      <c r="B5564" s="878" t="s">
        <v>14388</v>
      </c>
      <c r="C5564" s="879" t="s">
        <v>159</v>
      </c>
      <c r="D5564" s="880" t="s">
        <v>6356</v>
      </c>
    </row>
    <row r="5565" spans="1:4" ht="13.5" x14ac:dyDescent="0.25">
      <c r="A5565" s="878" t="s">
        <v>14389</v>
      </c>
      <c r="B5565" s="878" t="s">
        <v>14390</v>
      </c>
      <c r="C5565" s="879" t="s">
        <v>159</v>
      </c>
      <c r="D5565" s="880" t="s">
        <v>30729</v>
      </c>
    </row>
    <row r="5566" spans="1:4" ht="13.5" x14ac:dyDescent="0.25">
      <c r="A5566" s="878" t="s">
        <v>14391</v>
      </c>
      <c r="B5566" s="878" t="s">
        <v>14392</v>
      </c>
      <c r="C5566" s="879" t="s">
        <v>159</v>
      </c>
      <c r="D5566" s="880" t="s">
        <v>14345</v>
      </c>
    </row>
    <row r="5567" spans="1:4" ht="13.5" x14ac:dyDescent="0.25">
      <c r="A5567" s="878" t="s">
        <v>14393</v>
      </c>
      <c r="B5567" s="878" t="s">
        <v>14394</v>
      </c>
      <c r="C5567" s="879" t="s">
        <v>159</v>
      </c>
      <c r="D5567" s="880" t="s">
        <v>12955</v>
      </c>
    </row>
    <row r="5568" spans="1:4" ht="13.5" x14ac:dyDescent="0.25">
      <c r="A5568" s="878" t="s">
        <v>14395</v>
      </c>
      <c r="B5568" s="878" t="s">
        <v>14396</v>
      </c>
      <c r="C5568" s="879" t="s">
        <v>159</v>
      </c>
      <c r="D5568" s="880" t="s">
        <v>30212</v>
      </c>
    </row>
    <row r="5569" spans="1:4" ht="13.5" x14ac:dyDescent="0.25">
      <c r="A5569" s="878" t="s">
        <v>14397</v>
      </c>
      <c r="B5569" s="878" t="s">
        <v>14398</v>
      </c>
      <c r="C5569" s="879" t="s">
        <v>159</v>
      </c>
      <c r="D5569" s="880" t="s">
        <v>40442</v>
      </c>
    </row>
    <row r="5570" spans="1:4" ht="13.5" x14ac:dyDescent="0.25">
      <c r="A5570" s="878" t="s">
        <v>14399</v>
      </c>
      <c r="B5570" s="878" t="s">
        <v>14400</v>
      </c>
      <c r="C5570" s="879" t="s">
        <v>159</v>
      </c>
      <c r="D5570" s="880" t="s">
        <v>43231</v>
      </c>
    </row>
    <row r="5571" spans="1:4" ht="13.5" x14ac:dyDescent="0.25">
      <c r="A5571" s="878" t="s">
        <v>14401</v>
      </c>
      <c r="B5571" s="878" t="s">
        <v>14402</v>
      </c>
      <c r="C5571" s="879" t="s">
        <v>159</v>
      </c>
      <c r="D5571" s="880" t="s">
        <v>30821</v>
      </c>
    </row>
    <row r="5572" spans="1:4" ht="13.5" x14ac:dyDescent="0.25">
      <c r="A5572" s="878" t="s">
        <v>14403</v>
      </c>
      <c r="B5572" s="878" t="s">
        <v>14404</v>
      </c>
      <c r="C5572" s="879" t="s">
        <v>159</v>
      </c>
      <c r="D5572" s="880" t="s">
        <v>10669</v>
      </c>
    </row>
    <row r="5573" spans="1:4" ht="13.5" x14ac:dyDescent="0.25">
      <c r="A5573" s="878" t="s">
        <v>14406</v>
      </c>
      <c r="B5573" s="878" t="s">
        <v>14407</v>
      </c>
      <c r="C5573" s="879" t="s">
        <v>159</v>
      </c>
      <c r="D5573" s="880" t="s">
        <v>43232</v>
      </c>
    </row>
    <row r="5574" spans="1:4" ht="13.5" x14ac:dyDescent="0.25">
      <c r="A5574" s="878" t="s">
        <v>14408</v>
      </c>
      <c r="B5574" s="878" t="s">
        <v>14409</v>
      </c>
      <c r="C5574" s="879" t="s">
        <v>159</v>
      </c>
      <c r="D5574" s="880" t="s">
        <v>43233</v>
      </c>
    </row>
    <row r="5575" spans="1:4" ht="13.5" x14ac:dyDescent="0.25">
      <c r="A5575" s="878" t="s">
        <v>14410</v>
      </c>
      <c r="B5575" s="878" t="s">
        <v>14411</v>
      </c>
      <c r="C5575" s="879" t="s">
        <v>159</v>
      </c>
      <c r="D5575" s="880" t="s">
        <v>40157</v>
      </c>
    </row>
    <row r="5576" spans="1:4" ht="13.5" x14ac:dyDescent="0.25">
      <c r="A5576" s="878" t="s">
        <v>14412</v>
      </c>
      <c r="B5576" s="878" t="s">
        <v>14413</v>
      </c>
      <c r="C5576" s="879" t="s">
        <v>159</v>
      </c>
      <c r="D5576" s="880" t="s">
        <v>8137</v>
      </c>
    </row>
    <row r="5577" spans="1:4" ht="13.5" x14ac:dyDescent="0.25">
      <c r="A5577" s="878" t="s">
        <v>14415</v>
      </c>
      <c r="B5577" s="878" t="s">
        <v>14416</v>
      </c>
      <c r="C5577" s="879" t="s">
        <v>159</v>
      </c>
      <c r="D5577" s="880" t="s">
        <v>43234</v>
      </c>
    </row>
    <row r="5578" spans="1:4" ht="13.5" x14ac:dyDescent="0.25">
      <c r="A5578" s="878" t="s">
        <v>14417</v>
      </c>
      <c r="B5578" s="878" t="s">
        <v>14418</v>
      </c>
      <c r="C5578" s="879" t="s">
        <v>159</v>
      </c>
      <c r="D5578" s="880" t="s">
        <v>30666</v>
      </c>
    </row>
    <row r="5579" spans="1:4" ht="13.5" x14ac:dyDescent="0.25">
      <c r="A5579" s="878" t="s">
        <v>14419</v>
      </c>
      <c r="B5579" s="878" t="s">
        <v>14420</v>
      </c>
      <c r="C5579" s="879" t="s">
        <v>159</v>
      </c>
      <c r="D5579" s="880" t="s">
        <v>43235</v>
      </c>
    </row>
    <row r="5580" spans="1:4" ht="13.5" x14ac:dyDescent="0.25">
      <c r="A5580" s="878" t="s">
        <v>14421</v>
      </c>
      <c r="B5580" s="878" t="s">
        <v>14422</v>
      </c>
      <c r="C5580" s="879" t="s">
        <v>159</v>
      </c>
      <c r="D5580" s="881" t="s">
        <v>31268</v>
      </c>
    </row>
    <row r="5581" spans="1:4" ht="13.5" x14ac:dyDescent="0.25">
      <c r="A5581" s="878" t="s">
        <v>14423</v>
      </c>
      <c r="B5581" s="878" t="s">
        <v>14424</v>
      </c>
      <c r="C5581" s="879" t="s">
        <v>159</v>
      </c>
      <c r="D5581" s="881" t="s">
        <v>13958</v>
      </c>
    </row>
    <row r="5582" spans="1:4" ht="13.5" x14ac:dyDescent="0.25">
      <c r="A5582" s="878" t="s">
        <v>14425</v>
      </c>
      <c r="B5582" s="878" t="s">
        <v>14426</v>
      </c>
      <c r="C5582" s="879" t="s">
        <v>159</v>
      </c>
      <c r="D5582" s="881" t="s">
        <v>43236</v>
      </c>
    </row>
    <row r="5583" spans="1:4" ht="13.5" x14ac:dyDescent="0.25">
      <c r="A5583" s="878" t="s">
        <v>14427</v>
      </c>
      <c r="B5583" s="878" t="s">
        <v>14428</v>
      </c>
      <c r="C5583" s="879" t="s">
        <v>159</v>
      </c>
      <c r="D5583" s="881" t="s">
        <v>30777</v>
      </c>
    </row>
    <row r="5584" spans="1:4" ht="13.5" x14ac:dyDescent="0.25">
      <c r="A5584" s="878" t="s">
        <v>14429</v>
      </c>
      <c r="B5584" s="878" t="s">
        <v>14430</v>
      </c>
      <c r="C5584" s="879" t="s">
        <v>159</v>
      </c>
      <c r="D5584" s="880" t="s">
        <v>42389</v>
      </c>
    </row>
    <row r="5585" spans="1:4" ht="13.5" x14ac:dyDescent="0.25">
      <c r="A5585" s="878" t="s">
        <v>14431</v>
      </c>
      <c r="B5585" s="878" t="s">
        <v>14432</v>
      </c>
      <c r="C5585" s="879" t="s">
        <v>159</v>
      </c>
      <c r="D5585" s="880" t="s">
        <v>4815</v>
      </c>
    </row>
    <row r="5586" spans="1:4" ht="13.5" x14ac:dyDescent="0.25">
      <c r="A5586" s="878" t="s">
        <v>14433</v>
      </c>
      <c r="B5586" s="878" t="s">
        <v>14434</v>
      </c>
      <c r="C5586" s="879" t="s">
        <v>159</v>
      </c>
      <c r="D5586" s="880" t="s">
        <v>41606</v>
      </c>
    </row>
    <row r="5587" spans="1:4" ht="13.5" x14ac:dyDescent="0.25">
      <c r="A5587" s="878" t="s">
        <v>14435</v>
      </c>
      <c r="B5587" s="878" t="s">
        <v>14436</v>
      </c>
      <c r="C5587" s="879" t="s">
        <v>159</v>
      </c>
      <c r="D5587" s="880" t="s">
        <v>43237</v>
      </c>
    </row>
    <row r="5588" spans="1:4" ht="13.5" x14ac:dyDescent="0.25">
      <c r="A5588" s="878" t="s">
        <v>14437</v>
      </c>
      <c r="B5588" s="878" t="s">
        <v>14438</v>
      </c>
      <c r="C5588" s="879" t="s">
        <v>159</v>
      </c>
      <c r="D5588" s="880" t="s">
        <v>43238</v>
      </c>
    </row>
    <row r="5589" spans="1:4" ht="13.5" x14ac:dyDescent="0.25">
      <c r="A5589" s="878" t="s">
        <v>14439</v>
      </c>
      <c r="B5589" s="878" t="s">
        <v>14440</v>
      </c>
      <c r="C5589" s="879" t="s">
        <v>159</v>
      </c>
      <c r="D5589" s="880" t="s">
        <v>43224</v>
      </c>
    </row>
    <row r="5590" spans="1:4" ht="13.5" x14ac:dyDescent="0.25">
      <c r="A5590" s="878" t="s">
        <v>14441</v>
      </c>
      <c r="B5590" s="878" t="s">
        <v>14442</v>
      </c>
      <c r="C5590" s="879" t="s">
        <v>159</v>
      </c>
      <c r="D5590" s="880" t="s">
        <v>43239</v>
      </c>
    </row>
    <row r="5591" spans="1:4" ht="13.5" x14ac:dyDescent="0.25">
      <c r="A5591" s="878" t="s">
        <v>14443</v>
      </c>
      <c r="B5591" s="878" t="s">
        <v>14444</v>
      </c>
      <c r="C5591" s="879" t="s">
        <v>159</v>
      </c>
      <c r="D5591" s="880" t="s">
        <v>30573</v>
      </c>
    </row>
    <row r="5592" spans="1:4" ht="13.5" x14ac:dyDescent="0.25">
      <c r="A5592" s="878" t="s">
        <v>14445</v>
      </c>
      <c r="B5592" s="878" t="s">
        <v>14446</v>
      </c>
      <c r="C5592" s="879" t="s">
        <v>159</v>
      </c>
      <c r="D5592" s="880" t="s">
        <v>42790</v>
      </c>
    </row>
    <row r="5593" spans="1:4" ht="13.5" x14ac:dyDescent="0.25">
      <c r="A5593" s="878" t="s">
        <v>14447</v>
      </c>
      <c r="B5593" s="878" t="s">
        <v>14448</v>
      </c>
      <c r="C5593" s="879" t="s">
        <v>159</v>
      </c>
      <c r="D5593" s="880" t="s">
        <v>2987</v>
      </c>
    </row>
    <row r="5594" spans="1:4" ht="13.5" x14ac:dyDescent="0.25">
      <c r="A5594" s="878" t="s">
        <v>14449</v>
      </c>
      <c r="B5594" s="878" t="s">
        <v>14450</v>
      </c>
      <c r="C5594" s="879" t="s">
        <v>159</v>
      </c>
      <c r="D5594" s="880" t="s">
        <v>8245</v>
      </c>
    </row>
    <row r="5595" spans="1:4" ht="13.5" x14ac:dyDescent="0.25">
      <c r="A5595" s="878" t="s">
        <v>14451</v>
      </c>
      <c r="B5595" s="878" t="s">
        <v>14452</v>
      </c>
      <c r="C5595" s="879" t="s">
        <v>159</v>
      </c>
      <c r="D5595" s="880" t="s">
        <v>10613</v>
      </c>
    </row>
    <row r="5596" spans="1:4" ht="13.5" x14ac:dyDescent="0.25">
      <c r="A5596" s="878" t="s">
        <v>14453</v>
      </c>
      <c r="B5596" s="878" t="s">
        <v>14454</v>
      </c>
      <c r="C5596" s="879" t="s">
        <v>159</v>
      </c>
      <c r="D5596" s="880" t="s">
        <v>43240</v>
      </c>
    </row>
    <row r="5597" spans="1:4" ht="13.5" x14ac:dyDescent="0.25">
      <c r="A5597" s="878" t="s">
        <v>14455</v>
      </c>
      <c r="B5597" s="878" t="s">
        <v>14456</v>
      </c>
      <c r="C5597" s="879" t="s">
        <v>159</v>
      </c>
      <c r="D5597" s="880" t="s">
        <v>43241</v>
      </c>
    </row>
    <row r="5598" spans="1:4" ht="13.5" x14ac:dyDescent="0.25">
      <c r="A5598" s="878" t="s">
        <v>14457</v>
      </c>
      <c r="B5598" s="878" t="s">
        <v>14458</v>
      </c>
      <c r="C5598" s="879" t="s">
        <v>159</v>
      </c>
      <c r="D5598" s="880" t="s">
        <v>30413</v>
      </c>
    </row>
    <row r="5599" spans="1:4" ht="13.5" x14ac:dyDescent="0.25">
      <c r="A5599" s="878" t="s">
        <v>14460</v>
      </c>
      <c r="B5599" s="878" t="s">
        <v>14461</v>
      </c>
      <c r="C5599" s="879" t="s">
        <v>159</v>
      </c>
      <c r="D5599" s="880" t="s">
        <v>43242</v>
      </c>
    </row>
    <row r="5600" spans="1:4" ht="13.5" x14ac:dyDescent="0.25">
      <c r="A5600" s="878" t="s">
        <v>14462</v>
      </c>
      <c r="B5600" s="878" t="s">
        <v>14463</v>
      </c>
      <c r="C5600" s="879" t="s">
        <v>159</v>
      </c>
      <c r="D5600" s="880" t="s">
        <v>40297</v>
      </c>
    </row>
    <row r="5601" spans="1:4" ht="13.5" x14ac:dyDescent="0.25">
      <c r="A5601" s="878" t="s">
        <v>14464</v>
      </c>
      <c r="B5601" s="878" t="s">
        <v>14465</v>
      </c>
      <c r="C5601" s="879" t="s">
        <v>159</v>
      </c>
      <c r="D5601" s="880" t="s">
        <v>14694</v>
      </c>
    </row>
    <row r="5602" spans="1:4" ht="13.5" x14ac:dyDescent="0.25">
      <c r="A5602" s="878" t="s">
        <v>14466</v>
      </c>
      <c r="B5602" s="878" t="s">
        <v>14467</v>
      </c>
      <c r="C5602" s="879" t="s">
        <v>159</v>
      </c>
      <c r="D5602" s="880" t="s">
        <v>40158</v>
      </c>
    </row>
    <row r="5603" spans="1:4" ht="13.5" x14ac:dyDescent="0.25">
      <c r="A5603" s="885" t="s">
        <v>14468</v>
      </c>
      <c r="B5603" s="885" t="s">
        <v>14469</v>
      </c>
      <c r="C5603" s="886" t="s">
        <v>159</v>
      </c>
      <c r="D5603" s="887" t="s">
        <v>43243</v>
      </c>
    </row>
    <row r="5604" spans="1:4" ht="13.5" x14ac:dyDescent="0.25">
      <c r="A5604" s="878" t="s">
        <v>14470</v>
      </c>
      <c r="B5604" s="878" t="s">
        <v>14471</v>
      </c>
      <c r="C5604" s="879" t="s">
        <v>159</v>
      </c>
      <c r="D5604" s="880" t="s">
        <v>9138</v>
      </c>
    </row>
    <row r="5605" spans="1:4" ht="13.5" x14ac:dyDescent="0.25">
      <c r="A5605" s="878" t="s">
        <v>14472</v>
      </c>
      <c r="B5605" s="878" t="s">
        <v>14473</v>
      </c>
      <c r="C5605" s="879" t="s">
        <v>159</v>
      </c>
      <c r="D5605" s="880" t="s">
        <v>15306</v>
      </c>
    </row>
    <row r="5606" spans="1:4" ht="13.5" x14ac:dyDescent="0.25">
      <c r="A5606" s="885" t="s">
        <v>14474</v>
      </c>
      <c r="B5606" s="885" t="s">
        <v>14475</v>
      </c>
      <c r="C5606" s="886" t="s">
        <v>159</v>
      </c>
      <c r="D5606" s="887" t="s">
        <v>14518</v>
      </c>
    </row>
    <row r="5607" spans="1:4" ht="13.5" x14ac:dyDescent="0.25">
      <c r="A5607" s="878" t="s">
        <v>14476</v>
      </c>
      <c r="B5607" s="878" t="s">
        <v>14477</v>
      </c>
      <c r="C5607" s="879" t="s">
        <v>159</v>
      </c>
      <c r="D5607" s="880" t="s">
        <v>43244</v>
      </c>
    </row>
    <row r="5608" spans="1:4" ht="13.5" x14ac:dyDescent="0.25">
      <c r="A5608" s="878" t="s">
        <v>14478</v>
      </c>
      <c r="B5608" s="878" t="s">
        <v>14479</v>
      </c>
      <c r="C5608" s="879" t="s">
        <v>159</v>
      </c>
      <c r="D5608" s="880" t="s">
        <v>42788</v>
      </c>
    </row>
    <row r="5609" spans="1:4" ht="13.5" x14ac:dyDescent="0.25">
      <c r="A5609" s="878" t="s">
        <v>14480</v>
      </c>
      <c r="B5609" s="878" t="s">
        <v>14481</v>
      </c>
      <c r="C5609" s="879" t="s">
        <v>159</v>
      </c>
      <c r="D5609" s="880" t="s">
        <v>31119</v>
      </c>
    </row>
    <row r="5610" spans="1:4" ht="13.5" x14ac:dyDescent="0.25">
      <c r="A5610" s="878" t="s">
        <v>14482</v>
      </c>
      <c r="B5610" s="878" t="s">
        <v>14483</v>
      </c>
      <c r="C5610" s="879" t="s">
        <v>159</v>
      </c>
      <c r="D5610" s="880" t="s">
        <v>43245</v>
      </c>
    </row>
    <row r="5611" spans="1:4" ht="13.5" x14ac:dyDescent="0.25">
      <c r="A5611" s="878" t="s">
        <v>14484</v>
      </c>
      <c r="B5611" s="878" t="s">
        <v>14485</v>
      </c>
      <c r="C5611" s="879" t="s">
        <v>159</v>
      </c>
      <c r="D5611" s="880" t="s">
        <v>30575</v>
      </c>
    </row>
    <row r="5612" spans="1:4" ht="13.5" x14ac:dyDescent="0.25">
      <c r="A5612" s="878" t="s">
        <v>14486</v>
      </c>
      <c r="B5612" s="878" t="s">
        <v>14487</v>
      </c>
      <c r="C5612" s="879" t="s">
        <v>159</v>
      </c>
      <c r="D5612" s="880" t="s">
        <v>40450</v>
      </c>
    </row>
    <row r="5613" spans="1:4" ht="13.5" x14ac:dyDescent="0.25">
      <c r="A5613" s="878" t="s">
        <v>14489</v>
      </c>
      <c r="B5613" s="878" t="s">
        <v>14490</v>
      </c>
      <c r="C5613" s="879" t="s">
        <v>159</v>
      </c>
      <c r="D5613" s="880" t="s">
        <v>30977</v>
      </c>
    </row>
    <row r="5614" spans="1:4" ht="13.5" x14ac:dyDescent="0.25">
      <c r="A5614" s="878" t="s">
        <v>14491</v>
      </c>
      <c r="B5614" s="878" t="s">
        <v>14492</v>
      </c>
      <c r="C5614" s="879" t="s">
        <v>159</v>
      </c>
      <c r="D5614" s="880" t="s">
        <v>3795</v>
      </c>
    </row>
    <row r="5615" spans="1:4" ht="13.5" x14ac:dyDescent="0.25">
      <c r="A5615" s="878" t="s">
        <v>14494</v>
      </c>
      <c r="B5615" s="878" t="s">
        <v>14495</v>
      </c>
      <c r="C5615" s="879" t="s">
        <v>159</v>
      </c>
      <c r="D5615" s="880" t="s">
        <v>43246</v>
      </c>
    </row>
    <row r="5616" spans="1:4" ht="13.5" x14ac:dyDescent="0.25">
      <c r="A5616" s="878" t="s">
        <v>14496</v>
      </c>
      <c r="B5616" s="878" t="s">
        <v>14497</v>
      </c>
      <c r="C5616" s="879" t="s">
        <v>159</v>
      </c>
      <c r="D5616" s="880" t="s">
        <v>6827</v>
      </c>
    </row>
    <row r="5617" spans="1:4" ht="13.5" x14ac:dyDescent="0.25">
      <c r="A5617" s="878" t="s">
        <v>14499</v>
      </c>
      <c r="B5617" s="878" t="s">
        <v>14500</v>
      </c>
      <c r="C5617" s="879" t="s">
        <v>159</v>
      </c>
      <c r="D5617" s="880" t="s">
        <v>12845</v>
      </c>
    </row>
    <row r="5618" spans="1:4" ht="13.5" x14ac:dyDescent="0.25">
      <c r="A5618" s="878" t="s">
        <v>14501</v>
      </c>
      <c r="B5618" s="878" t="s">
        <v>14502</v>
      </c>
      <c r="C5618" s="879" t="s">
        <v>159</v>
      </c>
      <c r="D5618" s="880" t="s">
        <v>41743</v>
      </c>
    </row>
    <row r="5619" spans="1:4" ht="13.5" x14ac:dyDescent="0.25">
      <c r="A5619" s="878" t="s">
        <v>14503</v>
      </c>
      <c r="B5619" s="878" t="s">
        <v>14504</v>
      </c>
      <c r="C5619" s="879" t="s">
        <v>159</v>
      </c>
      <c r="D5619" s="880" t="s">
        <v>30567</v>
      </c>
    </row>
    <row r="5620" spans="1:4" ht="13.5" x14ac:dyDescent="0.25">
      <c r="A5620" s="878" t="s">
        <v>14505</v>
      </c>
      <c r="B5620" s="878" t="s">
        <v>14506</v>
      </c>
      <c r="C5620" s="879" t="s">
        <v>159</v>
      </c>
      <c r="D5620" s="880" t="s">
        <v>42831</v>
      </c>
    </row>
    <row r="5621" spans="1:4" ht="13.5" x14ac:dyDescent="0.25">
      <c r="A5621" s="878" t="s">
        <v>14508</v>
      </c>
      <c r="B5621" s="878" t="s">
        <v>14509</v>
      </c>
      <c r="C5621" s="879" t="s">
        <v>159</v>
      </c>
      <c r="D5621" s="880" t="s">
        <v>30568</v>
      </c>
    </row>
    <row r="5622" spans="1:4" ht="13.5" x14ac:dyDescent="0.25">
      <c r="A5622" s="878" t="s">
        <v>14511</v>
      </c>
      <c r="B5622" s="878" t="s">
        <v>14512</v>
      </c>
      <c r="C5622" s="879" t="s">
        <v>159</v>
      </c>
      <c r="D5622" s="880" t="s">
        <v>8137</v>
      </c>
    </row>
    <row r="5623" spans="1:4" ht="13.5" x14ac:dyDescent="0.25">
      <c r="A5623" s="878" t="s">
        <v>14514</v>
      </c>
      <c r="B5623" s="878" t="s">
        <v>14515</v>
      </c>
      <c r="C5623" s="879" t="s">
        <v>159</v>
      </c>
      <c r="D5623" s="880" t="s">
        <v>14108</v>
      </c>
    </row>
    <row r="5624" spans="1:4" ht="13.5" x14ac:dyDescent="0.25">
      <c r="A5624" s="878" t="s">
        <v>14516</v>
      </c>
      <c r="B5624" s="878" t="s">
        <v>14517</v>
      </c>
      <c r="C5624" s="879" t="s">
        <v>159</v>
      </c>
      <c r="D5624" s="880" t="s">
        <v>41466</v>
      </c>
    </row>
    <row r="5625" spans="1:4" ht="13.5" x14ac:dyDescent="0.25">
      <c r="A5625" s="878" t="s">
        <v>14519</v>
      </c>
      <c r="B5625" s="878" t="s">
        <v>14520</v>
      </c>
      <c r="C5625" s="879" t="s">
        <v>159</v>
      </c>
      <c r="D5625" s="880" t="s">
        <v>42788</v>
      </c>
    </row>
    <row r="5626" spans="1:4" ht="13.5" x14ac:dyDescent="0.25">
      <c r="A5626" s="878" t="s">
        <v>14521</v>
      </c>
      <c r="B5626" s="878" t="s">
        <v>14522</v>
      </c>
      <c r="C5626" s="879" t="s">
        <v>159</v>
      </c>
      <c r="D5626" s="880" t="s">
        <v>43247</v>
      </c>
    </row>
    <row r="5627" spans="1:4" ht="13.5" x14ac:dyDescent="0.25">
      <c r="A5627" s="878" t="s">
        <v>14523</v>
      </c>
      <c r="B5627" s="878" t="s">
        <v>14524</v>
      </c>
      <c r="C5627" s="879" t="s">
        <v>159</v>
      </c>
      <c r="D5627" s="880" t="s">
        <v>30727</v>
      </c>
    </row>
    <row r="5628" spans="1:4" ht="13.5" x14ac:dyDescent="0.25">
      <c r="A5628" s="878" t="s">
        <v>14526</v>
      </c>
      <c r="B5628" s="878" t="s">
        <v>14527</v>
      </c>
      <c r="C5628" s="879" t="s">
        <v>159</v>
      </c>
      <c r="D5628" s="880" t="s">
        <v>5435</v>
      </c>
    </row>
    <row r="5629" spans="1:4" ht="13.5" x14ac:dyDescent="0.25">
      <c r="A5629" s="878" t="s">
        <v>14528</v>
      </c>
      <c r="B5629" s="878" t="s">
        <v>14529</v>
      </c>
      <c r="C5629" s="879" t="s">
        <v>159</v>
      </c>
      <c r="D5629" s="880" t="s">
        <v>30419</v>
      </c>
    </row>
    <row r="5630" spans="1:4" ht="13.5" x14ac:dyDescent="0.25">
      <c r="A5630" s="878" t="s">
        <v>14530</v>
      </c>
      <c r="B5630" s="878" t="s">
        <v>14531</v>
      </c>
      <c r="C5630" s="879" t="s">
        <v>159</v>
      </c>
      <c r="D5630" s="880" t="s">
        <v>31334</v>
      </c>
    </row>
    <row r="5631" spans="1:4" ht="13.5" x14ac:dyDescent="0.25">
      <c r="A5631" s="878" t="s">
        <v>14533</v>
      </c>
      <c r="B5631" s="878" t="s">
        <v>14534</v>
      </c>
      <c r="C5631" s="879" t="s">
        <v>159</v>
      </c>
      <c r="D5631" s="880" t="s">
        <v>15784</v>
      </c>
    </row>
    <row r="5632" spans="1:4" ht="13.5" x14ac:dyDescent="0.25">
      <c r="A5632" s="878" t="s">
        <v>14535</v>
      </c>
      <c r="B5632" s="878" t="s">
        <v>14536</v>
      </c>
      <c r="C5632" s="879" t="s">
        <v>159</v>
      </c>
      <c r="D5632" s="880" t="s">
        <v>43248</v>
      </c>
    </row>
    <row r="5633" spans="1:4" ht="13.5" x14ac:dyDescent="0.25">
      <c r="A5633" s="878" t="s">
        <v>14537</v>
      </c>
      <c r="B5633" s="878" t="s">
        <v>14538</v>
      </c>
      <c r="C5633" s="879" t="s">
        <v>159</v>
      </c>
      <c r="D5633" s="880" t="s">
        <v>30548</v>
      </c>
    </row>
    <row r="5634" spans="1:4" ht="13.5" x14ac:dyDescent="0.25">
      <c r="A5634" s="878" t="s">
        <v>14539</v>
      </c>
      <c r="B5634" s="878" t="s">
        <v>14540</v>
      </c>
      <c r="C5634" s="879" t="s">
        <v>159</v>
      </c>
      <c r="D5634" s="880" t="s">
        <v>41230</v>
      </c>
    </row>
    <row r="5635" spans="1:4" ht="13.5" x14ac:dyDescent="0.25">
      <c r="A5635" s="878" t="s">
        <v>14541</v>
      </c>
      <c r="B5635" s="878" t="s">
        <v>14542</v>
      </c>
      <c r="C5635" s="879" t="s">
        <v>159</v>
      </c>
      <c r="D5635" s="880" t="s">
        <v>31051</v>
      </c>
    </row>
    <row r="5636" spans="1:4" ht="13.5" x14ac:dyDescent="0.25">
      <c r="A5636" s="878" t="s">
        <v>14543</v>
      </c>
      <c r="B5636" s="878" t="s">
        <v>14544</v>
      </c>
      <c r="C5636" s="879" t="s">
        <v>159</v>
      </c>
      <c r="D5636" s="880" t="s">
        <v>10523</v>
      </c>
    </row>
    <row r="5637" spans="1:4" ht="13.5" x14ac:dyDescent="0.25">
      <c r="A5637" s="878" t="s">
        <v>14546</v>
      </c>
      <c r="B5637" s="878" t="s">
        <v>14547</v>
      </c>
      <c r="C5637" s="879" t="s">
        <v>159</v>
      </c>
      <c r="D5637" s="880" t="s">
        <v>43249</v>
      </c>
    </row>
    <row r="5638" spans="1:4" ht="13.5" x14ac:dyDescent="0.25">
      <c r="A5638" s="878" t="s">
        <v>14548</v>
      </c>
      <c r="B5638" s="878" t="s">
        <v>14549</v>
      </c>
      <c r="C5638" s="879" t="s">
        <v>159</v>
      </c>
      <c r="D5638" s="880" t="s">
        <v>41928</v>
      </c>
    </row>
    <row r="5639" spans="1:4" ht="13.5" x14ac:dyDescent="0.25">
      <c r="A5639" s="878" t="s">
        <v>14550</v>
      </c>
      <c r="B5639" s="878" t="s">
        <v>14551</v>
      </c>
      <c r="C5639" s="879" t="s">
        <v>159</v>
      </c>
      <c r="D5639" s="880" t="s">
        <v>43250</v>
      </c>
    </row>
    <row r="5640" spans="1:4" ht="13.5" x14ac:dyDescent="0.25">
      <c r="A5640" s="878" t="s">
        <v>14553</v>
      </c>
      <c r="B5640" s="878" t="s">
        <v>14554</v>
      </c>
      <c r="C5640" s="879" t="s">
        <v>159</v>
      </c>
      <c r="D5640" s="881" t="s">
        <v>43251</v>
      </c>
    </row>
    <row r="5641" spans="1:4" ht="13.5" x14ac:dyDescent="0.25">
      <c r="A5641" s="878" t="s">
        <v>14555</v>
      </c>
      <c r="B5641" s="878" t="s">
        <v>14556</v>
      </c>
      <c r="C5641" s="879" t="s">
        <v>159</v>
      </c>
      <c r="D5641" s="881" t="s">
        <v>6827</v>
      </c>
    </row>
    <row r="5642" spans="1:4" ht="13.5" x14ac:dyDescent="0.25">
      <c r="A5642" s="878" t="s">
        <v>14557</v>
      </c>
      <c r="B5642" s="878" t="s">
        <v>14558</v>
      </c>
      <c r="C5642" s="879" t="s">
        <v>159</v>
      </c>
      <c r="D5642" s="880" t="s">
        <v>13308</v>
      </c>
    </row>
    <row r="5643" spans="1:4" ht="13.5" x14ac:dyDescent="0.25">
      <c r="A5643" s="878" t="s">
        <v>14559</v>
      </c>
      <c r="B5643" s="878" t="s">
        <v>14560</v>
      </c>
      <c r="C5643" s="879" t="s">
        <v>159</v>
      </c>
      <c r="D5643" s="880" t="s">
        <v>3349</v>
      </c>
    </row>
    <row r="5644" spans="1:4" ht="13.5" x14ac:dyDescent="0.25">
      <c r="A5644" s="878" t="s">
        <v>14561</v>
      </c>
      <c r="B5644" s="878" t="s">
        <v>14562</v>
      </c>
      <c r="C5644" s="879" t="s">
        <v>159</v>
      </c>
      <c r="D5644" s="880" t="s">
        <v>6830</v>
      </c>
    </row>
    <row r="5645" spans="1:4" ht="13.5" x14ac:dyDescent="0.25">
      <c r="A5645" s="878" t="s">
        <v>14563</v>
      </c>
      <c r="B5645" s="878" t="s">
        <v>14564</v>
      </c>
      <c r="C5645" s="879" t="s">
        <v>159</v>
      </c>
      <c r="D5645" s="880" t="s">
        <v>16195</v>
      </c>
    </row>
    <row r="5646" spans="1:4" ht="13.5" x14ac:dyDescent="0.25">
      <c r="A5646" s="878" t="s">
        <v>14565</v>
      </c>
      <c r="B5646" s="878" t="s">
        <v>14566</v>
      </c>
      <c r="C5646" s="879" t="s">
        <v>159</v>
      </c>
      <c r="D5646" s="880" t="s">
        <v>13772</v>
      </c>
    </row>
    <row r="5647" spans="1:4" ht="13.5" x14ac:dyDescent="0.25">
      <c r="A5647" s="878" t="s">
        <v>14567</v>
      </c>
      <c r="B5647" s="878" t="s">
        <v>14568</v>
      </c>
      <c r="C5647" s="879" t="s">
        <v>159</v>
      </c>
      <c r="D5647" s="880" t="s">
        <v>9991</v>
      </c>
    </row>
    <row r="5648" spans="1:4" ht="13.5" x14ac:dyDescent="0.25">
      <c r="A5648" s="878" t="s">
        <v>14569</v>
      </c>
      <c r="B5648" s="878" t="s">
        <v>14570</v>
      </c>
      <c r="C5648" s="879" t="s">
        <v>159</v>
      </c>
      <c r="D5648" s="880" t="s">
        <v>10799</v>
      </c>
    </row>
    <row r="5649" spans="1:4" ht="13.5" x14ac:dyDescent="0.25">
      <c r="A5649" s="878" t="s">
        <v>14572</v>
      </c>
      <c r="B5649" s="878" t="s">
        <v>14573</v>
      </c>
      <c r="C5649" s="879" t="s">
        <v>159</v>
      </c>
      <c r="D5649" s="880" t="s">
        <v>31104</v>
      </c>
    </row>
    <row r="5650" spans="1:4" ht="13.5" x14ac:dyDescent="0.25">
      <c r="A5650" s="878" t="s">
        <v>14574</v>
      </c>
      <c r="B5650" s="878" t="s">
        <v>14575</v>
      </c>
      <c r="C5650" s="879" t="s">
        <v>159</v>
      </c>
      <c r="D5650" s="880" t="s">
        <v>30303</v>
      </c>
    </row>
    <row r="5651" spans="1:4" ht="13.5" x14ac:dyDescent="0.25">
      <c r="A5651" s="878" t="s">
        <v>14576</v>
      </c>
      <c r="B5651" s="878" t="s">
        <v>14577</v>
      </c>
      <c r="C5651" s="879" t="s">
        <v>159</v>
      </c>
      <c r="D5651" s="880" t="s">
        <v>5618</v>
      </c>
    </row>
    <row r="5652" spans="1:4" ht="13.5" x14ac:dyDescent="0.25">
      <c r="A5652" s="878" t="s">
        <v>14579</v>
      </c>
      <c r="B5652" s="878" t="s">
        <v>14580</v>
      </c>
      <c r="C5652" s="879" t="s">
        <v>159</v>
      </c>
      <c r="D5652" s="880" t="s">
        <v>31122</v>
      </c>
    </row>
    <row r="5653" spans="1:4" ht="13.5" x14ac:dyDescent="0.25">
      <c r="A5653" s="878" t="s">
        <v>14581</v>
      </c>
      <c r="B5653" s="878" t="s">
        <v>14582</v>
      </c>
      <c r="C5653" s="879" t="s">
        <v>159</v>
      </c>
      <c r="D5653" s="880" t="s">
        <v>16844</v>
      </c>
    </row>
    <row r="5654" spans="1:4" ht="13.5" x14ac:dyDescent="0.25">
      <c r="A5654" s="878" t="s">
        <v>14583</v>
      </c>
      <c r="B5654" s="878" t="s">
        <v>14584</v>
      </c>
      <c r="C5654" s="879" t="s">
        <v>159</v>
      </c>
      <c r="D5654" s="880" t="s">
        <v>4894</v>
      </c>
    </row>
    <row r="5655" spans="1:4" ht="13.5" x14ac:dyDescent="0.25">
      <c r="A5655" s="878" t="s">
        <v>14585</v>
      </c>
      <c r="B5655" s="878" t="s">
        <v>14586</v>
      </c>
      <c r="C5655" s="879" t="s">
        <v>159</v>
      </c>
      <c r="D5655" s="880" t="s">
        <v>13091</v>
      </c>
    </row>
    <row r="5656" spans="1:4" ht="13.5" x14ac:dyDescent="0.25">
      <c r="A5656" s="878" t="s">
        <v>14587</v>
      </c>
      <c r="B5656" s="878" t="s">
        <v>14588</v>
      </c>
      <c r="C5656" s="879" t="s">
        <v>159</v>
      </c>
      <c r="D5656" s="880" t="s">
        <v>41653</v>
      </c>
    </row>
    <row r="5657" spans="1:4" ht="13.5" x14ac:dyDescent="0.25">
      <c r="A5657" s="878" t="s">
        <v>14589</v>
      </c>
      <c r="B5657" s="878" t="s">
        <v>14590</v>
      </c>
      <c r="C5657" s="879" t="s">
        <v>159</v>
      </c>
      <c r="D5657" s="880" t="s">
        <v>41699</v>
      </c>
    </row>
    <row r="5658" spans="1:4" ht="13.5" x14ac:dyDescent="0.25">
      <c r="A5658" s="878" t="s">
        <v>14591</v>
      </c>
      <c r="B5658" s="878" t="s">
        <v>14592</v>
      </c>
      <c r="C5658" s="879" t="s">
        <v>159</v>
      </c>
      <c r="D5658" s="880" t="s">
        <v>42585</v>
      </c>
    </row>
    <row r="5659" spans="1:4" ht="13.5" x14ac:dyDescent="0.25">
      <c r="A5659" s="878" t="s">
        <v>14593</v>
      </c>
      <c r="B5659" s="878" t="s">
        <v>14594</v>
      </c>
      <c r="C5659" s="879" t="s">
        <v>159</v>
      </c>
      <c r="D5659" s="880" t="s">
        <v>43252</v>
      </c>
    </row>
    <row r="5660" spans="1:4" ht="13.5" x14ac:dyDescent="0.25">
      <c r="A5660" s="878" t="s">
        <v>14596</v>
      </c>
      <c r="B5660" s="878" t="s">
        <v>14597</v>
      </c>
      <c r="C5660" s="879" t="s">
        <v>159</v>
      </c>
      <c r="D5660" s="880" t="s">
        <v>31321</v>
      </c>
    </row>
    <row r="5661" spans="1:4" ht="13.5" x14ac:dyDescent="0.25">
      <c r="A5661" s="878" t="s">
        <v>14598</v>
      </c>
      <c r="B5661" s="878" t="s">
        <v>14599</v>
      </c>
      <c r="C5661" s="879" t="s">
        <v>159</v>
      </c>
      <c r="D5661" s="880" t="s">
        <v>2947</v>
      </c>
    </row>
    <row r="5662" spans="1:4" ht="13.5" x14ac:dyDescent="0.25">
      <c r="A5662" s="878" t="s">
        <v>14600</v>
      </c>
      <c r="B5662" s="878" t="s">
        <v>14601</v>
      </c>
      <c r="C5662" s="879" t="s">
        <v>159</v>
      </c>
      <c r="D5662" s="880" t="s">
        <v>30462</v>
      </c>
    </row>
    <row r="5663" spans="1:4" ht="13.5" x14ac:dyDescent="0.25">
      <c r="A5663" s="878" t="s">
        <v>14602</v>
      </c>
      <c r="B5663" s="878" t="s">
        <v>14603</v>
      </c>
      <c r="C5663" s="879" t="s">
        <v>159</v>
      </c>
      <c r="D5663" s="880" t="s">
        <v>2944</v>
      </c>
    </row>
    <row r="5664" spans="1:4" ht="13.5" x14ac:dyDescent="0.25">
      <c r="A5664" s="878" t="s">
        <v>14604</v>
      </c>
      <c r="B5664" s="878" t="s">
        <v>14605</v>
      </c>
      <c r="C5664" s="879" t="s">
        <v>159</v>
      </c>
      <c r="D5664" s="880" t="s">
        <v>43253</v>
      </c>
    </row>
    <row r="5665" spans="1:4" ht="13.5" x14ac:dyDescent="0.25">
      <c r="A5665" s="878" t="s">
        <v>14606</v>
      </c>
      <c r="B5665" s="878" t="s">
        <v>14607</v>
      </c>
      <c r="C5665" s="879" t="s">
        <v>159</v>
      </c>
      <c r="D5665" s="880" t="s">
        <v>30712</v>
      </c>
    </row>
    <row r="5666" spans="1:4" ht="13.5" x14ac:dyDescent="0.25">
      <c r="A5666" s="878" t="s">
        <v>14608</v>
      </c>
      <c r="B5666" s="878" t="s">
        <v>14609</v>
      </c>
      <c r="C5666" s="879" t="s">
        <v>159</v>
      </c>
      <c r="D5666" s="880" t="s">
        <v>43254</v>
      </c>
    </row>
    <row r="5667" spans="1:4" ht="13.5" x14ac:dyDescent="0.25">
      <c r="A5667" s="878" t="s">
        <v>14611</v>
      </c>
      <c r="B5667" s="878" t="s">
        <v>14612</v>
      </c>
      <c r="C5667" s="879" t="s">
        <v>159</v>
      </c>
      <c r="D5667" s="880" t="s">
        <v>43255</v>
      </c>
    </row>
    <row r="5668" spans="1:4" ht="13.5" x14ac:dyDescent="0.25">
      <c r="A5668" s="878" t="s">
        <v>14613</v>
      </c>
      <c r="B5668" s="878" t="s">
        <v>14614</v>
      </c>
      <c r="C5668" s="879" t="s">
        <v>159</v>
      </c>
      <c r="D5668" s="880" t="s">
        <v>43256</v>
      </c>
    </row>
    <row r="5669" spans="1:4" ht="13.5" x14ac:dyDescent="0.25">
      <c r="A5669" s="878" t="s">
        <v>14615</v>
      </c>
      <c r="B5669" s="878" t="s">
        <v>14616</v>
      </c>
      <c r="C5669" s="879" t="s">
        <v>159</v>
      </c>
      <c r="D5669" s="880" t="s">
        <v>30663</v>
      </c>
    </row>
    <row r="5670" spans="1:4" ht="13.5" x14ac:dyDescent="0.25">
      <c r="A5670" s="878" t="s">
        <v>14617</v>
      </c>
      <c r="B5670" s="878" t="s">
        <v>14618</v>
      </c>
      <c r="C5670" s="879" t="s">
        <v>159</v>
      </c>
      <c r="D5670" s="880" t="s">
        <v>30735</v>
      </c>
    </row>
    <row r="5671" spans="1:4" ht="13.5" x14ac:dyDescent="0.25">
      <c r="A5671" s="878" t="s">
        <v>14619</v>
      </c>
      <c r="B5671" s="878" t="s">
        <v>14620</v>
      </c>
      <c r="C5671" s="879" t="s">
        <v>159</v>
      </c>
      <c r="D5671" s="880" t="s">
        <v>42503</v>
      </c>
    </row>
    <row r="5672" spans="1:4" ht="13.5" x14ac:dyDescent="0.25">
      <c r="A5672" s="878" t="s">
        <v>14621</v>
      </c>
      <c r="B5672" s="878" t="s">
        <v>14622</v>
      </c>
      <c r="C5672" s="879" t="s">
        <v>159</v>
      </c>
      <c r="D5672" s="880" t="s">
        <v>43257</v>
      </c>
    </row>
    <row r="5673" spans="1:4" ht="13.5" x14ac:dyDescent="0.25">
      <c r="A5673" s="878" t="s">
        <v>14623</v>
      </c>
      <c r="B5673" s="878" t="s">
        <v>14624</v>
      </c>
      <c r="C5673" s="879" t="s">
        <v>159</v>
      </c>
      <c r="D5673" s="880" t="s">
        <v>43258</v>
      </c>
    </row>
    <row r="5674" spans="1:4" ht="13.5" x14ac:dyDescent="0.25">
      <c r="A5674" s="878" t="s">
        <v>14625</v>
      </c>
      <c r="B5674" s="878" t="s">
        <v>14626</v>
      </c>
      <c r="C5674" s="879" t="s">
        <v>159</v>
      </c>
      <c r="D5674" s="880" t="s">
        <v>43259</v>
      </c>
    </row>
    <row r="5675" spans="1:4" ht="13.5" x14ac:dyDescent="0.25">
      <c r="A5675" s="878" t="s">
        <v>14627</v>
      </c>
      <c r="B5675" s="878" t="s">
        <v>14628</v>
      </c>
      <c r="C5675" s="879" t="s">
        <v>159</v>
      </c>
      <c r="D5675" s="880" t="s">
        <v>43260</v>
      </c>
    </row>
    <row r="5676" spans="1:4" ht="13.5" x14ac:dyDescent="0.25">
      <c r="A5676" s="878" t="s">
        <v>14629</v>
      </c>
      <c r="B5676" s="878" t="s">
        <v>14630</v>
      </c>
      <c r="C5676" s="879" t="s">
        <v>159</v>
      </c>
      <c r="D5676" s="880" t="s">
        <v>43261</v>
      </c>
    </row>
    <row r="5677" spans="1:4" ht="13.5" x14ac:dyDescent="0.25">
      <c r="A5677" s="878" t="s">
        <v>14632</v>
      </c>
      <c r="B5677" s="878" t="s">
        <v>14633</v>
      </c>
      <c r="C5677" s="879" t="s">
        <v>159</v>
      </c>
      <c r="D5677" s="880" t="s">
        <v>43262</v>
      </c>
    </row>
    <row r="5678" spans="1:4" ht="13.5" x14ac:dyDescent="0.25">
      <c r="A5678" s="878" t="s">
        <v>14634</v>
      </c>
      <c r="B5678" s="878" t="s">
        <v>14635</v>
      </c>
      <c r="C5678" s="879" t="s">
        <v>159</v>
      </c>
      <c r="D5678" s="880" t="s">
        <v>30809</v>
      </c>
    </row>
    <row r="5679" spans="1:4" ht="13.5" x14ac:dyDescent="0.25">
      <c r="A5679" s="878" t="s">
        <v>14636</v>
      </c>
      <c r="B5679" s="878" t="s">
        <v>14637</v>
      </c>
      <c r="C5679" s="879" t="s">
        <v>159</v>
      </c>
      <c r="D5679" s="880" t="s">
        <v>43263</v>
      </c>
    </row>
    <row r="5680" spans="1:4" ht="13.5" x14ac:dyDescent="0.25">
      <c r="A5680" s="878" t="s">
        <v>14638</v>
      </c>
      <c r="B5680" s="878" t="s">
        <v>14639</v>
      </c>
      <c r="C5680" s="879" t="s">
        <v>159</v>
      </c>
      <c r="D5680" s="880" t="s">
        <v>40065</v>
      </c>
    </row>
    <row r="5681" spans="1:4" ht="13.5" x14ac:dyDescent="0.25">
      <c r="A5681" s="878" t="s">
        <v>14640</v>
      </c>
      <c r="B5681" s="878" t="s">
        <v>14641</v>
      </c>
      <c r="C5681" s="879" t="s">
        <v>159</v>
      </c>
      <c r="D5681" s="880" t="s">
        <v>43264</v>
      </c>
    </row>
    <row r="5682" spans="1:4" ht="13.5" x14ac:dyDescent="0.25">
      <c r="A5682" s="878" t="s">
        <v>14642</v>
      </c>
      <c r="B5682" s="878" t="s">
        <v>14643</v>
      </c>
      <c r="C5682" s="879" t="s">
        <v>159</v>
      </c>
      <c r="D5682" s="880" t="s">
        <v>43265</v>
      </c>
    </row>
    <row r="5683" spans="1:4" ht="13.5" x14ac:dyDescent="0.25">
      <c r="A5683" s="878" t="s">
        <v>14644</v>
      </c>
      <c r="B5683" s="878" t="s">
        <v>14645</v>
      </c>
      <c r="C5683" s="879" t="s">
        <v>159</v>
      </c>
      <c r="D5683" s="880" t="s">
        <v>43266</v>
      </c>
    </row>
    <row r="5684" spans="1:4" ht="13.5" x14ac:dyDescent="0.25">
      <c r="A5684" s="878" t="s">
        <v>14646</v>
      </c>
      <c r="B5684" s="878" t="s">
        <v>14647</v>
      </c>
      <c r="C5684" s="879" t="s">
        <v>159</v>
      </c>
      <c r="D5684" s="880" t="s">
        <v>43267</v>
      </c>
    </row>
    <row r="5685" spans="1:4" ht="13.5" x14ac:dyDescent="0.25">
      <c r="A5685" s="878" t="s">
        <v>14648</v>
      </c>
      <c r="B5685" s="878" t="s">
        <v>14649</v>
      </c>
      <c r="C5685" s="879" t="s">
        <v>159</v>
      </c>
      <c r="D5685" s="880" t="s">
        <v>31206</v>
      </c>
    </row>
    <row r="5686" spans="1:4" ht="13.5" x14ac:dyDescent="0.25">
      <c r="A5686" s="878" t="s">
        <v>14650</v>
      </c>
      <c r="B5686" s="878" t="s">
        <v>14651</v>
      </c>
      <c r="C5686" s="879" t="s">
        <v>159</v>
      </c>
      <c r="D5686" s="880" t="s">
        <v>43268</v>
      </c>
    </row>
    <row r="5687" spans="1:4" ht="13.5" x14ac:dyDescent="0.25">
      <c r="A5687" s="878" t="s">
        <v>14652</v>
      </c>
      <c r="B5687" s="878" t="s">
        <v>14653</v>
      </c>
      <c r="C5687" s="879" t="s">
        <v>159</v>
      </c>
      <c r="D5687" s="880" t="s">
        <v>43269</v>
      </c>
    </row>
    <row r="5688" spans="1:4" ht="13.5" x14ac:dyDescent="0.25">
      <c r="A5688" s="878" t="s">
        <v>14654</v>
      </c>
      <c r="B5688" s="878" t="s">
        <v>14655</v>
      </c>
      <c r="C5688" s="879" t="s">
        <v>159</v>
      </c>
      <c r="D5688" s="880" t="s">
        <v>10618</v>
      </c>
    </row>
    <row r="5689" spans="1:4" ht="13.5" x14ac:dyDescent="0.25">
      <c r="A5689" s="878" t="s">
        <v>14656</v>
      </c>
      <c r="B5689" s="878" t="s">
        <v>14657</v>
      </c>
      <c r="C5689" s="879" t="s">
        <v>159</v>
      </c>
      <c r="D5689" s="880" t="s">
        <v>17136</v>
      </c>
    </row>
    <row r="5690" spans="1:4" ht="13.5" x14ac:dyDescent="0.25">
      <c r="A5690" s="878" t="s">
        <v>14658</v>
      </c>
      <c r="B5690" s="878" t="s">
        <v>14659</v>
      </c>
      <c r="C5690" s="879" t="s">
        <v>159</v>
      </c>
      <c r="D5690" s="880" t="s">
        <v>6992</v>
      </c>
    </row>
    <row r="5691" spans="1:4" ht="13.5" x14ac:dyDescent="0.25">
      <c r="A5691" s="878" t="s">
        <v>14660</v>
      </c>
      <c r="B5691" s="878" t="s">
        <v>14661</v>
      </c>
      <c r="C5691" s="879" t="s">
        <v>159</v>
      </c>
      <c r="D5691" s="880" t="s">
        <v>41857</v>
      </c>
    </row>
    <row r="5692" spans="1:4" ht="13.5" x14ac:dyDescent="0.25">
      <c r="A5692" s="878" t="s">
        <v>14662</v>
      </c>
      <c r="B5692" s="878" t="s">
        <v>14663</v>
      </c>
      <c r="C5692" s="879" t="s">
        <v>159</v>
      </c>
      <c r="D5692" s="880" t="s">
        <v>43270</v>
      </c>
    </row>
    <row r="5693" spans="1:4" ht="13.5" x14ac:dyDescent="0.25">
      <c r="A5693" s="878" t="s">
        <v>14664</v>
      </c>
      <c r="B5693" s="878" t="s">
        <v>14665</v>
      </c>
      <c r="C5693" s="879" t="s">
        <v>159</v>
      </c>
      <c r="D5693" s="880" t="s">
        <v>42312</v>
      </c>
    </row>
    <row r="5694" spans="1:4" ht="13.5" x14ac:dyDescent="0.25">
      <c r="A5694" s="878" t="s">
        <v>14667</v>
      </c>
      <c r="B5694" s="878" t="s">
        <v>14668</v>
      </c>
      <c r="C5694" s="879" t="s">
        <v>159</v>
      </c>
      <c r="D5694" s="880" t="s">
        <v>10951</v>
      </c>
    </row>
    <row r="5695" spans="1:4" ht="13.5" x14ac:dyDescent="0.25">
      <c r="A5695" s="878" t="s">
        <v>14669</v>
      </c>
      <c r="B5695" s="878" t="s">
        <v>14670</v>
      </c>
      <c r="C5695" s="879" t="s">
        <v>159</v>
      </c>
      <c r="D5695" s="880" t="s">
        <v>30554</v>
      </c>
    </row>
    <row r="5696" spans="1:4" ht="13.5" x14ac:dyDescent="0.25">
      <c r="A5696" s="878" t="s">
        <v>14671</v>
      </c>
      <c r="B5696" s="878" t="s">
        <v>14672</v>
      </c>
      <c r="C5696" s="879" t="s">
        <v>159</v>
      </c>
      <c r="D5696" s="880" t="s">
        <v>4303</v>
      </c>
    </row>
    <row r="5697" spans="1:4" ht="13.5" x14ac:dyDescent="0.25">
      <c r="A5697" s="878" t="s">
        <v>14673</v>
      </c>
      <c r="B5697" s="878" t="s">
        <v>14674</v>
      </c>
      <c r="C5697" s="879" t="s">
        <v>159</v>
      </c>
      <c r="D5697" s="880" t="s">
        <v>43271</v>
      </c>
    </row>
    <row r="5698" spans="1:4" ht="13.5" x14ac:dyDescent="0.25">
      <c r="A5698" s="878" t="s">
        <v>14675</v>
      </c>
      <c r="B5698" s="878" t="s">
        <v>14676</v>
      </c>
      <c r="C5698" s="879" t="s">
        <v>159</v>
      </c>
      <c r="D5698" s="880" t="s">
        <v>15320</v>
      </c>
    </row>
    <row r="5699" spans="1:4" ht="13.5" x14ac:dyDescent="0.25">
      <c r="A5699" s="878" t="s">
        <v>14677</v>
      </c>
      <c r="B5699" s="878" t="s">
        <v>14678</v>
      </c>
      <c r="C5699" s="879" t="s">
        <v>159</v>
      </c>
      <c r="D5699" s="880" t="s">
        <v>6345</v>
      </c>
    </row>
    <row r="5700" spans="1:4" ht="13.5" x14ac:dyDescent="0.25">
      <c r="A5700" s="878" t="s">
        <v>14679</v>
      </c>
      <c r="B5700" s="878" t="s">
        <v>14680</v>
      </c>
      <c r="C5700" s="879" t="s">
        <v>159</v>
      </c>
      <c r="D5700" s="880" t="s">
        <v>43272</v>
      </c>
    </row>
    <row r="5701" spans="1:4" ht="13.5" x14ac:dyDescent="0.25">
      <c r="A5701" s="878" t="s">
        <v>14681</v>
      </c>
      <c r="B5701" s="878" t="s">
        <v>14682</v>
      </c>
      <c r="C5701" s="879" t="s">
        <v>159</v>
      </c>
      <c r="D5701" s="880" t="s">
        <v>31287</v>
      </c>
    </row>
    <row r="5702" spans="1:4" ht="13.5" x14ac:dyDescent="0.25">
      <c r="A5702" s="878" t="s">
        <v>14683</v>
      </c>
      <c r="B5702" s="878" t="s">
        <v>14684</v>
      </c>
      <c r="C5702" s="879" t="s">
        <v>159</v>
      </c>
      <c r="D5702" s="880" t="s">
        <v>14280</v>
      </c>
    </row>
    <row r="5703" spans="1:4" ht="13.5" x14ac:dyDescent="0.25">
      <c r="A5703" s="878" t="s">
        <v>14686</v>
      </c>
      <c r="B5703" s="878" t="s">
        <v>14687</v>
      </c>
      <c r="C5703" s="879" t="s">
        <v>159</v>
      </c>
      <c r="D5703" s="880" t="s">
        <v>40766</v>
      </c>
    </row>
    <row r="5704" spans="1:4" ht="13.5" x14ac:dyDescent="0.25">
      <c r="A5704" s="878" t="s">
        <v>14688</v>
      </c>
      <c r="B5704" s="878" t="s">
        <v>14689</v>
      </c>
      <c r="C5704" s="879" t="s">
        <v>159</v>
      </c>
      <c r="D5704" s="880" t="s">
        <v>30449</v>
      </c>
    </row>
    <row r="5705" spans="1:4" ht="13.5" x14ac:dyDescent="0.25">
      <c r="A5705" s="878" t="s">
        <v>14690</v>
      </c>
      <c r="B5705" s="878" t="s">
        <v>14691</v>
      </c>
      <c r="C5705" s="879" t="s">
        <v>159</v>
      </c>
      <c r="D5705" s="880" t="s">
        <v>43030</v>
      </c>
    </row>
    <row r="5706" spans="1:4" ht="13.5" x14ac:dyDescent="0.25">
      <c r="A5706" s="878" t="s">
        <v>14692</v>
      </c>
      <c r="B5706" s="878" t="s">
        <v>14693</v>
      </c>
      <c r="C5706" s="879" t="s">
        <v>159</v>
      </c>
      <c r="D5706" s="880" t="s">
        <v>43273</v>
      </c>
    </row>
    <row r="5707" spans="1:4" ht="13.5" x14ac:dyDescent="0.25">
      <c r="A5707" s="885" t="s">
        <v>14695</v>
      </c>
      <c r="B5707" s="885" t="s">
        <v>14696</v>
      </c>
      <c r="C5707" s="886" t="s">
        <v>159</v>
      </c>
      <c r="D5707" s="887" t="s">
        <v>31090</v>
      </c>
    </row>
    <row r="5708" spans="1:4" ht="13.5" x14ac:dyDescent="0.25">
      <c r="A5708" s="878" t="s">
        <v>14697</v>
      </c>
      <c r="B5708" s="878" t="s">
        <v>14698</v>
      </c>
      <c r="C5708" s="879" t="s">
        <v>14711</v>
      </c>
      <c r="D5708" s="880" t="s">
        <v>10217</v>
      </c>
    </row>
    <row r="5709" spans="1:4" ht="13.5" x14ac:dyDescent="0.25">
      <c r="A5709" s="878" t="s">
        <v>14699</v>
      </c>
      <c r="B5709" s="878" t="s">
        <v>14700</v>
      </c>
      <c r="C5709" s="879" t="s">
        <v>14711</v>
      </c>
      <c r="D5709" s="880" t="s">
        <v>30942</v>
      </c>
    </row>
    <row r="5710" spans="1:4" ht="13.5" x14ac:dyDescent="0.25">
      <c r="A5710" s="878" t="s">
        <v>14701</v>
      </c>
      <c r="B5710" s="878" t="s">
        <v>14702</v>
      </c>
      <c r="C5710" s="879" t="s">
        <v>14711</v>
      </c>
      <c r="D5710" s="880" t="s">
        <v>42057</v>
      </c>
    </row>
    <row r="5711" spans="1:4" ht="13.5" x14ac:dyDescent="0.25">
      <c r="A5711" s="878" t="s">
        <v>14703</v>
      </c>
      <c r="B5711" s="878" t="s">
        <v>14704</v>
      </c>
      <c r="C5711" s="879" t="s">
        <v>14711</v>
      </c>
      <c r="D5711" s="880" t="s">
        <v>30963</v>
      </c>
    </row>
    <row r="5712" spans="1:4" ht="13.5" x14ac:dyDescent="0.25">
      <c r="A5712" s="878" t="s">
        <v>14705</v>
      </c>
      <c r="B5712" s="878" t="s">
        <v>14706</v>
      </c>
      <c r="C5712" s="879" t="s">
        <v>227</v>
      </c>
      <c r="D5712" s="880" t="s">
        <v>43274</v>
      </c>
    </row>
    <row r="5713" spans="1:4" ht="13.5" x14ac:dyDescent="0.25">
      <c r="A5713" s="878" t="s">
        <v>14707</v>
      </c>
      <c r="B5713" s="878" t="s">
        <v>14708</v>
      </c>
      <c r="C5713" s="879" t="s">
        <v>227</v>
      </c>
      <c r="D5713" s="880" t="s">
        <v>31131</v>
      </c>
    </row>
    <row r="5714" spans="1:4" ht="13.5" x14ac:dyDescent="0.25">
      <c r="A5714" s="878" t="s">
        <v>14709</v>
      </c>
      <c r="B5714" s="878" t="s">
        <v>14710</v>
      </c>
      <c r="C5714" s="879" t="s">
        <v>159</v>
      </c>
      <c r="D5714" s="880" t="s">
        <v>3361</v>
      </c>
    </row>
    <row r="5715" spans="1:4" ht="13.5" x14ac:dyDescent="0.25">
      <c r="A5715" s="878" t="s">
        <v>14713</v>
      </c>
      <c r="B5715" s="878" t="s">
        <v>14714</v>
      </c>
      <c r="C5715" s="879" t="s">
        <v>159</v>
      </c>
      <c r="D5715" s="880" t="s">
        <v>43275</v>
      </c>
    </row>
    <row r="5716" spans="1:4" ht="13.5" x14ac:dyDescent="0.25">
      <c r="A5716" s="878" t="s">
        <v>14715</v>
      </c>
      <c r="B5716" s="878" t="s">
        <v>14716</v>
      </c>
      <c r="C5716" s="879" t="s">
        <v>159</v>
      </c>
      <c r="D5716" s="880" t="s">
        <v>43276</v>
      </c>
    </row>
    <row r="5717" spans="1:4" ht="13.5" x14ac:dyDescent="0.25">
      <c r="A5717" s="878" t="s">
        <v>14718</v>
      </c>
      <c r="B5717" s="878" t="s">
        <v>14719</v>
      </c>
      <c r="C5717" s="879" t="s">
        <v>159</v>
      </c>
      <c r="D5717" s="880" t="s">
        <v>5128</v>
      </c>
    </row>
    <row r="5718" spans="1:4" ht="13.5" x14ac:dyDescent="0.25">
      <c r="A5718" s="878" t="s">
        <v>14720</v>
      </c>
      <c r="B5718" s="878" t="s">
        <v>14721</v>
      </c>
      <c r="C5718" s="879" t="s">
        <v>159</v>
      </c>
      <c r="D5718" s="880" t="s">
        <v>4749</v>
      </c>
    </row>
    <row r="5719" spans="1:4" ht="13.5" x14ac:dyDescent="0.25">
      <c r="A5719" s="878" t="s">
        <v>14723</v>
      </c>
      <c r="B5719" s="878" t="s">
        <v>14724</v>
      </c>
      <c r="C5719" s="879" t="s">
        <v>159</v>
      </c>
      <c r="D5719" s="880" t="s">
        <v>15560</v>
      </c>
    </row>
    <row r="5720" spans="1:4" ht="13.5" x14ac:dyDescent="0.25">
      <c r="A5720" s="878" t="s">
        <v>14725</v>
      </c>
      <c r="B5720" s="878" t="s">
        <v>14726</v>
      </c>
      <c r="C5720" s="879" t="s">
        <v>159</v>
      </c>
      <c r="D5720" s="880" t="s">
        <v>43277</v>
      </c>
    </row>
    <row r="5721" spans="1:4" ht="13.5" x14ac:dyDescent="0.25">
      <c r="A5721" s="878" t="s">
        <v>14727</v>
      </c>
      <c r="B5721" s="878" t="s">
        <v>14728</v>
      </c>
      <c r="C5721" s="879" t="s">
        <v>159</v>
      </c>
      <c r="D5721" s="880" t="s">
        <v>43278</v>
      </c>
    </row>
    <row r="5722" spans="1:4" ht="13.5" x14ac:dyDescent="0.25">
      <c r="A5722" s="878" t="s">
        <v>14729</v>
      </c>
      <c r="B5722" s="878" t="s">
        <v>14730</v>
      </c>
      <c r="C5722" s="879" t="s">
        <v>159</v>
      </c>
      <c r="D5722" s="880" t="s">
        <v>43279</v>
      </c>
    </row>
    <row r="5723" spans="1:4" ht="13.5" x14ac:dyDescent="0.25">
      <c r="A5723" s="878" t="s">
        <v>14731</v>
      </c>
      <c r="B5723" s="878" t="s">
        <v>14732</v>
      </c>
      <c r="C5723" s="879" t="s">
        <v>227</v>
      </c>
      <c r="D5723" s="880" t="s">
        <v>43280</v>
      </c>
    </row>
    <row r="5724" spans="1:4" ht="13.5" x14ac:dyDescent="0.25">
      <c r="A5724" s="878" t="s">
        <v>14733</v>
      </c>
      <c r="B5724" s="878" t="s">
        <v>14734</v>
      </c>
      <c r="C5724" s="879" t="s">
        <v>227</v>
      </c>
      <c r="D5724" s="880" t="s">
        <v>43281</v>
      </c>
    </row>
    <row r="5725" spans="1:4" ht="13.5" x14ac:dyDescent="0.25">
      <c r="A5725" s="878" t="s">
        <v>14735</v>
      </c>
      <c r="B5725" s="878" t="s">
        <v>14736</v>
      </c>
      <c r="C5725" s="879" t="s">
        <v>227</v>
      </c>
      <c r="D5725" s="880" t="s">
        <v>43282</v>
      </c>
    </row>
    <row r="5726" spans="1:4" ht="13.5" x14ac:dyDescent="0.25">
      <c r="A5726" s="878" t="s">
        <v>14737</v>
      </c>
      <c r="B5726" s="878" t="s">
        <v>14738</v>
      </c>
      <c r="C5726" s="879" t="s">
        <v>227</v>
      </c>
      <c r="D5726" s="880" t="s">
        <v>43283</v>
      </c>
    </row>
    <row r="5727" spans="1:4" ht="13.5" x14ac:dyDescent="0.25">
      <c r="A5727" s="882" t="s">
        <v>14739</v>
      </c>
      <c r="B5727" s="882" t="s">
        <v>14740</v>
      </c>
      <c r="C5727" s="883" t="s">
        <v>227</v>
      </c>
      <c r="D5727" s="884" t="s">
        <v>43284</v>
      </c>
    </row>
    <row r="5728" spans="1:4" ht="13.5" x14ac:dyDescent="0.25">
      <c r="A5728" s="882" t="s">
        <v>14741</v>
      </c>
      <c r="B5728" s="882" t="s">
        <v>14742</v>
      </c>
      <c r="C5728" s="883" t="s">
        <v>227</v>
      </c>
      <c r="D5728" s="884" t="s">
        <v>31322</v>
      </c>
    </row>
    <row r="5729" spans="1:4" ht="13.5" x14ac:dyDescent="0.25">
      <c r="A5729" s="878" t="s">
        <v>14744</v>
      </c>
      <c r="B5729" s="878" t="s">
        <v>14745</v>
      </c>
      <c r="C5729" s="879" t="s">
        <v>227</v>
      </c>
      <c r="D5729" s="880" t="s">
        <v>30691</v>
      </c>
    </row>
    <row r="5730" spans="1:4" ht="13.5" x14ac:dyDescent="0.25">
      <c r="A5730" s="878" t="s">
        <v>14746</v>
      </c>
      <c r="B5730" s="878" t="s">
        <v>14747</v>
      </c>
      <c r="C5730" s="879" t="s">
        <v>227</v>
      </c>
      <c r="D5730" s="880" t="s">
        <v>43285</v>
      </c>
    </row>
    <row r="5731" spans="1:4" ht="13.5" x14ac:dyDescent="0.25">
      <c r="A5731" s="878" t="s">
        <v>14748</v>
      </c>
      <c r="B5731" s="878" t="s">
        <v>14749</v>
      </c>
      <c r="C5731" s="879" t="s">
        <v>227</v>
      </c>
      <c r="D5731" s="880" t="s">
        <v>14610</v>
      </c>
    </row>
    <row r="5732" spans="1:4" ht="13.5" x14ac:dyDescent="0.25">
      <c r="A5732" s="878" t="s">
        <v>14751</v>
      </c>
      <c r="B5732" s="878" t="s">
        <v>14752</v>
      </c>
      <c r="C5732" s="879" t="s">
        <v>227</v>
      </c>
      <c r="D5732" s="880" t="s">
        <v>43286</v>
      </c>
    </row>
    <row r="5733" spans="1:4" ht="13.5" x14ac:dyDescent="0.25">
      <c r="A5733" s="878" t="s">
        <v>14753</v>
      </c>
      <c r="B5733" s="878" t="s">
        <v>14754</v>
      </c>
      <c r="C5733" s="879" t="s">
        <v>227</v>
      </c>
      <c r="D5733" s="880" t="s">
        <v>43287</v>
      </c>
    </row>
    <row r="5734" spans="1:4" ht="13.5" x14ac:dyDescent="0.25">
      <c r="A5734" s="878" t="s">
        <v>14755</v>
      </c>
      <c r="B5734" s="878" t="s">
        <v>14756</v>
      </c>
      <c r="C5734" s="879" t="s">
        <v>227</v>
      </c>
      <c r="D5734" s="880" t="s">
        <v>43288</v>
      </c>
    </row>
    <row r="5735" spans="1:4" ht="13.5" x14ac:dyDescent="0.25">
      <c r="A5735" s="878" t="s">
        <v>14757</v>
      </c>
      <c r="B5735" s="878" t="s">
        <v>14758</v>
      </c>
      <c r="C5735" s="879" t="s">
        <v>227</v>
      </c>
      <c r="D5735" s="880" t="s">
        <v>30745</v>
      </c>
    </row>
    <row r="5736" spans="1:4" ht="13.5" x14ac:dyDescent="0.25">
      <c r="A5736" s="878" t="s">
        <v>14759</v>
      </c>
      <c r="B5736" s="878" t="s">
        <v>14760</v>
      </c>
      <c r="C5736" s="879" t="s">
        <v>227</v>
      </c>
      <c r="D5736" s="880" t="s">
        <v>43289</v>
      </c>
    </row>
    <row r="5737" spans="1:4" ht="13.5" x14ac:dyDescent="0.25">
      <c r="A5737" s="878" t="s">
        <v>14761</v>
      </c>
      <c r="B5737" s="878" t="s">
        <v>14762</v>
      </c>
      <c r="C5737" s="879" t="s">
        <v>227</v>
      </c>
      <c r="D5737" s="880" t="s">
        <v>43290</v>
      </c>
    </row>
    <row r="5738" spans="1:4" ht="13.5" x14ac:dyDescent="0.25">
      <c r="A5738" s="878" t="s">
        <v>14763</v>
      </c>
      <c r="B5738" s="878" t="s">
        <v>14764</v>
      </c>
      <c r="C5738" s="879" t="s">
        <v>227</v>
      </c>
      <c r="D5738" s="880" t="s">
        <v>43291</v>
      </c>
    </row>
    <row r="5739" spans="1:4" ht="13.5" x14ac:dyDescent="0.25">
      <c r="A5739" s="878" t="s">
        <v>14765</v>
      </c>
      <c r="B5739" s="878" t="s">
        <v>14766</v>
      </c>
      <c r="C5739" s="879" t="s">
        <v>227</v>
      </c>
      <c r="D5739" s="880" t="s">
        <v>30976</v>
      </c>
    </row>
    <row r="5740" spans="1:4" ht="13.5" x14ac:dyDescent="0.25">
      <c r="A5740" s="878" t="s">
        <v>14767</v>
      </c>
      <c r="B5740" s="878" t="s">
        <v>14768</v>
      </c>
      <c r="C5740" s="879" t="s">
        <v>227</v>
      </c>
      <c r="D5740" s="880" t="s">
        <v>43292</v>
      </c>
    </row>
    <row r="5741" spans="1:4" ht="13.5" x14ac:dyDescent="0.25">
      <c r="A5741" s="878" t="s">
        <v>14769</v>
      </c>
      <c r="B5741" s="878" t="s">
        <v>14770</v>
      </c>
      <c r="C5741" s="879" t="s">
        <v>227</v>
      </c>
      <c r="D5741" s="880" t="s">
        <v>31134</v>
      </c>
    </row>
    <row r="5742" spans="1:4" ht="13.5" x14ac:dyDescent="0.25">
      <c r="A5742" s="878" t="s">
        <v>14771</v>
      </c>
      <c r="B5742" s="878" t="s">
        <v>14772</v>
      </c>
      <c r="C5742" s="879" t="s">
        <v>227</v>
      </c>
      <c r="D5742" s="880" t="s">
        <v>43293</v>
      </c>
    </row>
    <row r="5743" spans="1:4" ht="13.5" x14ac:dyDescent="0.25">
      <c r="A5743" s="878" t="s">
        <v>14773</v>
      </c>
      <c r="B5743" s="878" t="s">
        <v>14774</v>
      </c>
      <c r="C5743" s="879" t="s">
        <v>227</v>
      </c>
      <c r="D5743" s="880" t="s">
        <v>43294</v>
      </c>
    </row>
    <row r="5744" spans="1:4" ht="13.5" x14ac:dyDescent="0.25">
      <c r="A5744" s="878" t="s">
        <v>14775</v>
      </c>
      <c r="B5744" s="878" t="s">
        <v>14776</v>
      </c>
      <c r="C5744" s="879" t="s">
        <v>227</v>
      </c>
      <c r="D5744" s="880" t="s">
        <v>43295</v>
      </c>
    </row>
    <row r="5745" spans="1:4" ht="13.5" x14ac:dyDescent="0.25">
      <c r="A5745" s="878" t="s">
        <v>14777</v>
      </c>
      <c r="B5745" s="878" t="s">
        <v>14778</v>
      </c>
      <c r="C5745" s="879" t="s">
        <v>227</v>
      </c>
      <c r="D5745" s="880" t="s">
        <v>43296</v>
      </c>
    </row>
    <row r="5746" spans="1:4" ht="13.5" x14ac:dyDescent="0.25">
      <c r="A5746" s="878" t="s">
        <v>14779</v>
      </c>
      <c r="B5746" s="878" t="s">
        <v>14780</v>
      </c>
      <c r="C5746" s="879" t="s">
        <v>227</v>
      </c>
      <c r="D5746" s="880" t="s">
        <v>43297</v>
      </c>
    </row>
    <row r="5747" spans="1:4" ht="13.5" x14ac:dyDescent="0.25">
      <c r="A5747" s="878" t="s">
        <v>14781</v>
      </c>
      <c r="B5747" s="878" t="s">
        <v>14782</v>
      </c>
      <c r="C5747" s="879" t="s">
        <v>227</v>
      </c>
      <c r="D5747" s="880" t="s">
        <v>30944</v>
      </c>
    </row>
    <row r="5748" spans="1:4" ht="13.5" x14ac:dyDescent="0.25">
      <c r="A5748" s="878" t="s">
        <v>14783</v>
      </c>
      <c r="B5748" s="878" t="s">
        <v>39972</v>
      </c>
      <c r="C5748" s="879" t="s">
        <v>227</v>
      </c>
      <c r="D5748" s="880" t="s">
        <v>41791</v>
      </c>
    </row>
    <row r="5749" spans="1:4" ht="13.5" x14ac:dyDescent="0.25">
      <c r="A5749" s="878" t="s">
        <v>14784</v>
      </c>
      <c r="B5749" s="878" t="s">
        <v>39973</v>
      </c>
      <c r="C5749" s="879" t="s">
        <v>227</v>
      </c>
      <c r="D5749" s="880" t="s">
        <v>43298</v>
      </c>
    </row>
    <row r="5750" spans="1:4" ht="13.5" x14ac:dyDescent="0.25">
      <c r="A5750" s="878" t="s">
        <v>14785</v>
      </c>
      <c r="B5750" s="878" t="s">
        <v>39974</v>
      </c>
      <c r="C5750" s="879" t="s">
        <v>227</v>
      </c>
      <c r="D5750" s="880" t="s">
        <v>43299</v>
      </c>
    </row>
    <row r="5751" spans="1:4" ht="13.5" x14ac:dyDescent="0.25">
      <c r="A5751" s="878" t="s">
        <v>14786</v>
      </c>
      <c r="B5751" s="878" t="s">
        <v>39975</v>
      </c>
      <c r="C5751" s="879" t="s">
        <v>227</v>
      </c>
      <c r="D5751" s="880" t="s">
        <v>43300</v>
      </c>
    </row>
    <row r="5752" spans="1:4" ht="13.5" x14ac:dyDescent="0.25">
      <c r="A5752" s="878" t="s">
        <v>14787</v>
      </c>
      <c r="B5752" s="878" t="s">
        <v>39976</v>
      </c>
      <c r="C5752" s="879" t="s">
        <v>227</v>
      </c>
      <c r="D5752" s="880" t="s">
        <v>43301</v>
      </c>
    </row>
    <row r="5753" spans="1:4" ht="13.5" x14ac:dyDescent="0.25">
      <c r="A5753" s="878" t="s">
        <v>14788</v>
      </c>
      <c r="B5753" s="878" t="s">
        <v>39977</v>
      </c>
      <c r="C5753" s="879" t="s">
        <v>227</v>
      </c>
      <c r="D5753" s="880" t="s">
        <v>43302</v>
      </c>
    </row>
    <row r="5754" spans="1:4" ht="13.5" x14ac:dyDescent="0.25">
      <c r="A5754" s="878" t="s">
        <v>14789</v>
      </c>
      <c r="B5754" s="878" t="s">
        <v>39978</v>
      </c>
      <c r="C5754" s="879" t="s">
        <v>227</v>
      </c>
      <c r="D5754" s="880" t="s">
        <v>30267</v>
      </c>
    </row>
    <row r="5755" spans="1:4" ht="13.5" x14ac:dyDescent="0.25">
      <c r="A5755" s="878" t="s">
        <v>14790</v>
      </c>
      <c r="B5755" s="878" t="s">
        <v>39979</v>
      </c>
      <c r="C5755" s="879" t="s">
        <v>227</v>
      </c>
      <c r="D5755" s="880" t="s">
        <v>43303</v>
      </c>
    </row>
    <row r="5756" spans="1:4" ht="13.5" x14ac:dyDescent="0.25">
      <c r="A5756" s="878" t="s">
        <v>14791</v>
      </c>
      <c r="B5756" s="878" t="s">
        <v>14792</v>
      </c>
      <c r="C5756" s="879" t="s">
        <v>227</v>
      </c>
      <c r="D5756" s="880" t="s">
        <v>43304</v>
      </c>
    </row>
    <row r="5757" spans="1:4" ht="13.5" x14ac:dyDescent="0.25">
      <c r="A5757" s="878" t="s">
        <v>14793</v>
      </c>
      <c r="B5757" s="878" t="s">
        <v>14794</v>
      </c>
      <c r="C5757" s="879" t="s">
        <v>227</v>
      </c>
      <c r="D5757" s="880" t="s">
        <v>43305</v>
      </c>
    </row>
    <row r="5758" spans="1:4" ht="13.5" x14ac:dyDescent="0.25">
      <c r="A5758" s="878" t="s">
        <v>14795</v>
      </c>
      <c r="B5758" s="878" t="s">
        <v>14796</v>
      </c>
      <c r="C5758" s="879" t="s">
        <v>227</v>
      </c>
      <c r="D5758" s="880" t="s">
        <v>43306</v>
      </c>
    </row>
    <row r="5759" spans="1:4" ht="13.5" x14ac:dyDescent="0.25">
      <c r="A5759" s="878" t="s">
        <v>14797</v>
      </c>
      <c r="B5759" s="878" t="s">
        <v>14798</v>
      </c>
      <c r="C5759" s="879" t="s">
        <v>227</v>
      </c>
      <c r="D5759" s="880" t="s">
        <v>43307</v>
      </c>
    </row>
    <row r="5760" spans="1:4" ht="13.5" x14ac:dyDescent="0.25">
      <c r="A5760" s="878" t="s">
        <v>14799</v>
      </c>
      <c r="B5760" s="878" t="s">
        <v>14800</v>
      </c>
      <c r="C5760" s="879" t="s">
        <v>227</v>
      </c>
      <c r="D5760" s="880" t="s">
        <v>43308</v>
      </c>
    </row>
    <row r="5761" spans="1:4" ht="13.5" x14ac:dyDescent="0.25">
      <c r="A5761" s="878" t="s">
        <v>14801</v>
      </c>
      <c r="B5761" s="878" t="s">
        <v>14802</v>
      </c>
      <c r="C5761" s="879" t="s">
        <v>227</v>
      </c>
      <c r="D5761" s="880" t="s">
        <v>43309</v>
      </c>
    </row>
    <row r="5762" spans="1:4" ht="13.5" x14ac:dyDescent="0.25">
      <c r="A5762" s="878" t="s">
        <v>14803</v>
      </c>
      <c r="B5762" s="878" t="s">
        <v>14804</v>
      </c>
      <c r="C5762" s="879" t="s">
        <v>227</v>
      </c>
      <c r="D5762" s="880" t="s">
        <v>43310</v>
      </c>
    </row>
    <row r="5763" spans="1:4" ht="13.5" x14ac:dyDescent="0.25">
      <c r="A5763" s="878" t="s">
        <v>14806</v>
      </c>
      <c r="B5763" s="878" t="s">
        <v>14807</v>
      </c>
      <c r="C5763" s="879" t="s">
        <v>227</v>
      </c>
      <c r="D5763" s="880" t="s">
        <v>43311</v>
      </c>
    </row>
    <row r="5764" spans="1:4" ht="13.5" x14ac:dyDescent="0.25">
      <c r="A5764" s="878" t="s">
        <v>14808</v>
      </c>
      <c r="B5764" s="878" t="s">
        <v>14809</v>
      </c>
      <c r="C5764" s="879" t="s">
        <v>227</v>
      </c>
      <c r="D5764" s="880" t="s">
        <v>43312</v>
      </c>
    </row>
    <row r="5765" spans="1:4" ht="13.5" x14ac:dyDescent="0.25">
      <c r="A5765" s="878" t="s">
        <v>14810</v>
      </c>
      <c r="B5765" s="878" t="s">
        <v>14811</v>
      </c>
      <c r="C5765" s="879" t="s">
        <v>227</v>
      </c>
      <c r="D5765" s="880" t="s">
        <v>30737</v>
      </c>
    </row>
    <row r="5766" spans="1:4" ht="13.5" x14ac:dyDescent="0.25">
      <c r="A5766" s="878" t="s">
        <v>14812</v>
      </c>
      <c r="B5766" s="878" t="s">
        <v>14813</v>
      </c>
      <c r="C5766" s="879" t="s">
        <v>227</v>
      </c>
      <c r="D5766" s="880" t="s">
        <v>31152</v>
      </c>
    </row>
    <row r="5767" spans="1:4" ht="13.5" x14ac:dyDescent="0.25">
      <c r="A5767" s="878" t="s">
        <v>14814</v>
      </c>
      <c r="B5767" s="878" t="s">
        <v>14815</v>
      </c>
      <c r="C5767" s="879" t="s">
        <v>227</v>
      </c>
      <c r="D5767" s="880" t="s">
        <v>43313</v>
      </c>
    </row>
    <row r="5768" spans="1:4" ht="13.5" x14ac:dyDescent="0.25">
      <c r="A5768" s="878" t="s">
        <v>14816</v>
      </c>
      <c r="B5768" s="878" t="s">
        <v>14817</v>
      </c>
      <c r="C5768" s="879" t="s">
        <v>227</v>
      </c>
      <c r="D5768" s="880" t="s">
        <v>43314</v>
      </c>
    </row>
    <row r="5769" spans="1:4" ht="13.5" x14ac:dyDescent="0.25">
      <c r="A5769" s="878" t="s">
        <v>14818</v>
      </c>
      <c r="B5769" s="878" t="s">
        <v>14819</v>
      </c>
      <c r="C5769" s="879" t="s">
        <v>227</v>
      </c>
      <c r="D5769" s="880" t="s">
        <v>43315</v>
      </c>
    </row>
    <row r="5770" spans="1:4" ht="13.5" x14ac:dyDescent="0.25">
      <c r="A5770" s="878" t="s">
        <v>14821</v>
      </c>
      <c r="B5770" s="878" t="s">
        <v>14822</v>
      </c>
      <c r="C5770" s="879" t="s">
        <v>227</v>
      </c>
      <c r="D5770" s="880" t="s">
        <v>43316</v>
      </c>
    </row>
    <row r="5771" spans="1:4" ht="13.5" x14ac:dyDescent="0.25">
      <c r="A5771" s="878" t="s">
        <v>14823</v>
      </c>
      <c r="B5771" s="878" t="s">
        <v>14824</v>
      </c>
      <c r="C5771" s="879" t="s">
        <v>227</v>
      </c>
      <c r="D5771" s="880" t="s">
        <v>31228</v>
      </c>
    </row>
    <row r="5772" spans="1:4" ht="13.5" x14ac:dyDescent="0.25">
      <c r="A5772" s="878" t="s">
        <v>14825</v>
      </c>
      <c r="B5772" s="878" t="s">
        <v>14826</v>
      </c>
      <c r="C5772" s="879" t="s">
        <v>227</v>
      </c>
      <c r="D5772" s="880" t="s">
        <v>43317</v>
      </c>
    </row>
    <row r="5773" spans="1:4" ht="13.5" x14ac:dyDescent="0.25">
      <c r="A5773" s="878" t="s">
        <v>14827</v>
      </c>
      <c r="B5773" s="878" t="s">
        <v>14828</v>
      </c>
      <c r="C5773" s="879" t="s">
        <v>227</v>
      </c>
      <c r="D5773" s="880" t="s">
        <v>43318</v>
      </c>
    </row>
    <row r="5774" spans="1:4" ht="13.5" x14ac:dyDescent="0.25">
      <c r="A5774" s="878" t="s">
        <v>14829</v>
      </c>
      <c r="B5774" s="878" t="s">
        <v>14830</v>
      </c>
      <c r="C5774" s="879" t="s">
        <v>227</v>
      </c>
      <c r="D5774" s="880" t="s">
        <v>43319</v>
      </c>
    </row>
    <row r="5775" spans="1:4" ht="13.5" x14ac:dyDescent="0.25">
      <c r="A5775" s="878" t="s">
        <v>14831</v>
      </c>
      <c r="B5775" s="878" t="s">
        <v>14832</v>
      </c>
      <c r="C5775" s="879" t="s">
        <v>227</v>
      </c>
      <c r="D5775" s="880" t="s">
        <v>43320</v>
      </c>
    </row>
    <row r="5776" spans="1:4" ht="13.5" x14ac:dyDescent="0.25">
      <c r="A5776" s="878" t="s">
        <v>14833</v>
      </c>
      <c r="B5776" s="878" t="s">
        <v>14832</v>
      </c>
      <c r="C5776" s="879" t="s">
        <v>227</v>
      </c>
      <c r="D5776" s="880" t="s">
        <v>43321</v>
      </c>
    </row>
    <row r="5777" spans="1:4" ht="13.5" x14ac:dyDescent="0.25">
      <c r="A5777" s="878" t="s">
        <v>14834</v>
      </c>
      <c r="B5777" s="878" t="s">
        <v>14835</v>
      </c>
      <c r="C5777" s="879" t="s">
        <v>227</v>
      </c>
      <c r="D5777" s="880" t="s">
        <v>43322</v>
      </c>
    </row>
    <row r="5778" spans="1:4" ht="13.5" x14ac:dyDescent="0.25">
      <c r="A5778" s="878" t="s">
        <v>14836</v>
      </c>
      <c r="B5778" s="878" t="s">
        <v>14837</v>
      </c>
      <c r="C5778" s="879" t="s">
        <v>227</v>
      </c>
      <c r="D5778" s="880" t="s">
        <v>43323</v>
      </c>
    </row>
    <row r="5779" spans="1:4" ht="13.5" x14ac:dyDescent="0.25">
      <c r="A5779" s="878" t="s">
        <v>14838</v>
      </c>
      <c r="B5779" s="878" t="s">
        <v>14839</v>
      </c>
      <c r="C5779" s="879" t="s">
        <v>227</v>
      </c>
      <c r="D5779" s="880" t="s">
        <v>43324</v>
      </c>
    </row>
    <row r="5780" spans="1:4" ht="13.5" x14ac:dyDescent="0.25">
      <c r="A5780" s="878" t="s">
        <v>14840</v>
      </c>
      <c r="B5780" s="878" t="s">
        <v>14841</v>
      </c>
      <c r="C5780" s="879" t="s">
        <v>227</v>
      </c>
      <c r="D5780" s="880" t="s">
        <v>43325</v>
      </c>
    </row>
    <row r="5781" spans="1:4" ht="13.5" x14ac:dyDescent="0.25">
      <c r="A5781" s="878" t="s">
        <v>14842</v>
      </c>
      <c r="B5781" s="878" t="s">
        <v>14843</v>
      </c>
      <c r="C5781" s="879" t="s">
        <v>227</v>
      </c>
      <c r="D5781" s="880" t="s">
        <v>43318</v>
      </c>
    </row>
    <row r="5782" spans="1:4" ht="13.5" x14ac:dyDescent="0.25">
      <c r="A5782" s="878" t="s">
        <v>14844</v>
      </c>
      <c r="B5782" s="878" t="s">
        <v>14845</v>
      </c>
      <c r="C5782" s="879" t="s">
        <v>227</v>
      </c>
      <c r="D5782" s="880" t="s">
        <v>43320</v>
      </c>
    </row>
    <row r="5783" spans="1:4" ht="13.5" x14ac:dyDescent="0.25">
      <c r="A5783" s="878" t="s">
        <v>14846</v>
      </c>
      <c r="B5783" s="878" t="s">
        <v>14847</v>
      </c>
      <c r="C5783" s="879" t="s">
        <v>227</v>
      </c>
      <c r="D5783" s="880" t="s">
        <v>43326</v>
      </c>
    </row>
    <row r="5784" spans="1:4" ht="13.5" x14ac:dyDescent="0.25">
      <c r="A5784" s="878" t="s">
        <v>14848</v>
      </c>
      <c r="B5784" s="878" t="s">
        <v>14849</v>
      </c>
      <c r="C5784" s="879" t="s">
        <v>227</v>
      </c>
      <c r="D5784" s="880" t="s">
        <v>43327</v>
      </c>
    </row>
    <row r="5785" spans="1:4" ht="13.5" x14ac:dyDescent="0.25">
      <c r="A5785" s="878" t="s">
        <v>14850</v>
      </c>
      <c r="B5785" s="878" t="s">
        <v>14851</v>
      </c>
      <c r="C5785" s="879" t="s">
        <v>227</v>
      </c>
      <c r="D5785" s="880" t="s">
        <v>43328</v>
      </c>
    </row>
    <row r="5786" spans="1:4" ht="13.5" x14ac:dyDescent="0.25">
      <c r="A5786" s="878" t="s">
        <v>14852</v>
      </c>
      <c r="B5786" s="878" t="s">
        <v>14853</v>
      </c>
      <c r="C5786" s="879" t="s">
        <v>227</v>
      </c>
      <c r="D5786" s="880" t="s">
        <v>30945</v>
      </c>
    </row>
    <row r="5787" spans="1:4" ht="13.5" x14ac:dyDescent="0.25">
      <c r="A5787" s="878" t="s">
        <v>14854</v>
      </c>
      <c r="B5787" s="878" t="s">
        <v>14855</v>
      </c>
      <c r="C5787" s="879" t="s">
        <v>227</v>
      </c>
      <c r="D5787" s="880" t="s">
        <v>43329</v>
      </c>
    </row>
    <row r="5788" spans="1:4" ht="13.5" x14ac:dyDescent="0.25">
      <c r="A5788" s="878" t="s">
        <v>14856</v>
      </c>
      <c r="B5788" s="878" t="s">
        <v>14857</v>
      </c>
      <c r="C5788" s="879" t="s">
        <v>227</v>
      </c>
      <c r="D5788" s="880" t="s">
        <v>43330</v>
      </c>
    </row>
    <row r="5789" spans="1:4" ht="13.5" x14ac:dyDescent="0.25">
      <c r="A5789" s="878" t="s">
        <v>14858</v>
      </c>
      <c r="B5789" s="878" t="s">
        <v>14859</v>
      </c>
      <c r="C5789" s="879" t="s">
        <v>227</v>
      </c>
      <c r="D5789" s="880" t="s">
        <v>31263</v>
      </c>
    </row>
    <row r="5790" spans="1:4" ht="13.5" x14ac:dyDescent="0.25">
      <c r="A5790" s="878" t="s">
        <v>14860</v>
      </c>
      <c r="B5790" s="878" t="s">
        <v>14861</v>
      </c>
      <c r="C5790" s="879" t="s">
        <v>227</v>
      </c>
      <c r="D5790" s="880" t="s">
        <v>42893</v>
      </c>
    </row>
    <row r="5791" spans="1:4" ht="13.5" x14ac:dyDescent="0.25">
      <c r="A5791" s="878" t="s">
        <v>14862</v>
      </c>
      <c r="B5791" s="878" t="s">
        <v>14863</v>
      </c>
      <c r="C5791" s="879" t="s">
        <v>227</v>
      </c>
      <c r="D5791" s="880" t="s">
        <v>30738</v>
      </c>
    </row>
    <row r="5792" spans="1:4" ht="13.5" x14ac:dyDescent="0.25">
      <c r="A5792" s="878" t="s">
        <v>14864</v>
      </c>
      <c r="B5792" s="878" t="s">
        <v>14865</v>
      </c>
      <c r="C5792" s="879" t="s">
        <v>227</v>
      </c>
      <c r="D5792" s="880" t="s">
        <v>43331</v>
      </c>
    </row>
    <row r="5793" spans="1:4" ht="13.5" x14ac:dyDescent="0.25">
      <c r="A5793" s="878" t="s">
        <v>14866</v>
      </c>
      <c r="B5793" s="878" t="s">
        <v>14867</v>
      </c>
      <c r="C5793" s="879" t="s">
        <v>227</v>
      </c>
      <c r="D5793" s="880" t="s">
        <v>43332</v>
      </c>
    </row>
    <row r="5794" spans="1:4" ht="13.5" x14ac:dyDescent="0.25">
      <c r="A5794" s="878" t="s">
        <v>14868</v>
      </c>
      <c r="B5794" s="878" t="s">
        <v>14869</v>
      </c>
      <c r="C5794" s="879" t="s">
        <v>227</v>
      </c>
      <c r="D5794" s="880" t="s">
        <v>43333</v>
      </c>
    </row>
    <row r="5795" spans="1:4" ht="13.5" x14ac:dyDescent="0.25">
      <c r="A5795" s="878" t="s">
        <v>14870</v>
      </c>
      <c r="B5795" s="878" t="s">
        <v>14871</v>
      </c>
      <c r="C5795" s="879" t="s">
        <v>227</v>
      </c>
      <c r="D5795" s="880" t="s">
        <v>43334</v>
      </c>
    </row>
    <row r="5796" spans="1:4" ht="13.5" x14ac:dyDescent="0.25">
      <c r="A5796" s="878" t="s">
        <v>14872</v>
      </c>
      <c r="B5796" s="878" t="s">
        <v>14873</v>
      </c>
      <c r="C5796" s="879" t="s">
        <v>227</v>
      </c>
      <c r="D5796" s="880" t="s">
        <v>43335</v>
      </c>
    </row>
    <row r="5797" spans="1:4" ht="13.5" x14ac:dyDescent="0.25">
      <c r="A5797" s="878" t="s">
        <v>14874</v>
      </c>
      <c r="B5797" s="878" t="s">
        <v>14875</v>
      </c>
      <c r="C5797" s="879" t="s">
        <v>227</v>
      </c>
      <c r="D5797" s="880" t="s">
        <v>43336</v>
      </c>
    </row>
    <row r="5798" spans="1:4" ht="13.5" x14ac:dyDescent="0.25">
      <c r="A5798" s="878" t="s">
        <v>14876</v>
      </c>
      <c r="B5798" s="878" t="s">
        <v>14877</v>
      </c>
      <c r="C5798" s="879" t="s">
        <v>227</v>
      </c>
      <c r="D5798" s="880" t="s">
        <v>43337</v>
      </c>
    </row>
    <row r="5799" spans="1:4" ht="13.5" x14ac:dyDescent="0.25">
      <c r="A5799" s="878" t="s">
        <v>14878</v>
      </c>
      <c r="B5799" s="878" t="s">
        <v>14879</v>
      </c>
      <c r="C5799" s="879" t="s">
        <v>227</v>
      </c>
      <c r="D5799" s="880" t="s">
        <v>41629</v>
      </c>
    </row>
    <row r="5800" spans="1:4" ht="13.5" x14ac:dyDescent="0.25">
      <c r="A5800" s="878" t="s">
        <v>14880</v>
      </c>
      <c r="B5800" s="878" t="s">
        <v>14881</v>
      </c>
      <c r="C5800" s="879" t="s">
        <v>227</v>
      </c>
      <c r="D5800" s="880" t="s">
        <v>41480</v>
      </c>
    </row>
    <row r="5801" spans="1:4" ht="13.5" x14ac:dyDescent="0.25">
      <c r="A5801" s="878" t="s">
        <v>14882</v>
      </c>
      <c r="B5801" s="878" t="s">
        <v>14883</v>
      </c>
      <c r="C5801" s="879" t="s">
        <v>227</v>
      </c>
      <c r="D5801" s="880" t="s">
        <v>31145</v>
      </c>
    </row>
    <row r="5802" spans="1:4" ht="13.5" x14ac:dyDescent="0.25">
      <c r="A5802" s="878" t="s">
        <v>14884</v>
      </c>
      <c r="B5802" s="878" t="s">
        <v>14885</v>
      </c>
      <c r="C5802" s="879" t="s">
        <v>227</v>
      </c>
      <c r="D5802" s="880" t="s">
        <v>43338</v>
      </c>
    </row>
    <row r="5803" spans="1:4" ht="13.5" x14ac:dyDescent="0.25">
      <c r="A5803" s="878" t="s">
        <v>14886</v>
      </c>
      <c r="B5803" s="878" t="s">
        <v>14887</v>
      </c>
      <c r="C5803" s="879" t="s">
        <v>227</v>
      </c>
      <c r="D5803" s="880" t="s">
        <v>43339</v>
      </c>
    </row>
    <row r="5804" spans="1:4" ht="13.5" x14ac:dyDescent="0.25">
      <c r="A5804" s="878" t="s">
        <v>14888</v>
      </c>
      <c r="B5804" s="878" t="s">
        <v>14889</v>
      </c>
      <c r="C5804" s="879" t="s">
        <v>227</v>
      </c>
      <c r="D5804" s="880" t="s">
        <v>43340</v>
      </c>
    </row>
    <row r="5805" spans="1:4" ht="13.5" x14ac:dyDescent="0.25">
      <c r="A5805" s="878" t="s">
        <v>14890</v>
      </c>
      <c r="B5805" s="878" t="s">
        <v>14891</v>
      </c>
      <c r="C5805" s="879" t="s">
        <v>227</v>
      </c>
      <c r="D5805" s="880" t="s">
        <v>43341</v>
      </c>
    </row>
    <row r="5806" spans="1:4" ht="13.5" x14ac:dyDescent="0.25">
      <c r="A5806" s="878" t="s">
        <v>14892</v>
      </c>
      <c r="B5806" s="878" t="s">
        <v>14893</v>
      </c>
      <c r="C5806" s="879" t="s">
        <v>227</v>
      </c>
      <c r="D5806" s="880" t="s">
        <v>43342</v>
      </c>
    </row>
    <row r="5807" spans="1:4" ht="13.5" x14ac:dyDescent="0.25">
      <c r="A5807" s="878" t="s">
        <v>14894</v>
      </c>
      <c r="B5807" s="878" t="s">
        <v>14895</v>
      </c>
      <c r="C5807" s="879" t="s">
        <v>227</v>
      </c>
      <c r="D5807" s="880" t="s">
        <v>43343</v>
      </c>
    </row>
    <row r="5808" spans="1:4" ht="13.5" x14ac:dyDescent="0.25">
      <c r="A5808" s="878" t="s">
        <v>14896</v>
      </c>
      <c r="B5808" s="878" t="s">
        <v>14897</v>
      </c>
      <c r="C5808" s="879" t="s">
        <v>227</v>
      </c>
      <c r="D5808" s="880" t="s">
        <v>43344</v>
      </c>
    </row>
    <row r="5809" spans="1:4" ht="13.5" x14ac:dyDescent="0.25">
      <c r="A5809" s="878" t="s">
        <v>14898</v>
      </c>
      <c r="B5809" s="878" t="s">
        <v>14899</v>
      </c>
      <c r="C5809" s="879" t="s">
        <v>227</v>
      </c>
      <c r="D5809" s="880" t="s">
        <v>43345</v>
      </c>
    </row>
    <row r="5810" spans="1:4" ht="13.5" x14ac:dyDescent="0.25">
      <c r="A5810" s="878" t="s">
        <v>14900</v>
      </c>
      <c r="B5810" s="878" t="s">
        <v>14901</v>
      </c>
      <c r="C5810" s="879" t="s">
        <v>227</v>
      </c>
      <c r="D5810" s="880" t="s">
        <v>43346</v>
      </c>
    </row>
    <row r="5811" spans="1:4" ht="13.5" x14ac:dyDescent="0.25">
      <c r="A5811" s="878" t="s">
        <v>14902</v>
      </c>
      <c r="B5811" s="878" t="s">
        <v>14903</v>
      </c>
      <c r="C5811" s="879" t="s">
        <v>227</v>
      </c>
      <c r="D5811" s="880" t="s">
        <v>43347</v>
      </c>
    </row>
    <row r="5812" spans="1:4" ht="13.5" x14ac:dyDescent="0.25">
      <c r="A5812" s="878" t="s">
        <v>14905</v>
      </c>
      <c r="B5812" s="878" t="s">
        <v>14906</v>
      </c>
      <c r="C5812" s="879" t="s">
        <v>227</v>
      </c>
      <c r="D5812" s="880" t="s">
        <v>42411</v>
      </c>
    </row>
    <row r="5813" spans="1:4" ht="13.5" x14ac:dyDescent="0.25">
      <c r="A5813" s="878" t="s">
        <v>14907</v>
      </c>
      <c r="B5813" s="878" t="s">
        <v>14908</v>
      </c>
      <c r="C5813" s="879" t="s">
        <v>227</v>
      </c>
      <c r="D5813" s="880" t="s">
        <v>42157</v>
      </c>
    </row>
    <row r="5814" spans="1:4" ht="13.5" x14ac:dyDescent="0.25">
      <c r="A5814" s="878" t="s">
        <v>14909</v>
      </c>
      <c r="B5814" s="878" t="s">
        <v>14910</v>
      </c>
      <c r="C5814" s="879" t="s">
        <v>227</v>
      </c>
      <c r="D5814" s="880" t="s">
        <v>40042</v>
      </c>
    </row>
    <row r="5815" spans="1:4" ht="13.5" x14ac:dyDescent="0.25">
      <c r="A5815" s="878" t="s">
        <v>14911</v>
      </c>
      <c r="B5815" s="878" t="s">
        <v>14912</v>
      </c>
      <c r="C5815" s="879" t="s">
        <v>227</v>
      </c>
      <c r="D5815" s="880" t="s">
        <v>43348</v>
      </c>
    </row>
    <row r="5816" spans="1:4" ht="13.5" x14ac:dyDescent="0.25">
      <c r="A5816" s="878" t="s">
        <v>14913</v>
      </c>
      <c r="B5816" s="878" t="s">
        <v>14914</v>
      </c>
      <c r="C5816" s="879" t="s">
        <v>227</v>
      </c>
      <c r="D5816" s="880" t="s">
        <v>31198</v>
      </c>
    </row>
    <row r="5817" spans="1:4" ht="13.5" x14ac:dyDescent="0.25">
      <c r="A5817" s="878" t="s">
        <v>14915</v>
      </c>
      <c r="B5817" s="878" t="s">
        <v>14916</v>
      </c>
      <c r="C5817" s="879" t="s">
        <v>227</v>
      </c>
      <c r="D5817" s="880" t="s">
        <v>43349</v>
      </c>
    </row>
    <row r="5818" spans="1:4" ht="13.5" x14ac:dyDescent="0.25">
      <c r="A5818" s="878" t="s">
        <v>14917</v>
      </c>
      <c r="B5818" s="878" t="s">
        <v>14918</v>
      </c>
      <c r="C5818" s="879" t="s">
        <v>158</v>
      </c>
      <c r="D5818" s="880" t="s">
        <v>43350</v>
      </c>
    </row>
    <row r="5819" spans="1:4" ht="13.5" x14ac:dyDescent="0.25">
      <c r="A5819" s="878" t="s">
        <v>14919</v>
      </c>
      <c r="B5819" s="878" t="s">
        <v>14920</v>
      </c>
      <c r="C5819" s="879" t="s">
        <v>158</v>
      </c>
      <c r="D5819" s="880" t="s">
        <v>43351</v>
      </c>
    </row>
    <row r="5820" spans="1:4" ht="13.5" x14ac:dyDescent="0.25">
      <c r="A5820" s="878" t="s">
        <v>14921</v>
      </c>
      <c r="B5820" s="878" t="s">
        <v>14922</v>
      </c>
      <c r="C5820" s="879" t="s">
        <v>227</v>
      </c>
      <c r="D5820" s="880" t="s">
        <v>43352</v>
      </c>
    </row>
    <row r="5821" spans="1:4" ht="13.5" x14ac:dyDescent="0.25">
      <c r="A5821" s="878" t="s">
        <v>14923</v>
      </c>
      <c r="B5821" s="878" t="s">
        <v>14924</v>
      </c>
      <c r="C5821" s="879" t="s">
        <v>227</v>
      </c>
      <c r="D5821" s="880" t="s">
        <v>40052</v>
      </c>
    </row>
    <row r="5822" spans="1:4" ht="13.5" x14ac:dyDescent="0.25">
      <c r="A5822" s="878" t="s">
        <v>14925</v>
      </c>
      <c r="B5822" s="878" t="s">
        <v>14926</v>
      </c>
      <c r="C5822" s="879" t="s">
        <v>227</v>
      </c>
      <c r="D5822" s="880" t="s">
        <v>31027</v>
      </c>
    </row>
    <row r="5823" spans="1:4" ht="13.5" x14ac:dyDescent="0.25">
      <c r="A5823" s="878" t="s">
        <v>14927</v>
      </c>
      <c r="B5823" s="878" t="s">
        <v>14928</v>
      </c>
      <c r="C5823" s="879" t="s">
        <v>227</v>
      </c>
      <c r="D5823" s="880" t="s">
        <v>43353</v>
      </c>
    </row>
    <row r="5824" spans="1:4" ht="13.5" x14ac:dyDescent="0.25">
      <c r="A5824" s="878" t="s">
        <v>14929</v>
      </c>
      <c r="B5824" s="878" t="s">
        <v>14930</v>
      </c>
      <c r="C5824" s="879" t="s">
        <v>227</v>
      </c>
      <c r="D5824" s="880" t="s">
        <v>43354</v>
      </c>
    </row>
    <row r="5825" spans="1:4" ht="13.5" x14ac:dyDescent="0.25">
      <c r="A5825" s="878" t="s">
        <v>14931</v>
      </c>
      <c r="B5825" s="878" t="s">
        <v>14932</v>
      </c>
      <c r="C5825" s="879" t="s">
        <v>227</v>
      </c>
      <c r="D5825" s="880" t="s">
        <v>43355</v>
      </c>
    </row>
    <row r="5826" spans="1:4" ht="13.5" x14ac:dyDescent="0.25">
      <c r="A5826" s="878" t="s">
        <v>14933</v>
      </c>
      <c r="B5826" s="878" t="s">
        <v>14934</v>
      </c>
      <c r="C5826" s="879" t="s">
        <v>227</v>
      </c>
      <c r="D5826" s="880" t="s">
        <v>43356</v>
      </c>
    </row>
    <row r="5827" spans="1:4" ht="13.5" x14ac:dyDescent="0.25">
      <c r="A5827" s="878" t="s">
        <v>14935</v>
      </c>
      <c r="B5827" s="878" t="s">
        <v>14936</v>
      </c>
      <c r="C5827" s="879" t="s">
        <v>227</v>
      </c>
      <c r="D5827" s="880" t="s">
        <v>43357</v>
      </c>
    </row>
    <row r="5828" spans="1:4" ht="13.5" x14ac:dyDescent="0.25">
      <c r="A5828" s="878" t="s">
        <v>14937</v>
      </c>
      <c r="B5828" s="878" t="s">
        <v>14938</v>
      </c>
      <c r="C5828" s="879" t="s">
        <v>227</v>
      </c>
      <c r="D5828" s="880" t="s">
        <v>43358</v>
      </c>
    </row>
    <row r="5829" spans="1:4" ht="13.5" x14ac:dyDescent="0.25">
      <c r="A5829" s="878" t="s">
        <v>14939</v>
      </c>
      <c r="B5829" s="878" t="s">
        <v>14940</v>
      </c>
      <c r="C5829" s="879" t="s">
        <v>227</v>
      </c>
      <c r="D5829" s="880" t="s">
        <v>43359</v>
      </c>
    </row>
    <row r="5830" spans="1:4" ht="13.5" x14ac:dyDescent="0.25">
      <c r="A5830" s="878" t="s">
        <v>14941</v>
      </c>
      <c r="B5830" s="878" t="s">
        <v>14942</v>
      </c>
      <c r="C5830" s="879" t="s">
        <v>227</v>
      </c>
      <c r="D5830" s="880" t="s">
        <v>43360</v>
      </c>
    </row>
    <row r="5831" spans="1:4" ht="13.5" x14ac:dyDescent="0.25">
      <c r="A5831" s="878" t="s">
        <v>14943</v>
      </c>
      <c r="B5831" s="878" t="s">
        <v>14944</v>
      </c>
      <c r="C5831" s="879" t="s">
        <v>227</v>
      </c>
      <c r="D5831" s="880" t="s">
        <v>42663</v>
      </c>
    </row>
    <row r="5832" spans="1:4" ht="13.5" x14ac:dyDescent="0.25">
      <c r="A5832" s="878" t="s">
        <v>14945</v>
      </c>
      <c r="B5832" s="878" t="s">
        <v>14946</v>
      </c>
      <c r="C5832" s="879" t="s">
        <v>227</v>
      </c>
      <c r="D5832" s="880" t="s">
        <v>42618</v>
      </c>
    </row>
    <row r="5833" spans="1:4" ht="13.5" x14ac:dyDescent="0.25">
      <c r="A5833" s="878" t="s">
        <v>14947</v>
      </c>
      <c r="B5833" s="878" t="s">
        <v>14948</v>
      </c>
      <c r="C5833" s="879" t="s">
        <v>227</v>
      </c>
      <c r="D5833" s="880" t="s">
        <v>43361</v>
      </c>
    </row>
    <row r="5834" spans="1:4" ht="13.5" x14ac:dyDescent="0.25">
      <c r="A5834" s="878" t="s">
        <v>14949</v>
      </c>
      <c r="B5834" s="878" t="s">
        <v>14950</v>
      </c>
      <c r="C5834" s="879" t="s">
        <v>227</v>
      </c>
      <c r="D5834" s="880" t="s">
        <v>43362</v>
      </c>
    </row>
    <row r="5835" spans="1:4" ht="13.5" x14ac:dyDescent="0.25">
      <c r="A5835" s="878" t="s">
        <v>14951</v>
      </c>
      <c r="B5835" s="878" t="s">
        <v>14952</v>
      </c>
      <c r="C5835" s="879" t="s">
        <v>159</v>
      </c>
      <c r="D5835" s="880" t="s">
        <v>43363</v>
      </c>
    </row>
    <row r="5836" spans="1:4" ht="13.5" x14ac:dyDescent="0.25">
      <c r="A5836" s="878" t="s">
        <v>14953</v>
      </c>
      <c r="B5836" s="878" t="s">
        <v>14954</v>
      </c>
      <c r="C5836" s="879" t="s">
        <v>159</v>
      </c>
      <c r="D5836" s="880" t="s">
        <v>30904</v>
      </c>
    </row>
    <row r="5837" spans="1:4" ht="13.5" x14ac:dyDescent="0.25">
      <c r="A5837" s="878" t="s">
        <v>14955</v>
      </c>
      <c r="B5837" s="878" t="s">
        <v>14956</v>
      </c>
      <c r="C5837" s="879" t="s">
        <v>159</v>
      </c>
      <c r="D5837" s="880" t="s">
        <v>43364</v>
      </c>
    </row>
    <row r="5838" spans="1:4" ht="13.5" x14ac:dyDescent="0.25">
      <c r="A5838" s="878" t="s">
        <v>14957</v>
      </c>
      <c r="B5838" s="878" t="s">
        <v>14958</v>
      </c>
      <c r="C5838" s="879" t="s">
        <v>159</v>
      </c>
      <c r="D5838" s="880" t="s">
        <v>43365</v>
      </c>
    </row>
    <row r="5839" spans="1:4" ht="13.5" x14ac:dyDescent="0.25">
      <c r="A5839" s="878" t="s">
        <v>14959</v>
      </c>
      <c r="B5839" s="878" t="s">
        <v>14960</v>
      </c>
      <c r="C5839" s="879" t="s">
        <v>159</v>
      </c>
      <c r="D5839" s="880" t="s">
        <v>43366</v>
      </c>
    </row>
    <row r="5840" spans="1:4" ht="13.5" x14ac:dyDescent="0.25">
      <c r="A5840" s="878" t="s">
        <v>14961</v>
      </c>
      <c r="B5840" s="878" t="s">
        <v>14962</v>
      </c>
      <c r="C5840" s="879" t="s">
        <v>159</v>
      </c>
      <c r="D5840" s="880" t="s">
        <v>43367</v>
      </c>
    </row>
    <row r="5841" spans="1:4" ht="13.5" x14ac:dyDescent="0.25">
      <c r="A5841" s="878" t="s">
        <v>14964</v>
      </c>
      <c r="B5841" s="878" t="s">
        <v>14965</v>
      </c>
      <c r="C5841" s="879" t="s">
        <v>159</v>
      </c>
      <c r="D5841" s="880" t="s">
        <v>31025</v>
      </c>
    </row>
    <row r="5842" spans="1:4" ht="13.5" x14ac:dyDescent="0.25">
      <c r="A5842" s="878" t="s">
        <v>14966</v>
      </c>
      <c r="B5842" s="878" t="s">
        <v>14967</v>
      </c>
      <c r="C5842" s="879" t="s">
        <v>159</v>
      </c>
      <c r="D5842" s="880" t="s">
        <v>43368</v>
      </c>
    </row>
    <row r="5843" spans="1:4" ht="13.5" x14ac:dyDescent="0.25">
      <c r="A5843" s="878" t="s">
        <v>14968</v>
      </c>
      <c r="B5843" s="878" t="s">
        <v>14969</v>
      </c>
      <c r="C5843" s="879" t="s">
        <v>159</v>
      </c>
      <c r="D5843" s="880" t="s">
        <v>42596</v>
      </c>
    </row>
    <row r="5844" spans="1:4" ht="13.5" x14ac:dyDescent="0.25">
      <c r="A5844" s="878" t="s">
        <v>14970</v>
      </c>
      <c r="B5844" s="878" t="s">
        <v>14971</v>
      </c>
      <c r="C5844" s="879" t="s">
        <v>159</v>
      </c>
      <c r="D5844" s="880" t="s">
        <v>42617</v>
      </c>
    </row>
    <row r="5845" spans="1:4" ht="13.5" x14ac:dyDescent="0.25">
      <c r="A5845" s="878" t="s">
        <v>14972</v>
      </c>
      <c r="B5845" s="878" t="s">
        <v>14973</v>
      </c>
      <c r="C5845" s="879" t="s">
        <v>159</v>
      </c>
      <c r="D5845" s="880" t="s">
        <v>43369</v>
      </c>
    </row>
    <row r="5846" spans="1:4" ht="13.5" x14ac:dyDescent="0.25">
      <c r="A5846" s="878" t="s">
        <v>14974</v>
      </c>
      <c r="B5846" s="878" t="s">
        <v>14975</v>
      </c>
      <c r="C5846" s="879" t="s">
        <v>159</v>
      </c>
      <c r="D5846" s="880" t="s">
        <v>43370</v>
      </c>
    </row>
    <row r="5847" spans="1:4" ht="13.5" x14ac:dyDescent="0.25">
      <c r="A5847" s="878" t="s">
        <v>14976</v>
      </c>
      <c r="B5847" s="878" t="s">
        <v>14977</v>
      </c>
      <c r="C5847" s="879" t="s">
        <v>159</v>
      </c>
      <c r="D5847" s="880" t="s">
        <v>42297</v>
      </c>
    </row>
    <row r="5848" spans="1:4" ht="13.5" x14ac:dyDescent="0.25">
      <c r="A5848" s="878" t="s">
        <v>14979</v>
      </c>
      <c r="B5848" s="878" t="s">
        <v>14980</v>
      </c>
      <c r="C5848" s="879" t="s">
        <v>159</v>
      </c>
      <c r="D5848" s="880" t="s">
        <v>43371</v>
      </c>
    </row>
    <row r="5849" spans="1:4" ht="13.5" x14ac:dyDescent="0.25">
      <c r="A5849" s="878" t="s">
        <v>14981</v>
      </c>
      <c r="B5849" s="878" t="s">
        <v>14982</v>
      </c>
      <c r="C5849" s="879" t="s">
        <v>159</v>
      </c>
      <c r="D5849" s="880" t="s">
        <v>31154</v>
      </c>
    </row>
    <row r="5850" spans="1:4" ht="13.5" x14ac:dyDescent="0.25">
      <c r="A5850" s="878" t="s">
        <v>14983</v>
      </c>
      <c r="B5850" s="878" t="s">
        <v>14984</v>
      </c>
      <c r="C5850" s="879" t="s">
        <v>159</v>
      </c>
      <c r="D5850" s="880" t="s">
        <v>8895</v>
      </c>
    </row>
    <row r="5851" spans="1:4" ht="13.5" x14ac:dyDescent="0.25">
      <c r="A5851" s="878" t="s">
        <v>14985</v>
      </c>
      <c r="B5851" s="878" t="s">
        <v>14986</v>
      </c>
      <c r="C5851" s="879" t="s">
        <v>159</v>
      </c>
      <c r="D5851" s="880" t="s">
        <v>4760</v>
      </c>
    </row>
    <row r="5852" spans="1:4" ht="13.5" x14ac:dyDescent="0.25">
      <c r="A5852" s="878" t="s">
        <v>14987</v>
      </c>
      <c r="B5852" s="878" t="s">
        <v>14988</v>
      </c>
      <c r="C5852" s="879" t="s">
        <v>159</v>
      </c>
      <c r="D5852" s="880" t="s">
        <v>30265</v>
      </c>
    </row>
    <row r="5853" spans="1:4" ht="13.5" x14ac:dyDescent="0.25">
      <c r="A5853" s="878" t="s">
        <v>14990</v>
      </c>
      <c r="B5853" s="878" t="s">
        <v>14991</v>
      </c>
      <c r="C5853" s="879" t="s">
        <v>159</v>
      </c>
      <c r="D5853" s="880" t="s">
        <v>31220</v>
      </c>
    </row>
    <row r="5854" spans="1:4" ht="13.5" x14ac:dyDescent="0.25">
      <c r="A5854" s="878" t="s">
        <v>14992</v>
      </c>
      <c r="B5854" s="878" t="s">
        <v>14993</v>
      </c>
      <c r="C5854" s="879" t="s">
        <v>159</v>
      </c>
      <c r="D5854" s="880" t="s">
        <v>31155</v>
      </c>
    </row>
    <row r="5855" spans="1:4" ht="13.5" x14ac:dyDescent="0.25">
      <c r="A5855" s="878" t="s">
        <v>14994</v>
      </c>
      <c r="B5855" s="878" t="s">
        <v>14995</v>
      </c>
      <c r="C5855" s="879" t="s">
        <v>159</v>
      </c>
      <c r="D5855" s="880" t="s">
        <v>30366</v>
      </c>
    </row>
    <row r="5856" spans="1:4" ht="13.5" x14ac:dyDescent="0.25">
      <c r="A5856" s="878" t="s">
        <v>14996</v>
      </c>
      <c r="B5856" s="878" t="s">
        <v>14997</v>
      </c>
      <c r="C5856" s="879" t="s">
        <v>159</v>
      </c>
      <c r="D5856" s="880" t="s">
        <v>9022</v>
      </c>
    </row>
    <row r="5857" spans="1:4" ht="13.5" x14ac:dyDescent="0.25">
      <c r="A5857" s="878" t="s">
        <v>14998</v>
      </c>
      <c r="B5857" s="878" t="s">
        <v>14999</v>
      </c>
      <c r="C5857" s="879" t="s">
        <v>159</v>
      </c>
      <c r="D5857" s="880" t="s">
        <v>31156</v>
      </c>
    </row>
    <row r="5858" spans="1:4" ht="13.5" x14ac:dyDescent="0.25">
      <c r="A5858" s="878" t="s">
        <v>15001</v>
      </c>
      <c r="B5858" s="878" t="s">
        <v>15002</v>
      </c>
      <c r="C5858" s="879" t="s">
        <v>159</v>
      </c>
      <c r="D5858" s="880" t="s">
        <v>43372</v>
      </c>
    </row>
    <row r="5859" spans="1:4" ht="13.5" x14ac:dyDescent="0.25">
      <c r="A5859" s="878" t="s">
        <v>15003</v>
      </c>
      <c r="B5859" s="878" t="s">
        <v>15004</v>
      </c>
      <c r="C5859" s="879" t="s">
        <v>159</v>
      </c>
      <c r="D5859" s="880" t="s">
        <v>31158</v>
      </c>
    </row>
    <row r="5860" spans="1:4" ht="13.5" x14ac:dyDescent="0.25">
      <c r="A5860" s="878" t="s">
        <v>15005</v>
      </c>
      <c r="B5860" s="878" t="s">
        <v>15006</v>
      </c>
      <c r="C5860" s="879" t="s">
        <v>159</v>
      </c>
      <c r="D5860" s="880" t="s">
        <v>31159</v>
      </c>
    </row>
    <row r="5861" spans="1:4" ht="13.5" x14ac:dyDescent="0.25">
      <c r="A5861" s="878" t="s">
        <v>15007</v>
      </c>
      <c r="B5861" s="878" t="s">
        <v>15008</v>
      </c>
      <c r="C5861" s="879" t="s">
        <v>159</v>
      </c>
      <c r="D5861" s="880" t="s">
        <v>9201</v>
      </c>
    </row>
    <row r="5862" spans="1:4" ht="13.5" x14ac:dyDescent="0.25">
      <c r="A5862" s="878" t="s">
        <v>15009</v>
      </c>
      <c r="B5862" s="878" t="s">
        <v>15010</v>
      </c>
      <c r="C5862" s="879" t="s">
        <v>159</v>
      </c>
      <c r="D5862" s="880" t="s">
        <v>31160</v>
      </c>
    </row>
    <row r="5863" spans="1:4" ht="13.5" x14ac:dyDescent="0.25">
      <c r="A5863" s="878" t="s">
        <v>15011</v>
      </c>
      <c r="B5863" s="878" t="s">
        <v>15012</v>
      </c>
      <c r="C5863" s="879" t="s">
        <v>227</v>
      </c>
      <c r="D5863" s="880" t="s">
        <v>40604</v>
      </c>
    </row>
    <row r="5864" spans="1:4" ht="13.5" x14ac:dyDescent="0.25">
      <c r="A5864" s="878" t="s">
        <v>15013</v>
      </c>
      <c r="B5864" s="878" t="s">
        <v>15014</v>
      </c>
      <c r="C5864" s="879" t="s">
        <v>227</v>
      </c>
      <c r="D5864" s="880" t="s">
        <v>43373</v>
      </c>
    </row>
    <row r="5865" spans="1:4" ht="13.5" x14ac:dyDescent="0.25">
      <c r="A5865" s="878" t="s">
        <v>15015</v>
      </c>
      <c r="B5865" s="878" t="s">
        <v>15016</v>
      </c>
      <c r="C5865" s="879" t="s">
        <v>227</v>
      </c>
      <c r="D5865" s="880" t="s">
        <v>43374</v>
      </c>
    </row>
    <row r="5866" spans="1:4" ht="13.5" x14ac:dyDescent="0.25">
      <c r="A5866" s="878" t="s">
        <v>15017</v>
      </c>
      <c r="B5866" s="878" t="s">
        <v>15018</v>
      </c>
      <c r="C5866" s="879" t="s">
        <v>227</v>
      </c>
      <c r="D5866" s="880" t="s">
        <v>40403</v>
      </c>
    </row>
    <row r="5867" spans="1:4" ht="13.5" x14ac:dyDescent="0.25">
      <c r="A5867" s="878" t="s">
        <v>15019</v>
      </c>
      <c r="B5867" s="878" t="s">
        <v>15020</v>
      </c>
      <c r="C5867" s="879" t="s">
        <v>227</v>
      </c>
      <c r="D5867" s="880" t="s">
        <v>31161</v>
      </c>
    </row>
    <row r="5868" spans="1:4" ht="13.5" x14ac:dyDescent="0.25">
      <c r="A5868" s="878" t="s">
        <v>15021</v>
      </c>
      <c r="B5868" s="878" t="s">
        <v>15022</v>
      </c>
      <c r="C5868" s="879" t="s">
        <v>227</v>
      </c>
      <c r="D5868" s="880" t="s">
        <v>43375</v>
      </c>
    </row>
    <row r="5869" spans="1:4" ht="13.5" x14ac:dyDescent="0.25">
      <c r="A5869" s="878" t="s">
        <v>15023</v>
      </c>
      <c r="B5869" s="878" t="s">
        <v>15024</v>
      </c>
      <c r="C5869" s="879" t="s">
        <v>227</v>
      </c>
      <c r="D5869" s="880" t="s">
        <v>43376</v>
      </c>
    </row>
    <row r="5870" spans="1:4" ht="13.5" x14ac:dyDescent="0.25">
      <c r="A5870" s="878" t="s">
        <v>15025</v>
      </c>
      <c r="B5870" s="878" t="s">
        <v>15026</v>
      </c>
      <c r="C5870" s="879" t="s">
        <v>227</v>
      </c>
      <c r="D5870" s="880" t="s">
        <v>43377</v>
      </c>
    </row>
    <row r="5871" spans="1:4" ht="13.5" x14ac:dyDescent="0.25">
      <c r="A5871" s="878" t="s">
        <v>15027</v>
      </c>
      <c r="B5871" s="878" t="s">
        <v>15028</v>
      </c>
      <c r="C5871" s="879" t="s">
        <v>227</v>
      </c>
      <c r="D5871" s="880" t="s">
        <v>43378</v>
      </c>
    </row>
    <row r="5872" spans="1:4" ht="13.5" x14ac:dyDescent="0.25">
      <c r="A5872" s="878" t="s">
        <v>15029</v>
      </c>
      <c r="B5872" s="878" t="s">
        <v>15030</v>
      </c>
      <c r="C5872" s="879" t="s">
        <v>227</v>
      </c>
      <c r="D5872" s="880" t="s">
        <v>43379</v>
      </c>
    </row>
    <row r="5873" spans="1:4" ht="13.5" x14ac:dyDescent="0.25">
      <c r="A5873" s="878" t="s">
        <v>15031</v>
      </c>
      <c r="B5873" s="878" t="s">
        <v>15032</v>
      </c>
      <c r="C5873" s="879" t="s">
        <v>227</v>
      </c>
      <c r="D5873" s="880" t="s">
        <v>43380</v>
      </c>
    </row>
    <row r="5874" spans="1:4" ht="13.5" x14ac:dyDescent="0.25">
      <c r="A5874" s="878" t="s">
        <v>15033</v>
      </c>
      <c r="B5874" s="878" t="s">
        <v>15034</v>
      </c>
      <c r="C5874" s="879" t="s">
        <v>227</v>
      </c>
      <c r="D5874" s="880" t="s">
        <v>43381</v>
      </c>
    </row>
    <row r="5875" spans="1:4" ht="13.5" x14ac:dyDescent="0.25">
      <c r="A5875" s="878" t="s">
        <v>15035</v>
      </c>
      <c r="B5875" s="878" t="s">
        <v>15036</v>
      </c>
      <c r="C5875" s="879" t="s">
        <v>227</v>
      </c>
      <c r="D5875" s="880" t="s">
        <v>43382</v>
      </c>
    </row>
    <row r="5876" spans="1:4" ht="13.5" x14ac:dyDescent="0.25">
      <c r="A5876" s="878" t="s">
        <v>15037</v>
      </c>
      <c r="B5876" s="878" t="s">
        <v>15038</v>
      </c>
      <c r="C5876" s="879" t="s">
        <v>227</v>
      </c>
      <c r="D5876" s="880" t="s">
        <v>43383</v>
      </c>
    </row>
    <row r="5877" spans="1:4" ht="13.5" x14ac:dyDescent="0.25">
      <c r="A5877" s="878" t="s">
        <v>15039</v>
      </c>
      <c r="B5877" s="878" t="s">
        <v>15040</v>
      </c>
      <c r="C5877" s="879" t="s">
        <v>227</v>
      </c>
      <c r="D5877" s="880" t="s">
        <v>43384</v>
      </c>
    </row>
    <row r="5878" spans="1:4" ht="13.5" x14ac:dyDescent="0.25">
      <c r="A5878" s="878" t="s">
        <v>15041</v>
      </c>
      <c r="B5878" s="878" t="s">
        <v>15042</v>
      </c>
      <c r="C5878" s="879" t="s">
        <v>227</v>
      </c>
      <c r="D5878" s="880" t="s">
        <v>43385</v>
      </c>
    </row>
    <row r="5879" spans="1:4" ht="13.5" x14ac:dyDescent="0.25">
      <c r="A5879" s="878" t="s">
        <v>15043</v>
      </c>
      <c r="B5879" s="878" t="s">
        <v>15044</v>
      </c>
      <c r="C5879" s="879" t="s">
        <v>227</v>
      </c>
      <c r="D5879" s="880" t="s">
        <v>43386</v>
      </c>
    </row>
    <row r="5880" spans="1:4" ht="13.5" x14ac:dyDescent="0.25">
      <c r="A5880" s="878" t="s">
        <v>15045</v>
      </c>
      <c r="B5880" s="878" t="s">
        <v>15046</v>
      </c>
      <c r="C5880" s="879" t="s">
        <v>227</v>
      </c>
      <c r="D5880" s="880" t="s">
        <v>43387</v>
      </c>
    </row>
    <row r="5881" spans="1:4" ht="13.5" x14ac:dyDescent="0.25">
      <c r="A5881" s="878" t="s">
        <v>15047</v>
      </c>
      <c r="B5881" s="878" t="s">
        <v>15048</v>
      </c>
      <c r="C5881" s="879" t="s">
        <v>227</v>
      </c>
      <c r="D5881" s="880" t="s">
        <v>43388</v>
      </c>
    </row>
    <row r="5882" spans="1:4" ht="13.5" x14ac:dyDescent="0.25">
      <c r="A5882" s="878" t="s">
        <v>15049</v>
      </c>
      <c r="B5882" s="878" t="s">
        <v>15050</v>
      </c>
      <c r="C5882" s="879" t="s">
        <v>159</v>
      </c>
      <c r="D5882" s="880" t="s">
        <v>43389</v>
      </c>
    </row>
    <row r="5883" spans="1:4" ht="13.5" x14ac:dyDescent="0.25">
      <c r="A5883" s="878" t="s">
        <v>15051</v>
      </c>
      <c r="B5883" s="878" t="s">
        <v>15052</v>
      </c>
      <c r="C5883" s="879" t="s">
        <v>227</v>
      </c>
      <c r="D5883" s="880" t="s">
        <v>43390</v>
      </c>
    </row>
    <row r="5884" spans="1:4" ht="13.5" x14ac:dyDescent="0.25">
      <c r="A5884" s="878" t="s">
        <v>15053</v>
      </c>
      <c r="B5884" s="878" t="s">
        <v>15054</v>
      </c>
      <c r="C5884" s="879" t="s">
        <v>227</v>
      </c>
      <c r="D5884" s="880" t="s">
        <v>43391</v>
      </c>
    </row>
    <row r="5885" spans="1:4" ht="13.5" x14ac:dyDescent="0.25">
      <c r="A5885" s="878" t="s">
        <v>15055</v>
      </c>
      <c r="B5885" s="878" t="s">
        <v>15056</v>
      </c>
      <c r="C5885" s="879" t="s">
        <v>227</v>
      </c>
      <c r="D5885" s="880" t="s">
        <v>43392</v>
      </c>
    </row>
    <row r="5886" spans="1:4" ht="13.5" x14ac:dyDescent="0.25">
      <c r="A5886" s="878" t="s">
        <v>15057</v>
      </c>
      <c r="B5886" s="878" t="s">
        <v>15058</v>
      </c>
      <c r="C5886" s="879" t="s">
        <v>159</v>
      </c>
      <c r="D5886" s="880" t="s">
        <v>43393</v>
      </c>
    </row>
    <row r="5887" spans="1:4" ht="13.5" x14ac:dyDescent="0.25">
      <c r="A5887" s="878" t="s">
        <v>15059</v>
      </c>
      <c r="B5887" s="878" t="s">
        <v>15060</v>
      </c>
      <c r="C5887" s="879" t="s">
        <v>159</v>
      </c>
      <c r="D5887" s="880" t="s">
        <v>43394</v>
      </c>
    </row>
    <row r="5888" spans="1:4" ht="13.5" x14ac:dyDescent="0.25">
      <c r="A5888" s="878" t="s">
        <v>15062</v>
      </c>
      <c r="B5888" s="878" t="s">
        <v>15063</v>
      </c>
      <c r="C5888" s="879" t="s">
        <v>159</v>
      </c>
      <c r="D5888" s="880" t="s">
        <v>4532</v>
      </c>
    </row>
    <row r="5889" spans="1:4" ht="13.5" x14ac:dyDescent="0.25">
      <c r="A5889" s="878" t="s">
        <v>15064</v>
      </c>
      <c r="B5889" s="878" t="s">
        <v>15065</v>
      </c>
      <c r="C5889" s="879" t="s">
        <v>159</v>
      </c>
      <c r="D5889" s="880" t="s">
        <v>4335</v>
      </c>
    </row>
    <row r="5890" spans="1:4" ht="13.5" x14ac:dyDescent="0.25">
      <c r="A5890" s="878" t="s">
        <v>15066</v>
      </c>
      <c r="B5890" s="878" t="s">
        <v>15067</v>
      </c>
      <c r="C5890" s="879" t="s">
        <v>159</v>
      </c>
      <c r="D5890" s="880" t="s">
        <v>17198</v>
      </c>
    </row>
    <row r="5891" spans="1:4" ht="13.5" x14ac:dyDescent="0.25">
      <c r="A5891" s="878" t="s">
        <v>15068</v>
      </c>
      <c r="B5891" s="878" t="s">
        <v>15069</v>
      </c>
      <c r="C5891" s="879" t="s">
        <v>159</v>
      </c>
      <c r="D5891" s="880" t="s">
        <v>43395</v>
      </c>
    </row>
    <row r="5892" spans="1:4" ht="13.5" x14ac:dyDescent="0.25">
      <c r="A5892" s="878" t="s">
        <v>15070</v>
      </c>
      <c r="B5892" s="878" t="s">
        <v>15071</v>
      </c>
      <c r="C5892" s="879" t="s">
        <v>159</v>
      </c>
      <c r="D5892" s="880" t="s">
        <v>43396</v>
      </c>
    </row>
    <row r="5893" spans="1:4" ht="13.5" x14ac:dyDescent="0.25">
      <c r="A5893" s="878" t="s">
        <v>15072</v>
      </c>
      <c r="B5893" s="878" t="s">
        <v>15073</v>
      </c>
      <c r="C5893" s="879" t="s">
        <v>159</v>
      </c>
      <c r="D5893" s="880" t="s">
        <v>43397</v>
      </c>
    </row>
    <row r="5894" spans="1:4" ht="13.5" x14ac:dyDescent="0.25">
      <c r="A5894" s="878" t="s">
        <v>15074</v>
      </c>
      <c r="B5894" s="878" t="s">
        <v>15075</v>
      </c>
      <c r="C5894" s="879" t="s">
        <v>159</v>
      </c>
      <c r="D5894" s="880" t="s">
        <v>43398</v>
      </c>
    </row>
    <row r="5895" spans="1:4" ht="13.5" x14ac:dyDescent="0.25">
      <c r="A5895" s="878" t="s">
        <v>15076</v>
      </c>
      <c r="B5895" s="878" t="s">
        <v>15077</v>
      </c>
      <c r="C5895" s="879" t="s">
        <v>159</v>
      </c>
      <c r="D5895" s="880" t="s">
        <v>43399</v>
      </c>
    </row>
    <row r="5896" spans="1:4" ht="13.5" x14ac:dyDescent="0.25">
      <c r="A5896" s="878" t="s">
        <v>15078</v>
      </c>
      <c r="B5896" s="878" t="s">
        <v>15079</v>
      </c>
      <c r="C5896" s="879" t="s">
        <v>159</v>
      </c>
      <c r="D5896" s="880" t="s">
        <v>43400</v>
      </c>
    </row>
    <row r="5897" spans="1:4" ht="13.5" x14ac:dyDescent="0.25">
      <c r="A5897" s="878" t="s">
        <v>15080</v>
      </c>
      <c r="B5897" s="878" t="s">
        <v>15081</v>
      </c>
      <c r="C5897" s="879" t="s">
        <v>159</v>
      </c>
      <c r="D5897" s="880" t="s">
        <v>43401</v>
      </c>
    </row>
    <row r="5898" spans="1:4" ht="13.5" x14ac:dyDescent="0.25">
      <c r="A5898" s="878" t="s">
        <v>15082</v>
      </c>
      <c r="B5898" s="878" t="s">
        <v>15083</v>
      </c>
      <c r="C5898" s="879" t="s">
        <v>159</v>
      </c>
      <c r="D5898" s="880" t="s">
        <v>31080</v>
      </c>
    </row>
    <row r="5899" spans="1:4" ht="13.5" x14ac:dyDescent="0.25">
      <c r="A5899" s="878" t="s">
        <v>15084</v>
      </c>
      <c r="B5899" s="878" t="s">
        <v>15085</v>
      </c>
      <c r="C5899" s="879" t="s">
        <v>159</v>
      </c>
      <c r="D5899" s="880" t="s">
        <v>43402</v>
      </c>
    </row>
    <row r="5900" spans="1:4" ht="13.5" x14ac:dyDescent="0.25">
      <c r="A5900" s="878" t="s">
        <v>15086</v>
      </c>
      <c r="B5900" s="878" t="s">
        <v>15087</v>
      </c>
      <c r="C5900" s="879" t="s">
        <v>159</v>
      </c>
      <c r="D5900" s="880" t="s">
        <v>43403</v>
      </c>
    </row>
    <row r="5901" spans="1:4" ht="13.5" x14ac:dyDescent="0.25">
      <c r="A5901" s="878" t="s">
        <v>15088</v>
      </c>
      <c r="B5901" s="878" t="s">
        <v>15089</v>
      </c>
      <c r="C5901" s="879" t="s">
        <v>159</v>
      </c>
      <c r="D5901" s="880" t="s">
        <v>43404</v>
      </c>
    </row>
    <row r="5902" spans="1:4" ht="13.5" x14ac:dyDescent="0.25">
      <c r="A5902" s="878" t="s">
        <v>15090</v>
      </c>
      <c r="B5902" s="878" t="s">
        <v>15091</v>
      </c>
      <c r="C5902" s="879" t="s">
        <v>159</v>
      </c>
      <c r="D5902" s="880" t="s">
        <v>40695</v>
      </c>
    </row>
    <row r="5903" spans="1:4" ht="13.5" x14ac:dyDescent="0.25">
      <c r="A5903" s="878" t="s">
        <v>15092</v>
      </c>
      <c r="B5903" s="878" t="s">
        <v>15093</v>
      </c>
      <c r="C5903" s="879" t="s">
        <v>159</v>
      </c>
      <c r="D5903" s="880" t="s">
        <v>43405</v>
      </c>
    </row>
    <row r="5904" spans="1:4" ht="13.5" x14ac:dyDescent="0.25">
      <c r="A5904" s="878" t="s">
        <v>15094</v>
      </c>
      <c r="B5904" s="878" t="s">
        <v>15095</v>
      </c>
      <c r="C5904" s="879" t="s">
        <v>159</v>
      </c>
      <c r="D5904" s="880" t="s">
        <v>43406</v>
      </c>
    </row>
    <row r="5905" spans="1:4" ht="13.5" x14ac:dyDescent="0.25">
      <c r="A5905" s="878" t="s">
        <v>15096</v>
      </c>
      <c r="B5905" s="878" t="s">
        <v>15097</v>
      </c>
      <c r="C5905" s="879" t="s">
        <v>159</v>
      </c>
      <c r="D5905" s="880" t="s">
        <v>43407</v>
      </c>
    </row>
    <row r="5906" spans="1:4" ht="13.5" x14ac:dyDescent="0.25">
      <c r="A5906" s="878" t="s">
        <v>15098</v>
      </c>
      <c r="B5906" s="878" t="s">
        <v>15099</v>
      </c>
      <c r="C5906" s="879" t="s">
        <v>159</v>
      </c>
      <c r="D5906" s="880" t="s">
        <v>43408</v>
      </c>
    </row>
    <row r="5907" spans="1:4" ht="13.5" x14ac:dyDescent="0.25">
      <c r="A5907" s="878" t="s">
        <v>15100</v>
      </c>
      <c r="B5907" s="878" t="s">
        <v>15101</v>
      </c>
      <c r="C5907" s="879" t="s">
        <v>227</v>
      </c>
      <c r="D5907" s="880" t="s">
        <v>43409</v>
      </c>
    </row>
    <row r="5908" spans="1:4" ht="13.5" x14ac:dyDescent="0.25">
      <c r="A5908" s="878" t="s">
        <v>15102</v>
      </c>
      <c r="B5908" s="878" t="s">
        <v>15103</v>
      </c>
      <c r="C5908" s="879" t="s">
        <v>159</v>
      </c>
      <c r="D5908" s="880" t="s">
        <v>43410</v>
      </c>
    </row>
    <row r="5909" spans="1:4" ht="13.5" x14ac:dyDescent="0.25">
      <c r="A5909" s="878" t="s">
        <v>15104</v>
      </c>
      <c r="B5909" s="878" t="s">
        <v>15105</v>
      </c>
      <c r="C5909" s="879" t="s">
        <v>159</v>
      </c>
      <c r="D5909" s="880" t="s">
        <v>43411</v>
      </c>
    </row>
    <row r="5910" spans="1:4" ht="13.5" x14ac:dyDescent="0.25">
      <c r="A5910" s="878" t="s">
        <v>15106</v>
      </c>
      <c r="B5910" s="878" t="s">
        <v>15107</v>
      </c>
      <c r="C5910" s="879" t="s">
        <v>227</v>
      </c>
      <c r="D5910" s="880" t="s">
        <v>43412</v>
      </c>
    </row>
    <row r="5911" spans="1:4" ht="13.5" x14ac:dyDescent="0.25">
      <c r="A5911" s="878" t="s">
        <v>15108</v>
      </c>
      <c r="B5911" s="878" t="s">
        <v>15109</v>
      </c>
      <c r="C5911" s="879" t="s">
        <v>227</v>
      </c>
      <c r="D5911" s="880" t="s">
        <v>43413</v>
      </c>
    </row>
    <row r="5912" spans="1:4" ht="13.5" x14ac:dyDescent="0.25">
      <c r="A5912" s="878" t="s">
        <v>15110</v>
      </c>
      <c r="B5912" s="878" t="s">
        <v>15111</v>
      </c>
      <c r="C5912" s="879" t="s">
        <v>227</v>
      </c>
      <c r="D5912" s="880" t="s">
        <v>43414</v>
      </c>
    </row>
    <row r="5913" spans="1:4" ht="13.5" x14ac:dyDescent="0.25">
      <c r="A5913" s="878" t="s">
        <v>15112</v>
      </c>
      <c r="B5913" s="878" t="s">
        <v>15113</v>
      </c>
      <c r="C5913" s="879" t="s">
        <v>227</v>
      </c>
      <c r="D5913" s="880" t="s">
        <v>43415</v>
      </c>
    </row>
    <row r="5914" spans="1:4" ht="13.5" x14ac:dyDescent="0.25">
      <c r="A5914" s="878" t="s">
        <v>15114</v>
      </c>
      <c r="B5914" s="878" t="s">
        <v>15115</v>
      </c>
      <c r="C5914" s="879" t="s">
        <v>227</v>
      </c>
      <c r="D5914" s="880" t="s">
        <v>43416</v>
      </c>
    </row>
    <row r="5915" spans="1:4" ht="13.5" x14ac:dyDescent="0.25">
      <c r="A5915" s="878" t="s">
        <v>15116</v>
      </c>
      <c r="B5915" s="878" t="s">
        <v>15117</v>
      </c>
      <c r="C5915" s="879" t="s">
        <v>227</v>
      </c>
      <c r="D5915" s="880" t="s">
        <v>43417</v>
      </c>
    </row>
    <row r="5916" spans="1:4" ht="13.5" x14ac:dyDescent="0.25">
      <c r="A5916" s="878" t="s">
        <v>15118</v>
      </c>
      <c r="B5916" s="878" t="s">
        <v>15119</v>
      </c>
      <c r="C5916" s="879" t="s">
        <v>227</v>
      </c>
      <c r="D5916" s="880" t="s">
        <v>31168</v>
      </c>
    </row>
    <row r="5917" spans="1:4" ht="13.5" x14ac:dyDescent="0.25">
      <c r="A5917" s="878" t="s">
        <v>15121</v>
      </c>
      <c r="B5917" s="878" t="s">
        <v>15122</v>
      </c>
      <c r="C5917" s="879" t="s">
        <v>227</v>
      </c>
      <c r="D5917" s="880" t="s">
        <v>4569</v>
      </c>
    </row>
    <row r="5918" spans="1:4" ht="13.5" x14ac:dyDescent="0.25">
      <c r="A5918" s="878" t="s">
        <v>15123</v>
      </c>
      <c r="B5918" s="878" t="s">
        <v>15124</v>
      </c>
      <c r="C5918" s="879" t="s">
        <v>227</v>
      </c>
      <c r="D5918" s="880" t="s">
        <v>31031</v>
      </c>
    </row>
    <row r="5919" spans="1:4" ht="13.5" x14ac:dyDescent="0.25">
      <c r="A5919" s="878" t="s">
        <v>15125</v>
      </c>
      <c r="B5919" s="878" t="s">
        <v>15126</v>
      </c>
      <c r="C5919" s="879" t="s">
        <v>227</v>
      </c>
      <c r="D5919" s="880" t="s">
        <v>30581</v>
      </c>
    </row>
    <row r="5920" spans="1:4" ht="13.5" x14ac:dyDescent="0.25">
      <c r="A5920" s="878" t="s">
        <v>15127</v>
      </c>
      <c r="B5920" s="878" t="s">
        <v>15128</v>
      </c>
      <c r="C5920" s="879" t="s">
        <v>227</v>
      </c>
      <c r="D5920" s="880" t="s">
        <v>43418</v>
      </c>
    </row>
    <row r="5921" spans="1:4" ht="13.5" x14ac:dyDescent="0.25">
      <c r="A5921" s="878" t="s">
        <v>15129</v>
      </c>
      <c r="B5921" s="878" t="s">
        <v>15130</v>
      </c>
      <c r="C5921" s="879" t="s">
        <v>227</v>
      </c>
      <c r="D5921" s="880" t="s">
        <v>8209</v>
      </c>
    </row>
    <row r="5922" spans="1:4" ht="13.5" x14ac:dyDescent="0.25">
      <c r="A5922" s="878" t="s">
        <v>15131</v>
      </c>
      <c r="B5922" s="878" t="s">
        <v>15132</v>
      </c>
      <c r="C5922" s="879" t="s">
        <v>227</v>
      </c>
      <c r="D5922" s="880" t="s">
        <v>43419</v>
      </c>
    </row>
    <row r="5923" spans="1:4" ht="13.5" x14ac:dyDescent="0.25">
      <c r="A5923" s="878" t="s">
        <v>15133</v>
      </c>
      <c r="B5923" s="878" t="s">
        <v>15134</v>
      </c>
      <c r="C5923" s="879" t="s">
        <v>227</v>
      </c>
      <c r="D5923" s="880" t="s">
        <v>42791</v>
      </c>
    </row>
    <row r="5924" spans="1:4" ht="13.5" x14ac:dyDescent="0.25">
      <c r="A5924" s="878" t="s">
        <v>15135</v>
      </c>
      <c r="B5924" s="878" t="s">
        <v>15136</v>
      </c>
      <c r="C5924" s="879" t="s">
        <v>227</v>
      </c>
      <c r="D5924" s="880" t="s">
        <v>43420</v>
      </c>
    </row>
    <row r="5925" spans="1:4" ht="13.5" x14ac:dyDescent="0.25">
      <c r="A5925" s="878" t="s">
        <v>15137</v>
      </c>
      <c r="B5925" s="878" t="s">
        <v>15138</v>
      </c>
      <c r="C5925" s="879" t="s">
        <v>227</v>
      </c>
      <c r="D5925" s="880" t="s">
        <v>30205</v>
      </c>
    </row>
    <row r="5926" spans="1:4" ht="13.5" x14ac:dyDescent="0.25">
      <c r="A5926" s="878" t="s">
        <v>15139</v>
      </c>
      <c r="B5926" s="878" t="s">
        <v>15140</v>
      </c>
      <c r="C5926" s="879" t="s">
        <v>227</v>
      </c>
      <c r="D5926" s="880" t="s">
        <v>43421</v>
      </c>
    </row>
    <row r="5927" spans="1:4" ht="13.5" x14ac:dyDescent="0.25">
      <c r="A5927" s="878" t="s">
        <v>15141</v>
      </c>
      <c r="B5927" s="878" t="s">
        <v>15142</v>
      </c>
      <c r="C5927" s="879" t="s">
        <v>227</v>
      </c>
      <c r="D5927" s="880" t="s">
        <v>43422</v>
      </c>
    </row>
    <row r="5928" spans="1:4" ht="13.5" x14ac:dyDescent="0.25">
      <c r="A5928" s="878" t="s">
        <v>15143</v>
      </c>
      <c r="B5928" s="878" t="s">
        <v>15144</v>
      </c>
      <c r="C5928" s="879" t="s">
        <v>227</v>
      </c>
      <c r="D5928" s="880" t="s">
        <v>43423</v>
      </c>
    </row>
    <row r="5929" spans="1:4" ht="13.5" x14ac:dyDescent="0.25">
      <c r="A5929" s="878" t="s">
        <v>15145</v>
      </c>
      <c r="B5929" s="878" t="s">
        <v>15146</v>
      </c>
      <c r="C5929" s="879" t="s">
        <v>227</v>
      </c>
      <c r="D5929" s="880" t="s">
        <v>43424</v>
      </c>
    </row>
    <row r="5930" spans="1:4" ht="13.5" x14ac:dyDescent="0.25">
      <c r="A5930" s="878" t="s">
        <v>15147</v>
      </c>
      <c r="B5930" s="878" t="s">
        <v>15148</v>
      </c>
      <c r="C5930" s="879" t="s">
        <v>227</v>
      </c>
      <c r="D5930" s="880" t="s">
        <v>43425</v>
      </c>
    </row>
    <row r="5931" spans="1:4" ht="13.5" x14ac:dyDescent="0.25">
      <c r="A5931" s="878" t="s">
        <v>15149</v>
      </c>
      <c r="B5931" s="878" t="s">
        <v>15150</v>
      </c>
      <c r="C5931" s="879" t="s">
        <v>227</v>
      </c>
      <c r="D5931" s="880" t="s">
        <v>43426</v>
      </c>
    </row>
    <row r="5932" spans="1:4" ht="13.5" x14ac:dyDescent="0.25">
      <c r="A5932" s="878" t="s">
        <v>15151</v>
      </c>
      <c r="B5932" s="878" t="s">
        <v>15152</v>
      </c>
      <c r="C5932" s="879" t="s">
        <v>227</v>
      </c>
      <c r="D5932" s="880" t="s">
        <v>43427</v>
      </c>
    </row>
    <row r="5933" spans="1:4" ht="13.5" x14ac:dyDescent="0.25">
      <c r="A5933" s="878" t="s">
        <v>15153</v>
      </c>
      <c r="B5933" s="878" t="s">
        <v>15154</v>
      </c>
      <c r="C5933" s="879" t="s">
        <v>227</v>
      </c>
      <c r="D5933" s="880" t="s">
        <v>43428</v>
      </c>
    </row>
    <row r="5934" spans="1:4" ht="13.5" x14ac:dyDescent="0.25">
      <c r="A5934" s="878" t="s">
        <v>15155</v>
      </c>
      <c r="B5934" s="878" t="s">
        <v>15156</v>
      </c>
      <c r="C5934" s="879" t="s">
        <v>227</v>
      </c>
      <c r="D5934" s="880" t="s">
        <v>43429</v>
      </c>
    </row>
    <row r="5935" spans="1:4" ht="13.5" x14ac:dyDescent="0.25">
      <c r="A5935" s="878" t="s">
        <v>15157</v>
      </c>
      <c r="B5935" s="878" t="s">
        <v>15158</v>
      </c>
      <c r="C5935" s="879" t="s">
        <v>158</v>
      </c>
      <c r="D5935" s="880" t="s">
        <v>43430</v>
      </c>
    </row>
    <row r="5936" spans="1:4" ht="13.5" x14ac:dyDescent="0.25">
      <c r="A5936" s="878" t="s">
        <v>15159</v>
      </c>
      <c r="B5936" s="878" t="s">
        <v>15160</v>
      </c>
      <c r="C5936" s="879" t="s">
        <v>6008</v>
      </c>
      <c r="D5936" s="880" t="s">
        <v>43431</v>
      </c>
    </row>
    <row r="5937" spans="1:4" ht="13.5" x14ac:dyDescent="0.25">
      <c r="A5937" s="878" t="s">
        <v>15161</v>
      </c>
      <c r="B5937" s="878" t="s">
        <v>15162</v>
      </c>
      <c r="C5937" s="879" t="s">
        <v>6008</v>
      </c>
      <c r="D5937" s="880" t="s">
        <v>43432</v>
      </c>
    </row>
    <row r="5938" spans="1:4" ht="13.5" x14ac:dyDescent="0.25">
      <c r="A5938" s="878" t="s">
        <v>15163</v>
      </c>
      <c r="B5938" s="878" t="s">
        <v>15164</v>
      </c>
      <c r="C5938" s="879" t="s">
        <v>6008</v>
      </c>
      <c r="D5938" s="880" t="s">
        <v>43433</v>
      </c>
    </row>
    <row r="5939" spans="1:4" ht="13.5" x14ac:dyDescent="0.25">
      <c r="A5939" s="878" t="s">
        <v>15165</v>
      </c>
      <c r="B5939" s="878" t="s">
        <v>15166</v>
      </c>
      <c r="C5939" s="879" t="s">
        <v>6008</v>
      </c>
      <c r="D5939" s="880" t="s">
        <v>43434</v>
      </c>
    </row>
    <row r="5940" spans="1:4" ht="13.5" x14ac:dyDescent="0.25">
      <c r="A5940" s="878" t="s">
        <v>15167</v>
      </c>
      <c r="B5940" s="878" t="s">
        <v>15168</v>
      </c>
      <c r="C5940" s="879" t="s">
        <v>6008</v>
      </c>
      <c r="D5940" s="880" t="s">
        <v>11957</v>
      </c>
    </row>
    <row r="5941" spans="1:4" ht="13.5" x14ac:dyDescent="0.25">
      <c r="A5941" s="878" t="s">
        <v>15169</v>
      </c>
      <c r="B5941" s="878" t="s">
        <v>15170</v>
      </c>
      <c r="C5941" s="879" t="s">
        <v>6008</v>
      </c>
      <c r="D5941" s="880" t="s">
        <v>43435</v>
      </c>
    </row>
    <row r="5942" spans="1:4" ht="13.5" x14ac:dyDescent="0.25">
      <c r="A5942" s="878" t="s">
        <v>15171</v>
      </c>
      <c r="B5942" s="878" t="s">
        <v>15172</v>
      </c>
      <c r="C5942" s="879" t="s">
        <v>227</v>
      </c>
      <c r="D5942" s="880" t="s">
        <v>43436</v>
      </c>
    </row>
    <row r="5943" spans="1:4" ht="13.5" x14ac:dyDescent="0.25">
      <c r="A5943" s="878" t="s">
        <v>15173</v>
      </c>
      <c r="B5943" s="878" t="s">
        <v>15174</v>
      </c>
      <c r="C5943" s="879" t="s">
        <v>227</v>
      </c>
      <c r="D5943" s="880" t="s">
        <v>43437</v>
      </c>
    </row>
    <row r="5944" spans="1:4" ht="13.5" x14ac:dyDescent="0.25">
      <c r="A5944" s="878" t="s">
        <v>15175</v>
      </c>
      <c r="B5944" s="878" t="s">
        <v>15176</v>
      </c>
      <c r="C5944" s="879" t="s">
        <v>227</v>
      </c>
      <c r="D5944" s="880" t="s">
        <v>43438</v>
      </c>
    </row>
    <row r="5945" spans="1:4" ht="13.5" x14ac:dyDescent="0.25">
      <c r="A5945" s="878" t="s">
        <v>15177</v>
      </c>
      <c r="B5945" s="878" t="s">
        <v>15178</v>
      </c>
      <c r="C5945" s="879" t="s">
        <v>227</v>
      </c>
      <c r="D5945" s="880" t="s">
        <v>43439</v>
      </c>
    </row>
    <row r="5946" spans="1:4" ht="13.5" x14ac:dyDescent="0.25">
      <c r="A5946" s="878" t="s">
        <v>15179</v>
      </c>
      <c r="B5946" s="878" t="s">
        <v>15180</v>
      </c>
      <c r="C5946" s="879" t="s">
        <v>227</v>
      </c>
      <c r="D5946" s="880" t="s">
        <v>30563</v>
      </c>
    </row>
    <row r="5947" spans="1:4" ht="13.5" x14ac:dyDescent="0.25">
      <c r="A5947" s="878" t="s">
        <v>15181</v>
      </c>
      <c r="B5947" s="878" t="s">
        <v>15182</v>
      </c>
      <c r="C5947" s="879" t="s">
        <v>227</v>
      </c>
      <c r="D5947" s="880" t="s">
        <v>43440</v>
      </c>
    </row>
    <row r="5948" spans="1:4" ht="13.5" x14ac:dyDescent="0.25">
      <c r="A5948" s="878" t="s">
        <v>15183</v>
      </c>
      <c r="B5948" s="878" t="s">
        <v>15184</v>
      </c>
      <c r="C5948" s="879" t="s">
        <v>227</v>
      </c>
      <c r="D5948" s="880" t="s">
        <v>43441</v>
      </c>
    </row>
    <row r="5949" spans="1:4" ht="13.5" x14ac:dyDescent="0.25">
      <c r="A5949" s="878" t="s">
        <v>15185</v>
      </c>
      <c r="B5949" s="878" t="s">
        <v>15186</v>
      </c>
      <c r="C5949" s="879" t="s">
        <v>227</v>
      </c>
      <c r="D5949" s="880" t="s">
        <v>43442</v>
      </c>
    </row>
    <row r="5950" spans="1:4" ht="13.5" x14ac:dyDescent="0.25">
      <c r="A5950" s="878" t="s">
        <v>15187</v>
      </c>
      <c r="B5950" s="878" t="s">
        <v>15188</v>
      </c>
      <c r="C5950" s="879" t="s">
        <v>227</v>
      </c>
      <c r="D5950" s="880" t="s">
        <v>13227</v>
      </c>
    </row>
    <row r="5951" spans="1:4" ht="13.5" x14ac:dyDescent="0.25">
      <c r="A5951" s="878" t="s">
        <v>15189</v>
      </c>
      <c r="B5951" s="878" t="s">
        <v>15190</v>
      </c>
      <c r="C5951" s="879" t="s">
        <v>227</v>
      </c>
      <c r="D5951" s="880" t="s">
        <v>43443</v>
      </c>
    </row>
    <row r="5952" spans="1:4" ht="13.5" x14ac:dyDescent="0.25">
      <c r="A5952" s="878" t="s">
        <v>15191</v>
      </c>
      <c r="B5952" s="878" t="s">
        <v>15192</v>
      </c>
      <c r="C5952" s="879" t="s">
        <v>227</v>
      </c>
      <c r="D5952" s="880" t="s">
        <v>43444</v>
      </c>
    </row>
    <row r="5953" spans="1:4" ht="13.5" x14ac:dyDescent="0.25">
      <c r="A5953" s="878" t="s">
        <v>15193</v>
      </c>
      <c r="B5953" s="878" t="s">
        <v>15194</v>
      </c>
      <c r="C5953" s="879" t="s">
        <v>227</v>
      </c>
      <c r="D5953" s="880" t="s">
        <v>43445</v>
      </c>
    </row>
    <row r="5954" spans="1:4" ht="13.5" x14ac:dyDescent="0.25">
      <c r="A5954" s="878" t="s">
        <v>15195</v>
      </c>
      <c r="B5954" s="878" t="s">
        <v>15196</v>
      </c>
      <c r="C5954" s="879" t="s">
        <v>227</v>
      </c>
      <c r="D5954" s="880" t="s">
        <v>43446</v>
      </c>
    </row>
    <row r="5955" spans="1:4" ht="13.5" x14ac:dyDescent="0.25">
      <c r="A5955" s="878" t="s">
        <v>15198</v>
      </c>
      <c r="B5955" s="878" t="s">
        <v>15199</v>
      </c>
      <c r="C5955" s="879" t="s">
        <v>227</v>
      </c>
      <c r="D5955" s="880" t="s">
        <v>40340</v>
      </c>
    </row>
    <row r="5956" spans="1:4" ht="13.5" x14ac:dyDescent="0.25">
      <c r="A5956" s="878" t="s">
        <v>15200</v>
      </c>
      <c r="B5956" s="878" t="s">
        <v>15201</v>
      </c>
      <c r="C5956" s="879" t="s">
        <v>227</v>
      </c>
      <c r="D5956" s="880" t="s">
        <v>3795</v>
      </c>
    </row>
    <row r="5957" spans="1:4" ht="13.5" x14ac:dyDescent="0.25">
      <c r="A5957" s="878" t="s">
        <v>15202</v>
      </c>
      <c r="B5957" s="878" t="s">
        <v>15203</v>
      </c>
      <c r="C5957" s="879" t="s">
        <v>227</v>
      </c>
      <c r="D5957" s="880" t="s">
        <v>30431</v>
      </c>
    </row>
    <row r="5958" spans="1:4" ht="13.5" x14ac:dyDescent="0.25">
      <c r="A5958" s="878" t="s">
        <v>15204</v>
      </c>
      <c r="B5958" s="878" t="s">
        <v>15205</v>
      </c>
      <c r="C5958" s="879" t="s">
        <v>227</v>
      </c>
      <c r="D5958" s="880" t="s">
        <v>43447</v>
      </c>
    </row>
    <row r="5959" spans="1:4" ht="13.5" x14ac:dyDescent="0.25">
      <c r="A5959" s="878" t="s">
        <v>15207</v>
      </c>
      <c r="B5959" s="878" t="s">
        <v>15208</v>
      </c>
      <c r="C5959" s="879" t="s">
        <v>227</v>
      </c>
      <c r="D5959" s="880" t="s">
        <v>42406</v>
      </c>
    </row>
    <row r="5960" spans="1:4" ht="13.5" x14ac:dyDescent="0.25">
      <c r="A5960" s="878" t="s">
        <v>15209</v>
      </c>
      <c r="B5960" s="878" t="s">
        <v>15210</v>
      </c>
      <c r="C5960" s="879" t="s">
        <v>227</v>
      </c>
      <c r="D5960" s="880" t="s">
        <v>8812</v>
      </c>
    </row>
    <row r="5961" spans="1:4" ht="13.5" x14ac:dyDescent="0.25">
      <c r="A5961" s="878" t="s">
        <v>15211</v>
      </c>
      <c r="B5961" s="878" t="s">
        <v>15212</v>
      </c>
      <c r="C5961" s="879" t="s">
        <v>227</v>
      </c>
      <c r="D5961" s="880" t="s">
        <v>40367</v>
      </c>
    </row>
    <row r="5962" spans="1:4" ht="13.5" x14ac:dyDescent="0.25">
      <c r="A5962" s="878" t="s">
        <v>15213</v>
      </c>
      <c r="B5962" s="878" t="s">
        <v>15214</v>
      </c>
      <c r="C5962" s="879" t="s">
        <v>226</v>
      </c>
      <c r="D5962" s="880" t="s">
        <v>43448</v>
      </c>
    </row>
    <row r="5963" spans="1:4" ht="13.5" x14ac:dyDescent="0.25">
      <c r="A5963" s="878" t="s">
        <v>15215</v>
      </c>
      <c r="B5963" s="878" t="s">
        <v>15216</v>
      </c>
      <c r="C5963" s="879" t="s">
        <v>226</v>
      </c>
      <c r="D5963" s="880" t="s">
        <v>43449</v>
      </c>
    </row>
    <row r="5964" spans="1:4" ht="13.5" x14ac:dyDescent="0.25">
      <c r="A5964" s="878" t="s">
        <v>15217</v>
      </c>
      <c r="B5964" s="878" t="s">
        <v>15218</v>
      </c>
      <c r="C5964" s="879" t="s">
        <v>226</v>
      </c>
      <c r="D5964" s="880" t="s">
        <v>42214</v>
      </c>
    </row>
    <row r="5965" spans="1:4" ht="13.5" x14ac:dyDescent="0.25">
      <c r="A5965" s="878" t="s">
        <v>15219</v>
      </c>
      <c r="B5965" s="878" t="s">
        <v>15220</v>
      </c>
      <c r="C5965" s="879" t="s">
        <v>226</v>
      </c>
      <c r="D5965" s="880" t="s">
        <v>43450</v>
      </c>
    </row>
    <row r="5966" spans="1:4" ht="13.5" x14ac:dyDescent="0.25">
      <c r="A5966" s="878" t="s">
        <v>15221</v>
      </c>
      <c r="B5966" s="878" t="s">
        <v>15222</v>
      </c>
      <c r="C5966" s="879" t="s">
        <v>159</v>
      </c>
      <c r="D5966" s="880" t="s">
        <v>43451</v>
      </c>
    </row>
    <row r="5967" spans="1:4" ht="13.5" x14ac:dyDescent="0.25">
      <c r="A5967" s="878" t="s">
        <v>15223</v>
      </c>
      <c r="B5967" s="878" t="s">
        <v>15224</v>
      </c>
      <c r="C5967" s="879" t="s">
        <v>159</v>
      </c>
      <c r="D5967" s="880" t="s">
        <v>40032</v>
      </c>
    </row>
    <row r="5968" spans="1:4" ht="13.5" x14ac:dyDescent="0.25">
      <c r="A5968" s="878" t="s">
        <v>15225</v>
      </c>
      <c r="B5968" s="878" t="s">
        <v>15226</v>
      </c>
      <c r="C5968" s="879" t="s">
        <v>227</v>
      </c>
      <c r="D5968" s="880" t="s">
        <v>43452</v>
      </c>
    </row>
    <row r="5969" spans="1:4" ht="13.5" x14ac:dyDescent="0.25">
      <c r="A5969" s="878" t="s">
        <v>15227</v>
      </c>
      <c r="B5969" s="878" t="s">
        <v>15228</v>
      </c>
      <c r="C5969" s="879" t="s">
        <v>159</v>
      </c>
      <c r="D5969" s="880" t="s">
        <v>30833</v>
      </c>
    </row>
    <row r="5970" spans="1:4" ht="13.5" x14ac:dyDescent="0.25">
      <c r="A5970" s="878" t="s">
        <v>15229</v>
      </c>
      <c r="B5970" s="878" t="s">
        <v>15230</v>
      </c>
      <c r="C5970" s="879" t="s">
        <v>159</v>
      </c>
      <c r="D5970" s="880" t="s">
        <v>30399</v>
      </c>
    </row>
    <row r="5971" spans="1:4" ht="13.5" x14ac:dyDescent="0.25">
      <c r="A5971" s="878" t="s">
        <v>15231</v>
      </c>
      <c r="B5971" s="878" t="s">
        <v>15232</v>
      </c>
      <c r="C5971" s="879" t="s">
        <v>159</v>
      </c>
      <c r="D5971" s="880" t="s">
        <v>4702</v>
      </c>
    </row>
    <row r="5972" spans="1:4" ht="13.5" x14ac:dyDescent="0.25">
      <c r="A5972" s="878" t="s">
        <v>15233</v>
      </c>
      <c r="B5972" s="878" t="s">
        <v>15234</v>
      </c>
      <c r="C5972" s="879" t="s">
        <v>227</v>
      </c>
      <c r="D5972" s="880" t="s">
        <v>41476</v>
      </c>
    </row>
    <row r="5973" spans="1:4" ht="13.5" x14ac:dyDescent="0.25">
      <c r="A5973" s="878" t="s">
        <v>15236</v>
      </c>
      <c r="B5973" s="878" t="s">
        <v>15237</v>
      </c>
      <c r="C5973" s="879" t="s">
        <v>227</v>
      </c>
      <c r="D5973" s="880" t="s">
        <v>42797</v>
      </c>
    </row>
    <row r="5974" spans="1:4" ht="13.5" x14ac:dyDescent="0.25">
      <c r="A5974" s="878" t="s">
        <v>15238</v>
      </c>
      <c r="B5974" s="878" t="s">
        <v>15239</v>
      </c>
      <c r="C5974" s="879" t="s">
        <v>227</v>
      </c>
      <c r="D5974" s="880" t="s">
        <v>31361</v>
      </c>
    </row>
    <row r="5975" spans="1:4" ht="13.5" x14ac:dyDescent="0.25">
      <c r="A5975" s="878" t="s">
        <v>15240</v>
      </c>
      <c r="B5975" s="878" t="s">
        <v>15241</v>
      </c>
      <c r="C5975" s="879" t="s">
        <v>227</v>
      </c>
      <c r="D5975" s="880" t="s">
        <v>30388</v>
      </c>
    </row>
    <row r="5976" spans="1:4" ht="13.5" x14ac:dyDescent="0.25">
      <c r="A5976" s="878" t="s">
        <v>15242</v>
      </c>
      <c r="B5976" s="878" t="s">
        <v>15243</v>
      </c>
      <c r="C5976" s="879" t="s">
        <v>227</v>
      </c>
      <c r="D5976" s="880" t="s">
        <v>17964</v>
      </c>
    </row>
    <row r="5977" spans="1:4" ht="13.5" x14ac:dyDescent="0.25">
      <c r="A5977" s="878" t="s">
        <v>15244</v>
      </c>
      <c r="B5977" s="878" t="s">
        <v>15245</v>
      </c>
      <c r="C5977" s="879" t="s">
        <v>227</v>
      </c>
      <c r="D5977" s="880" t="s">
        <v>31326</v>
      </c>
    </row>
    <row r="5978" spans="1:4" ht="13.5" x14ac:dyDescent="0.25">
      <c r="A5978" s="878" t="s">
        <v>15246</v>
      </c>
      <c r="B5978" s="878" t="s">
        <v>15247</v>
      </c>
      <c r="C5978" s="879" t="s">
        <v>227</v>
      </c>
      <c r="D5978" s="880" t="s">
        <v>7563</v>
      </c>
    </row>
    <row r="5979" spans="1:4" ht="13.5" x14ac:dyDescent="0.25">
      <c r="A5979" s="878" t="s">
        <v>15248</v>
      </c>
      <c r="B5979" s="878" t="s">
        <v>15249</v>
      </c>
      <c r="C5979" s="879" t="s">
        <v>227</v>
      </c>
      <c r="D5979" s="880" t="s">
        <v>43453</v>
      </c>
    </row>
    <row r="5980" spans="1:4" ht="13.5" x14ac:dyDescent="0.25">
      <c r="A5980" s="878" t="s">
        <v>15250</v>
      </c>
      <c r="B5980" s="878" t="s">
        <v>15251</v>
      </c>
      <c r="C5980" s="879" t="s">
        <v>227</v>
      </c>
      <c r="D5980" s="880" t="s">
        <v>30729</v>
      </c>
    </row>
    <row r="5981" spans="1:4" ht="13.5" x14ac:dyDescent="0.25">
      <c r="A5981" s="878" t="s">
        <v>15252</v>
      </c>
      <c r="B5981" s="878" t="s">
        <v>15253</v>
      </c>
      <c r="C5981" s="879" t="s">
        <v>227</v>
      </c>
      <c r="D5981" s="880" t="s">
        <v>14321</v>
      </c>
    </row>
    <row r="5982" spans="1:4" ht="13.5" x14ac:dyDescent="0.25">
      <c r="A5982" s="878" t="s">
        <v>15254</v>
      </c>
      <c r="B5982" s="878" t="s">
        <v>15255</v>
      </c>
      <c r="C5982" s="879" t="s">
        <v>227</v>
      </c>
      <c r="D5982" s="880" t="s">
        <v>43454</v>
      </c>
    </row>
    <row r="5983" spans="1:4" ht="13.5" x14ac:dyDescent="0.25">
      <c r="A5983" s="878" t="s">
        <v>15256</v>
      </c>
      <c r="B5983" s="878" t="s">
        <v>15257</v>
      </c>
      <c r="C5983" s="879" t="s">
        <v>227</v>
      </c>
      <c r="D5983" s="880" t="s">
        <v>9186</v>
      </c>
    </row>
    <row r="5984" spans="1:4" ht="13.5" x14ac:dyDescent="0.25">
      <c r="A5984" s="878" t="s">
        <v>15258</v>
      </c>
      <c r="B5984" s="878" t="s">
        <v>15259</v>
      </c>
      <c r="C5984" s="879" t="s">
        <v>227</v>
      </c>
      <c r="D5984" s="880" t="s">
        <v>41642</v>
      </c>
    </row>
    <row r="5985" spans="1:4" ht="13.5" x14ac:dyDescent="0.25">
      <c r="A5985" s="878" t="s">
        <v>15260</v>
      </c>
      <c r="B5985" s="878" t="s">
        <v>15261</v>
      </c>
      <c r="C5985" s="879" t="s">
        <v>227</v>
      </c>
      <c r="D5985" s="880" t="s">
        <v>31049</v>
      </c>
    </row>
    <row r="5986" spans="1:4" ht="13.5" x14ac:dyDescent="0.25">
      <c r="A5986" s="878" t="s">
        <v>15263</v>
      </c>
      <c r="B5986" s="878" t="s">
        <v>15264</v>
      </c>
      <c r="C5986" s="879" t="s">
        <v>227</v>
      </c>
      <c r="D5986" s="880" t="s">
        <v>42745</v>
      </c>
    </row>
    <row r="5987" spans="1:4" ht="13.5" x14ac:dyDescent="0.25">
      <c r="A5987" s="878" t="s">
        <v>15265</v>
      </c>
      <c r="B5987" s="878" t="s">
        <v>15266</v>
      </c>
      <c r="C5987" s="879" t="s">
        <v>227</v>
      </c>
      <c r="D5987" s="880" t="s">
        <v>43455</v>
      </c>
    </row>
    <row r="5988" spans="1:4" ht="13.5" x14ac:dyDescent="0.25">
      <c r="A5988" s="878" t="s">
        <v>15267</v>
      </c>
      <c r="B5988" s="878" t="s">
        <v>15268</v>
      </c>
      <c r="C5988" s="879" t="s">
        <v>227</v>
      </c>
      <c r="D5988" s="880" t="s">
        <v>9182</v>
      </c>
    </row>
    <row r="5989" spans="1:4" ht="13.5" x14ac:dyDescent="0.25">
      <c r="A5989" s="878" t="s">
        <v>15269</v>
      </c>
      <c r="B5989" s="878" t="s">
        <v>15270</v>
      </c>
      <c r="C5989" s="879" t="s">
        <v>227</v>
      </c>
      <c r="D5989" s="880" t="s">
        <v>31044</v>
      </c>
    </row>
    <row r="5990" spans="1:4" ht="13.5" x14ac:dyDescent="0.25">
      <c r="A5990" s="878" t="s">
        <v>15272</v>
      </c>
      <c r="B5990" s="878" t="s">
        <v>15273</v>
      </c>
      <c r="C5990" s="879" t="s">
        <v>227</v>
      </c>
      <c r="D5990" s="880" t="s">
        <v>43456</v>
      </c>
    </row>
    <row r="5991" spans="1:4" ht="13.5" x14ac:dyDescent="0.25">
      <c r="A5991" s="878" t="s">
        <v>15274</v>
      </c>
      <c r="B5991" s="878" t="s">
        <v>15275</v>
      </c>
      <c r="C5991" s="879" t="s">
        <v>227</v>
      </c>
      <c r="D5991" s="880" t="s">
        <v>43457</v>
      </c>
    </row>
    <row r="5992" spans="1:4" ht="13.5" x14ac:dyDescent="0.25">
      <c r="A5992" s="878" t="s">
        <v>15276</v>
      </c>
      <c r="B5992" s="878" t="s">
        <v>15277</v>
      </c>
      <c r="C5992" s="879" t="s">
        <v>227</v>
      </c>
      <c r="D5992" s="880" t="s">
        <v>43458</v>
      </c>
    </row>
    <row r="5993" spans="1:4" ht="13.5" x14ac:dyDescent="0.25">
      <c r="A5993" s="878" t="s">
        <v>15278</v>
      </c>
      <c r="B5993" s="878" t="s">
        <v>15279</v>
      </c>
      <c r="C5993" s="879" t="s">
        <v>227</v>
      </c>
      <c r="D5993" s="880" t="s">
        <v>43459</v>
      </c>
    </row>
    <row r="5994" spans="1:4" ht="13.5" x14ac:dyDescent="0.25">
      <c r="A5994" s="878" t="s">
        <v>15280</v>
      </c>
      <c r="B5994" s="878" t="s">
        <v>15281</v>
      </c>
      <c r="C5994" s="879" t="s">
        <v>227</v>
      </c>
      <c r="D5994" s="880" t="s">
        <v>43042</v>
      </c>
    </row>
    <row r="5995" spans="1:4" ht="13.5" x14ac:dyDescent="0.25">
      <c r="A5995" s="878" t="s">
        <v>15282</v>
      </c>
      <c r="B5995" s="878" t="s">
        <v>15283</v>
      </c>
      <c r="C5995" s="879" t="s">
        <v>227</v>
      </c>
      <c r="D5995" s="880" t="s">
        <v>31333</v>
      </c>
    </row>
    <row r="5996" spans="1:4" ht="13.5" x14ac:dyDescent="0.25">
      <c r="A5996" s="878" t="s">
        <v>15284</v>
      </c>
      <c r="B5996" s="878" t="s">
        <v>15285</v>
      </c>
      <c r="C5996" s="879" t="s">
        <v>227</v>
      </c>
      <c r="D5996" s="880" t="s">
        <v>40450</v>
      </c>
    </row>
    <row r="5997" spans="1:4" ht="13.5" x14ac:dyDescent="0.25">
      <c r="A5997" s="878" t="s">
        <v>15286</v>
      </c>
      <c r="B5997" s="878" t="s">
        <v>15287</v>
      </c>
      <c r="C5997" s="879" t="s">
        <v>227</v>
      </c>
      <c r="D5997" s="880" t="s">
        <v>43460</v>
      </c>
    </row>
    <row r="5998" spans="1:4" ht="13.5" x14ac:dyDescent="0.25">
      <c r="A5998" s="878" t="s">
        <v>15288</v>
      </c>
      <c r="B5998" s="878" t="s">
        <v>15289</v>
      </c>
      <c r="C5998" s="879" t="s">
        <v>227</v>
      </c>
      <c r="D5998" s="880" t="s">
        <v>4277</v>
      </c>
    </row>
    <row r="5999" spans="1:4" ht="13.5" x14ac:dyDescent="0.25">
      <c r="A5999" s="878" t="s">
        <v>15290</v>
      </c>
      <c r="B5999" s="878" t="s">
        <v>15291</v>
      </c>
      <c r="C5999" s="879" t="s">
        <v>227</v>
      </c>
      <c r="D5999" s="880" t="s">
        <v>30522</v>
      </c>
    </row>
    <row r="6000" spans="1:4" ht="13.5" x14ac:dyDescent="0.25">
      <c r="A6000" s="878" t="s">
        <v>15292</v>
      </c>
      <c r="B6000" s="878" t="s">
        <v>15293</v>
      </c>
      <c r="C6000" s="879" t="s">
        <v>227</v>
      </c>
      <c r="D6000" s="880" t="s">
        <v>41789</v>
      </c>
    </row>
    <row r="6001" spans="1:4" ht="13.5" x14ac:dyDescent="0.25">
      <c r="A6001" s="878" t="s">
        <v>15294</v>
      </c>
      <c r="B6001" s="878" t="s">
        <v>15295</v>
      </c>
      <c r="C6001" s="879" t="s">
        <v>227</v>
      </c>
      <c r="D6001" s="880" t="s">
        <v>43461</v>
      </c>
    </row>
    <row r="6002" spans="1:4" ht="13.5" x14ac:dyDescent="0.25">
      <c r="A6002" s="878" t="s">
        <v>15296</v>
      </c>
      <c r="B6002" s="878" t="s">
        <v>15297</v>
      </c>
      <c r="C6002" s="879" t="s">
        <v>227</v>
      </c>
      <c r="D6002" s="880" t="s">
        <v>10212</v>
      </c>
    </row>
    <row r="6003" spans="1:4" ht="13.5" x14ac:dyDescent="0.25">
      <c r="A6003" s="878" t="s">
        <v>15298</v>
      </c>
      <c r="B6003" s="878" t="s">
        <v>15299</v>
      </c>
      <c r="C6003" s="879" t="s">
        <v>227</v>
      </c>
      <c r="D6003" s="880" t="s">
        <v>42790</v>
      </c>
    </row>
    <row r="6004" spans="1:4" ht="13.5" x14ac:dyDescent="0.25">
      <c r="A6004" s="878" t="s">
        <v>15300</v>
      </c>
      <c r="B6004" s="878" t="s">
        <v>15301</v>
      </c>
      <c r="C6004" s="879" t="s">
        <v>227</v>
      </c>
      <c r="D6004" s="880" t="s">
        <v>42356</v>
      </c>
    </row>
    <row r="6005" spans="1:4" ht="13.5" x14ac:dyDescent="0.25">
      <c r="A6005" s="878" t="s">
        <v>15302</v>
      </c>
      <c r="B6005" s="878" t="s">
        <v>15303</v>
      </c>
      <c r="C6005" s="879" t="s">
        <v>227</v>
      </c>
      <c r="D6005" s="880" t="s">
        <v>8100</v>
      </c>
    </row>
    <row r="6006" spans="1:4" ht="13.5" x14ac:dyDescent="0.25">
      <c r="A6006" s="878" t="s">
        <v>15304</v>
      </c>
      <c r="B6006" s="878" t="s">
        <v>15305</v>
      </c>
      <c r="C6006" s="879" t="s">
        <v>227</v>
      </c>
      <c r="D6006" s="880" t="s">
        <v>43462</v>
      </c>
    </row>
    <row r="6007" spans="1:4" ht="13.5" x14ac:dyDescent="0.25">
      <c r="A6007" s="878" t="s">
        <v>15307</v>
      </c>
      <c r="B6007" s="878" t="s">
        <v>15308</v>
      </c>
      <c r="C6007" s="879" t="s">
        <v>227</v>
      </c>
      <c r="D6007" s="880" t="s">
        <v>43463</v>
      </c>
    </row>
    <row r="6008" spans="1:4" ht="13.5" x14ac:dyDescent="0.25">
      <c r="A6008" s="878" t="s">
        <v>15310</v>
      </c>
      <c r="B6008" s="878" t="s">
        <v>15311</v>
      </c>
      <c r="C6008" s="879" t="s">
        <v>227</v>
      </c>
      <c r="D6008" s="880" t="s">
        <v>40545</v>
      </c>
    </row>
    <row r="6009" spans="1:4" ht="13.5" x14ac:dyDescent="0.25">
      <c r="A6009" s="878" t="s">
        <v>15312</v>
      </c>
      <c r="B6009" s="878" t="s">
        <v>15313</v>
      </c>
      <c r="C6009" s="879" t="s">
        <v>227</v>
      </c>
      <c r="D6009" s="880" t="s">
        <v>30940</v>
      </c>
    </row>
    <row r="6010" spans="1:4" ht="13.5" x14ac:dyDescent="0.25">
      <c r="A6010" s="878" t="s">
        <v>15314</v>
      </c>
      <c r="B6010" s="878" t="s">
        <v>15315</v>
      </c>
      <c r="C6010" s="879" t="s">
        <v>227</v>
      </c>
      <c r="D6010" s="880" t="s">
        <v>41697</v>
      </c>
    </row>
    <row r="6011" spans="1:4" ht="13.5" x14ac:dyDescent="0.25">
      <c r="A6011" s="878" t="s">
        <v>15316</v>
      </c>
      <c r="B6011" s="878" t="s">
        <v>15317</v>
      </c>
      <c r="C6011" s="879" t="s">
        <v>227</v>
      </c>
      <c r="D6011" s="880" t="s">
        <v>31335</v>
      </c>
    </row>
    <row r="6012" spans="1:4" ht="13.5" x14ac:dyDescent="0.25">
      <c r="A6012" s="878" t="s">
        <v>15318</v>
      </c>
      <c r="B6012" s="878" t="s">
        <v>15319</v>
      </c>
      <c r="C6012" s="879" t="s">
        <v>227</v>
      </c>
      <c r="D6012" s="880" t="s">
        <v>8805</v>
      </c>
    </row>
    <row r="6013" spans="1:4" ht="13.5" x14ac:dyDescent="0.25">
      <c r="A6013" s="878" t="s">
        <v>15321</v>
      </c>
      <c r="B6013" s="878" t="s">
        <v>15322</v>
      </c>
      <c r="C6013" s="879" t="s">
        <v>227</v>
      </c>
      <c r="D6013" s="880" t="s">
        <v>42489</v>
      </c>
    </row>
    <row r="6014" spans="1:4" ht="13.5" x14ac:dyDescent="0.25">
      <c r="A6014" s="878" t="s">
        <v>15323</v>
      </c>
      <c r="B6014" s="878" t="s">
        <v>15324</v>
      </c>
      <c r="C6014" s="879" t="s">
        <v>227</v>
      </c>
      <c r="D6014" s="880" t="s">
        <v>14116</v>
      </c>
    </row>
    <row r="6015" spans="1:4" ht="13.5" x14ac:dyDescent="0.25">
      <c r="A6015" s="878" t="s">
        <v>15325</v>
      </c>
      <c r="B6015" s="878" t="s">
        <v>15326</v>
      </c>
      <c r="C6015" s="879" t="s">
        <v>227</v>
      </c>
      <c r="D6015" s="880" t="s">
        <v>30650</v>
      </c>
    </row>
    <row r="6016" spans="1:4" ht="13.5" x14ac:dyDescent="0.25">
      <c r="A6016" s="878" t="s">
        <v>15327</v>
      </c>
      <c r="B6016" s="878" t="s">
        <v>15328</v>
      </c>
      <c r="C6016" s="879" t="s">
        <v>227</v>
      </c>
      <c r="D6016" s="880" t="s">
        <v>43464</v>
      </c>
    </row>
    <row r="6017" spans="1:4" ht="13.5" x14ac:dyDescent="0.25">
      <c r="A6017" s="878" t="s">
        <v>15329</v>
      </c>
      <c r="B6017" s="878" t="s">
        <v>15330</v>
      </c>
      <c r="C6017" s="879" t="s">
        <v>227</v>
      </c>
      <c r="D6017" s="880" t="s">
        <v>4354</v>
      </c>
    </row>
    <row r="6018" spans="1:4" ht="13.5" x14ac:dyDescent="0.25">
      <c r="A6018" s="878" t="s">
        <v>15331</v>
      </c>
      <c r="B6018" s="878" t="s">
        <v>15332</v>
      </c>
      <c r="C6018" s="879" t="s">
        <v>227</v>
      </c>
      <c r="D6018" s="880" t="s">
        <v>8925</v>
      </c>
    </row>
    <row r="6019" spans="1:4" ht="13.5" x14ac:dyDescent="0.25">
      <c r="A6019" s="878" t="s">
        <v>15334</v>
      </c>
      <c r="B6019" s="878" t="s">
        <v>15335</v>
      </c>
      <c r="C6019" s="879" t="s">
        <v>227</v>
      </c>
      <c r="D6019" s="880" t="s">
        <v>4979</v>
      </c>
    </row>
    <row r="6020" spans="1:4" ht="13.5" x14ac:dyDescent="0.25">
      <c r="A6020" s="878" t="s">
        <v>15336</v>
      </c>
      <c r="B6020" s="878" t="s">
        <v>15337</v>
      </c>
      <c r="C6020" s="879" t="s">
        <v>227</v>
      </c>
      <c r="D6020" s="880" t="s">
        <v>31182</v>
      </c>
    </row>
    <row r="6021" spans="1:4" ht="13.5" x14ac:dyDescent="0.25">
      <c r="A6021" s="878" t="s">
        <v>15339</v>
      </c>
      <c r="B6021" s="878" t="s">
        <v>15340</v>
      </c>
      <c r="C6021" s="879" t="s">
        <v>227</v>
      </c>
      <c r="D6021" s="880" t="s">
        <v>43465</v>
      </c>
    </row>
    <row r="6022" spans="1:4" ht="13.5" x14ac:dyDescent="0.25">
      <c r="A6022" s="878" t="s">
        <v>15341</v>
      </c>
      <c r="B6022" s="878" t="s">
        <v>15342</v>
      </c>
      <c r="C6022" s="879" t="s">
        <v>227</v>
      </c>
      <c r="D6022" s="880" t="s">
        <v>30175</v>
      </c>
    </row>
    <row r="6023" spans="1:4" ht="13.5" x14ac:dyDescent="0.25">
      <c r="A6023" s="878" t="s">
        <v>15343</v>
      </c>
      <c r="B6023" s="878" t="s">
        <v>15344</v>
      </c>
      <c r="C6023" s="879" t="s">
        <v>227</v>
      </c>
      <c r="D6023" s="880" t="s">
        <v>31178</v>
      </c>
    </row>
    <row r="6024" spans="1:4" ht="13.5" x14ac:dyDescent="0.25">
      <c r="A6024" s="878" t="s">
        <v>15345</v>
      </c>
      <c r="B6024" s="878" t="s">
        <v>15346</v>
      </c>
      <c r="C6024" s="879" t="s">
        <v>227</v>
      </c>
      <c r="D6024" s="880" t="s">
        <v>11003</v>
      </c>
    </row>
    <row r="6025" spans="1:4" ht="13.5" x14ac:dyDescent="0.25">
      <c r="A6025" s="878" t="s">
        <v>15347</v>
      </c>
      <c r="B6025" s="878" t="s">
        <v>15348</v>
      </c>
      <c r="C6025" s="879" t="s">
        <v>227</v>
      </c>
      <c r="D6025" s="880" t="s">
        <v>10854</v>
      </c>
    </row>
    <row r="6026" spans="1:4" ht="13.5" x14ac:dyDescent="0.25">
      <c r="A6026" s="878" t="s">
        <v>15350</v>
      </c>
      <c r="B6026" s="878" t="s">
        <v>15351</v>
      </c>
      <c r="C6026" s="879" t="s">
        <v>227</v>
      </c>
      <c r="D6026" s="880" t="s">
        <v>5538</v>
      </c>
    </row>
    <row r="6027" spans="1:4" ht="13.5" x14ac:dyDescent="0.25">
      <c r="A6027" s="878" t="s">
        <v>15352</v>
      </c>
      <c r="B6027" s="878" t="s">
        <v>15353</v>
      </c>
      <c r="C6027" s="879" t="s">
        <v>227</v>
      </c>
      <c r="D6027" s="880" t="s">
        <v>8153</v>
      </c>
    </row>
    <row r="6028" spans="1:4" ht="13.5" x14ac:dyDescent="0.25">
      <c r="A6028" s="878" t="s">
        <v>15354</v>
      </c>
      <c r="B6028" s="878" t="s">
        <v>15355</v>
      </c>
      <c r="C6028" s="879" t="s">
        <v>227</v>
      </c>
      <c r="D6028" s="880" t="s">
        <v>43466</v>
      </c>
    </row>
    <row r="6029" spans="1:4" ht="13.5" x14ac:dyDescent="0.25">
      <c r="A6029" s="878" t="s">
        <v>15356</v>
      </c>
      <c r="B6029" s="878" t="s">
        <v>15357</v>
      </c>
      <c r="C6029" s="879" t="s">
        <v>227</v>
      </c>
      <c r="D6029" s="880" t="s">
        <v>11440</v>
      </c>
    </row>
    <row r="6030" spans="1:4" ht="13.5" x14ac:dyDescent="0.25">
      <c r="A6030" s="878" t="s">
        <v>15359</v>
      </c>
      <c r="B6030" s="878" t="s">
        <v>15360</v>
      </c>
      <c r="C6030" s="879" t="s">
        <v>227</v>
      </c>
      <c r="D6030" s="880" t="s">
        <v>41923</v>
      </c>
    </row>
    <row r="6031" spans="1:4" ht="13.5" x14ac:dyDescent="0.25">
      <c r="A6031" s="878" t="s">
        <v>15361</v>
      </c>
      <c r="B6031" s="878" t="s">
        <v>15362</v>
      </c>
      <c r="C6031" s="879" t="s">
        <v>227</v>
      </c>
      <c r="D6031" s="880" t="s">
        <v>42329</v>
      </c>
    </row>
    <row r="6032" spans="1:4" ht="13.5" x14ac:dyDescent="0.25">
      <c r="A6032" s="878" t="s">
        <v>15363</v>
      </c>
      <c r="B6032" s="878" t="s">
        <v>15364</v>
      </c>
      <c r="C6032" s="879" t="s">
        <v>227</v>
      </c>
      <c r="D6032" s="880" t="s">
        <v>11126</v>
      </c>
    </row>
    <row r="6033" spans="1:4" ht="13.5" x14ac:dyDescent="0.25">
      <c r="A6033" s="878" t="s">
        <v>15365</v>
      </c>
      <c r="B6033" s="878" t="s">
        <v>15366</v>
      </c>
      <c r="C6033" s="879" t="s">
        <v>227</v>
      </c>
      <c r="D6033" s="880" t="s">
        <v>40074</v>
      </c>
    </row>
    <row r="6034" spans="1:4" ht="13.5" x14ac:dyDescent="0.25">
      <c r="A6034" s="878" t="s">
        <v>15367</v>
      </c>
      <c r="B6034" s="878" t="s">
        <v>15368</v>
      </c>
      <c r="C6034" s="879" t="s">
        <v>227</v>
      </c>
      <c r="D6034" s="880" t="s">
        <v>40198</v>
      </c>
    </row>
    <row r="6035" spans="1:4" ht="13.5" x14ac:dyDescent="0.25">
      <c r="A6035" s="878" t="s">
        <v>15369</v>
      </c>
      <c r="B6035" s="878" t="s">
        <v>15370</v>
      </c>
      <c r="C6035" s="879" t="s">
        <v>227</v>
      </c>
      <c r="D6035" s="880" t="s">
        <v>30829</v>
      </c>
    </row>
    <row r="6036" spans="1:4" ht="13.5" x14ac:dyDescent="0.25">
      <c r="A6036" s="878" t="s">
        <v>15371</v>
      </c>
      <c r="B6036" s="878" t="s">
        <v>15372</v>
      </c>
      <c r="C6036" s="879" t="s">
        <v>227</v>
      </c>
      <c r="D6036" s="880" t="s">
        <v>16835</v>
      </c>
    </row>
    <row r="6037" spans="1:4" ht="13.5" x14ac:dyDescent="0.25">
      <c r="A6037" s="878" t="s">
        <v>15373</v>
      </c>
      <c r="B6037" s="878" t="s">
        <v>15374</v>
      </c>
      <c r="C6037" s="879" t="s">
        <v>227</v>
      </c>
      <c r="D6037" s="880" t="s">
        <v>30841</v>
      </c>
    </row>
    <row r="6038" spans="1:4" ht="13.5" x14ac:dyDescent="0.25">
      <c r="A6038" s="878" t="s">
        <v>15375</v>
      </c>
      <c r="B6038" s="878" t="s">
        <v>15376</v>
      </c>
      <c r="C6038" s="879" t="s">
        <v>227</v>
      </c>
      <c r="D6038" s="880" t="s">
        <v>11785</v>
      </c>
    </row>
    <row r="6039" spans="1:4" ht="13.5" x14ac:dyDescent="0.25">
      <c r="A6039" s="878" t="s">
        <v>15377</v>
      </c>
      <c r="B6039" s="878" t="s">
        <v>15378</v>
      </c>
      <c r="C6039" s="879" t="s">
        <v>227</v>
      </c>
      <c r="D6039" s="880" t="s">
        <v>41643</v>
      </c>
    </row>
    <row r="6040" spans="1:4" ht="13.5" x14ac:dyDescent="0.25">
      <c r="A6040" s="878" t="s">
        <v>15379</v>
      </c>
      <c r="B6040" s="878" t="s">
        <v>15380</v>
      </c>
      <c r="C6040" s="879" t="s">
        <v>227</v>
      </c>
      <c r="D6040" s="880" t="s">
        <v>11295</v>
      </c>
    </row>
    <row r="6041" spans="1:4" ht="13.5" x14ac:dyDescent="0.25">
      <c r="A6041" s="878" t="s">
        <v>15381</v>
      </c>
      <c r="B6041" s="878" t="s">
        <v>15382</v>
      </c>
      <c r="C6041" s="879" t="s">
        <v>227</v>
      </c>
      <c r="D6041" s="880" t="s">
        <v>41930</v>
      </c>
    </row>
    <row r="6042" spans="1:4" ht="13.5" x14ac:dyDescent="0.25">
      <c r="A6042" s="878" t="s">
        <v>15383</v>
      </c>
      <c r="B6042" s="878" t="s">
        <v>15384</v>
      </c>
      <c r="C6042" s="879" t="s">
        <v>227</v>
      </c>
      <c r="D6042" s="880" t="s">
        <v>11078</v>
      </c>
    </row>
    <row r="6043" spans="1:4" ht="13.5" x14ac:dyDescent="0.25">
      <c r="A6043" s="878" t="s">
        <v>15385</v>
      </c>
      <c r="B6043" s="878" t="s">
        <v>15386</v>
      </c>
      <c r="C6043" s="879" t="s">
        <v>227</v>
      </c>
      <c r="D6043" s="880" t="s">
        <v>31090</v>
      </c>
    </row>
    <row r="6044" spans="1:4" ht="13.5" x14ac:dyDescent="0.25">
      <c r="A6044" s="878" t="s">
        <v>15387</v>
      </c>
      <c r="B6044" s="878" t="s">
        <v>15388</v>
      </c>
      <c r="C6044" s="879" t="s">
        <v>158</v>
      </c>
      <c r="D6044" s="880" t="s">
        <v>30175</v>
      </c>
    </row>
    <row r="6045" spans="1:4" ht="13.5" x14ac:dyDescent="0.25">
      <c r="A6045" s="878" t="s">
        <v>15389</v>
      </c>
      <c r="B6045" s="878" t="s">
        <v>15390</v>
      </c>
      <c r="C6045" s="879" t="s">
        <v>227</v>
      </c>
      <c r="D6045" s="880" t="s">
        <v>43467</v>
      </c>
    </row>
    <row r="6046" spans="1:4" ht="13.5" x14ac:dyDescent="0.25">
      <c r="A6046" s="878" t="s">
        <v>15391</v>
      </c>
      <c r="B6046" s="878" t="s">
        <v>15392</v>
      </c>
      <c r="C6046" s="879" t="s">
        <v>227</v>
      </c>
      <c r="D6046" s="880" t="s">
        <v>31185</v>
      </c>
    </row>
    <row r="6047" spans="1:4" ht="13.5" x14ac:dyDescent="0.25">
      <c r="A6047" s="878" t="s">
        <v>15393</v>
      </c>
      <c r="B6047" s="878" t="s">
        <v>15394</v>
      </c>
      <c r="C6047" s="879" t="s">
        <v>227</v>
      </c>
      <c r="D6047" s="880" t="s">
        <v>30959</v>
      </c>
    </row>
    <row r="6048" spans="1:4" ht="13.5" x14ac:dyDescent="0.25">
      <c r="A6048" s="878" t="s">
        <v>15395</v>
      </c>
      <c r="B6048" s="878" t="s">
        <v>15396</v>
      </c>
      <c r="C6048" s="879" t="s">
        <v>227</v>
      </c>
      <c r="D6048" s="880" t="s">
        <v>30958</v>
      </c>
    </row>
    <row r="6049" spans="1:4" ht="13.5" x14ac:dyDescent="0.25">
      <c r="A6049" s="878" t="s">
        <v>15397</v>
      </c>
      <c r="B6049" s="878" t="s">
        <v>15398</v>
      </c>
      <c r="C6049" s="879" t="s">
        <v>227</v>
      </c>
      <c r="D6049" s="880" t="s">
        <v>43468</v>
      </c>
    </row>
    <row r="6050" spans="1:4" ht="13.5" x14ac:dyDescent="0.25">
      <c r="A6050" s="878" t="s">
        <v>15399</v>
      </c>
      <c r="B6050" s="878" t="s">
        <v>15400</v>
      </c>
      <c r="C6050" s="879" t="s">
        <v>227</v>
      </c>
      <c r="D6050" s="880" t="s">
        <v>30761</v>
      </c>
    </row>
    <row r="6051" spans="1:4" ht="13.5" x14ac:dyDescent="0.25">
      <c r="A6051" s="878" t="s">
        <v>15401</v>
      </c>
      <c r="B6051" s="878" t="s">
        <v>15402</v>
      </c>
      <c r="C6051" s="879" t="s">
        <v>227</v>
      </c>
      <c r="D6051" s="880" t="s">
        <v>43469</v>
      </c>
    </row>
    <row r="6052" spans="1:4" ht="13.5" x14ac:dyDescent="0.25">
      <c r="A6052" s="878" t="s">
        <v>15403</v>
      </c>
      <c r="B6052" s="878" t="s">
        <v>15404</v>
      </c>
      <c r="C6052" s="879" t="s">
        <v>227</v>
      </c>
      <c r="D6052" s="880" t="s">
        <v>43210</v>
      </c>
    </row>
    <row r="6053" spans="1:4" ht="13.5" x14ac:dyDescent="0.25">
      <c r="A6053" s="878" t="s">
        <v>15405</v>
      </c>
      <c r="B6053" s="878" t="s">
        <v>15406</v>
      </c>
      <c r="C6053" s="879" t="s">
        <v>227</v>
      </c>
      <c r="D6053" s="880" t="s">
        <v>18083</v>
      </c>
    </row>
    <row r="6054" spans="1:4" ht="13.5" x14ac:dyDescent="0.25">
      <c r="A6054" s="878" t="s">
        <v>15408</v>
      </c>
      <c r="B6054" s="878" t="s">
        <v>15409</v>
      </c>
      <c r="C6054" s="879" t="s">
        <v>227</v>
      </c>
      <c r="D6054" s="880" t="s">
        <v>43470</v>
      </c>
    </row>
    <row r="6055" spans="1:4" ht="13.5" x14ac:dyDescent="0.25">
      <c r="A6055" s="878" t="s">
        <v>15410</v>
      </c>
      <c r="B6055" s="878" t="s">
        <v>15411</v>
      </c>
      <c r="C6055" s="879" t="s">
        <v>227</v>
      </c>
      <c r="D6055" s="880" t="s">
        <v>43471</v>
      </c>
    </row>
    <row r="6056" spans="1:4" ht="13.5" x14ac:dyDescent="0.25">
      <c r="A6056" s="878" t="s">
        <v>15412</v>
      </c>
      <c r="B6056" s="878" t="s">
        <v>15413</v>
      </c>
      <c r="C6056" s="879" t="s">
        <v>227</v>
      </c>
      <c r="D6056" s="880" t="s">
        <v>42413</v>
      </c>
    </row>
    <row r="6057" spans="1:4" ht="13.5" x14ac:dyDescent="0.25">
      <c r="A6057" s="878" t="s">
        <v>15414</v>
      </c>
      <c r="B6057" s="878" t="s">
        <v>15415</v>
      </c>
      <c r="C6057" s="879" t="s">
        <v>227</v>
      </c>
      <c r="D6057" s="880" t="s">
        <v>43472</v>
      </c>
    </row>
    <row r="6058" spans="1:4" ht="13.5" x14ac:dyDescent="0.25">
      <c r="A6058" s="878" t="s">
        <v>15416</v>
      </c>
      <c r="B6058" s="878" t="s">
        <v>15417</v>
      </c>
      <c r="C6058" s="879" t="s">
        <v>227</v>
      </c>
      <c r="D6058" s="880" t="s">
        <v>10827</v>
      </c>
    </row>
    <row r="6059" spans="1:4" ht="13.5" x14ac:dyDescent="0.25">
      <c r="A6059" s="878" t="s">
        <v>15418</v>
      </c>
      <c r="B6059" s="878" t="s">
        <v>15419</v>
      </c>
      <c r="C6059" s="879" t="s">
        <v>227</v>
      </c>
      <c r="D6059" s="880" t="s">
        <v>42653</v>
      </c>
    </row>
    <row r="6060" spans="1:4" ht="13.5" x14ac:dyDescent="0.25">
      <c r="A6060" s="878" t="s">
        <v>15420</v>
      </c>
      <c r="B6060" s="878" t="s">
        <v>15421</v>
      </c>
      <c r="C6060" s="879" t="s">
        <v>227</v>
      </c>
      <c r="D6060" s="880" t="s">
        <v>43473</v>
      </c>
    </row>
    <row r="6061" spans="1:4" ht="13.5" x14ac:dyDescent="0.25">
      <c r="A6061" s="878" t="s">
        <v>15422</v>
      </c>
      <c r="B6061" s="878" t="s">
        <v>15423</v>
      </c>
      <c r="C6061" s="879" t="s">
        <v>227</v>
      </c>
      <c r="D6061" s="880" t="s">
        <v>30965</v>
      </c>
    </row>
    <row r="6062" spans="1:4" ht="13.5" x14ac:dyDescent="0.25">
      <c r="A6062" s="878" t="s">
        <v>15425</v>
      </c>
      <c r="B6062" s="878" t="s">
        <v>15426</v>
      </c>
      <c r="C6062" s="879" t="s">
        <v>227</v>
      </c>
      <c r="D6062" s="880" t="s">
        <v>31226</v>
      </c>
    </row>
    <row r="6063" spans="1:4" ht="13.5" x14ac:dyDescent="0.25">
      <c r="A6063" s="878" t="s">
        <v>15427</v>
      </c>
      <c r="B6063" s="878" t="s">
        <v>15428</v>
      </c>
      <c r="C6063" s="879" t="s">
        <v>227</v>
      </c>
      <c r="D6063" s="880" t="s">
        <v>43474</v>
      </c>
    </row>
    <row r="6064" spans="1:4" ht="13.5" x14ac:dyDescent="0.25">
      <c r="A6064" s="878" t="s">
        <v>15429</v>
      </c>
      <c r="B6064" s="878" t="s">
        <v>15430</v>
      </c>
      <c r="C6064" s="879" t="s">
        <v>227</v>
      </c>
      <c r="D6064" s="880" t="s">
        <v>43475</v>
      </c>
    </row>
    <row r="6065" spans="1:4" ht="13.5" x14ac:dyDescent="0.25">
      <c r="A6065" s="878" t="s">
        <v>15431</v>
      </c>
      <c r="B6065" s="878" t="s">
        <v>15432</v>
      </c>
      <c r="C6065" s="879" t="s">
        <v>227</v>
      </c>
      <c r="D6065" s="880" t="s">
        <v>5322</v>
      </c>
    </row>
    <row r="6066" spans="1:4" ht="13.5" x14ac:dyDescent="0.25">
      <c r="A6066" s="878" t="s">
        <v>15434</v>
      </c>
      <c r="B6066" s="878" t="s">
        <v>15435</v>
      </c>
      <c r="C6066" s="879" t="s">
        <v>227</v>
      </c>
      <c r="D6066" s="880" t="s">
        <v>30685</v>
      </c>
    </row>
    <row r="6067" spans="1:4" ht="13.5" x14ac:dyDescent="0.25">
      <c r="A6067" s="878" t="s">
        <v>15436</v>
      </c>
      <c r="B6067" s="878" t="s">
        <v>15437</v>
      </c>
      <c r="C6067" s="879" t="s">
        <v>227</v>
      </c>
      <c r="D6067" s="880" t="s">
        <v>8797</v>
      </c>
    </row>
    <row r="6068" spans="1:4" ht="13.5" x14ac:dyDescent="0.25">
      <c r="A6068" s="878" t="s">
        <v>15438</v>
      </c>
      <c r="B6068" s="878" t="s">
        <v>15439</v>
      </c>
      <c r="C6068" s="879" t="s">
        <v>227</v>
      </c>
      <c r="D6068" s="880" t="s">
        <v>31453</v>
      </c>
    </row>
    <row r="6069" spans="1:4" ht="13.5" x14ac:dyDescent="0.25">
      <c r="A6069" s="878" t="s">
        <v>15441</v>
      </c>
      <c r="B6069" s="878" t="s">
        <v>15442</v>
      </c>
      <c r="C6069" s="879" t="s">
        <v>227</v>
      </c>
      <c r="D6069" s="880" t="s">
        <v>43476</v>
      </c>
    </row>
    <row r="6070" spans="1:4" ht="13.5" x14ac:dyDescent="0.25">
      <c r="A6070" s="878" t="s">
        <v>15443</v>
      </c>
      <c r="B6070" s="878" t="s">
        <v>15444</v>
      </c>
      <c r="C6070" s="879" t="s">
        <v>227</v>
      </c>
      <c r="D6070" s="880" t="s">
        <v>42837</v>
      </c>
    </row>
    <row r="6071" spans="1:4" ht="13.5" x14ac:dyDescent="0.25">
      <c r="A6071" s="878" t="s">
        <v>15445</v>
      </c>
      <c r="B6071" s="878" t="s">
        <v>15446</v>
      </c>
      <c r="C6071" s="879" t="s">
        <v>227</v>
      </c>
      <c r="D6071" s="880" t="s">
        <v>3757</v>
      </c>
    </row>
    <row r="6072" spans="1:4" ht="13.5" x14ac:dyDescent="0.25">
      <c r="A6072" s="878" t="s">
        <v>15448</v>
      </c>
      <c r="B6072" s="878" t="s">
        <v>15449</v>
      </c>
      <c r="C6072" s="879" t="s">
        <v>227</v>
      </c>
      <c r="D6072" s="880" t="s">
        <v>31302</v>
      </c>
    </row>
    <row r="6073" spans="1:4" ht="13.5" x14ac:dyDescent="0.25">
      <c r="A6073" s="878" t="s">
        <v>15450</v>
      </c>
      <c r="B6073" s="878" t="s">
        <v>15451</v>
      </c>
      <c r="C6073" s="879" t="s">
        <v>227</v>
      </c>
      <c r="D6073" s="880" t="s">
        <v>4005</v>
      </c>
    </row>
    <row r="6074" spans="1:4" ht="13.5" x14ac:dyDescent="0.25">
      <c r="A6074" s="878" t="s">
        <v>15452</v>
      </c>
      <c r="B6074" s="878" t="s">
        <v>15453</v>
      </c>
      <c r="C6074" s="879" t="s">
        <v>227</v>
      </c>
      <c r="D6074" s="880" t="s">
        <v>16890</v>
      </c>
    </row>
    <row r="6075" spans="1:4" ht="13.5" x14ac:dyDescent="0.25">
      <c r="A6075" s="878" t="s">
        <v>15454</v>
      </c>
      <c r="B6075" s="878" t="s">
        <v>15455</v>
      </c>
      <c r="C6075" s="879" t="s">
        <v>227</v>
      </c>
      <c r="D6075" s="880" t="s">
        <v>40259</v>
      </c>
    </row>
    <row r="6076" spans="1:4" ht="13.5" x14ac:dyDescent="0.25">
      <c r="A6076" s="878" t="s">
        <v>15456</v>
      </c>
      <c r="B6076" s="878" t="s">
        <v>15457</v>
      </c>
      <c r="C6076" s="879" t="s">
        <v>227</v>
      </c>
      <c r="D6076" s="880" t="s">
        <v>14280</v>
      </c>
    </row>
    <row r="6077" spans="1:4" ht="13.5" x14ac:dyDescent="0.25">
      <c r="A6077" s="878" t="s">
        <v>15458</v>
      </c>
      <c r="B6077" s="878" t="s">
        <v>15459</v>
      </c>
      <c r="C6077" s="879" t="s">
        <v>227</v>
      </c>
      <c r="D6077" s="880" t="s">
        <v>43477</v>
      </c>
    </row>
    <row r="6078" spans="1:4" ht="13.5" x14ac:dyDescent="0.25">
      <c r="A6078" s="878" t="s">
        <v>15460</v>
      </c>
      <c r="B6078" s="878" t="s">
        <v>15461</v>
      </c>
      <c r="C6078" s="879" t="s">
        <v>227</v>
      </c>
      <c r="D6078" s="880" t="s">
        <v>11170</v>
      </c>
    </row>
    <row r="6079" spans="1:4" ht="13.5" x14ac:dyDescent="0.25">
      <c r="A6079" s="878" t="s">
        <v>15462</v>
      </c>
      <c r="B6079" s="878" t="s">
        <v>15463</v>
      </c>
      <c r="C6079" s="879" t="s">
        <v>227</v>
      </c>
      <c r="D6079" s="880" t="s">
        <v>42313</v>
      </c>
    </row>
    <row r="6080" spans="1:4" ht="13.5" x14ac:dyDescent="0.25">
      <c r="A6080" s="878" t="s">
        <v>15464</v>
      </c>
      <c r="B6080" s="878" t="s">
        <v>15465</v>
      </c>
      <c r="C6080" s="879" t="s">
        <v>227</v>
      </c>
      <c r="D6080" s="880" t="s">
        <v>43478</v>
      </c>
    </row>
    <row r="6081" spans="1:4" ht="13.5" x14ac:dyDescent="0.25">
      <c r="A6081" s="878" t="s">
        <v>15466</v>
      </c>
      <c r="B6081" s="878" t="s">
        <v>15467</v>
      </c>
      <c r="C6081" s="879" t="s">
        <v>227</v>
      </c>
      <c r="D6081" s="880" t="s">
        <v>10405</v>
      </c>
    </row>
    <row r="6082" spans="1:4" ht="13.5" x14ac:dyDescent="0.25">
      <c r="A6082" s="885" t="s">
        <v>15468</v>
      </c>
      <c r="B6082" s="885" t="s">
        <v>15469</v>
      </c>
      <c r="C6082" s="886" t="s">
        <v>227</v>
      </c>
      <c r="D6082" s="887" t="s">
        <v>3509</v>
      </c>
    </row>
    <row r="6083" spans="1:4" ht="13.5" x14ac:dyDescent="0.25">
      <c r="A6083" s="878" t="s">
        <v>15471</v>
      </c>
      <c r="B6083" s="878" t="s">
        <v>15472</v>
      </c>
      <c r="C6083" s="879" t="s">
        <v>227</v>
      </c>
      <c r="D6083" s="880" t="s">
        <v>30823</v>
      </c>
    </row>
    <row r="6084" spans="1:4" ht="13.5" x14ac:dyDescent="0.25">
      <c r="A6084" s="878" t="s">
        <v>15473</v>
      </c>
      <c r="B6084" s="878" t="s">
        <v>15474</v>
      </c>
      <c r="C6084" s="879" t="s">
        <v>227</v>
      </c>
      <c r="D6084" s="880" t="s">
        <v>43479</v>
      </c>
    </row>
    <row r="6085" spans="1:4" ht="13.5" x14ac:dyDescent="0.25">
      <c r="A6085" s="878" t="s">
        <v>15475</v>
      </c>
      <c r="B6085" s="878" t="s">
        <v>15476</v>
      </c>
      <c r="C6085" s="879" t="s">
        <v>227</v>
      </c>
      <c r="D6085" s="880" t="s">
        <v>43480</v>
      </c>
    </row>
    <row r="6086" spans="1:4" ht="13.5" x14ac:dyDescent="0.25">
      <c r="A6086" s="878" t="s">
        <v>15477</v>
      </c>
      <c r="B6086" s="878" t="s">
        <v>15478</v>
      </c>
      <c r="C6086" s="879" t="s">
        <v>227</v>
      </c>
      <c r="D6086" s="880" t="s">
        <v>30807</v>
      </c>
    </row>
    <row r="6087" spans="1:4" ht="13.5" x14ac:dyDescent="0.25">
      <c r="A6087" s="878" t="s">
        <v>15479</v>
      </c>
      <c r="B6087" s="878" t="s">
        <v>15480</v>
      </c>
      <c r="C6087" s="879" t="s">
        <v>227</v>
      </c>
      <c r="D6087" s="880" t="s">
        <v>43481</v>
      </c>
    </row>
    <row r="6088" spans="1:4" ht="13.5" x14ac:dyDescent="0.25">
      <c r="A6088" s="878" t="s">
        <v>15481</v>
      </c>
      <c r="B6088" s="878" t="s">
        <v>15482</v>
      </c>
      <c r="C6088" s="879" t="s">
        <v>158</v>
      </c>
      <c r="D6088" s="880" t="s">
        <v>43482</v>
      </c>
    </row>
    <row r="6089" spans="1:4" ht="13.5" x14ac:dyDescent="0.25">
      <c r="A6089" s="878" t="s">
        <v>15483</v>
      </c>
      <c r="B6089" s="878" t="s">
        <v>15484</v>
      </c>
      <c r="C6089" s="879" t="s">
        <v>158</v>
      </c>
      <c r="D6089" s="880" t="s">
        <v>43483</v>
      </c>
    </row>
    <row r="6090" spans="1:4" ht="13.5" x14ac:dyDescent="0.25">
      <c r="A6090" s="878" t="s">
        <v>15485</v>
      </c>
      <c r="B6090" s="878" t="s">
        <v>30084</v>
      </c>
      <c r="C6090" s="879" t="s">
        <v>158</v>
      </c>
      <c r="D6090" s="880" t="s">
        <v>30695</v>
      </c>
    </row>
    <row r="6091" spans="1:4" ht="13.5" x14ac:dyDescent="0.25">
      <c r="A6091" s="878" t="s">
        <v>15486</v>
      </c>
      <c r="B6091" s="878" t="s">
        <v>30085</v>
      </c>
      <c r="C6091" s="879" t="s">
        <v>227</v>
      </c>
      <c r="D6091" s="880" t="s">
        <v>43484</v>
      </c>
    </row>
    <row r="6092" spans="1:4" ht="13.5" x14ac:dyDescent="0.25">
      <c r="A6092" s="878" t="s">
        <v>15487</v>
      </c>
      <c r="B6092" s="878" t="s">
        <v>30086</v>
      </c>
      <c r="C6092" s="879" t="s">
        <v>158</v>
      </c>
      <c r="D6092" s="880" t="s">
        <v>43485</v>
      </c>
    </row>
    <row r="6093" spans="1:4" ht="13.5" x14ac:dyDescent="0.25">
      <c r="A6093" s="878" t="s">
        <v>15488</v>
      </c>
      <c r="B6093" s="878" t="s">
        <v>30087</v>
      </c>
      <c r="C6093" s="879" t="s">
        <v>227</v>
      </c>
      <c r="D6093" s="880" t="s">
        <v>40183</v>
      </c>
    </row>
    <row r="6094" spans="1:4" ht="13.5" x14ac:dyDescent="0.25">
      <c r="A6094" s="878" t="s">
        <v>15489</v>
      </c>
      <c r="B6094" s="878" t="s">
        <v>30088</v>
      </c>
      <c r="C6094" s="879" t="s">
        <v>158</v>
      </c>
      <c r="D6094" s="880" t="s">
        <v>43486</v>
      </c>
    </row>
    <row r="6095" spans="1:4" ht="13.5" x14ac:dyDescent="0.25">
      <c r="A6095" s="878" t="s">
        <v>15491</v>
      </c>
      <c r="B6095" s="878" t="s">
        <v>30089</v>
      </c>
      <c r="C6095" s="879" t="s">
        <v>158</v>
      </c>
      <c r="D6095" s="880" t="s">
        <v>43487</v>
      </c>
    </row>
    <row r="6096" spans="1:4" ht="13.5" x14ac:dyDescent="0.25">
      <c r="A6096" s="878" t="s">
        <v>15492</v>
      </c>
      <c r="B6096" s="878" t="s">
        <v>30090</v>
      </c>
      <c r="C6096" s="879" t="s">
        <v>158</v>
      </c>
      <c r="D6096" s="880" t="s">
        <v>43488</v>
      </c>
    </row>
    <row r="6097" spans="1:4" ht="13.5" x14ac:dyDescent="0.25">
      <c r="A6097" s="878" t="s">
        <v>15493</v>
      </c>
      <c r="B6097" s="878" t="s">
        <v>30091</v>
      </c>
      <c r="C6097" s="879" t="s">
        <v>158</v>
      </c>
      <c r="D6097" s="880" t="s">
        <v>43489</v>
      </c>
    </row>
    <row r="6098" spans="1:4" ht="13.5" x14ac:dyDescent="0.25">
      <c r="A6098" s="878" t="s">
        <v>15494</v>
      </c>
      <c r="B6098" s="878" t="s">
        <v>30092</v>
      </c>
      <c r="C6098" s="879" t="s">
        <v>227</v>
      </c>
      <c r="D6098" s="880" t="s">
        <v>30179</v>
      </c>
    </row>
    <row r="6099" spans="1:4" ht="13.5" x14ac:dyDescent="0.25">
      <c r="A6099" s="878" t="s">
        <v>15495</v>
      </c>
      <c r="B6099" s="878" t="s">
        <v>30093</v>
      </c>
      <c r="C6099" s="879" t="s">
        <v>227</v>
      </c>
      <c r="D6099" s="880" t="s">
        <v>40741</v>
      </c>
    </row>
    <row r="6100" spans="1:4" ht="13.5" x14ac:dyDescent="0.25">
      <c r="A6100" s="885" t="s">
        <v>15496</v>
      </c>
      <c r="B6100" s="885" t="s">
        <v>30094</v>
      </c>
      <c r="C6100" s="886" t="s">
        <v>158</v>
      </c>
      <c r="D6100" s="887" t="s">
        <v>43490</v>
      </c>
    </row>
    <row r="6101" spans="1:4" ht="13.5" x14ac:dyDescent="0.25">
      <c r="A6101" s="878" t="s">
        <v>15497</v>
      </c>
      <c r="B6101" s="878" t="s">
        <v>30095</v>
      </c>
      <c r="C6101" s="879" t="s">
        <v>227</v>
      </c>
      <c r="D6101" s="880" t="s">
        <v>30964</v>
      </c>
    </row>
    <row r="6102" spans="1:4" ht="13.5" x14ac:dyDescent="0.25">
      <c r="A6102" s="878" t="s">
        <v>15498</v>
      </c>
      <c r="B6102" s="878" t="s">
        <v>30096</v>
      </c>
      <c r="C6102" s="879" t="s">
        <v>227</v>
      </c>
      <c r="D6102" s="880" t="s">
        <v>43491</v>
      </c>
    </row>
    <row r="6103" spans="1:4" ht="13.5" x14ac:dyDescent="0.25">
      <c r="A6103" s="878" t="s">
        <v>15499</v>
      </c>
      <c r="B6103" s="878" t="s">
        <v>30097</v>
      </c>
      <c r="C6103" s="879" t="s">
        <v>227</v>
      </c>
      <c r="D6103" s="880" t="s">
        <v>43492</v>
      </c>
    </row>
    <row r="6104" spans="1:4" ht="13.5" x14ac:dyDescent="0.25">
      <c r="A6104" s="878" t="s">
        <v>15500</v>
      </c>
      <c r="B6104" s="878" t="s">
        <v>30098</v>
      </c>
      <c r="C6104" s="879" t="s">
        <v>227</v>
      </c>
      <c r="D6104" s="880" t="s">
        <v>43493</v>
      </c>
    </row>
    <row r="6105" spans="1:4" ht="13.5" x14ac:dyDescent="0.25">
      <c r="A6105" s="878" t="s">
        <v>15501</v>
      </c>
      <c r="B6105" s="878" t="s">
        <v>15502</v>
      </c>
      <c r="C6105" s="879" t="s">
        <v>227</v>
      </c>
      <c r="D6105" s="880" t="s">
        <v>43494</v>
      </c>
    </row>
    <row r="6106" spans="1:4" ht="13.5" x14ac:dyDescent="0.25">
      <c r="A6106" s="878" t="s">
        <v>15503</v>
      </c>
      <c r="B6106" s="878" t="s">
        <v>15504</v>
      </c>
      <c r="C6106" s="879" t="s">
        <v>227</v>
      </c>
      <c r="D6106" s="880" t="s">
        <v>31082</v>
      </c>
    </row>
    <row r="6107" spans="1:4" ht="13.5" x14ac:dyDescent="0.25">
      <c r="A6107" s="878" t="s">
        <v>15505</v>
      </c>
      <c r="B6107" s="878" t="s">
        <v>30099</v>
      </c>
      <c r="C6107" s="879" t="s">
        <v>227</v>
      </c>
      <c r="D6107" s="880" t="s">
        <v>43495</v>
      </c>
    </row>
    <row r="6108" spans="1:4" ht="13.5" x14ac:dyDescent="0.25">
      <c r="A6108" s="878" t="s">
        <v>15506</v>
      </c>
      <c r="B6108" s="878" t="s">
        <v>30100</v>
      </c>
      <c r="C6108" s="879" t="s">
        <v>227</v>
      </c>
      <c r="D6108" s="880" t="s">
        <v>30895</v>
      </c>
    </row>
    <row r="6109" spans="1:4" ht="13.5" x14ac:dyDescent="0.25">
      <c r="A6109" s="878" t="s">
        <v>15507</v>
      </c>
      <c r="B6109" s="878" t="s">
        <v>30101</v>
      </c>
      <c r="C6109" s="879" t="s">
        <v>227</v>
      </c>
      <c r="D6109" s="880" t="s">
        <v>43478</v>
      </c>
    </row>
    <row r="6110" spans="1:4" ht="13.5" x14ac:dyDescent="0.25">
      <c r="A6110" s="878" t="s">
        <v>30102</v>
      </c>
      <c r="B6110" s="878" t="s">
        <v>30103</v>
      </c>
      <c r="C6110" s="879" t="s">
        <v>227</v>
      </c>
      <c r="D6110" s="880" t="s">
        <v>41303</v>
      </c>
    </row>
    <row r="6111" spans="1:4" ht="13.5" x14ac:dyDescent="0.25">
      <c r="A6111" s="878" t="s">
        <v>30104</v>
      </c>
      <c r="B6111" s="878" t="s">
        <v>30105</v>
      </c>
      <c r="C6111" s="879" t="s">
        <v>227</v>
      </c>
      <c r="D6111" s="880" t="s">
        <v>43496</v>
      </c>
    </row>
    <row r="6112" spans="1:4" ht="13.5" x14ac:dyDescent="0.25">
      <c r="A6112" s="878" t="s">
        <v>30106</v>
      </c>
      <c r="B6112" s="878" t="s">
        <v>30107</v>
      </c>
      <c r="C6112" s="879" t="s">
        <v>227</v>
      </c>
      <c r="D6112" s="880" t="s">
        <v>43497</v>
      </c>
    </row>
    <row r="6113" spans="1:4" ht="13.5" x14ac:dyDescent="0.25">
      <c r="A6113" s="878" t="s">
        <v>30108</v>
      </c>
      <c r="B6113" s="878" t="s">
        <v>30109</v>
      </c>
      <c r="C6113" s="879" t="s">
        <v>227</v>
      </c>
      <c r="D6113" s="880" t="s">
        <v>43498</v>
      </c>
    </row>
    <row r="6114" spans="1:4" ht="13.5" x14ac:dyDescent="0.25">
      <c r="A6114" s="878" t="s">
        <v>30110</v>
      </c>
      <c r="B6114" s="878" t="s">
        <v>30111</v>
      </c>
      <c r="C6114" s="879" t="s">
        <v>227</v>
      </c>
      <c r="D6114" s="880" t="s">
        <v>43499</v>
      </c>
    </row>
    <row r="6115" spans="1:4" ht="13.5" x14ac:dyDescent="0.25">
      <c r="A6115" s="878" t="s">
        <v>30112</v>
      </c>
      <c r="B6115" s="878" t="s">
        <v>30113</v>
      </c>
      <c r="C6115" s="879" t="s">
        <v>227</v>
      </c>
      <c r="D6115" s="880" t="s">
        <v>43500</v>
      </c>
    </row>
    <row r="6116" spans="1:4" ht="13.5" x14ac:dyDescent="0.25">
      <c r="A6116" s="878" t="s">
        <v>30114</v>
      </c>
      <c r="B6116" s="878" t="s">
        <v>30115</v>
      </c>
      <c r="C6116" s="879" t="s">
        <v>227</v>
      </c>
      <c r="D6116" s="880" t="s">
        <v>43501</v>
      </c>
    </row>
    <row r="6117" spans="1:4" ht="13.5" x14ac:dyDescent="0.25">
      <c r="A6117" s="878" t="s">
        <v>30116</v>
      </c>
      <c r="B6117" s="878" t="s">
        <v>30117</v>
      </c>
      <c r="C6117" s="879" t="s">
        <v>227</v>
      </c>
      <c r="D6117" s="880" t="s">
        <v>43502</v>
      </c>
    </row>
    <row r="6118" spans="1:4" ht="13.5" x14ac:dyDescent="0.25">
      <c r="A6118" s="878" t="s">
        <v>30118</v>
      </c>
      <c r="B6118" s="878" t="s">
        <v>30119</v>
      </c>
      <c r="C6118" s="879" t="s">
        <v>227</v>
      </c>
      <c r="D6118" s="880" t="s">
        <v>43503</v>
      </c>
    </row>
    <row r="6119" spans="1:4" ht="13.5" x14ac:dyDescent="0.25">
      <c r="A6119" s="878" t="s">
        <v>30120</v>
      </c>
      <c r="B6119" s="878" t="s">
        <v>30121</v>
      </c>
      <c r="C6119" s="879" t="s">
        <v>227</v>
      </c>
      <c r="D6119" s="880" t="s">
        <v>40043</v>
      </c>
    </row>
    <row r="6120" spans="1:4" ht="13.5" x14ac:dyDescent="0.25">
      <c r="A6120" s="878" t="s">
        <v>30122</v>
      </c>
      <c r="B6120" s="878" t="s">
        <v>30123</v>
      </c>
      <c r="C6120" s="879" t="s">
        <v>227</v>
      </c>
      <c r="D6120" s="880" t="s">
        <v>43504</v>
      </c>
    </row>
    <row r="6121" spans="1:4" ht="13.5" x14ac:dyDescent="0.25">
      <c r="A6121" s="878" t="s">
        <v>30124</v>
      </c>
      <c r="B6121" s="878" t="s">
        <v>30125</v>
      </c>
      <c r="C6121" s="879" t="s">
        <v>227</v>
      </c>
      <c r="D6121" s="880" t="s">
        <v>43505</v>
      </c>
    </row>
    <row r="6122" spans="1:4" ht="13.5" x14ac:dyDescent="0.25">
      <c r="A6122" s="878" t="s">
        <v>30126</v>
      </c>
      <c r="B6122" s="878" t="s">
        <v>30127</v>
      </c>
      <c r="C6122" s="879" t="s">
        <v>227</v>
      </c>
      <c r="D6122" s="880" t="s">
        <v>43506</v>
      </c>
    </row>
    <row r="6123" spans="1:4" ht="13.5" x14ac:dyDescent="0.25">
      <c r="A6123" s="878" t="s">
        <v>30128</v>
      </c>
      <c r="B6123" s="878" t="s">
        <v>30129</v>
      </c>
      <c r="C6123" s="879" t="s">
        <v>227</v>
      </c>
      <c r="D6123" s="880" t="s">
        <v>30817</v>
      </c>
    </row>
    <row r="6124" spans="1:4" ht="13.5" x14ac:dyDescent="0.25">
      <c r="A6124" s="878" t="s">
        <v>30130</v>
      </c>
      <c r="B6124" s="878" t="s">
        <v>30131</v>
      </c>
      <c r="C6124" s="879" t="s">
        <v>227</v>
      </c>
      <c r="D6124" s="880" t="s">
        <v>31207</v>
      </c>
    </row>
    <row r="6125" spans="1:4" ht="13.5" x14ac:dyDescent="0.25">
      <c r="A6125" s="878" t="s">
        <v>30132</v>
      </c>
      <c r="B6125" s="878" t="s">
        <v>30133</v>
      </c>
      <c r="C6125" s="879" t="s">
        <v>227</v>
      </c>
      <c r="D6125" s="880" t="s">
        <v>30709</v>
      </c>
    </row>
    <row r="6126" spans="1:4" ht="13.5" x14ac:dyDescent="0.25">
      <c r="A6126" s="878" t="s">
        <v>30134</v>
      </c>
      <c r="B6126" s="878" t="s">
        <v>30135</v>
      </c>
      <c r="C6126" s="879" t="s">
        <v>227</v>
      </c>
      <c r="D6126" s="880" t="s">
        <v>43507</v>
      </c>
    </row>
    <row r="6127" spans="1:4" ht="13.5" x14ac:dyDescent="0.25">
      <c r="A6127" s="878" t="s">
        <v>30136</v>
      </c>
      <c r="B6127" s="878" t="s">
        <v>30137</v>
      </c>
      <c r="C6127" s="879" t="s">
        <v>227</v>
      </c>
      <c r="D6127" s="880" t="s">
        <v>43508</v>
      </c>
    </row>
    <row r="6128" spans="1:4" ht="13.5" x14ac:dyDescent="0.25">
      <c r="A6128" s="878" t="s">
        <v>15508</v>
      </c>
      <c r="B6128" s="878" t="s">
        <v>15509</v>
      </c>
      <c r="C6128" s="879" t="s">
        <v>227</v>
      </c>
      <c r="D6128" s="880" t="s">
        <v>43509</v>
      </c>
    </row>
    <row r="6129" spans="1:4" ht="13.5" x14ac:dyDescent="0.25">
      <c r="A6129" s="878" t="s">
        <v>15510</v>
      </c>
      <c r="B6129" s="878" t="s">
        <v>15511</v>
      </c>
      <c r="C6129" s="879" t="s">
        <v>227</v>
      </c>
      <c r="D6129" s="880" t="s">
        <v>31190</v>
      </c>
    </row>
    <row r="6130" spans="1:4" ht="13.5" x14ac:dyDescent="0.25">
      <c r="A6130" s="878" t="s">
        <v>15512</v>
      </c>
      <c r="B6130" s="878" t="s">
        <v>15513</v>
      </c>
      <c r="C6130" s="879" t="s">
        <v>227</v>
      </c>
      <c r="D6130" s="880" t="s">
        <v>43510</v>
      </c>
    </row>
    <row r="6131" spans="1:4" ht="13.5" x14ac:dyDescent="0.25">
      <c r="A6131" s="878" t="s">
        <v>15514</v>
      </c>
      <c r="B6131" s="878" t="s">
        <v>15515</v>
      </c>
      <c r="C6131" s="879" t="s">
        <v>227</v>
      </c>
      <c r="D6131" s="880" t="s">
        <v>8895</v>
      </c>
    </row>
    <row r="6132" spans="1:4" ht="13.5" x14ac:dyDescent="0.25">
      <c r="A6132" s="878" t="s">
        <v>15517</v>
      </c>
      <c r="B6132" s="878" t="s">
        <v>15518</v>
      </c>
      <c r="C6132" s="879" t="s">
        <v>227</v>
      </c>
      <c r="D6132" s="880" t="s">
        <v>43511</v>
      </c>
    </row>
    <row r="6133" spans="1:4" ht="13.5" x14ac:dyDescent="0.25">
      <c r="A6133" s="878" t="s">
        <v>15520</v>
      </c>
      <c r="B6133" s="878" t="s">
        <v>15521</v>
      </c>
      <c r="C6133" s="879" t="s">
        <v>227</v>
      </c>
      <c r="D6133" s="880" t="s">
        <v>31404</v>
      </c>
    </row>
    <row r="6134" spans="1:4" ht="13.5" x14ac:dyDescent="0.25">
      <c r="A6134" s="878" t="s">
        <v>15522</v>
      </c>
      <c r="B6134" s="878" t="s">
        <v>15523</v>
      </c>
      <c r="C6134" s="879" t="s">
        <v>227</v>
      </c>
      <c r="D6134" s="880" t="s">
        <v>43512</v>
      </c>
    </row>
    <row r="6135" spans="1:4" ht="13.5" x14ac:dyDescent="0.25">
      <c r="A6135" s="878" t="s">
        <v>15524</v>
      </c>
      <c r="B6135" s="878" t="s">
        <v>15525</v>
      </c>
      <c r="C6135" s="879" t="s">
        <v>227</v>
      </c>
      <c r="D6135" s="880" t="s">
        <v>41450</v>
      </c>
    </row>
    <row r="6136" spans="1:4" ht="13.5" x14ac:dyDescent="0.25">
      <c r="A6136" s="878" t="s">
        <v>15526</v>
      </c>
      <c r="B6136" s="878" t="s">
        <v>15527</v>
      </c>
      <c r="C6136" s="879" t="s">
        <v>227</v>
      </c>
      <c r="D6136" s="880" t="s">
        <v>31147</v>
      </c>
    </row>
    <row r="6137" spans="1:4" ht="13.5" x14ac:dyDescent="0.25">
      <c r="A6137" s="878" t="s">
        <v>15528</v>
      </c>
      <c r="B6137" s="878" t="s">
        <v>15529</v>
      </c>
      <c r="C6137" s="879" t="s">
        <v>227</v>
      </c>
      <c r="D6137" s="880" t="s">
        <v>43513</v>
      </c>
    </row>
    <row r="6138" spans="1:4" ht="13.5" x14ac:dyDescent="0.25">
      <c r="A6138" s="878" t="s">
        <v>15530</v>
      </c>
      <c r="B6138" s="878" t="s">
        <v>15531</v>
      </c>
      <c r="C6138" s="879" t="s">
        <v>227</v>
      </c>
      <c r="D6138" s="880" t="s">
        <v>30708</v>
      </c>
    </row>
    <row r="6139" spans="1:4" ht="13.5" x14ac:dyDescent="0.25">
      <c r="A6139" s="878" t="s">
        <v>15532</v>
      </c>
      <c r="B6139" s="878" t="s">
        <v>15533</v>
      </c>
      <c r="C6139" s="879" t="s">
        <v>227</v>
      </c>
      <c r="D6139" s="880" t="s">
        <v>43514</v>
      </c>
    </row>
    <row r="6140" spans="1:4" ht="13.5" x14ac:dyDescent="0.25">
      <c r="A6140" s="878" t="s">
        <v>15534</v>
      </c>
      <c r="B6140" s="878" t="s">
        <v>15535</v>
      </c>
      <c r="C6140" s="879" t="s">
        <v>227</v>
      </c>
      <c r="D6140" s="880" t="s">
        <v>43515</v>
      </c>
    </row>
    <row r="6141" spans="1:4" ht="13.5" x14ac:dyDescent="0.25">
      <c r="A6141" s="878" t="s">
        <v>15536</v>
      </c>
      <c r="B6141" s="878" t="s">
        <v>15537</v>
      </c>
      <c r="C6141" s="879" t="s">
        <v>227</v>
      </c>
      <c r="D6141" s="880" t="s">
        <v>43516</v>
      </c>
    </row>
    <row r="6142" spans="1:4" ht="13.5" x14ac:dyDescent="0.25">
      <c r="A6142" s="878" t="s">
        <v>15538</v>
      </c>
      <c r="B6142" s="878" t="s">
        <v>15539</v>
      </c>
      <c r="C6142" s="879" t="s">
        <v>227</v>
      </c>
      <c r="D6142" s="880" t="s">
        <v>43517</v>
      </c>
    </row>
    <row r="6143" spans="1:4" ht="13.5" x14ac:dyDescent="0.25">
      <c r="A6143" s="878" t="s">
        <v>15540</v>
      </c>
      <c r="B6143" s="878" t="s">
        <v>15541</v>
      </c>
      <c r="C6143" s="879" t="s">
        <v>227</v>
      </c>
      <c r="D6143" s="880" t="s">
        <v>43518</v>
      </c>
    </row>
    <row r="6144" spans="1:4" ht="13.5" x14ac:dyDescent="0.25">
      <c r="A6144" s="878" t="s">
        <v>15542</v>
      </c>
      <c r="B6144" s="878" t="s">
        <v>15543</v>
      </c>
      <c r="C6144" s="879" t="s">
        <v>227</v>
      </c>
      <c r="D6144" s="880" t="s">
        <v>43519</v>
      </c>
    </row>
    <row r="6145" spans="1:4" ht="13.5" x14ac:dyDescent="0.25">
      <c r="A6145" s="878" t="s">
        <v>15544</v>
      </c>
      <c r="B6145" s="878" t="s">
        <v>15545</v>
      </c>
      <c r="C6145" s="879" t="s">
        <v>227</v>
      </c>
      <c r="D6145" s="880" t="s">
        <v>43520</v>
      </c>
    </row>
    <row r="6146" spans="1:4" ht="13.5" x14ac:dyDescent="0.25">
      <c r="A6146" s="878" t="s">
        <v>15546</v>
      </c>
      <c r="B6146" s="878" t="s">
        <v>15547</v>
      </c>
      <c r="C6146" s="879" t="s">
        <v>227</v>
      </c>
      <c r="D6146" s="880" t="s">
        <v>43521</v>
      </c>
    </row>
    <row r="6147" spans="1:4" ht="13.5" x14ac:dyDescent="0.25">
      <c r="A6147" s="878" t="s">
        <v>15548</v>
      </c>
      <c r="B6147" s="878" t="s">
        <v>15549</v>
      </c>
      <c r="C6147" s="879" t="s">
        <v>227</v>
      </c>
      <c r="D6147" s="880" t="s">
        <v>43522</v>
      </c>
    </row>
    <row r="6148" spans="1:4" ht="13.5" x14ac:dyDescent="0.25">
      <c r="A6148" s="878" t="s">
        <v>15550</v>
      </c>
      <c r="B6148" s="878" t="s">
        <v>15551</v>
      </c>
      <c r="C6148" s="879" t="s">
        <v>227</v>
      </c>
      <c r="D6148" s="880" t="s">
        <v>43523</v>
      </c>
    </row>
    <row r="6149" spans="1:4" ht="13.5" x14ac:dyDescent="0.25">
      <c r="A6149" s="878" t="s">
        <v>15552</v>
      </c>
      <c r="B6149" s="878" t="s">
        <v>15553</v>
      </c>
      <c r="C6149" s="879" t="s">
        <v>227</v>
      </c>
      <c r="D6149" s="880" t="s">
        <v>43524</v>
      </c>
    </row>
    <row r="6150" spans="1:4" ht="13.5" x14ac:dyDescent="0.25">
      <c r="A6150" s="878" t="s">
        <v>15554</v>
      </c>
      <c r="B6150" s="878" t="s">
        <v>15555</v>
      </c>
      <c r="C6150" s="879" t="s">
        <v>227</v>
      </c>
      <c r="D6150" s="880" t="s">
        <v>43525</v>
      </c>
    </row>
    <row r="6151" spans="1:4" ht="13.5" x14ac:dyDescent="0.25">
      <c r="A6151" s="878" t="s">
        <v>15556</v>
      </c>
      <c r="B6151" s="878" t="s">
        <v>15557</v>
      </c>
      <c r="C6151" s="879" t="s">
        <v>227</v>
      </c>
      <c r="D6151" s="880" t="s">
        <v>43526</v>
      </c>
    </row>
    <row r="6152" spans="1:4" ht="13.5" x14ac:dyDescent="0.25">
      <c r="A6152" s="878" t="s">
        <v>15558</v>
      </c>
      <c r="B6152" s="878" t="s">
        <v>15559</v>
      </c>
      <c r="C6152" s="879" t="s">
        <v>227</v>
      </c>
      <c r="D6152" s="880" t="s">
        <v>5322</v>
      </c>
    </row>
    <row r="6153" spans="1:4" ht="13.5" x14ac:dyDescent="0.25">
      <c r="A6153" s="878" t="s">
        <v>15561</v>
      </c>
      <c r="B6153" s="878" t="s">
        <v>15562</v>
      </c>
      <c r="C6153" s="879" t="s">
        <v>158</v>
      </c>
      <c r="D6153" s="880" t="s">
        <v>43527</v>
      </c>
    </row>
    <row r="6154" spans="1:4" ht="13.5" x14ac:dyDescent="0.25">
      <c r="A6154" s="878" t="s">
        <v>15563</v>
      </c>
      <c r="B6154" s="878" t="s">
        <v>15564</v>
      </c>
      <c r="C6154" s="879" t="s">
        <v>158</v>
      </c>
      <c r="D6154" s="880" t="s">
        <v>43528</v>
      </c>
    </row>
    <row r="6155" spans="1:4" ht="13.5" x14ac:dyDescent="0.25">
      <c r="A6155" s="878" t="s">
        <v>15565</v>
      </c>
      <c r="B6155" s="878" t="s">
        <v>15566</v>
      </c>
      <c r="C6155" s="879" t="s">
        <v>158</v>
      </c>
      <c r="D6155" s="880" t="s">
        <v>31192</v>
      </c>
    </row>
    <row r="6156" spans="1:4" ht="13.5" x14ac:dyDescent="0.25">
      <c r="A6156" s="878" t="s">
        <v>15567</v>
      </c>
      <c r="B6156" s="878" t="s">
        <v>15568</v>
      </c>
      <c r="C6156" s="879" t="s">
        <v>158</v>
      </c>
      <c r="D6156" s="880" t="s">
        <v>31140</v>
      </c>
    </row>
    <row r="6157" spans="1:4" ht="13.5" x14ac:dyDescent="0.25">
      <c r="A6157" s="878" t="s">
        <v>15569</v>
      </c>
      <c r="B6157" s="878" t="s">
        <v>15570</v>
      </c>
      <c r="C6157" s="879" t="s">
        <v>227</v>
      </c>
      <c r="D6157" s="880" t="s">
        <v>31193</v>
      </c>
    </row>
    <row r="6158" spans="1:4" ht="13.5" x14ac:dyDescent="0.25">
      <c r="A6158" s="878" t="s">
        <v>15571</v>
      </c>
      <c r="B6158" s="878" t="s">
        <v>15572</v>
      </c>
      <c r="C6158" s="879" t="s">
        <v>227</v>
      </c>
      <c r="D6158" s="880" t="s">
        <v>42355</v>
      </c>
    </row>
    <row r="6159" spans="1:4" ht="13.5" x14ac:dyDescent="0.25">
      <c r="A6159" s="878" t="s">
        <v>15574</v>
      </c>
      <c r="B6159" s="878" t="s">
        <v>15575</v>
      </c>
      <c r="C6159" s="879" t="s">
        <v>227</v>
      </c>
      <c r="D6159" s="880" t="s">
        <v>43529</v>
      </c>
    </row>
    <row r="6160" spans="1:4" ht="13.5" x14ac:dyDescent="0.25">
      <c r="A6160" s="878" t="s">
        <v>15576</v>
      </c>
      <c r="B6160" s="878" t="s">
        <v>30138</v>
      </c>
      <c r="C6160" s="879" t="s">
        <v>227</v>
      </c>
      <c r="D6160" s="880" t="s">
        <v>5541</v>
      </c>
    </row>
    <row r="6161" spans="1:4" ht="13.5" x14ac:dyDescent="0.25">
      <c r="A6161" s="878" t="s">
        <v>15577</v>
      </c>
      <c r="B6161" s="878" t="s">
        <v>30139</v>
      </c>
      <c r="C6161" s="879" t="s">
        <v>227</v>
      </c>
      <c r="D6161" s="880" t="s">
        <v>3186</v>
      </c>
    </row>
    <row r="6162" spans="1:4" ht="13.5" x14ac:dyDescent="0.25">
      <c r="A6162" s="878" t="s">
        <v>15579</v>
      </c>
      <c r="B6162" s="878" t="s">
        <v>30140</v>
      </c>
      <c r="C6162" s="879" t="s">
        <v>227</v>
      </c>
      <c r="D6162" s="880" t="s">
        <v>30546</v>
      </c>
    </row>
    <row r="6163" spans="1:4" ht="13.5" x14ac:dyDescent="0.25">
      <c r="A6163" s="878" t="s">
        <v>15581</v>
      </c>
      <c r="B6163" s="878" t="s">
        <v>30141</v>
      </c>
      <c r="C6163" s="879" t="s">
        <v>158</v>
      </c>
      <c r="D6163" s="880" t="s">
        <v>4653</v>
      </c>
    </row>
    <row r="6164" spans="1:4" ht="13.5" x14ac:dyDescent="0.25">
      <c r="A6164" s="878" t="s">
        <v>15582</v>
      </c>
      <c r="B6164" s="878" t="s">
        <v>15583</v>
      </c>
      <c r="C6164" s="879" t="s">
        <v>227</v>
      </c>
      <c r="D6164" s="880" t="s">
        <v>31194</v>
      </c>
    </row>
    <row r="6165" spans="1:4" ht="13.5" x14ac:dyDescent="0.25">
      <c r="A6165" s="878" t="s">
        <v>15584</v>
      </c>
      <c r="B6165" s="878" t="s">
        <v>15585</v>
      </c>
      <c r="C6165" s="879" t="s">
        <v>227</v>
      </c>
      <c r="D6165" s="880" t="s">
        <v>10895</v>
      </c>
    </row>
    <row r="6166" spans="1:4" ht="13.5" x14ac:dyDescent="0.25">
      <c r="A6166" s="878" t="s">
        <v>15586</v>
      </c>
      <c r="B6166" s="878" t="s">
        <v>15587</v>
      </c>
      <c r="C6166" s="879" t="s">
        <v>227</v>
      </c>
      <c r="D6166" s="880" t="s">
        <v>43530</v>
      </c>
    </row>
    <row r="6167" spans="1:4" ht="13.5" x14ac:dyDescent="0.25">
      <c r="A6167" s="878" t="s">
        <v>15588</v>
      </c>
      <c r="B6167" s="878" t="s">
        <v>39980</v>
      </c>
      <c r="C6167" s="879" t="s">
        <v>227</v>
      </c>
      <c r="D6167" s="880" t="s">
        <v>43531</v>
      </c>
    </row>
    <row r="6168" spans="1:4" ht="13.5" x14ac:dyDescent="0.25">
      <c r="A6168" s="878" t="s">
        <v>15589</v>
      </c>
      <c r="B6168" s="878" t="s">
        <v>15590</v>
      </c>
      <c r="C6168" s="879" t="s">
        <v>227</v>
      </c>
      <c r="D6168" s="880" t="s">
        <v>43084</v>
      </c>
    </row>
    <row r="6169" spans="1:4" ht="13.5" x14ac:dyDescent="0.25">
      <c r="A6169" s="878" t="s">
        <v>15591</v>
      </c>
      <c r="B6169" s="878" t="s">
        <v>15592</v>
      </c>
      <c r="C6169" s="879" t="s">
        <v>227</v>
      </c>
      <c r="D6169" s="880" t="s">
        <v>43532</v>
      </c>
    </row>
    <row r="6170" spans="1:4" ht="13.5" x14ac:dyDescent="0.25">
      <c r="A6170" s="878" t="s">
        <v>15593</v>
      </c>
      <c r="B6170" s="878" t="s">
        <v>15594</v>
      </c>
      <c r="C6170" s="879" t="s">
        <v>227</v>
      </c>
      <c r="D6170" s="880" t="s">
        <v>30681</v>
      </c>
    </row>
    <row r="6171" spans="1:4" ht="13.5" x14ac:dyDescent="0.25">
      <c r="A6171" s="878" t="s">
        <v>15595</v>
      </c>
      <c r="B6171" s="878" t="s">
        <v>15596</v>
      </c>
      <c r="C6171" s="879" t="s">
        <v>227</v>
      </c>
      <c r="D6171" s="880" t="s">
        <v>43533</v>
      </c>
    </row>
    <row r="6172" spans="1:4" ht="13.5" x14ac:dyDescent="0.25">
      <c r="A6172" s="878" t="s">
        <v>15597</v>
      </c>
      <c r="B6172" s="878" t="s">
        <v>15598</v>
      </c>
      <c r="C6172" s="879" t="s">
        <v>227</v>
      </c>
      <c r="D6172" s="880" t="s">
        <v>43534</v>
      </c>
    </row>
    <row r="6173" spans="1:4" ht="13.5" x14ac:dyDescent="0.25">
      <c r="A6173" s="878" t="s">
        <v>39981</v>
      </c>
      <c r="B6173" s="878" t="s">
        <v>39982</v>
      </c>
      <c r="C6173" s="879" t="s">
        <v>227</v>
      </c>
      <c r="D6173" s="880" t="s">
        <v>43535</v>
      </c>
    </row>
    <row r="6174" spans="1:4" ht="13.5" x14ac:dyDescent="0.25">
      <c r="A6174" s="878" t="s">
        <v>15599</v>
      </c>
      <c r="B6174" s="878" t="s">
        <v>15600</v>
      </c>
      <c r="C6174" s="879" t="s">
        <v>158</v>
      </c>
      <c r="D6174" s="880" t="s">
        <v>43218</v>
      </c>
    </row>
    <row r="6175" spans="1:4" ht="13.5" x14ac:dyDescent="0.25">
      <c r="A6175" s="878" t="s">
        <v>15601</v>
      </c>
      <c r="B6175" s="878" t="s">
        <v>15602</v>
      </c>
      <c r="C6175" s="879" t="s">
        <v>158</v>
      </c>
      <c r="D6175" s="880" t="s">
        <v>16016</v>
      </c>
    </row>
    <row r="6176" spans="1:4" ht="13.5" x14ac:dyDescent="0.25">
      <c r="A6176" s="878" t="s">
        <v>15604</v>
      </c>
      <c r="B6176" s="878" t="s">
        <v>15605</v>
      </c>
      <c r="C6176" s="879" t="s">
        <v>158</v>
      </c>
      <c r="D6176" s="880" t="s">
        <v>31195</v>
      </c>
    </row>
    <row r="6177" spans="1:4" ht="13.5" x14ac:dyDescent="0.25">
      <c r="A6177" s="878" t="s">
        <v>15606</v>
      </c>
      <c r="B6177" s="878" t="s">
        <v>15605</v>
      </c>
      <c r="C6177" s="879" t="s">
        <v>158</v>
      </c>
      <c r="D6177" s="880" t="s">
        <v>41800</v>
      </c>
    </row>
    <row r="6178" spans="1:4" ht="13.5" x14ac:dyDescent="0.25">
      <c r="A6178" s="878" t="s">
        <v>15607</v>
      </c>
      <c r="B6178" s="878" t="s">
        <v>15608</v>
      </c>
      <c r="C6178" s="879" t="s">
        <v>158</v>
      </c>
      <c r="D6178" s="880" t="s">
        <v>30808</v>
      </c>
    </row>
    <row r="6179" spans="1:4" ht="13.5" x14ac:dyDescent="0.25">
      <c r="A6179" s="878" t="s">
        <v>15609</v>
      </c>
      <c r="B6179" s="878" t="s">
        <v>15610</v>
      </c>
      <c r="C6179" s="879" t="s">
        <v>158</v>
      </c>
      <c r="D6179" s="880" t="s">
        <v>30670</v>
      </c>
    </row>
    <row r="6180" spans="1:4" ht="13.5" x14ac:dyDescent="0.25">
      <c r="A6180" s="878" t="s">
        <v>15612</v>
      </c>
      <c r="B6180" s="878" t="s">
        <v>15613</v>
      </c>
      <c r="C6180" s="879" t="s">
        <v>158</v>
      </c>
      <c r="D6180" s="880" t="s">
        <v>31196</v>
      </c>
    </row>
    <row r="6181" spans="1:4" ht="13.5" x14ac:dyDescent="0.25">
      <c r="A6181" s="878" t="s">
        <v>15614</v>
      </c>
      <c r="B6181" s="878" t="s">
        <v>15615</v>
      </c>
      <c r="C6181" s="879" t="s">
        <v>158</v>
      </c>
      <c r="D6181" s="880" t="s">
        <v>43536</v>
      </c>
    </row>
    <row r="6182" spans="1:4" ht="13.5" x14ac:dyDescent="0.25">
      <c r="A6182" s="878" t="s">
        <v>15616</v>
      </c>
      <c r="B6182" s="878" t="s">
        <v>15617</v>
      </c>
      <c r="C6182" s="879" t="s">
        <v>158</v>
      </c>
      <c r="D6182" s="880" t="s">
        <v>41343</v>
      </c>
    </row>
    <row r="6183" spans="1:4" ht="13.5" x14ac:dyDescent="0.25">
      <c r="A6183" s="878" t="s">
        <v>15618</v>
      </c>
      <c r="B6183" s="878" t="s">
        <v>15619</v>
      </c>
      <c r="C6183" s="879" t="s">
        <v>158</v>
      </c>
      <c r="D6183" s="880" t="s">
        <v>43537</v>
      </c>
    </row>
    <row r="6184" spans="1:4" ht="13.5" x14ac:dyDescent="0.25">
      <c r="A6184" s="878" t="s">
        <v>15621</v>
      </c>
      <c r="B6184" s="878" t="s">
        <v>15622</v>
      </c>
      <c r="C6184" s="879" t="s">
        <v>159</v>
      </c>
      <c r="D6184" s="880" t="s">
        <v>43538</v>
      </c>
    </row>
    <row r="6185" spans="1:4" ht="13.5" x14ac:dyDescent="0.25">
      <c r="A6185" s="878" t="s">
        <v>15623</v>
      </c>
      <c r="B6185" s="878" t="s">
        <v>15624</v>
      </c>
      <c r="C6185" s="879" t="s">
        <v>159</v>
      </c>
      <c r="D6185" s="880" t="s">
        <v>43539</v>
      </c>
    </row>
    <row r="6186" spans="1:4" ht="13.5" x14ac:dyDescent="0.25">
      <c r="A6186" s="878" t="s">
        <v>15625</v>
      </c>
      <c r="B6186" s="878" t="s">
        <v>15626</v>
      </c>
      <c r="C6186" s="879" t="s">
        <v>227</v>
      </c>
      <c r="D6186" s="880" t="s">
        <v>43540</v>
      </c>
    </row>
    <row r="6187" spans="1:4" ht="13.5" x14ac:dyDescent="0.25">
      <c r="A6187" s="878" t="s">
        <v>15627</v>
      </c>
      <c r="B6187" s="878" t="s">
        <v>15628</v>
      </c>
      <c r="C6187" s="879" t="s">
        <v>227</v>
      </c>
      <c r="D6187" s="880" t="s">
        <v>43541</v>
      </c>
    </row>
    <row r="6188" spans="1:4" ht="13.5" x14ac:dyDescent="0.25">
      <c r="A6188" s="878" t="s">
        <v>15629</v>
      </c>
      <c r="B6188" s="878" t="s">
        <v>15630</v>
      </c>
      <c r="C6188" s="879" t="s">
        <v>227</v>
      </c>
      <c r="D6188" s="880" t="s">
        <v>31171</v>
      </c>
    </row>
    <row r="6189" spans="1:4" ht="13.5" x14ac:dyDescent="0.25">
      <c r="A6189" s="878" t="s">
        <v>15631</v>
      </c>
      <c r="B6189" s="878" t="s">
        <v>15632</v>
      </c>
      <c r="C6189" s="879" t="s">
        <v>227</v>
      </c>
      <c r="D6189" s="880" t="s">
        <v>31199</v>
      </c>
    </row>
    <row r="6190" spans="1:4" ht="13.5" x14ac:dyDescent="0.25">
      <c r="A6190" s="878" t="s">
        <v>15633</v>
      </c>
      <c r="B6190" s="878" t="s">
        <v>15634</v>
      </c>
      <c r="C6190" s="879" t="s">
        <v>227</v>
      </c>
      <c r="D6190" s="880" t="s">
        <v>43542</v>
      </c>
    </row>
    <row r="6191" spans="1:4" ht="13.5" x14ac:dyDescent="0.25">
      <c r="A6191" s="878" t="s">
        <v>15635</v>
      </c>
      <c r="B6191" s="878" t="s">
        <v>15636</v>
      </c>
      <c r="C6191" s="879" t="s">
        <v>227</v>
      </c>
      <c r="D6191" s="880" t="s">
        <v>43543</v>
      </c>
    </row>
    <row r="6192" spans="1:4" ht="13.5" x14ac:dyDescent="0.25">
      <c r="A6192" s="878" t="s">
        <v>15637</v>
      </c>
      <c r="B6192" s="878" t="s">
        <v>15638</v>
      </c>
      <c r="C6192" s="879" t="s">
        <v>227</v>
      </c>
      <c r="D6192" s="880" t="s">
        <v>43544</v>
      </c>
    </row>
    <row r="6193" spans="1:4" ht="13.5" x14ac:dyDescent="0.25">
      <c r="A6193" s="878" t="s">
        <v>15639</v>
      </c>
      <c r="B6193" s="878" t="s">
        <v>15640</v>
      </c>
      <c r="C6193" s="879" t="s">
        <v>227</v>
      </c>
      <c r="D6193" s="880" t="s">
        <v>31200</v>
      </c>
    </row>
    <row r="6194" spans="1:4" ht="13.5" x14ac:dyDescent="0.25">
      <c r="A6194" s="878" t="s">
        <v>15641</v>
      </c>
      <c r="B6194" s="878" t="s">
        <v>15642</v>
      </c>
      <c r="C6194" s="879" t="s">
        <v>227</v>
      </c>
      <c r="D6194" s="880" t="s">
        <v>6363</v>
      </c>
    </row>
    <row r="6195" spans="1:4" ht="13.5" x14ac:dyDescent="0.25">
      <c r="A6195" s="878" t="s">
        <v>15643</v>
      </c>
      <c r="B6195" s="878" t="s">
        <v>15644</v>
      </c>
      <c r="C6195" s="879" t="s">
        <v>227</v>
      </c>
      <c r="D6195" s="880" t="s">
        <v>30485</v>
      </c>
    </row>
    <row r="6196" spans="1:4" ht="13.5" x14ac:dyDescent="0.25">
      <c r="A6196" s="878" t="s">
        <v>15645</v>
      </c>
      <c r="B6196" s="878" t="s">
        <v>15646</v>
      </c>
      <c r="C6196" s="879" t="s">
        <v>227</v>
      </c>
      <c r="D6196" s="880" t="s">
        <v>43545</v>
      </c>
    </row>
    <row r="6197" spans="1:4" ht="13.5" x14ac:dyDescent="0.25">
      <c r="A6197" s="878" t="s">
        <v>15647</v>
      </c>
      <c r="B6197" s="878" t="s">
        <v>15648</v>
      </c>
      <c r="C6197" s="879" t="s">
        <v>227</v>
      </c>
      <c r="D6197" s="880" t="s">
        <v>31201</v>
      </c>
    </row>
    <row r="6198" spans="1:4" ht="13.5" x14ac:dyDescent="0.25">
      <c r="A6198" s="878" t="s">
        <v>15649</v>
      </c>
      <c r="B6198" s="878" t="s">
        <v>15650</v>
      </c>
      <c r="C6198" s="879" t="s">
        <v>227</v>
      </c>
      <c r="D6198" s="880" t="s">
        <v>43180</v>
      </c>
    </row>
    <row r="6199" spans="1:4" ht="13.5" x14ac:dyDescent="0.25">
      <c r="A6199" s="878" t="s">
        <v>15651</v>
      </c>
      <c r="B6199" s="878" t="s">
        <v>15652</v>
      </c>
      <c r="C6199" s="879" t="s">
        <v>227</v>
      </c>
      <c r="D6199" s="880" t="s">
        <v>30634</v>
      </c>
    </row>
    <row r="6200" spans="1:4" ht="13.5" x14ac:dyDescent="0.25">
      <c r="A6200" s="878" t="s">
        <v>15653</v>
      </c>
      <c r="B6200" s="878" t="s">
        <v>15654</v>
      </c>
      <c r="C6200" s="879" t="s">
        <v>227</v>
      </c>
      <c r="D6200" s="880" t="s">
        <v>31203</v>
      </c>
    </row>
    <row r="6201" spans="1:4" ht="13.5" x14ac:dyDescent="0.25">
      <c r="A6201" s="878" t="s">
        <v>15655</v>
      </c>
      <c r="B6201" s="878" t="s">
        <v>15656</v>
      </c>
      <c r="C6201" s="879" t="s">
        <v>227</v>
      </c>
      <c r="D6201" s="880" t="s">
        <v>31136</v>
      </c>
    </row>
    <row r="6202" spans="1:4" ht="13.5" x14ac:dyDescent="0.25">
      <c r="A6202" s="878" t="s">
        <v>15657</v>
      </c>
      <c r="B6202" s="878" t="s">
        <v>15658</v>
      </c>
      <c r="C6202" s="879" t="s">
        <v>227</v>
      </c>
      <c r="D6202" s="880" t="s">
        <v>43546</v>
      </c>
    </row>
    <row r="6203" spans="1:4" ht="13.5" x14ac:dyDescent="0.25">
      <c r="A6203" s="878" t="s">
        <v>15660</v>
      </c>
      <c r="B6203" s="878" t="s">
        <v>15661</v>
      </c>
      <c r="C6203" s="879" t="s">
        <v>227</v>
      </c>
      <c r="D6203" s="880" t="s">
        <v>43547</v>
      </c>
    </row>
    <row r="6204" spans="1:4" ht="13.5" x14ac:dyDescent="0.25">
      <c r="A6204" s="878" t="s">
        <v>15662</v>
      </c>
      <c r="B6204" s="878" t="s">
        <v>15663</v>
      </c>
      <c r="C6204" s="879" t="s">
        <v>227</v>
      </c>
      <c r="D6204" s="880" t="s">
        <v>31204</v>
      </c>
    </row>
    <row r="6205" spans="1:4" ht="13.5" x14ac:dyDescent="0.25">
      <c r="A6205" s="878" t="s">
        <v>15664</v>
      </c>
      <c r="B6205" s="878" t="s">
        <v>15665</v>
      </c>
      <c r="C6205" s="879" t="s">
        <v>227</v>
      </c>
      <c r="D6205" s="880" t="s">
        <v>43548</v>
      </c>
    </row>
    <row r="6206" spans="1:4" ht="13.5" x14ac:dyDescent="0.25">
      <c r="A6206" s="878" t="s">
        <v>15666</v>
      </c>
      <c r="B6206" s="878" t="s">
        <v>15667</v>
      </c>
      <c r="C6206" s="879" t="s">
        <v>227</v>
      </c>
      <c r="D6206" s="880" t="s">
        <v>43549</v>
      </c>
    </row>
    <row r="6207" spans="1:4" ht="13.5" x14ac:dyDescent="0.25">
      <c r="A6207" s="878" t="s">
        <v>15668</v>
      </c>
      <c r="B6207" s="878" t="s">
        <v>15669</v>
      </c>
      <c r="C6207" s="879" t="s">
        <v>227</v>
      </c>
      <c r="D6207" s="880" t="s">
        <v>43550</v>
      </c>
    </row>
    <row r="6208" spans="1:4" ht="13.5" x14ac:dyDescent="0.25">
      <c r="A6208" s="878" t="s">
        <v>15670</v>
      </c>
      <c r="B6208" s="878" t="s">
        <v>15671</v>
      </c>
      <c r="C6208" s="879" t="s">
        <v>227</v>
      </c>
      <c r="D6208" s="880" t="s">
        <v>31205</v>
      </c>
    </row>
    <row r="6209" spans="1:4" ht="13.5" x14ac:dyDescent="0.25">
      <c r="A6209" s="878" t="s">
        <v>15672</v>
      </c>
      <c r="B6209" s="878" t="s">
        <v>15673</v>
      </c>
      <c r="C6209" s="879" t="s">
        <v>227</v>
      </c>
      <c r="D6209" s="880" t="s">
        <v>43551</v>
      </c>
    </row>
    <row r="6210" spans="1:4" ht="13.5" x14ac:dyDescent="0.25">
      <c r="A6210" s="878" t="s">
        <v>15674</v>
      </c>
      <c r="B6210" s="878" t="s">
        <v>15675</v>
      </c>
      <c r="C6210" s="879" t="s">
        <v>227</v>
      </c>
      <c r="D6210" s="880" t="s">
        <v>40952</v>
      </c>
    </row>
    <row r="6211" spans="1:4" ht="13.5" x14ac:dyDescent="0.25">
      <c r="A6211" s="878" t="s">
        <v>15676</v>
      </c>
      <c r="B6211" s="878" t="s">
        <v>15677</v>
      </c>
      <c r="C6211" s="879" t="s">
        <v>227</v>
      </c>
      <c r="D6211" s="880" t="s">
        <v>30500</v>
      </c>
    </row>
    <row r="6212" spans="1:4" ht="13.5" x14ac:dyDescent="0.25">
      <c r="A6212" s="878" t="s">
        <v>15679</v>
      </c>
      <c r="B6212" s="878" t="s">
        <v>15680</v>
      </c>
      <c r="C6212" s="879" t="s">
        <v>227</v>
      </c>
      <c r="D6212" s="880" t="s">
        <v>43552</v>
      </c>
    </row>
    <row r="6213" spans="1:4" ht="13.5" x14ac:dyDescent="0.25">
      <c r="A6213" s="878" t="s">
        <v>15681</v>
      </c>
      <c r="B6213" s="878" t="s">
        <v>15682</v>
      </c>
      <c r="C6213" s="879" t="s">
        <v>227</v>
      </c>
      <c r="D6213" s="880" t="s">
        <v>43553</v>
      </c>
    </row>
    <row r="6214" spans="1:4" ht="13.5" x14ac:dyDescent="0.25">
      <c r="A6214" s="878" t="s">
        <v>15683</v>
      </c>
      <c r="B6214" s="878" t="s">
        <v>15684</v>
      </c>
      <c r="C6214" s="879" t="s">
        <v>227</v>
      </c>
      <c r="D6214" s="880" t="s">
        <v>30630</v>
      </c>
    </row>
    <row r="6215" spans="1:4" ht="13.5" x14ac:dyDescent="0.25">
      <c r="A6215" s="878" t="s">
        <v>15685</v>
      </c>
      <c r="B6215" s="878" t="s">
        <v>15686</v>
      </c>
      <c r="C6215" s="879" t="s">
        <v>227</v>
      </c>
      <c r="D6215" s="880" t="s">
        <v>13888</v>
      </c>
    </row>
    <row r="6216" spans="1:4" ht="13.5" x14ac:dyDescent="0.25">
      <c r="A6216" s="878" t="s">
        <v>15687</v>
      </c>
      <c r="B6216" s="878" t="s">
        <v>15688</v>
      </c>
      <c r="C6216" s="879" t="s">
        <v>227</v>
      </c>
      <c r="D6216" s="880" t="s">
        <v>31208</v>
      </c>
    </row>
    <row r="6217" spans="1:4" ht="13.5" x14ac:dyDescent="0.25">
      <c r="A6217" s="878" t="s">
        <v>15689</v>
      </c>
      <c r="B6217" s="878" t="s">
        <v>15690</v>
      </c>
      <c r="C6217" s="879" t="s">
        <v>227</v>
      </c>
      <c r="D6217" s="880" t="s">
        <v>8733</v>
      </c>
    </row>
    <row r="6218" spans="1:4" ht="13.5" x14ac:dyDescent="0.25">
      <c r="A6218" s="878" t="s">
        <v>15691</v>
      </c>
      <c r="B6218" s="878" t="s">
        <v>15692</v>
      </c>
      <c r="C6218" s="879" t="s">
        <v>227</v>
      </c>
      <c r="D6218" s="880" t="s">
        <v>30697</v>
      </c>
    </row>
    <row r="6219" spans="1:4" ht="13.5" x14ac:dyDescent="0.25">
      <c r="A6219" s="878" t="s">
        <v>15693</v>
      </c>
      <c r="B6219" s="878" t="s">
        <v>15694</v>
      </c>
      <c r="C6219" s="879" t="s">
        <v>227</v>
      </c>
      <c r="D6219" s="880" t="s">
        <v>31209</v>
      </c>
    </row>
    <row r="6220" spans="1:4" ht="13.5" x14ac:dyDescent="0.25">
      <c r="A6220" s="878" t="s">
        <v>15695</v>
      </c>
      <c r="B6220" s="878" t="s">
        <v>15696</v>
      </c>
      <c r="C6220" s="879" t="s">
        <v>227</v>
      </c>
      <c r="D6220" s="880" t="s">
        <v>43554</v>
      </c>
    </row>
    <row r="6221" spans="1:4" ht="13.5" x14ac:dyDescent="0.25">
      <c r="A6221" s="878" t="s">
        <v>15697</v>
      </c>
      <c r="B6221" s="878" t="s">
        <v>15698</v>
      </c>
      <c r="C6221" s="879" t="s">
        <v>227</v>
      </c>
      <c r="D6221" s="880" t="s">
        <v>6379</v>
      </c>
    </row>
    <row r="6222" spans="1:4" ht="13.5" x14ac:dyDescent="0.25">
      <c r="A6222" s="878" t="s">
        <v>15699</v>
      </c>
      <c r="B6222" s="878" t="s">
        <v>15700</v>
      </c>
      <c r="C6222" s="879" t="s">
        <v>227</v>
      </c>
      <c r="D6222" s="880" t="s">
        <v>43555</v>
      </c>
    </row>
    <row r="6223" spans="1:4" ht="13.5" x14ac:dyDescent="0.25">
      <c r="A6223" s="878" t="s">
        <v>15701</v>
      </c>
      <c r="B6223" s="878" t="s">
        <v>15702</v>
      </c>
      <c r="C6223" s="879" t="s">
        <v>227</v>
      </c>
      <c r="D6223" s="880" t="s">
        <v>43556</v>
      </c>
    </row>
    <row r="6224" spans="1:4" ht="13.5" x14ac:dyDescent="0.25">
      <c r="A6224" s="878" t="s">
        <v>15703</v>
      </c>
      <c r="B6224" s="878" t="s">
        <v>15704</v>
      </c>
      <c r="C6224" s="879" t="s">
        <v>227</v>
      </c>
      <c r="D6224" s="880" t="s">
        <v>43401</v>
      </c>
    </row>
    <row r="6225" spans="1:4" ht="13.5" x14ac:dyDescent="0.25">
      <c r="A6225" s="878" t="s">
        <v>15705</v>
      </c>
      <c r="B6225" s="878" t="s">
        <v>15706</v>
      </c>
      <c r="C6225" s="879" t="s">
        <v>227</v>
      </c>
      <c r="D6225" s="880" t="s">
        <v>43557</v>
      </c>
    </row>
    <row r="6226" spans="1:4" ht="13.5" x14ac:dyDescent="0.25">
      <c r="A6226" s="878" t="s">
        <v>15707</v>
      </c>
      <c r="B6226" s="878" t="s">
        <v>15708</v>
      </c>
      <c r="C6226" s="879" t="s">
        <v>227</v>
      </c>
      <c r="D6226" s="880" t="s">
        <v>43558</v>
      </c>
    </row>
    <row r="6227" spans="1:4" ht="13.5" x14ac:dyDescent="0.25">
      <c r="A6227" s="878" t="s">
        <v>15709</v>
      </c>
      <c r="B6227" s="878" t="s">
        <v>15710</v>
      </c>
      <c r="C6227" s="879" t="s">
        <v>227</v>
      </c>
      <c r="D6227" s="880" t="s">
        <v>43559</v>
      </c>
    </row>
    <row r="6228" spans="1:4" ht="13.5" x14ac:dyDescent="0.25">
      <c r="A6228" s="878" t="s">
        <v>15711</v>
      </c>
      <c r="B6228" s="878" t="s">
        <v>15712</v>
      </c>
      <c r="C6228" s="879" t="s">
        <v>227</v>
      </c>
      <c r="D6228" s="880" t="s">
        <v>43560</v>
      </c>
    </row>
    <row r="6229" spans="1:4" ht="13.5" x14ac:dyDescent="0.25">
      <c r="A6229" s="878" t="s">
        <v>15713</v>
      </c>
      <c r="B6229" s="878" t="s">
        <v>15714</v>
      </c>
      <c r="C6229" s="879" t="s">
        <v>227</v>
      </c>
      <c r="D6229" s="880" t="s">
        <v>43561</v>
      </c>
    </row>
    <row r="6230" spans="1:4" ht="13.5" x14ac:dyDescent="0.25">
      <c r="A6230" s="878" t="s">
        <v>15715</v>
      </c>
      <c r="B6230" s="878" t="s">
        <v>15716</v>
      </c>
      <c r="C6230" s="879" t="s">
        <v>227</v>
      </c>
      <c r="D6230" s="880" t="s">
        <v>43562</v>
      </c>
    </row>
    <row r="6231" spans="1:4" ht="13.5" x14ac:dyDescent="0.25">
      <c r="A6231" s="878" t="s">
        <v>15717</v>
      </c>
      <c r="B6231" s="878" t="s">
        <v>15718</v>
      </c>
      <c r="C6231" s="879" t="s">
        <v>227</v>
      </c>
      <c r="D6231" s="880" t="s">
        <v>42957</v>
      </c>
    </row>
    <row r="6232" spans="1:4" ht="13.5" x14ac:dyDescent="0.25">
      <c r="A6232" s="878" t="s">
        <v>15719</v>
      </c>
      <c r="B6232" s="878" t="s">
        <v>15720</v>
      </c>
      <c r="C6232" s="879" t="s">
        <v>227</v>
      </c>
      <c r="D6232" s="880" t="s">
        <v>31054</v>
      </c>
    </row>
    <row r="6233" spans="1:4" ht="13.5" x14ac:dyDescent="0.25">
      <c r="A6233" s="878" t="s">
        <v>15722</v>
      </c>
      <c r="B6233" s="878" t="s">
        <v>15723</v>
      </c>
      <c r="C6233" s="879" t="s">
        <v>227</v>
      </c>
      <c r="D6233" s="880" t="s">
        <v>43563</v>
      </c>
    </row>
    <row r="6234" spans="1:4" ht="13.5" x14ac:dyDescent="0.25">
      <c r="A6234" s="878" t="s">
        <v>15724</v>
      </c>
      <c r="B6234" s="878" t="s">
        <v>15725</v>
      </c>
      <c r="C6234" s="879" t="s">
        <v>227</v>
      </c>
      <c r="D6234" s="880" t="s">
        <v>42278</v>
      </c>
    </row>
    <row r="6235" spans="1:4" ht="13.5" x14ac:dyDescent="0.25">
      <c r="A6235" s="878" t="s">
        <v>15726</v>
      </c>
      <c r="B6235" s="878" t="s">
        <v>15727</v>
      </c>
      <c r="C6235" s="879" t="s">
        <v>227</v>
      </c>
      <c r="D6235" s="880" t="s">
        <v>43564</v>
      </c>
    </row>
    <row r="6236" spans="1:4" ht="13.5" x14ac:dyDescent="0.25">
      <c r="A6236" s="878" t="s">
        <v>15729</v>
      </c>
      <c r="B6236" s="878" t="s">
        <v>15730</v>
      </c>
      <c r="C6236" s="879" t="s">
        <v>227</v>
      </c>
      <c r="D6236" s="880" t="s">
        <v>30432</v>
      </c>
    </row>
    <row r="6237" spans="1:4" ht="13.5" x14ac:dyDescent="0.25">
      <c r="A6237" s="878" t="s">
        <v>15731</v>
      </c>
      <c r="B6237" s="878" t="s">
        <v>15732</v>
      </c>
      <c r="C6237" s="879" t="s">
        <v>227</v>
      </c>
      <c r="D6237" s="880" t="s">
        <v>43565</v>
      </c>
    </row>
    <row r="6238" spans="1:4" ht="13.5" x14ac:dyDescent="0.25">
      <c r="A6238" s="878" t="s">
        <v>15733</v>
      </c>
      <c r="B6238" s="878" t="s">
        <v>15734</v>
      </c>
      <c r="C6238" s="879" t="s">
        <v>227</v>
      </c>
      <c r="D6238" s="880" t="s">
        <v>30296</v>
      </c>
    </row>
    <row r="6239" spans="1:4" ht="13.5" x14ac:dyDescent="0.25">
      <c r="A6239" s="878" t="s">
        <v>15735</v>
      </c>
      <c r="B6239" s="878" t="s">
        <v>15736</v>
      </c>
      <c r="C6239" s="879" t="s">
        <v>227</v>
      </c>
      <c r="D6239" s="880" t="s">
        <v>30193</v>
      </c>
    </row>
    <row r="6240" spans="1:4" ht="13.5" x14ac:dyDescent="0.25">
      <c r="A6240" s="878" t="s">
        <v>15737</v>
      </c>
      <c r="B6240" s="878" t="s">
        <v>15738</v>
      </c>
      <c r="C6240" s="879" t="s">
        <v>227</v>
      </c>
      <c r="D6240" s="880" t="s">
        <v>4687</v>
      </c>
    </row>
    <row r="6241" spans="1:4" ht="13.5" x14ac:dyDescent="0.25">
      <c r="A6241" s="878" t="s">
        <v>15739</v>
      </c>
      <c r="B6241" s="878" t="s">
        <v>15740</v>
      </c>
      <c r="C6241" s="879" t="s">
        <v>227</v>
      </c>
      <c r="D6241" s="880" t="s">
        <v>43566</v>
      </c>
    </row>
    <row r="6242" spans="1:4" ht="13.5" x14ac:dyDescent="0.25">
      <c r="A6242" s="878" t="s">
        <v>15741</v>
      </c>
      <c r="B6242" s="878" t="s">
        <v>15742</v>
      </c>
      <c r="C6242" s="879" t="s">
        <v>227</v>
      </c>
      <c r="D6242" s="880" t="s">
        <v>8774</v>
      </c>
    </row>
    <row r="6243" spans="1:4" ht="13.5" x14ac:dyDescent="0.25">
      <c r="A6243" s="878" t="s">
        <v>15743</v>
      </c>
      <c r="B6243" s="878" t="s">
        <v>15744</v>
      </c>
      <c r="C6243" s="879" t="s">
        <v>227</v>
      </c>
      <c r="D6243" s="880" t="s">
        <v>9443</v>
      </c>
    </row>
    <row r="6244" spans="1:4" ht="13.5" x14ac:dyDescent="0.25">
      <c r="A6244" s="878" t="s">
        <v>15746</v>
      </c>
      <c r="B6244" s="878" t="s">
        <v>15747</v>
      </c>
      <c r="C6244" s="879" t="s">
        <v>227</v>
      </c>
      <c r="D6244" s="880" t="s">
        <v>31212</v>
      </c>
    </row>
    <row r="6245" spans="1:4" ht="13.5" x14ac:dyDescent="0.25">
      <c r="A6245" s="878" t="s">
        <v>15748</v>
      </c>
      <c r="B6245" s="878" t="s">
        <v>15749</v>
      </c>
      <c r="C6245" s="879" t="s">
        <v>227</v>
      </c>
      <c r="D6245" s="880" t="s">
        <v>30577</v>
      </c>
    </row>
    <row r="6246" spans="1:4" ht="13.5" x14ac:dyDescent="0.25">
      <c r="A6246" s="878" t="s">
        <v>15750</v>
      </c>
      <c r="B6246" s="878" t="s">
        <v>15751</v>
      </c>
      <c r="C6246" s="879" t="s">
        <v>227</v>
      </c>
      <c r="D6246" s="880" t="s">
        <v>7203</v>
      </c>
    </row>
    <row r="6247" spans="1:4" ht="13.5" x14ac:dyDescent="0.25">
      <c r="A6247" s="878" t="s">
        <v>15752</v>
      </c>
      <c r="B6247" s="878" t="s">
        <v>15753</v>
      </c>
      <c r="C6247" s="879" t="s">
        <v>227</v>
      </c>
      <c r="D6247" s="880" t="s">
        <v>30799</v>
      </c>
    </row>
    <row r="6248" spans="1:4" ht="13.5" x14ac:dyDescent="0.25">
      <c r="A6248" s="878" t="s">
        <v>15754</v>
      </c>
      <c r="B6248" s="878" t="s">
        <v>15755</v>
      </c>
      <c r="C6248" s="879" t="s">
        <v>227</v>
      </c>
      <c r="D6248" s="880" t="s">
        <v>13013</v>
      </c>
    </row>
    <row r="6249" spans="1:4" ht="13.5" x14ac:dyDescent="0.25">
      <c r="A6249" s="878" t="s">
        <v>15756</v>
      </c>
      <c r="B6249" s="878" t="s">
        <v>15757</v>
      </c>
      <c r="C6249" s="879" t="s">
        <v>227</v>
      </c>
      <c r="D6249" s="880" t="s">
        <v>31213</v>
      </c>
    </row>
    <row r="6250" spans="1:4" ht="13.5" x14ac:dyDescent="0.25">
      <c r="A6250" s="878" t="s">
        <v>15759</v>
      </c>
      <c r="B6250" s="878" t="s">
        <v>15760</v>
      </c>
      <c r="C6250" s="879" t="s">
        <v>227</v>
      </c>
      <c r="D6250" s="880" t="s">
        <v>30302</v>
      </c>
    </row>
    <row r="6251" spans="1:4" ht="13.5" x14ac:dyDescent="0.25">
      <c r="A6251" s="878" t="s">
        <v>15761</v>
      </c>
      <c r="B6251" s="878" t="s">
        <v>15762</v>
      </c>
      <c r="C6251" s="879" t="s">
        <v>227</v>
      </c>
      <c r="D6251" s="880" t="s">
        <v>30422</v>
      </c>
    </row>
    <row r="6252" spans="1:4" ht="13.5" x14ac:dyDescent="0.25">
      <c r="A6252" s="878" t="s">
        <v>15763</v>
      </c>
      <c r="B6252" s="878" t="s">
        <v>15764</v>
      </c>
      <c r="C6252" s="879" t="s">
        <v>227</v>
      </c>
      <c r="D6252" s="880" t="s">
        <v>14493</v>
      </c>
    </row>
    <row r="6253" spans="1:4" ht="13.5" x14ac:dyDescent="0.25">
      <c r="A6253" s="878" t="s">
        <v>15765</v>
      </c>
      <c r="B6253" s="878" t="s">
        <v>15766</v>
      </c>
      <c r="C6253" s="879" t="s">
        <v>227</v>
      </c>
      <c r="D6253" s="880" t="s">
        <v>5232</v>
      </c>
    </row>
    <row r="6254" spans="1:4" ht="13.5" x14ac:dyDescent="0.25">
      <c r="A6254" s="878" t="s">
        <v>15767</v>
      </c>
      <c r="B6254" s="878" t="s">
        <v>15768</v>
      </c>
      <c r="C6254" s="879" t="s">
        <v>158</v>
      </c>
      <c r="D6254" s="880" t="s">
        <v>30973</v>
      </c>
    </row>
    <row r="6255" spans="1:4" ht="13.5" x14ac:dyDescent="0.25">
      <c r="A6255" s="878" t="s">
        <v>15769</v>
      </c>
      <c r="B6255" s="878" t="s">
        <v>15770</v>
      </c>
      <c r="C6255" s="879" t="s">
        <v>227</v>
      </c>
      <c r="D6255" s="880" t="s">
        <v>30351</v>
      </c>
    </row>
    <row r="6256" spans="1:4" ht="13.5" x14ac:dyDescent="0.25">
      <c r="A6256" s="878" t="s">
        <v>15772</v>
      </c>
      <c r="B6256" s="878" t="s">
        <v>15773</v>
      </c>
      <c r="C6256" s="879" t="s">
        <v>227</v>
      </c>
      <c r="D6256" s="880" t="s">
        <v>14386</v>
      </c>
    </row>
    <row r="6257" spans="1:4" ht="13.5" x14ac:dyDescent="0.25">
      <c r="A6257" s="878" t="s">
        <v>15774</v>
      </c>
      <c r="B6257" s="878" t="s">
        <v>15775</v>
      </c>
      <c r="C6257" s="879" t="s">
        <v>227</v>
      </c>
      <c r="D6257" s="880" t="s">
        <v>12895</v>
      </c>
    </row>
    <row r="6258" spans="1:4" ht="13.5" x14ac:dyDescent="0.25">
      <c r="A6258" s="878" t="s">
        <v>15776</v>
      </c>
      <c r="B6258" s="878" t="s">
        <v>15777</v>
      </c>
      <c r="C6258" s="879" t="s">
        <v>227</v>
      </c>
      <c r="D6258" s="880" t="s">
        <v>41452</v>
      </c>
    </row>
    <row r="6259" spans="1:4" ht="13.5" x14ac:dyDescent="0.25">
      <c r="A6259" s="878" t="s">
        <v>15778</v>
      </c>
      <c r="B6259" s="878" t="s">
        <v>15779</v>
      </c>
      <c r="C6259" s="879" t="s">
        <v>227</v>
      </c>
      <c r="D6259" s="881" t="s">
        <v>5541</v>
      </c>
    </row>
    <row r="6260" spans="1:4" ht="13.5" x14ac:dyDescent="0.25">
      <c r="A6260" s="878" t="s">
        <v>15780</v>
      </c>
      <c r="B6260" s="878" t="s">
        <v>15781</v>
      </c>
      <c r="C6260" s="879" t="s">
        <v>227</v>
      </c>
      <c r="D6260" s="881" t="s">
        <v>17133</v>
      </c>
    </row>
    <row r="6261" spans="1:4" ht="13.5" x14ac:dyDescent="0.25">
      <c r="A6261" s="878" t="s">
        <v>15782</v>
      </c>
      <c r="B6261" s="878" t="s">
        <v>15783</v>
      </c>
      <c r="C6261" s="879" t="s">
        <v>227</v>
      </c>
      <c r="D6261" s="881" t="s">
        <v>4865</v>
      </c>
    </row>
    <row r="6262" spans="1:4" ht="13.5" x14ac:dyDescent="0.25">
      <c r="A6262" s="878" t="s">
        <v>15785</v>
      </c>
      <c r="B6262" s="878" t="s">
        <v>15786</v>
      </c>
      <c r="C6262" s="879" t="s">
        <v>227</v>
      </c>
      <c r="D6262" s="881" t="s">
        <v>30822</v>
      </c>
    </row>
    <row r="6263" spans="1:4" ht="13.5" x14ac:dyDescent="0.25">
      <c r="A6263" s="878" t="s">
        <v>15787</v>
      </c>
      <c r="B6263" s="878" t="s">
        <v>15788</v>
      </c>
      <c r="C6263" s="879" t="s">
        <v>227</v>
      </c>
      <c r="D6263" s="881" t="s">
        <v>31214</v>
      </c>
    </row>
    <row r="6264" spans="1:4" ht="13.5" x14ac:dyDescent="0.25">
      <c r="A6264" s="878" t="s">
        <v>15789</v>
      </c>
      <c r="B6264" s="878" t="s">
        <v>15790</v>
      </c>
      <c r="C6264" s="879" t="s">
        <v>227</v>
      </c>
      <c r="D6264" s="881" t="s">
        <v>13897</v>
      </c>
    </row>
    <row r="6265" spans="1:4" ht="13.5" x14ac:dyDescent="0.25">
      <c r="A6265" s="878" t="s">
        <v>15791</v>
      </c>
      <c r="B6265" s="878" t="s">
        <v>15792</v>
      </c>
      <c r="C6265" s="879" t="s">
        <v>227</v>
      </c>
      <c r="D6265" s="880" t="s">
        <v>13897</v>
      </c>
    </row>
    <row r="6266" spans="1:4" ht="13.5" x14ac:dyDescent="0.25">
      <c r="A6266" s="878" t="s">
        <v>15793</v>
      </c>
      <c r="B6266" s="878" t="s">
        <v>39983</v>
      </c>
      <c r="C6266" s="879" t="s">
        <v>227</v>
      </c>
      <c r="D6266" s="880" t="s">
        <v>8585</v>
      </c>
    </row>
    <row r="6267" spans="1:4" ht="13.5" x14ac:dyDescent="0.25">
      <c r="A6267" s="878" t="s">
        <v>15794</v>
      </c>
      <c r="B6267" s="878" t="s">
        <v>39984</v>
      </c>
      <c r="C6267" s="879" t="s">
        <v>227</v>
      </c>
      <c r="D6267" s="880" t="s">
        <v>9019</v>
      </c>
    </row>
    <row r="6268" spans="1:4" ht="13.5" x14ac:dyDescent="0.25">
      <c r="A6268" s="878" t="s">
        <v>15795</v>
      </c>
      <c r="B6268" s="878" t="s">
        <v>39985</v>
      </c>
      <c r="C6268" s="879" t="s">
        <v>227</v>
      </c>
      <c r="D6268" s="880" t="s">
        <v>31176</v>
      </c>
    </row>
    <row r="6269" spans="1:4" ht="13.5" x14ac:dyDescent="0.25">
      <c r="A6269" s="878" t="s">
        <v>15796</v>
      </c>
      <c r="B6269" s="878" t="s">
        <v>39986</v>
      </c>
      <c r="C6269" s="879" t="s">
        <v>227</v>
      </c>
      <c r="D6269" s="880" t="s">
        <v>43567</v>
      </c>
    </row>
    <row r="6270" spans="1:4" ht="13.5" x14ac:dyDescent="0.25">
      <c r="A6270" s="878" t="s">
        <v>15797</v>
      </c>
      <c r="B6270" s="878" t="s">
        <v>39987</v>
      </c>
      <c r="C6270" s="879" t="s">
        <v>227</v>
      </c>
      <c r="D6270" s="880" t="s">
        <v>43568</v>
      </c>
    </row>
    <row r="6271" spans="1:4" ht="13.5" x14ac:dyDescent="0.25">
      <c r="A6271" s="878" t="s">
        <v>15798</v>
      </c>
      <c r="B6271" s="878" t="s">
        <v>39988</v>
      </c>
      <c r="C6271" s="879" t="s">
        <v>227</v>
      </c>
      <c r="D6271" s="880" t="s">
        <v>42453</v>
      </c>
    </row>
    <row r="6272" spans="1:4" ht="13.5" x14ac:dyDescent="0.25">
      <c r="A6272" s="878" t="s">
        <v>15799</v>
      </c>
      <c r="B6272" s="878" t="s">
        <v>39989</v>
      </c>
      <c r="C6272" s="879" t="s">
        <v>227</v>
      </c>
      <c r="D6272" s="880" t="s">
        <v>43569</v>
      </c>
    </row>
    <row r="6273" spans="1:4" ht="13.5" x14ac:dyDescent="0.25">
      <c r="A6273" s="878" t="s">
        <v>15800</v>
      </c>
      <c r="B6273" s="878" t="s">
        <v>39990</v>
      </c>
      <c r="C6273" s="879" t="s">
        <v>227</v>
      </c>
      <c r="D6273" s="880" t="s">
        <v>41606</v>
      </c>
    </row>
    <row r="6274" spans="1:4" ht="13.5" x14ac:dyDescent="0.25">
      <c r="A6274" s="878" t="s">
        <v>15801</v>
      </c>
      <c r="B6274" s="878" t="s">
        <v>39991</v>
      </c>
      <c r="C6274" s="879" t="s">
        <v>227</v>
      </c>
      <c r="D6274" s="880" t="s">
        <v>43570</v>
      </c>
    </row>
    <row r="6275" spans="1:4" ht="13.5" x14ac:dyDescent="0.25">
      <c r="A6275" s="878" t="s">
        <v>15802</v>
      </c>
      <c r="B6275" s="878" t="s">
        <v>39992</v>
      </c>
      <c r="C6275" s="879" t="s">
        <v>227</v>
      </c>
      <c r="D6275" s="880" t="s">
        <v>43571</v>
      </c>
    </row>
    <row r="6276" spans="1:4" ht="13.5" x14ac:dyDescent="0.25">
      <c r="A6276" s="878" t="s">
        <v>15803</v>
      </c>
      <c r="B6276" s="878" t="s">
        <v>39993</v>
      </c>
      <c r="C6276" s="879" t="s">
        <v>227</v>
      </c>
      <c r="D6276" s="880" t="s">
        <v>15850</v>
      </c>
    </row>
    <row r="6277" spans="1:4" ht="13.5" x14ac:dyDescent="0.25">
      <c r="A6277" s="878" t="s">
        <v>15804</v>
      </c>
      <c r="B6277" s="878" t="s">
        <v>39994</v>
      </c>
      <c r="C6277" s="879" t="s">
        <v>227</v>
      </c>
      <c r="D6277" s="880" t="s">
        <v>14297</v>
      </c>
    </row>
    <row r="6278" spans="1:4" ht="13.5" x14ac:dyDescent="0.25">
      <c r="A6278" s="878" t="s">
        <v>15805</v>
      </c>
      <c r="B6278" s="878" t="s">
        <v>39995</v>
      </c>
      <c r="C6278" s="879" t="s">
        <v>227</v>
      </c>
      <c r="D6278" s="880" t="s">
        <v>43572</v>
      </c>
    </row>
    <row r="6279" spans="1:4" ht="13.5" x14ac:dyDescent="0.25">
      <c r="A6279" s="878" t="s">
        <v>15807</v>
      </c>
      <c r="B6279" s="878" t="s">
        <v>39996</v>
      </c>
      <c r="C6279" s="879" t="s">
        <v>227</v>
      </c>
      <c r="D6279" s="880" t="s">
        <v>30358</v>
      </c>
    </row>
    <row r="6280" spans="1:4" ht="13.5" x14ac:dyDescent="0.25">
      <c r="A6280" s="878" t="s">
        <v>15808</v>
      </c>
      <c r="B6280" s="878" t="s">
        <v>15809</v>
      </c>
      <c r="C6280" s="879" t="s">
        <v>227</v>
      </c>
      <c r="D6280" s="880" t="s">
        <v>43573</v>
      </c>
    </row>
    <row r="6281" spans="1:4" ht="13.5" x14ac:dyDescent="0.25">
      <c r="A6281" s="878" t="s">
        <v>15810</v>
      </c>
      <c r="B6281" s="878" t="s">
        <v>15811</v>
      </c>
      <c r="C6281" s="879" t="s">
        <v>227</v>
      </c>
      <c r="D6281" s="880" t="s">
        <v>43574</v>
      </c>
    </row>
    <row r="6282" spans="1:4" ht="13.5" x14ac:dyDescent="0.25">
      <c r="A6282" s="878" t="s">
        <v>15812</v>
      </c>
      <c r="B6282" s="878" t="s">
        <v>15813</v>
      </c>
      <c r="C6282" s="879" t="s">
        <v>227</v>
      </c>
      <c r="D6282" s="880" t="s">
        <v>18090</v>
      </c>
    </row>
    <row r="6283" spans="1:4" ht="13.5" x14ac:dyDescent="0.25">
      <c r="A6283" s="878" t="s">
        <v>15814</v>
      </c>
      <c r="B6283" s="878" t="s">
        <v>15815</v>
      </c>
      <c r="C6283" s="879" t="s">
        <v>227</v>
      </c>
      <c r="D6283" s="880" t="s">
        <v>43575</v>
      </c>
    </row>
    <row r="6284" spans="1:4" ht="13.5" x14ac:dyDescent="0.25">
      <c r="A6284" s="878" t="s">
        <v>15816</v>
      </c>
      <c r="B6284" s="878" t="s">
        <v>15817</v>
      </c>
      <c r="C6284" s="879" t="s">
        <v>227</v>
      </c>
      <c r="D6284" s="880" t="s">
        <v>43576</v>
      </c>
    </row>
    <row r="6285" spans="1:4" ht="13.5" x14ac:dyDescent="0.25">
      <c r="A6285" s="878" t="s">
        <v>15818</v>
      </c>
      <c r="B6285" s="878" t="s">
        <v>15819</v>
      </c>
      <c r="C6285" s="879" t="s">
        <v>227</v>
      </c>
      <c r="D6285" s="880" t="s">
        <v>30749</v>
      </c>
    </row>
    <row r="6286" spans="1:4" ht="13.5" x14ac:dyDescent="0.25">
      <c r="A6286" s="878" t="s">
        <v>15820</v>
      </c>
      <c r="B6286" s="878" t="s">
        <v>15821</v>
      </c>
      <c r="C6286" s="879" t="s">
        <v>227</v>
      </c>
      <c r="D6286" s="880" t="s">
        <v>30815</v>
      </c>
    </row>
    <row r="6287" spans="1:4" ht="13.5" x14ac:dyDescent="0.25">
      <c r="A6287" s="878" t="s">
        <v>15822</v>
      </c>
      <c r="B6287" s="878" t="s">
        <v>15823</v>
      </c>
      <c r="C6287" s="879" t="s">
        <v>227</v>
      </c>
      <c r="D6287" s="880" t="s">
        <v>43577</v>
      </c>
    </row>
    <row r="6288" spans="1:4" ht="13.5" x14ac:dyDescent="0.25">
      <c r="A6288" s="878" t="s">
        <v>15824</v>
      </c>
      <c r="B6288" s="878" t="s">
        <v>15825</v>
      </c>
      <c r="C6288" s="879" t="s">
        <v>227</v>
      </c>
      <c r="D6288" s="880" t="s">
        <v>43578</v>
      </c>
    </row>
    <row r="6289" spans="1:4" ht="13.5" x14ac:dyDescent="0.25">
      <c r="A6289" s="878" t="s">
        <v>15826</v>
      </c>
      <c r="B6289" s="878" t="s">
        <v>15827</v>
      </c>
      <c r="C6289" s="879" t="s">
        <v>227</v>
      </c>
      <c r="D6289" s="880" t="s">
        <v>43579</v>
      </c>
    </row>
    <row r="6290" spans="1:4" ht="13.5" x14ac:dyDescent="0.25">
      <c r="A6290" s="878" t="s">
        <v>15828</v>
      </c>
      <c r="B6290" s="878" t="s">
        <v>15829</v>
      </c>
      <c r="C6290" s="879" t="s">
        <v>227</v>
      </c>
      <c r="D6290" s="880" t="s">
        <v>43580</v>
      </c>
    </row>
    <row r="6291" spans="1:4" ht="13.5" x14ac:dyDescent="0.25">
      <c r="A6291" s="878" t="s">
        <v>15830</v>
      </c>
      <c r="B6291" s="878" t="s">
        <v>15831</v>
      </c>
      <c r="C6291" s="879" t="s">
        <v>227</v>
      </c>
      <c r="D6291" s="880" t="s">
        <v>43581</v>
      </c>
    </row>
    <row r="6292" spans="1:4" ht="13.5" x14ac:dyDescent="0.25">
      <c r="A6292" s="878" t="s">
        <v>15832</v>
      </c>
      <c r="B6292" s="878" t="s">
        <v>15833</v>
      </c>
      <c r="C6292" s="879" t="s">
        <v>227</v>
      </c>
      <c r="D6292" s="880" t="s">
        <v>10512</v>
      </c>
    </row>
    <row r="6293" spans="1:4" ht="13.5" x14ac:dyDescent="0.25">
      <c r="A6293" s="878" t="s">
        <v>15834</v>
      </c>
      <c r="B6293" s="878" t="s">
        <v>15835</v>
      </c>
      <c r="C6293" s="879" t="s">
        <v>227</v>
      </c>
      <c r="D6293" s="880" t="s">
        <v>31179</v>
      </c>
    </row>
    <row r="6294" spans="1:4" ht="13.5" x14ac:dyDescent="0.25">
      <c r="A6294" s="878" t="s">
        <v>15836</v>
      </c>
      <c r="B6294" s="878" t="s">
        <v>15837</v>
      </c>
      <c r="C6294" s="879" t="s">
        <v>227</v>
      </c>
      <c r="D6294" s="880" t="s">
        <v>43582</v>
      </c>
    </row>
    <row r="6295" spans="1:4" ht="13.5" x14ac:dyDescent="0.25">
      <c r="A6295" s="878" t="s">
        <v>15838</v>
      </c>
      <c r="B6295" s="878" t="s">
        <v>15839</v>
      </c>
      <c r="C6295" s="879" t="s">
        <v>227</v>
      </c>
      <c r="D6295" s="880" t="s">
        <v>43583</v>
      </c>
    </row>
    <row r="6296" spans="1:4" ht="13.5" x14ac:dyDescent="0.25">
      <c r="A6296" s="878" t="s">
        <v>15840</v>
      </c>
      <c r="B6296" s="878" t="s">
        <v>15841</v>
      </c>
      <c r="C6296" s="879" t="s">
        <v>227</v>
      </c>
      <c r="D6296" s="881" t="s">
        <v>43584</v>
      </c>
    </row>
    <row r="6297" spans="1:4" ht="13.5" x14ac:dyDescent="0.25">
      <c r="A6297" s="878" t="s">
        <v>15842</v>
      </c>
      <c r="B6297" s="878" t="s">
        <v>15843</v>
      </c>
      <c r="C6297" s="879" t="s">
        <v>227</v>
      </c>
      <c r="D6297" s="881" t="s">
        <v>31262</v>
      </c>
    </row>
    <row r="6298" spans="1:4" ht="13.5" x14ac:dyDescent="0.25">
      <c r="A6298" s="878" t="s">
        <v>15844</v>
      </c>
      <c r="B6298" s="878" t="s">
        <v>15845</v>
      </c>
      <c r="C6298" s="879" t="s">
        <v>227</v>
      </c>
      <c r="D6298" s="881" t="s">
        <v>30982</v>
      </c>
    </row>
    <row r="6299" spans="1:4" ht="13.5" x14ac:dyDescent="0.25">
      <c r="A6299" s="878" t="s">
        <v>15846</v>
      </c>
      <c r="B6299" s="878" t="s">
        <v>15847</v>
      </c>
      <c r="C6299" s="879" t="s">
        <v>227</v>
      </c>
      <c r="D6299" s="881" t="s">
        <v>42429</v>
      </c>
    </row>
    <row r="6300" spans="1:4" ht="13.5" x14ac:dyDescent="0.25">
      <c r="A6300" s="878" t="s">
        <v>15848</v>
      </c>
      <c r="B6300" s="878" t="s">
        <v>15849</v>
      </c>
      <c r="C6300" s="879" t="s">
        <v>227</v>
      </c>
      <c r="D6300" s="881" t="s">
        <v>41696</v>
      </c>
    </row>
    <row r="6301" spans="1:4" ht="13.5" x14ac:dyDescent="0.25">
      <c r="A6301" s="878" t="s">
        <v>15851</v>
      </c>
      <c r="B6301" s="878" t="s">
        <v>15852</v>
      </c>
      <c r="C6301" s="879" t="s">
        <v>227</v>
      </c>
      <c r="D6301" s="881" t="s">
        <v>9499</v>
      </c>
    </row>
    <row r="6302" spans="1:4" ht="13.5" x14ac:dyDescent="0.25">
      <c r="A6302" s="878" t="s">
        <v>15854</v>
      </c>
      <c r="B6302" s="878" t="s">
        <v>15855</v>
      </c>
      <c r="C6302" s="879" t="s">
        <v>227</v>
      </c>
      <c r="D6302" s="881" t="s">
        <v>43585</v>
      </c>
    </row>
    <row r="6303" spans="1:4" ht="13.5" x14ac:dyDescent="0.25">
      <c r="A6303" s="878" t="s">
        <v>15856</v>
      </c>
      <c r="B6303" s="878" t="s">
        <v>15857</v>
      </c>
      <c r="C6303" s="879" t="s">
        <v>227</v>
      </c>
      <c r="D6303" s="880" t="s">
        <v>43586</v>
      </c>
    </row>
    <row r="6304" spans="1:4" ht="13.5" x14ac:dyDescent="0.25">
      <c r="A6304" s="878" t="s">
        <v>15858</v>
      </c>
      <c r="B6304" s="878" t="s">
        <v>15859</v>
      </c>
      <c r="C6304" s="879" t="s">
        <v>227</v>
      </c>
      <c r="D6304" s="880" t="s">
        <v>43587</v>
      </c>
    </row>
    <row r="6305" spans="1:4" ht="13.5" x14ac:dyDescent="0.25">
      <c r="A6305" s="878" t="s">
        <v>15860</v>
      </c>
      <c r="B6305" s="878" t="s">
        <v>15861</v>
      </c>
      <c r="C6305" s="879" t="s">
        <v>227</v>
      </c>
      <c r="D6305" s="880" t="s">
        <v>43588</v>
      </c>
    </row>
    <row r="6306" spans="1:4" ht="13.5" x14ac:dyDescent="0.25">
      <c r="A6306" s="878" t="s">
        <v>15862</v>
      </c>
      <c r="B6306" s="878" t="s">
        <v>15863</v>
      </c>
      <c r="C6306" s="879" t="s">
        <v>227</v>
      </c>
      <c r="D6306" s="880" t="s">
        <v>31169</v>
      </c>
    </row>
    <row r="6307" spans="1:4" ht="13.5" x14ac:dyDescent="0.25">
      <c r="A6307" s="878" t="s">
        <v>15864</v>
      </c>
      <c r="B6307" s="878" t="s">
        <v>15865</v>
      </c>
      <c r="C6307" s="879" t="s">
        <v>227</v>
      </c>
      <c r="D6307" s="880" t="s">
        <v>43589</v>
      </c>
    </row>
    <row r="6308" spans="1:4" ht="13.5" x14ac:dyDescent="0.25">
      <c r="A6308" s="878" t="s">
        <v>15866</v>
      </c>
      <c r="B6308" s="878" t="s">
        <v>15867</v>
      </c>
      <c r="C6308" s="879" t="s">
        <v>227</v>
      </c>
      <c r="D6308" s="880" t="s">
        <v>30687</v>
      </c>
    </row>
    <row r="6309" spans="1:4" ht="13.5" x14ac:dyDescent="0.25">
      <c r="A6309" s="878" t="s">
        <v>15868</v>
      </c>
      <c r="B6309" s="878" t="s">
        <v>15869</v>
      </c>
      <c r="C6309" s="879" t="s">
        <v>227</v>
      </c>
      <c r="D6309" s="880" t="s">
        <v>43590</v>
      </c>
    </row>
    <row r="6310" spans="1:4" ht="13.5" x14ac:dyDescent="0.25">
      <c r="A6310" s="878" t="s">
        <v>15870</v>
      </c>
      <c r="B6310" s="878" t="s">
        <v>15871</v>
      </c>
      <c r="C6310" s="879" t="s">
        <v>227</v>
      </c>
      <c r="D6310" s="880" t="s">
        <v>43591</v>
      </c>
    </row>
    <row r="6311" spans="1:4" ht="13.5" x14ac:dyDescent="0.25">
      <c r="A6311" s="878" t="s">
        <v>15872</v>
      </c>
      <c r="B6311" s="878" t="s">
        <v>15873</v>
      </c>
      <c r="C6311" s="879" t="s">
        <v>227</v>
      </c>
      <c r="D6311" s="880" t="s">
        <v>43592</v>
      </c>
    </row>
    <row r="6312" spans="1:4" ht="13.5" x14ac:dyDescent="0.25">
      <c r="A6312" s="878" t="s">
        <v>15874</v>
      </c>
      <c r="B6312" s="878" t="s">
        <v>15875</v>
      </c>
      <c r="C6312" s="879" t="s">
        <v>227</v>
      </c>
      <c r="D6312" s="880" t="s">
        <v>43593</v>
      </c>
    </row>
    <row r="6313" spans="1:4" ht="13.5" x14ac:dyDescent="0.25">
      <c r="A6313" s="878" t="s">
        <v>15877</v>
      </c>
      <c r="B6313" s="878" t="s">
        <v>15878</v>
      </c>
      <c r="C6313" s="879" t="s">
        <v>227</v>
      </c>
      <c r="D6313" s="880" t="s">
        <v>30556</v>
      </c>
    </row>
    <row r="6314" spans="1:4" ht="13.5" x14ac:dyDescent="0.25">
      <c r="A6314" s="878" t="s">
        <v>15880</v>
      </c>
      <c r="B6314" s="878" t="s">
        <v>15881</v>
      </c>
      <c r="C6314" s="879" t="s">
        <v>227</v>
      </c>
      <c r="D6314" s="880" t="s">
        <v>43594</v>
      </c>
    </row>
    <row r="6315" spans="1:4" ht="13.5" x14ac:dyDescent="0.25">
      <c r="A6315" s="878" t="s">
        <v>15882</v>
      </c>
      <c r="B6315" s="878" t="s">
        <v>15883</v>
      </c>
      <c r="C6315" s="879" t="s">
        <v>227</v>
      </c>
      <c r="D6315" s="880" t="s">
        <v>43595</v>
      </c>
    </row>
    <row r="6316" spans="1:4" ht="13.5" x14ac:dyDescent="0.25">
      <c r="A6316" s="878" t="s">
        <v>15884</v>
      </c>
      <c r="B6316" s="878" t="s">
        <v>15885</v>
      </c>
      <c r="C6316" s="879" t="s">
        <v>227</v>
      </c>
      <c r="D6316" s="880" t="s">
        <v>30204</v>
      </c>
    </row>
    <row r="6317" spans="1:4" ht="13.5" x14ac:dyDescent="0.25">
      <c r="A6317" s="878" t="s">
        <v>15887</v>
      </c>
      <c r="B6317" s="878" t="s">
        <v>15888</v>
      </c>
      <c r="C6317" s="879" t="s">
        <v>227</v>
      </c>
      <c r="D6317" s="881" t="s">
        <v>43596</v>
      </c>
    </row>
    <row r="6318" spans="1:4" ht="13.5" x14ac:dyDescent="0.25">
      <c r="A6318" s="878" t="s">
        <v>15889</v>
      </c>
      <c r="B6318" s="878" t="s">
        <v>15890</v>
      </c>
      <c r="C6318" s="879" t="s">
        <v>227</v>
      </c>
      <c r="D6318" s="881" t="s">
        <v>40592</v>
      </c>
    </row>
    <row r="6319" spans="1:4" ht="13.5" x14ac:dyDescent="0.25">
      <c r="A6319" s="878" t="s">
        <v>15891</v>
      </c>
      <c r="B6319" s="878" t="s">
        <v>15892</v>
      </c>
      <c r="C6319" s="879" t="s">
        <v>227</v>
      </c>
      <c r="D6319" s="881" t="s">
        <v>30177</v>
      </c>
    </row>
    <row r="6320" spans="1:4" ht="13.5" x14ac:dyDescent="0.25">
      <c r="A6320" s="878" t="s">
        <v>15893</v>
      </c>
      <c r="B6320" s="878" t="s">
        <v>15894</v>
      </c>
      <c r="C6320" s="879" t="s">
        <v>227</v>
      </c>
      <c r="D6320" s="881" t="s">
        <v>43597</v>
      </c>
    </row>
    <row r="6321" spans="1:4" ht="13.5" x14ac:dyDescent="0.25">
      <c r="A6321" s="878" t="s">
        <v>15895</v>
      </c>
      <c r="B6321" s="878" t="s">
        <v>15896</v>
      </c>
      <c r="C6321" s="879" t="s">
        <v>227</v>
      </c>
      <c r="D6321" s="881" t="s">
        <v>16021</v>
      </c>
    </row>
    <row r="6322" spans="1:4" ht="13.5" x14ac:dyDescent="0.25">
      <c r="A6322" s="878" t="s">
        <v>15897</v>
      </c>
      <c r="B6322" s="878" t="s">
        <v>15898</v>
      </c>
      <c r="C6322" s="879" t="s">
        <v>227</v>
      </c>
      <c r="D6322" s="881" t="s">
        <v>43598</v>
      </c>
    </row>
    <row r="6323" spans="1:4" ht="13.5" x14ac:dyDescent="0.25">
      <c r="A6323" s="878" t="s">
        <v>15899</v>
      </c>
      <c r="B6323" s="878" t="s">
        <v>15900</v>
      </c>
      <c r="C6323" s="879" t="s">
        <v>227</v>
      </c>
      <c r="D6323" s="881" t="s">
        <v>43599</v>
      </c>
    </row>
    <row r="6324" spans="1:4" ht="13.5" x14ac:dyDescent="0.25">
      <c r="A6324" s="878" t="s">
        <v>15901</v>
      </c>
      <c r="B6324" s="878" t="s">
        <v>15902</v>
      </c>
      <c r="C6324" s="879" t="s">
        <v>227</v>
      </c>
      <c r="D6324" s="881" t="s">
        <v>30383</v>
      </c>
    </row>
    <row r="6325" spans="1:4" ht="13.5" x14ac:dyDescent="0.25">
      <c r="A6325" s="878" t="s">
        <v>15903</v>
      </c>
      <c r="B6325" s="878" t="s">
        <v>15904</v>
      </c>
      <c r="C6325" s="879" t="s">
        <v>227</v>
      </c>
      <c r="D6325" s="881" t="s">
        <v>43600</v>
      </c>
    </row>
    <row r="6326" spans="1:4" ht="13.5" x14ac:dyDescent="0.25">
      <c r="A6326" s="878" t="s">
        <v>15905</v>
      </c>
      <c r="B6326" s="878" t="s">
        <v>15906</v>
      </c>
      <c r="C6326" s="879" t="s">
        <v>227</v>
      </c>
      <c r="D6326" s="881" t="s">
        <v>43601</v>
      </c>
    </row>
    <row r="6327" spans="1:4" ht="13.5" x14ac:dyDescent="0.25">
      <c r="A6327" s="878" t="s">
        <v>15907</v>
      </c>
      <c r="B6327" s="878" t="s">
        <v>15908</v>
      </c>
      <c r="C6327" s="879" t="s">
        <v>227</v>
      </c>
      <c r="D6327" s="881" t="s">
        <v>43602</v>
      </c>
    </row>
    <row r="6328" spans="1:4" ht="13.5" x14ac:dyDescent="0.25">
      <c r="A6328" s="878" t="s">
        <v>15909</v>
      </c>
      <c r="B6328" s="878" t="s">
        <v>15910</v>
      </c>
      <c r="C6328" s="879" t="s">
        <v>227</v>
      </c>
      <c r="D6328" s="881" t="s">
        <v>40069</v>
      </c>
    </row>
    <row r="6329" spans="1:4" ht="13.5" x14ac:dyDescent="0.25">
      <c r="A6329" s="878" t="s">
        <v>15911</v>
      </c>
      <c r="B6329" s="878" t="s">
        <v>15912</v>
      </c>
      <c r="C6329" s="879" t="s">
        <v>227</v>
      </c>
      <c r="D6329" s="881" t="s">
        <v>42340</v>
      </c>
    </row>
    <row r="6330" spans="1:4" ht="13.5" x14ac:dyDescent="0.25">
      <c r="A6330" s="878" t="s">
        <v>15913</v>
      </c>
      <c r="B6330" s="878" t="s">
        <v>15914</v>
      </c>
      <c r="C6330" s="879" t="s">
        <v>227</v>
      </c>
      <c r="D6330" s="881" t="s">
        <v>43603</v>
      </c>
    </row>
    <row r="6331" spans="1:4" ht="13.5" x14ac:dyDescent="0.25">
      <c r="A6331" s="878" t="s">
        <v>15915</v>
      </c>
      <c r="B6331" s="878" t="s">
        <v>15916</v>
      </c>
      <c r="C6331" s="879" t="s">
        <v>227</v>
      </c>
      <c r="D6331" s="881" t="s">
        <v>31210</v>
      </c>
    </row>
    <row r="6332" spans="1:4" ht="13.5" x14ac:dyDescent="0.25">
      <c r="A6332" s="878" t="s">
        <v>15917</v>
      </c>
      <c r="B6332" s="878" t="s">
        <v>15918</v>
      </c>
      <c r="C6332" s="879" t="s">
        <v>227</v>
      </c>
      <c r="D6332" s="881" t="s">
        <v>43604</v>
      </c>
    </row>
    <row r="6333" spans="1:4" ht="13.5" x14ac:dyDescent="0.25">
      <c r="A6333" s="878" t="s">
        <v>15919</v>
      </c>
      <c r="B6333" s="878" t="s">
        <v>15920</v>
      </c>
      <c r="C6333" s="879" t="s">
        <v>227</v>
      </c>
      <c r="D6333" s="881" t="s">
        <v>43605</v>
      </c>
    </row>
    <row r="6334" spans="1:4" ht="13.5" x14ac:dyDescent="0.25">
      <c r="A6334" s="878" t="s">
        <v>15921</v>
      </c>
      <c r="B6334" s="878" t="s">
        <v>15922</v>
      </c>
      <c r="C6334" s="879" t="s">
        <v>227</v>
      </c>
      <c r="D6334" s="881" t="s">
        <v>30798</v>
      </c>
    </row>
    <row r="6335" spans="1:4" ht="13.5" x14ac:dyDescent="0.25">
      <c r="A6335" s="878" t="s">
        <v>15923</v>
      </c>
      <c r="B6335" s="878" t="s">
        <v>15924</v>
      </c>
      <c r="C6335" s="879" t="s">
        <v>227</v>
      </c>
      <c r="D6335" s="881" t="s">
        <v>43606</v>
      </c>
    </row>
    <row r="6336" spans="1:4" ht="13.5" x14ac:dyDescent="0.25">
      <c r="A6336" s="878" t="s">
        <v>15925</v>
      </c>
      <c r="B6336" s="878" t="s">
        <v>15926</v>
      </c>
      <c r="C6336" s="879" t="s">
        <v>227</v>
      </c>
      <c r="D6336" s="881" t="s">
        <v>43607</v>
      </c>
    </row>
    <row r="6337" spans="1:4" ht="13.5" x14ac:dyDescent="0.25">
      <c r="A6337" s="878" t="s">
        <v>15927</v>
      </c>
      <c r="B6337" s="878" t="s">
        <v>15928</v>
      </c>
      <c r="C6337" s="879" t="s">
        <v>227</v>
      </c>
      <c r="D6337" s="881" t="s">
        <v>43608</v>
      </c>
    </row>
    <row r="6338" spans="1:4" ht="13.5" x14ac:dyDescent="0.25">
      <c r="A6338" s="878" t="s">
        <v>15929</v>
      </c>
      <c r="B6338" s="878" t="s">
        <v>15930</v>
      </c>
      <c r="C6338" s="879" t="s">
        <v>227</v>
      </c>
      <c r="D6338" s="881" t="s">
        <v>43609</v>
      </c>
    </row>
    <row r="6339" spans="1:4" ht="13.5" x14ac:dyDescent="0.25">
      <c r="A6339" s="878" t="s">
        <v>15931</v>
      </c>
      <c r="B6339" s="878" t="s">
        <v>15932</v>
      </c>
      <c r="C6339" s="879" t="s">
        <v>227</v>
      </c>
      <c r="D6339" s="881" t="s">
        <v>43610</v>
      </c>
    </row>
    <row r="6340" spans="1:4" ht="13.5" x14ac:dyDescent="0.25">
      <c r="A6340" s="878" t="s">
        <v>15933</v>
      </c>
      <c r="B6340" s="878" t="s">
        <v>15934</v>
      </c>
      <c r="C6340" s="879" t="s">
        <v>227</v>
      </c>
      <c r="D6340" s="881" t="s">
        <v>43611</v>
      </c>
    </row>
    <row r="6341" spans="1:4" ht="13.5" x14ac:dyDescent="0.25">
      <c r="A6341" s="878" t="s">
        <v>15935</v>
      </c>
      <c r="B6341" s="878" t="s">
        <v>15936</v>
      </c>
      <c r="C6341" s="879" t="s">
        <v>227</v>
      </c>
      <c r="D6341" s="881" t="s">
        <v>43612</v>
      </c>
    </row>
    <row r="6342" spans="1:4" ht="13.5" x14ac:dyDescent="0.25">
      <c r="A6342" s="878" t="s">
        <v>15937</v>
      </c>
      <c r="B6342" s="878" t="s">
        <v>15938</v>
      </c>
      <c r="C6342" s="879" t="s">
        <v>227</v>
      </c>
      <c r="D6342" s="881" t="s">
        <v>43613</v>
      </c>
    </row>
    <row r="6343" spans="1:4" ht="13.5" x14ac:dyDescent="0.25">
      <c r="A6343" s="878" t="s">
        <v>15939</v>
      </c>
      <c r="B6343" s="878" t="s">
        <v>15940</v>
      </c>
      <c r="C6343" s="879" t="s">
        <v>227</v>
      </c>
      <c r="D6343" s="880" t="s">
        <v>42202</v>
      </c>
    </row>
    <row r="6344" spans="1:4" ht="13.5" x14ac:dyDescent="0.25">
      <c r="A6344" s="878" t="s">
        <v>15941</v>
      </c>
      <c r="B6344" s="878" t="s">
        <v>15942</v>
      </c>
      <c r="C6344" s="879" t="s">
        <v>227</v>
      </c>
      <c r="D6344" s="880" t="s">
        <v>43614</v>
      </c>
    </row>
    <row r="6345" spans="1:4" ht="13.5" x14ac:dyDescent="0.25">
      <c r="A6345" s="878" t="s">
        <v>15943</v>
      </c>
      <c r="B6345" s="878" t="s">
        <v>15944</v>
      </c>
      <c r="C6345" s="879" t="s">
        <v>227</v>
      </c>
      <c r="D6345" s="880" t="s">
        <v>43615</v>
      </c>
    </row>
    <row r="6346" spans="1:4" ht="13.5" x14ac:dyDescent="0.25">
      <c r="A6346" s="878" t="s">
        <v>15945</v>
      </c>
      <c r="B6346" s="878" t="s">
        <v>15946</v>
      </c>
      <c r="C6346" s="879" t="s">
        <v>227</v>
      </c>
      <c r="D6346" s="880" t="s">
        <v>30625</v>
      </c>
    </row>
    <row r="6347" spans="1:4" ht="13.5" x14ac:dyDescent="0.25">
      <c r="A6347" s="878" t="s">
        <v>15947</v>
      </c>
      <c r="B6347" s="878" t="s">
        <v>15948</v>
      </c>
      <c r="C6347" s="879" t="s">
        <v>227</v>
      </c>
      <c r="D6347" s="880" t="s">
        <v>43616</v>
      </c>
    </row>
    <row r="6348" spans="1:4" ht="13.5" x14ac:dyDescent="0.25">
      <c r="A6348" s="878" t="s">
        <v>15949</v>
      </c>
      <c r="B6348" s="878" t="s">
        <v>15950</v>
      </c>
      <c r="C6348" s="879" t="s">
        <v>227</v>
      </c>
      <c r="D6348" s="880" t="s">
        <v>43617</v>
      </c>
    </row>
    <row r="6349" spans="1:4" ht="13.5" x14ac:dyDescent="0.25">
      <c r="A6349" s="878" t="s">
        <v>15951</v>
      </c>
      <c r="B6349" s="878" t="s">
        <v>15952</v>
      </c>
      <c r="C6349" s="879" t="s">
        <v>227</v>
      </c>
      <c r="D6349" s="880" t="s">
        <v>30751</v>
      </c>
    </row>
    <row r="6350" spans="1:4" ht="13.5" x14ac:dyDescent="0.25">
      <c r="A6350" s="878" t="s">
        <v>15953</v>
      </c>
      <c r="B6350" s="878" t="s">
        <v>15954</v>
      </c>
      <c r="C6350" s="879" t="s">
        <v>227</v>
      </c>
      <c r="D6350" s="880" t="s">
        <v>43618</v>
      </c>
    </row>
    <row r="6351" spans="1:4" ht="13.5" x14ac:dyDescent="0.25">
      <c r="A6351" s="878" t="s">
        <v>15955</v>
      </c>
      <c r="B6351" s="878" t="s">
        <v>15956</v>
      </c>
      <c r="C6351" s="879" t="s">
        <v>227</v>
      </c>
      <c r="D6351" s="880" t="s">
        <v>43619</v>
      </c>
    </row>
    <row r="6352" spans="1:4" ht="13.5" x14ac:dyDescent="0.25">
      <c r="A6352" s="878" t="s">
        <v>15957</v>
      </c>
      <c r="B6352" s="878" t="s">
        <v>15958</v>
      </c>
      <c r="C6352" s="879" t="s">
        <v>227</v>
      </c>
      <c r="D6352" s="880" t="s">
        <v>31327</v>
      </c>
    </row>
    <row r="6353" spans="1:4" ht="13.5" x14ac:dyDescent="0.25">
      <c r="A6353" s="878" t="s">
        <v>15959</v>
      </c>
      <c r="B6353" s="878" t="s">
        <v>15960</v>
      </c>
      <c r="C6353" s="879" t="s">
        <v>227</v>
      </c>
      <c r="D6353" s="880" t="s">
        <v>43620</v>
      </c>
    </row>
    <row r="6354" spans="1:4" ht="13.5" x14ac:dyDescent="0.25">
      <c r="A6354" s="878" t="s">
        <v>15961</v>
      </c>
      <c r="B6354" s="878" t="s">
        <v>15962</v>
      </c>
      <c r="C6354" s="879" t="s">
        <v>227</v>
      </c>
      <c r="D6354" s="880" t="s">
        <v>43621</v>
      </c>
    </row>
    <row r="6355" spans="1:4" ht="13.5" x14ac:dyDescent="0.25">
      <c r="A6355" s="878" t="s">
        <v>15963</v>
      </c>
      <c r="B6355" s="878" t="s">
        <v>15964</v>
      </c>
      <c r="C6355" s="879" t="s">
        <v>227</v>
      </c>
      <c r="D6355" s="880" t="s">
        <v>43622</v>
      </c>
    </row>
    <row r="6356" spans="1:4" ht="13.5" x14ac:dyDescent="0.25">
      <c r="A6356" s="878" t="s">
        <v>15965</v>
      </c>
      <c r="B6356" s="878" t="s">
        <v>15966</v>
      </c>
      <c r="C6356" s="879" t="s">
        <v>227</v>
      </c>
      <c r="D6356" s="880" t="s">
        <v>31231</v>
      </c>
    </row>
    <row r="6357" spans="1:4" ht="13.5" x14ac:dyDescent="0.25">
      <c r="A6357" s="878" t="s">
        <v>15967</v>
      </c>
      <c r="B6357" s="878" t="s">
        <v>15968</v>
      </c>
      <c r="C6357" s="879" t="s">
        <v>227</v>
      </c>
      <c r="D6357" s="880" t="s">
        <v>31232</v>
      </c>
    </row>
    <row r="6358" spans="1:4" ht="13.5" x14ac:dyDescent="0.25">
      <c r="A6358" s="878" t="s">
        <v>15969</v>
      </c>
      <c r="B6358" s="878" t="s">
        <v>15970</v>
      </c>
      <c r="C6358" s="879" t="s">
        <v>227</v>
      </c>
      <c r="D6358" s="880" t="s">
        <v>43623</v>
      </c>
    </row>
    <row r="6359" spans="1:4" ht="13.5" x14ac:dyDescent="0.25">
      <c r="A6359" s="878" t="s">
        <v>15971</v>
      </c>
      <c r="B6359" s="878" t="s">
        <v>15972</v>
      </c>
      <c r="C6359" s="879" t="s">
        <v>227</v>
      </c>
      <c r="D6359" s="880" t="s">
        <v>43624</v>
      </c>
    </row>
    <row r="6360" spans="1:4" ht="13.5" x14ac:dyDescent="0.25">
      <c r="A6360" s="878" t="s">
        <v>15973</v>
      </c>
      <c r="B6360" s="878" t="s">
        <v>15974</v>
      </c>
      <c r="C6360" s="879" t="s">
        <v>227</v>
      </c>
      <c r="D6360" s="880" t="s">
        <v>31150</v>
      </c>
    </row>
    <row r="6361" spans="1:4" ht="13.5" x14ac:dyDescent="0.25">
      <c r="A6361" s="878" t="s">
        <v>15975</v>
      </c>
      <c r="B6361" s="878" t="s">
        <v>15976</v>
      </c>
      <c r="C6361" s="879" t="s">
        <v>227</v>
      </c>
      <c r="D6361" s="880" t="s">
        <v>43625</v>
      </c>
    </row>
    <row r="6362" spans="1:4" ht="13.5" x14ac:dyDescent="0.25">
      <c r="A6362" s="878" t="s">
        <v>15977</v>
      </c>
      <c r="B6362" s="878" t="s">
        <v>15978</v>
      </c>
      <c r="C6362" s="879" t="s">
        <v>227</v>
      </c>
      <c r="D6362" s="880" t="s">
        <v>42017</v>
      </c>
    </row>
    <row r="6363" spans="1:4" ht="13.5" x14ac:dyDescent="0.25">
      <c r="A6363" s="878" t="s">
        <v>15979</v>
      </c>
      <c r="B6363" s="878" t="s">
        <v>15980</v>
      </c>
      <c r="C6363" s="879" t="s">
        <v>227</v>
      </c>
      <c r="D6363" s="880" t="s">
        <v>43626</v>
      </c>
    </row>
    <row r="6364" spans="1:4" ht="13.5" x14ac:dyDescent="0.25">
      <c r="A6364" s="878" t="s">
        <v>15982</v>
      </c>
      <c r="B6364" s="878" t="s">
        <v>15983</v>
      </c>
      <c r="C6364" s="879" t="s">
        <v>227</v>
      </c>
      <c r="D6364" s="880" t="s">
        <v>43627</v>
      </c>
    </row>
    <row r="6365" spans="1:4" ht="13.5" x14ac:dyDescent="0.25">
      <c r="A6365" s="878" t="s">
        <v>15984</v>
      </c>
      <c r="B6365" s="878" t="s">
        <v>15985</v>
      </c>
      <c r="C6365" s="879" t="s">
        <v>227</v>
      </c>
      <c r="D6365" s="880" t="s">
        <v>43628</v>
      </c>
    </row>
    <row r="6366" spans="1:4" ht="13.5" x14ac:dyDescent="0.25">
      <c r="A6366" s="878" t="s">
        <v>15986</v>
      </c>
      <c r="B6366" s="878" t="s">
        <v>15987</v>
      </c>
      <c r="C6366" s="879" t="s">
        <v>227</v>
      </c>
      <c r="D6366" s="880" t="s">
        <v>43629</v>
      </c>
    </row>
    <row r="6367" spans="1:4" ht="13.5" x14ac:dyDescent="0.25">
      <c r="A6367" s="878" t="s">
        <v>15988</v>
      </c>
      <c r="B6367" s="878" t="s">
        <v>15989</v>
      </c>
      <c r="C6367" s="879" t="s">
        <v>227</v>
      </c>
      <c r="D6367" s="880" t="s">
        <v>30627</v>
      </c>
    </row>
    <row r="6368" spans="1:4" ht="13.5" x14ac:dyDescent="0.25">
      <c r="A6368" s="878" t="s">
        <v>15990</v>
      </c>
      <c r="B6368" s="878" t="s">
        <v>15991</v>
      </c>
      <c r="C6368" s="879" t="s">
        <v>227</v>
      </c>
      <c r="D6368" s="880" t="s">
        <v>31233</v>
      </c>
    </row>
    <row r="6369" spans="1:4" ht="13.5" x14ac:dyDescent="0.25">
      <c r="A6369" s="878" t="s">
        <v>15992</v>
      </c>
      <c r="B6369" s="878" t="s">
        <v>15993</v>
      </c>
      <c r="C6369" s="879" t="s">
        <v>227</v>
      </c>
      <c r="D6369" s="880" t="s">
        <v>31189</v>
      </c>
    </row>
    <row r="6370" spans="1:4" ht="13.5" x14ac:dyDescent="0.25">
      <c r="A6370" s="878" t="s">
        <v>15994</v>
      </c>
      <c r="B6370" s="878" t="s">
        <v>15995</v>
      </c>
      <c r="C6370" s="879" t="s">
        <v>227</v>
      </c>
      <c r="D6370" s="880" t="s">
        <v>43630</v>
      </c>
    </row>
    <row r="6371" spans="1:4" ht="13.5" x14ac:dyDescent="0.25">
      <c r="A6371" s="878" t="s">
        <v>15996</v>
      </c>
      <c r="B6371" s="878" t="s">
        <v>15997</v>
      </c>
      <c r="C6371" s="879" t="s">
        <v>227</v>
      </c>
      <c r="D6371" s="880" t="s">
        <v>43631</v>
      </c>
    </row>
    <row r="6372" spans="1:4" ht="13.5" x14ac:dyDescent="0.25">
      <c r="A6372" s="878" t="s">
        <v>15998</v>
      </c>
      <c r="B6372" s="878" t="s">
        <v>15999</v>
      </c>
      <c r="C6372" s="879" t="s">
        <v>227</v>
      </c>
      <c r="D6372" s="880" t="s">
        <v>31234</v>
      </c>
    </row>
    <row r="6373" spans="1:4" ht="13.5" x14ac:dyDescent="0.25">
      <c r="A6373" s="878" t="s">
        <v>16000</v>
      </c>
      <c r="B6373" s="878" t="s">
        <v>16001</v>
      </c>
      <c r="C6373" s="879" t="s">
        <v>227</v>
      </c>
      <c r="D6373" s="880" t="s">
        <v>31235</v>
      </c>
    </row>
    <row r="6374" spans="1:4" ht="13.5" x14ac:dyDescent="0.25">
      <c r="A6374" s="878" t="s">
        <v>16002</v>
      </c>
      <c r="B6374" s="878" t="s">
        <v>16003</v>
      </c>
      <c r="C6374" s="879" t="s">
        <v>227</v>
      </c>
      <c r="D6374" s="880" t="s">
        <v>30258</v>
      </c>
    </row>
    <row r="6375" spans="1:4" ht="13.5" x14ac:dyDescent="0.25">
      <c r="A6375" s="878" t="s">
        <v>16004</v>
      </c>
      <c r="B6375" s="878" t="s">
        <v>16005</v>
      </c>
      <c r="C6375" s="879" t="s">
        <v>227</v>
      </c>
      <c r="D6375" s="880" t="s">
        <v>43632</v>
      </c>
    </row>
    <row r="6376" spans="1:4" ht="13.5" x14ac:dyDescent="0.25">
      <c r="A6376" s="878" t="s">
        <v>16007</v>
      </c>
      <c r="B6376" s="878" t="s">
        <v>16008</v>
      </c>
      <c r="C6376" s="879" t="s">
        <v>227</v>
      </c>
      <c r="D6376" s="880" t="s">
        <v>43529</v>
      </c>
    </row>
    <row r="6377" spans="1:4" ht="13.5" x14ac:dyDescent="0.25">
      <c r="A6377" s="878" t="s">
        <v>16009</v>
      </c>
      <c r="B6377" s="878" t="s">
        <v>16010</v>
      </c>
      <c r="C6377" s="879" t="s">
        <v>227</v>
      </c>
      <c r="D6377" s="880" t="s">
        <v>43633</v>
      </c>
    </row>
    <row r="6378" spans="1:4" ht="13.5" x14ac:dyDescent="0.25">
      <c r="A6378" s="878" t="s">
        <v>16012</v>
      </c>
      <c r="B6378" s="878" t="s">
        <v>16013</v>
      </c>
      <c r="C6378" s="879" t="s">
        <v>227</v>
      </c>
      <c r="D6378" s="880" t="s">
        <v>30735</v>
      </c>
    </row>
    <row r="6379" spans="1:4" ht="13.5" x14ac:dyDescent="0.25">
      <c r="A6379" s="878" t="s">
        <v>16014</v>
      </c>
      <c r="B6379" s="878" t="s">
        <v>16015</v>
      </c>
      <c r="C6379" s="879" t="s">
        <v>227</v>
      </c>
      <c r="D6379" s="880" t="s">
        <v>30806</v>
      </c>
    </row>
    <row r="6380" spans="1:4" ht="13.5" x14ac:dyDescent="0.25">
      <c r="A6380" s="878" t="s">
        <v>16017</v>
      </c>
      <c r="B6380" s="878" t="s">
        <v>16018</v>
      </c>
      <c r="C6380" s="879" t="s">
        <v>227</v>
      </c>
      <c r="D6380" s="880" t="s">
        <v>41920</v>
      </c>
    </row>
    <row r="6381" spans="1:4" ht="13.5" x14ac:dyDescent="0.25">
      <c r="A6381" s="878" t="s">
        <v>16019</v>
      </c>
      <c r="B6381" s="878" t="s">
        <v>16020</v>
      </c>
      <c r="C6381" s="879" t="s">
        <v>227</v>
      </c>
      <c r="D6381" s="880" t="s">
        <v>43634</v>
      </c>
    </row>
    <row r="6382" spans="1:4" ht="13.5" x14ac:dyDescent="0.25">
      <c r="A6382" s="878" t="s">
        <v>16022</v>
      </c>
      <c r="B6382" s="878" t="s">
        <v>16023</v>
      </c>
      <c r="C6382" s="879" t="s">
        <v>227</v>
      </c>
      <c r="D6382" s="880" t="s">
        <v>43635</v>
      </c>
    </row>
    <row r="6383" spans="1:4" ht="13.5" x14ac:dyDescent="0.25">
      <c r="A6383" s="878" t="s">
        <v>16024</v>
      </c>
      <c r="B6383" s="878" t="s">
        <v>16025</v>
      </c>
      <c r="C6383" s="879" t="s">
        <v>227</v>
      </c>
      <c r="D6383" s="880" t="s">
        <v>43636</v>
      </c>
    </row>
    <row r="6384" spans="1:4" ht="13.5" x14ac:dyDescent="0.25">
      <c r="A6384" s="878" t="s">
        <v>16026</v>
      </c>
      <c r="B6384" s="878" t="s">
        <v>16027</v>
      </c>
      <c r="C6384" s="879" t="s">
        <v>227</v>
      </c>
      <c r="D6384" s="880" t="s">
        <v>43637</v>
      </c>
    </row>
    <row r="6385" spans="1:4" ht="13.5" x14ac:dyDescent="0.25">
      <c r="A6385" s="878" t="s">
        <v>16028</v>
      </c>
      <c r="B6385" s="878" t="s">
        <v>16029</v>
      </c>
      <c r="C6385" s="879" t="s">
        <v>227</v>
      </c>
      <c r="D6385" s="880" t="s">
        <v>43638</v>
      </c>
    </row>
    <row r="6386" spans="1:4" ht="13.5" x14ac:dyDescent="0.25">
      <c r="A6386" s="878" t="s">
        <v>16030</v>
      </c>
      <c r="B6386" s="878" t="s">
        <v>16031</v>
      </c>
      <c r="C6386" s="879" t="s">
        <v>227</v>
      </c>
      <c r="D6386" s="880" t="s">
        <v>43634</v>
      </c>
    </row>
    <row r="6387" spans="1:4" ht="13.5" x14ac:dyDescent="0.25">
      <c r="A6387" s="878" t="s">
        <v>16032</v>
      </c>
      <c r="B6387" s="878" t="s">
        <v>16033</v>
      </c>
      <c r="C6387" s="879" t="s">
        <v>227</v>
      </c>
      <c r="D6387" s="880" t="s">
        <v>43639</v>
      </c>
    </row>
    <row r="6388" spans="1:4" ht="13.5" x14ac:dyDescent="0.25">
      <c r="A6388" s="878" t="s">
        <v>16034</v>
      </c>
      <c r="B6388" s="878" t="s">
        <v>16035</v>
      </c>
      <c r="C6388" s="879" t="s">
        <v>227</v>
      </c>
      <c r="D6388" s="880" t="s">
        <v>43640</v>
      </c>
    </row>
    <row r="6389" spans="1:4" ht="13.5" x14ac:dyDescent="0.25">
      <c r="A6389" s="878" t="s">
        <v>16036</v>
      </c>
      <c r="B6389" s="878" t="s">
        <v>16037</v>
      </c>
      <c r="C6389" s="879" t="s">
        <v>227</v>
      </c>
      <c r="D6389" s="880" t="s">
        <v>31164</v>
      </c>
    </row>
    <row r="6390" spans="1:4" ht="13.5" x14ac:dyDescent="0.25">
      <c r="A6390" s="878" t="s">
        <v>16038</v>
      </c>
      <c r="B6390" s="878" t="s">
        <v>16039</v>
      </c>
      <c r="C6390" s="879" t="s">
        <v>227</v>
      </c>
      <c r="D6390" s="881" t="s">
        <v>43641</v>
      </c>
    </row>
    <row r="6391" spans="1:4" ht="13.5" x14ac:dyDescent="0.25">
      <c r="A6391" s="878" t="s">
        <v>16040</v>
      </c>
      <c r="B6391" s="878" t="s">
        <v>16041</v>
      </c>
      <c r="C6391" s="879" t="s">
        <v>227</v>
      </c>
      <c r="D6391" s="881" t="s">
        <v>43642</v>
      </c>
    </row>
    <row r="6392" spans="1:4" ht="13.5" x14ac:dyDescent="0.25">
      <c r="A6392" s="878" t="s">
        <v>16042</v>
      </c>
      <c r="B6392" s="878" t="s">
        <v>16043</v>
      </c>
      <c r="C6392" s="879" t="s">
        <v>227</v>
      </c>
      <c r="D6392" s="880" t="s">
        <v>30490</v>
      </c>
    </row>
    <row r="6393" spans="1:4" ht="13.5" x14ac:dyDescent="0.25">
      <c r="A6393" s="878" t="s">
        <v>16044</v>
      </c>
      <c r="B6393" s="878" t="s">
        <v>16045</v>
      </c>
      <c r="C6393" s="879" t="s">
        <v>227</v>
      </c>
      <c r="D6393" s="880" t="s">
        <v>43643</v>
      </c>
    </row>
    <row r="6394" spans="1:4" ht="13.5" x14ac:dyDescent="0.25">
      <c r="A6394" s="878" t="s">
        <v>16046</v>
      </c>
      <c r="B6394" s="878" t="s">
        <v>16047</v>
      </c>
      <c r="C6394" s="879" t="s">
        <v>227</v>
      </c>
      <c r="D6394" s="880" t="s">
        <v>43644</v>
      </c>
    </row>
    <row r="6395" spans="1:4" ht="13.5" x14ac:dyDescent="0.25">
      <c r="A6395" s="878" t="s">
        <v>16048</v>
      </c>
      <c r="B6395" s="878" t="s">
        <v>16049</v>
      </c>
      <c r="C6395" s="879" t="s">
        <v>227</v>
      </c>
      <c r="D6395" s="880" t="s">
        <v>31063</v>
      </c>
    </row>
    <row r="6396" spans="1:4" ht="13.5" x14ac:dyDescent="0.25">
      <c r="A6396" s="878" t="s">
        <v>16050</v>
      </c>
      <c r="B6396" s="878" t="s">
        <v>16051</v>
      </c>
      <c r="C6396" s="879" t="s">
        <v>227</v>
      </c>
      <c r="D6396" s="880" t="s">
        <v>42137</v>
      </c>
    </row>
    <row r="6397" spans="1:4" ht="13.5" x14ac:dyDescent="0.25">
      <c r="A6397" s="878" t="s">
        <v>16052</v>
      </c>
      <c r="B6397" s="878" t="s">
        <v>16053</v>
      </c>
      <c r="C6397" s="879" t="s">
        <v>227</v>
      </c>
      <c r="D6397" s="880" t="s">
        <v>43645</v>
      </c>
    </row>
    <row r="6398" spans="1:4" ht="13.5" x14ac:dyDescent="0.25">
      <c r="A6398" s="878" t="s">
        <v>16054</v>
      </c>
      <c r="B6398" s="878" t="s">
        <v>16055</v>
      </c>
      <c r="C6398" s="879" t="s">
        <v>227</v>
      </c>
      <c r="D6398" s="880" t="s">
        <v>30203</v>
      </c>
    </row>
    <row r="6399" spans="1:4" ht="13.5" x14ac:dyDescent="0.25">
      <c r="A6399" s="878" t="s">
        <v>16056</v>
      </c>
      <c r="B6399" s="878" t="s">
        <v>16057</v>
      </c>
      <c r="C6399" s="879" t="s">
        <v>227</v>
      </c>
      <c r="D6399" s="880" t="s">
        <v>43646</v>
      </c>
    </row>
    <row r="6400" spans="1:4" ht="13.5" x14ac:dyDescent="0.25">
      <c r="A6400" s="878" t="s">
        <v>16058</v>
      </c>
      <c r="B6400" s="878" t="s">
        <v>16059</v>
      </c>
      <c r="C6400" s="879" t="s">
        <v>227</v>
      </c>
      <c r="D6400" s="880" t="s">
        <v>31057</v>
      </c>
    </row>
    <row r="6401" spans="1:4" ht="13.5" x14ac:dyDescent="0.25">
      <c r="A6401" s="878" t="s">
        <v>16060</v>
      </c>
      <c r="B6401" s="878" t="s">
        <v>16061</v>
      </c>
      <c r="C6401" s="879" t="s">
        <v>227</v>
      </c>
      <c r="D6401" s="880" t="s">
        <v>43647</v>
      </c>
    </row>
    <row r="6402" spans="1:4" ht="13.5" x14ac:dyDescent="0.25">
      <c r="A6402" s="878" t="s">
        <v>16062</v>
      </c>
      <c r="B6402" s="878" t="s">
        <v>16063</v>
      </c>
      <c r="C6402" s="879" t="s">
        <v>227</v>
      </c>
      <c r="D6402" s="880" t="s">
        <v>42274</v>
      </c>
    </row>
    <row r="6403" spans="1:4" ht="13.5" x14ac:dyDescent="0.25">
      <c r="A6403" s="878" t="s">
        <v>16064</v>
      </c>
      <c r="B6403" s="878" t="s">
        <v>16065</v>
      </c>
      <c r="C6403" s="879" t="s">
        <v>227</v>
      </c>
      <c r="D6403" s="880" t="s">
        <v>43648</v>
      </c>
    </row>
    <row r="6404" spans="1:4" ht="13.5" x14ac:dyDescent="0.25">
      <c r="A6404" s="878" t="s">
        <v>16066</v>
      </c>
      <c r="B6404" s="878" t="s">
        <v>16067</v>
      </c>
      <c r="C6404" s="879" t="s">
        <v>227</v>
      </c>
      <c r="D6404" s="880" t="s">
        <v>43649</v>
      </c>
    </row>
    <row r="6405" spans="1:4" ht="13.5" x14ac:dyDescent="0.25">
      <c r="A6405" s="878" t="s">
        <v>16068</v>
      </c>
      <c r="B6405" s="878" t="s">
        <v>16069</v>
      </c>
      <c r="C6405" s="879" t="s">
        <v>227</v>
      </c>
      <c r="D6405" s="880" t="s">
        <v>43650</v>
      </c>
    </row>
    <row r="6406" spans="1:4" ht="13.5" x14ac:dyDescent="0.25">
      <c r="A6406" s="878" t="s">
        <v>16070</v>
      </c>
      <c r="B6406" s="878" t="s">
        <v>16071</v>
      </c>
      <c r="C6406" s="879" t="s">
        <v>227</v>
      </c>
      <c r="D6406" s="880" t="s">
        <v>43651</v>
      </c>
    </row>
    <row r="6407" spans="1:4" ht="13.5" x14ac:dyDescent="0.25">
      <c r="A6407" s="878" t="s">
        <v>16072</v>
      </c>
      <c r="B6407" s="878" t="s">
        <v>16073</v>
      </c>
      <c r="C6407" s="879" t="s">
        <v>227</v>
      </c>
      <c r="D6407" s="880" t="s">
        <v>40125</v>
      </c>
    </row>
    <row r="6408" spans="1:4" ht="13.5" x14ac:dyDescent="0.25">
      <c r="A6408" s="878" t="s">
        <v>16074</v>
      </c>
      <c r="B6408" s="878" t="s">
        <v>16075</v>
      </c>
      <c r="C6408" s="879" t="s">
        <v>227</v>
      </c>
      <c r="D6408" s="880" t="s">
        <v>43652</v>
      </c>
    </row>
    <row r="6409" spans="1:4" ht="13.5" x14ac:dyDescent="0.25">
      <c r="A6409" s="878" t="s">
        <v>16076</v>
      </c>
      <c r="B6409" s="878" t="s">
        <v>16077</v>
      </c>
      <c r="C6409" s="879" t="s">
        <v>227</v>
      </c>
      <c r="D6409" s="880" t="s">
        <v>43653</v>
      </c>
    </row>
    <row r="6410" spans="1:4" ht="13.5" x14ac:dyDescent="0.25">
      <c r="A6410" s="878" t="s">
        <v>16078</v>
      </c>
      <c r="B6410" s="878" t="s">
        <v>16079</v>
      </c>
      <c r="C6410" s="879" t="s">
        <v>227</v>
      </c>
      <c r="D6410" s="880" t="s">
        <v>43654</v>
      </c>
    </row>
    <row r="6411" spans="1:4" ht="13.5" x14ac:dyDescent="0.25">
      <c r="A6411" s="878" t="s">
        <v>16080</v>
      </c>
      <c r="B6411" s="878" t="s">
        <v>16081</v>
      </c>
      <c r="C6411" s="879" t="s">
        <v>227</v>
      </c>
      <c r="D6411" s="880" t="s">
        <v>43655</v>
      </c>
    </row>
    <row r="6412" spans="1:4" ht="13.5" x14ac:dyDescent="0.25">
      <c r="A6412" s="878" t="s">
        <v>16082</v>
      </c>
      <c r="B6412" s="878" t="s">
        <v>16083</v>
      </c>
      <c r="C6412" s="879" t="s">
        <v>227</v>
      </c>
      <c r="D6412" s="880" t="s">
        <v>43656</v>
      </c>
    </row>
    <row r="6413" spans="1:4" ht="13.5" x14ac:dyDescent="0.25">
      <c r="A6413" s="878" t="s">
        <v>16084</v>
      </c>
      <c r="B6413" s="878" t="s">
        <v>16085</v>
      </c>
      <c r="C6413" s="879" t="s">
        <v>227</v>
      </c>
      <c r="D6413" s="880" t="s">
        <v>43657</v>
      </c>
    </row>
    <row r="6414" spans="1:4" ht="13.5" x14ac:dyDescent="0.25">
      <c r="A6414" s="878" t="s">
        <v>16086</v>
      </c>
      <c r="B6414" s="878" t="s">
        <v>16087</v>
      </c>
      <c r="C6414" s="879" t="s">
        <v>227</v>
      </c>
      <c r="D6414" s="880" t="s">
        <v>31216</v>
      </c>
    </row>
    <row r="6415" spans="1:4" ht="13.5" x14ac:dyDescent="0.25">
      <c r="A6415" s="878" t="s">
        <v>16088</v>
      </c>
      <c r="B6415" s="878" t="s">
        <v>16089</v>
      </c>
      <c r="C6415" s="879" t="s">
        <v>227</v>
      </c>
      <c r="D6415" s="880" t="s">
        <v>42840</v>
      </c>
    </row>
    <row r="6416" spans="1:4" ht="13.5" x14ac:dyDescent="0.25">
      <c r="A6416" s="878" t="s">
        <v>16090</v>
      </c>
      <c r="B6416" s="878" t="s">
        <v>16091</v>
      </c>
      <c r="C6416" s="879" t="s">
        <v>227</v>
      </c>
      <c r="D6416" s="880" t="s">
        <v>41619</v>
      </c>
    </row>
    <row r="6417" spans="1:4" ht="13.5" x14ac:dyDescent="0.25">
      <c r="A6417" s="878" t="s">
        <v>16092</v>
      </c>
      <c r="B6417" s="878" t="s">
        <v>16093</v>
      </c>
      <c r="C6417" s="879" t="s">
        <v>227</v>
      </c>
      <c r="D6417" s="880" t="s">
        <v>40965</v>
      </c>
    </row>
    <row r="6418" spans="1:4" ht="13.5" x14ac:dyDescent="0.25">
      <c r="A6418" s="878" t="s">
        <v>16094</v>
      </c>
      <c r="B6418" s="878" t="s">
        <v>16095</v>
      </c>
      <c r="C6418" s="879" t="s">
        <v>227</v>
      </c>
      <c r="D6418" s="880" t="s">
        <v>43658</v>
      </c>
    </row>
    <row r="6419" spans="1:4" ht="13.5" x14ac:dyDescent="0.25">
      <c r="A6419" s="878" t="s">
        <v>16096</v>
      </c>
      <c r="B6419" s="878" t="s">
        <v>16097</v>
      </c>
      <c r="C6419" s="879" t="s">
        <v>227</v>
      </c>
      <c r="D6419" s="880" t="s">
        <v>43659</v>
      </c>
    </row>
    <row r="6420" spans="1:4" ht="13.5" x14ac:dyDescent="0.25">
      <c r="A6420" s="878" t="s">
        <v>16098</v>
      </c>
      <c r="B6420" s="878" t="s">
        <v>16099</v>
      </c>
      <c r="C6420" s="879" t="s">
        <v>227</v>
      </c>
      <c r="D6420" s="880" t="s">
        <v>43660</v>
      </c>
    </row>
    <row r="6421" spans="1:4" ht="13.5" x14ac:dyDescent="0.25">
      <c r="A6421" s="878" t="s">
        <v>16100</v>
      </c>
      <c r="B6421" s="878" t="s">
        <v>16101</v>
      </c>
      <c r="C6421" s="879" t="s">
        <v>227</v>
      </c>
      <c r="D6421" s="880" t="s">
        <v>43661</v>
      </c>
    </row>
    <row r="6422" spans="1:4" ht="13.5" x14ac:dyDescent="0.25">
      <c r="A6422" s="878" t="s">
        <v>16102</v>
      </c>
      <c r="B6422" s="878" t="s">
        <v>16103</v>
      </c>
      <c r="C6422" s="879" t="s">
        <v>227</v>
      </c>
      <c r="D6422" s="880" t="s">
        <v>5154</v>
      </c>
    </row>
    <row r="6423" spans="1:4" ht="13.5" x14ac:dyDescent="0.25">
      <c r="A6423" s="878" t="s">
        <v>16104</v>
      </c>
      <c r="B6423" s="878" t="s">
        <v>16105</v>
      </c>
      <c r="C6423" s="879" t="s">
        <v>227</v>
      </c>
      <c r="D6423" s="880" t="s">
        <v>30680</v>
      </c>
    </row>
    <row r="6424" spans="1:4" ht="13.5" x14ac:dyDescent="0.25">
      <c r="A6424" s="878" t="s">
        <v>16106</v>
      </c>
      <c r="B6424" s="878" t="s">
        <v>16107</v>
      </c>
      <c r="C6424" s="879" t="s">
        <v>227</v>
      </c>
      <c r="D6424" s="880" t="s">
        <v>43662</v>
      </c>
    </row>
    <row r="6425" spans="1:4" ht="13.5" x14ac:dyDescent="0.25">
      <c r="A6425" s="878" t="s">
        <v>16108</v>
      </c>
      <c r="B6425" s="878" t="s">
        <v>16109</v>
      </c>
      <c r="C6425" s="879" t="s">
        <v>227</v>
      </c>
      <c r="D6425" s="880" t="s">
        <v>43663</v>
      </c>
    </row>
    <row r="6426" spans="1:4" ht="13.5" x14ac:dyDescent="0.25">
      <c r="A6426" s="878" t="s">
        <v>16110</v>
      </c>
      <c r="B6426" s="878" t="s">
        <v>16111</v>
      </c>
      <c r="C6426" s="879" t="s">
        <v>227</v>
      </c>
      <c r="D6426" s="880" t="s">
        <v>42608</v>
      </c>
    </row>
    <row r="6427" spans="1:4" ht="13.5" x14ac:dyDescent="0.25">
      <c r="A6427" s="878" t="s">
        <v>16112</v>
      </c>
      <c r="B6427" s="878" t="s">
        <v>16113</v>
      </c>
      <c r="C6427" s="879" t="s">
        <v>227</v>
      </c>
      <c r="D6427" s="880" t="s">
        <v>42574</v>
      </c>
    </row>
    <row r="6428" spans="1:4" ht="13.5" x14ac:dyDescent="0.25">
      <c r="A6428" s="878" t="s">
        <v>16114</v>
      </c>
      <c r="B6428" s="878" t="s">
        <v>16115</v>
      </c>
      <c r="C6428" s="879" t="s">
        <v>227</v>
      </c>
      <c r="D6428" s="880" t="s">
        <v>43664</v>
      </c>
    </row>
    <row r="6429" spans="1:4" ht="13.5" x14ac:dyDescent="0.25">
      <c r="A6429" s="878" t="s">
        <v>16116</v>
      </c>
      <c r="B6429" s="878" t="s">
        <v>16117</v>
      </c>
      <c r="C6429" s="879" t="s">
        <v>227</v>
      </c>
      <c r="D6429" s="880" t="s">
        <v>43665</v>
      </c>
    </row>
    <row r="6430" spans="1:4" ht="13.5" x14ac:dyDescent="0.25">
      <c r="A6430" s="878" t="s">
        <v>16118</v>
      </c>
      <c r="B6430" s="878" t="s">
        <v>16119</v>
      </c>
      <c r="C6430" s="879" t="s">
        <v>227</v>
      </c>
      <c r="D6430" s="880" t="s">
        <v>43666</v>
      </c>
    </row>
    <row r="6431" spans="1:4" ht="13.5" x14ac:dyDescent="0.25">
      <c r="A6431" s="878" t="s">
        <v>16120</v>
      </c>
      <c r="B6431" s="878" t="s">
        <v>16121</v>
      </c>
      <c r="C6431" s="879" t="s">
        <v>227</v>
      </c>
      <c r="D6431" s="880" t="s">
        <v>30550</v>
      </c>
    </row>
    <row r="6432" spans="1:4" ht="13.5" x14ac:dyDescent="0.25">
      <c r="A6432" s="878" t="s">
        <v>16122</v>
      </c>
      <c r="B6432" s="878" t="s">
        <v>16123</v>
      </c>
      <c r="C6432" s="879" t="s">
        <v>227</v>
      </c>
      <c r="D6432" s="880" t="s">
        <v>43667</v>
      </c>
    </row>
    <row r="6433" spans="1:4" ht="13.5" x14ac:dyDescent="0.25">
      <c r="A6433" s="878" t="s">
        <v>16124</v>
      </c>
      <c r="B6433" s="878" t="s">
        <v>16125</v>
      </c>
      <c r="C6433" s="879" t="s">
        <v>227</v>
      </c>
      <c r="D6433" s="880" t="s">
        <v>43668</v>
      </c>
    </row>
    <row r="6434" spans="1:4" ht="13.5" x14ac:dyDescent="0.25">
      <c r="A6434" s="878" t="s">
        <v>16126</v>
      </c>
      <c r="B6434" s="878" t="s">
        <v>16127</v>
      </c>
      <c r="C6434" s="879" t="s">
        <v>227</v>
      </c>
      <c r="D6434" s="880" t="s">
        <v>43669</v>
      </c>
    </row>
    <row r="6435" spans="1:4" ht="13.5" x14ac:dyDescent="0.25">
      <c r="A6435" s="878" t="s">
        <v>16128</v>
      </c>
      <c r="B6435" s="878" t="s">
        <v>16129</v>
      </c>
      <c r="C6435" s="879" t="s">
        <v>227</v>
      </c>
      <c r="D6435" s="880" t="s">
        <v>43670</v>
      </c>
    </row>
    <row r="6436" spans="1:4" ht="13.5" x14ac:dyDescent="0.25">
      <c r="A6436" s="878" t="s">
        <v>16130</v>
      </c>
      <c r="B6436" s="878" t="s">
        <v>16131</v>
      </c>
      <c r="C6436" s="879" t="s">
        <v>227</v>
      </c>
      <c r="D6436" s="880" t="s">
        <v>43671</v>
      </c>
    </row>
    <row r="6437" spans="1:4" ht="13.5" x14ac:dyDescent="0.25">
      <c r="A6437" s="878" t="s">
        <v>16132</v>
      </c>
      <c r="B6437" s="878" t="s">
        <v>16133</v>
      </c>
      <c r="C6437" s="879" t="s">
        <v>227</v>
      </c>
      <c r="D6437" s="880" t="s">
        <v>43672</v>
      </c>
    </row>
    <row r="6438" spans="1:4" ht="13.5" x14ac:dyDescent="0.25">
      <c r="A6438" s="878" t="s">
        <v>16134</v>
      </c>
      <c r="B6438" s="878" t="s">
        <v>16135</v>
      </c>
      <c r="C6438" s="879" t="s">
        <v>227</v>
      </c>
      <c r="D6438" s="880" t="s">
        <v>43673</v>
      </c>
    </row>
    <row r="6439" spans="1:4" ht="13.5" x14ac:dyDescent="0.25">
      <c r="A6439" s="878" t="s">
        <v>16136</v>
      </c>
      <c r="B6439" s="878" t="s">
        <v>16137</v>
      </c>
      <c r="C6439" s="879" t="s">
        <v>227</v>
      </c>
      <c r="D6439" s="880" t="s">
        <v>43674</v>
      </c>
    </row>
    <row r="6440" spans="1:4" ht="13.5" x14ac:dyDescent="0.25">
      <c r="A6440" s="878" t="s">
        <v>16138</v>
      </c>
      <c r="B6440" s="878" t="s">
        <v>16139</v>
      </c>
      <c r="C6440" s="879" t="s">
        <v>227</v>
      </c>
      <c r="D6440" s="880" t="s">
        <v>31072</v>
      </c>
    </row>
    <row r="6441" spans="1:4" ht="13.5" x14ac:dyDescent="0.25">
      <c r="A6441" s="878" t="s">
        <v>16140</v>
      </c>
      <c r="B6441" s="878" t="s">
        <v>16141</v>
      </c>
      <c r="C6441" s="879" t="s">
        <v>227</v>
      </c>
      <c r="D6441" s="880" t="s">
        <v>43675</v>
      </c>
    </row>
    <row r="6442" spans="1:4" ht="13.5" x14ac:dyDescent="0.25">
      <c r="A6442" s="878" t="s">
        <v>16142</v>
      </c>
      <c r="B6442" s="878" t="s">
        <v>16143</v>
      </c>
      <c r="C6442" s="879" t="s">
        <v>227</v>
      </c>
      <c r="D6442" s="880" t="s">
        <v>40081</v>
      </c>
    </row>
    <row r="6443" spans="1:4" ht="13.5" x14ac:dyDescent="0.25">
      <c r="A6443" s="878" t="s">
        <v>39997</v>
      </c>
      <c r="B6443" s="878" t="s">
        <v>39998</v>
      </c>
      <c r="C6443" s="879" t="s">
        <v>227</v>
      </c>
      <c r="D6443" s="880" t="s">
        <v>5592</v>
      </c>
    </row>
    <row r="6444" spans="1:4" ht="13.5" x14ac:dyDescent="0.25">
      <c r="A6444" s="878" t="s">
        <v>39999</v>
      </c>
      <c r="B6444" s="878" t="s">
        <v>40000</v>
      </c>
      <c r="C6444" s="879" t="s">
        <v>227</v>
      </c>
      <c r="D6444" s="880" t="s">
        <v>31040</v>
      </c>
    </row>
    <row r="6445" spans="1:4" ht="13.5" x14ac:dyDescent="0.25">
      <c r="A6445" s="878" t="s">
        <v>40001</v>
      </c>
      <c r="B6445" s="878" t="s">
        <v>40002</v>
      </c>
      <c r="C6445" s="879" t="s">
        <v>227</v>
      </c>
      <c r="D6445" s="880" t="s">
        <v>40498</v>
      </c>
    </row>
    <row r="6446" spans="1:4" ht="13.5" x14ac:dyDescent="0.25">
      <c r="A6446" s="878" t="s">
        <v>40003</v>
      </c>
      <c r="B6446" s="878" t="s">
        <v>40004</v>
      </c>
      <c r="C6446" s="879" t="s">
        <v>227</v>
      </c>
      <c r="D6446" s="880" t="s">
        <v>42379</v>
      </c>
    </row>
    <row r="6447" spans="1:4" ht="13.5" x14ac:dyDescent="0.25">
      <c r="A6447" s="878" t="s">
        <v>40005</v>
      </c>
      <c r="B6447" s="878" t="s">
        <v>40006</v>
      </c>
      <c r="C6447" s="879" t="s">
        <v>227</v>
      </c>
      <c r="D6447" s="880" t="s">
        <v>43676</v>
      </c>
    </row>
    <row r="6448" spans="1:4" ht="13.5" x14ac:dyDescent="0.25">
      <c r="A6448" s="878" t="s">
        <v>40007</v>
      </c>
      <c r="B6448" s="878" t="s">
        <v>40008</v>
      </c>
      <c r="C6448" s="879" t="s">
        <v>227</v>
      </c>
      <c r="D6448" s="880" t="s">
        <v>30809</v>
      </c>
    </row>
    <row r="6449" spans="1:4" ht="13.5" x14ac:dyDescent="0.25">
      <c r="A6449" s="878" t="s">
        <v>40009</v>
      </c>
      <c r="B6449" s="878" t="s">
        <v>40010</v>
      </c>
      <c r="C6449" s="879" t="s">
        <v>227</v>
      </c>
      <c r="D6449" s="880" t="s">
        <v>43677</v>
      </c>
    </row>
    <row r="6450" spans="1:4" ht="13.5" x14ac:dyDescent="0.25">
      <c r="A6450" s="878" t="s">
        <v>40011</v>
      </c>
      <c r="B6450" s="878" t="s">
        <v>40012</v>
      </c>
      <c r="C6450" s="879" t="s">
        <v>227</v>
      </c>
      <c r="D6450" s="880" t="s">
        <v>40393</v>
      </c>
    </row>
    <row r="6451" spans="1:4" ht="13.5" x14ac:dyDescent="0.25">
      <c r="A6451" s="878" t="s">
        <v>40013</v>
      </c>
      <c r="B6451" s="878" t="s">
        <v>40014</v>
      </c>
      <c r="C6451" s="879" t="s">
        <v>227</v>
      </c>
      <c r="D6451" s="880" t="s">
        <v>30802</v>
      </c>
    </row>
    <row r="6452" spans="1:4" ht="13.5" x14ac:dyDescent="0.25">
      <c r="A6452" s="878" t="s">
        <v>40015</v>
      </c>
      <c r="B6452" s="878" t="s">
        <v>40016</v>
      </c>
      <c r="C6452" s="879" t="s">
        <v>227</v>
      </c>
      <c r="D6452" s="880" t="s">
        <v>43678</v>
      </c>
    </row>
    <row r="6453" spans="1:4" ht="13.5" x14ac:dyDescent="0.25">
      <c r="A6453" s="878" t="s">
        <v>16144</v>
      </c>
      <c r="B6453" s="878" t="s">
        <v>30142</v>
      </c>
      <c r="C6453" s="879" t="s">
        <v>227</v>
      </c>
      <c r="D6453" s="880" t="s">
        <v>31242</v>
      </c>
    </row>
    <row r="6454" spans="1:4" ht="13.5" x14ac:dyDescent="0.25">
      <c r="A6454" s="878" t="s">
        <v>16145</v>
      </c>
      <c r="B6454" s="878" t="s">
        <v>30143</v>
      </c>
      <c r="C6454" s="879" t="s">
        <v>227</v>
      </c>
      <c r="D6454" s="880" t="s">
        <v>31243</v>
      </c>
    </row>
    <row r="6455" spans="1:4" ht="13.5" x14ac:dyDescent="0.25">
      <c r="A6455" s="878" t="s">
        <v>16146</v>
      </c>
      <c r="B6455" s="878" t="s">
        <v>30144</v>
      </c>
      <c r="C6455" s="879" t="s">
        <v>227</v>
      </c>
      <c r="D6455" s="880" t="s">
        <v>31244</v>
      </c>
    </row>
    <row r="6456" spans="1:4" ht="13.5" x14ac:dyDescent="0.25">
      <c r="A6456" s="878" t="s">
        <v>16147</v>
      </c>
      <c r="B6456" s="878" t="s">
        <v>30145</v>
      </c>
      <c r="C6456" s="879" t="s">
        <v>227</v>
      </c>
      <c r="D6456" s="880" t="s">
        <v>31245</v>
      </c>
    </row>
    <row r="6457" spans="1:4" ht="13.5" x14ac:dyDescent="0.25">
      <c r="A6457" s="878" t="s">
        <v>16148</v>
      </c>
      <c r="B6457" s="878" t="s">
        <v>30146</v>
      </c>
      <c r="C6457" s="879" t="s">
        <v>227</v>
      </c>
      <c r="D6457" s="880" t="s">
        <v>31246</v>
      </c>
    </row>
    <row r="6458" spans="1:4" ht="13.5" x14ac:dyDescent="0.25">
      <c r="A6458" s="878" t="s">
        <v>16149</v>
      </c>
      <c r="B6458" s="878" t="s">
        <v>30147</v>
      </c>
      <c r="C6458" s="879" t="s">
        <v>227</v>
      </c>
      <c r="D6458" s="880" t="s">
        <v>31247</v>
      </c>
    </row>
    <row r="6459" spans="1:4" ht="13.5" x14ac:dyDescent="0.25">
      <c r="A6459" s="878" t="s">
        <v>16150</v>
      </c>
      <c r="B6459" s="878" t="s">
        <v>30148</v>
      </c>
      <c r="C6459" s="879" t="s">
        <v>227</v>
      </c>
      <c r="D6459" s="880" t="s">
        <v>31248</v>
      </c>
    </row>
    <row r="6460" spans="1:4" ht="13.5" x14ac:dyDescent="0.25">
      <c r="A6460" s="878" t="s">
        <v>16151</v>
      </c>
      <c r="B6460" s="878" t="s">
        <v>30149</v>
      </c>
      <c r="C6460" s="879" t="s">
        <v>227</v>
      </c>
      <c r="D6460" s="880" t="s">
        <v>30877</v>
      </c>
    </row>
    <row r="6461" spans="1:4" ht="13.5" x14ac:dyDescent="0.25">
      <c r="A6461" s="878" t="s">
        <v>16152</v>
      </c>
      <c r="B6461" s="878" t="s">
        <v>30150</v>
      </c>
      <c r="C6461" s="879" t="s">
        <v>227</v>
      </c>
      <c r="D6461" s="880" t="s">
        <v>31249</v>
      </c>
    </row>
    <row r="6462" spans="1:4" ht="13.5" x14ac:dyDescent="0.25">
      <c r="A6462" s="878" t="s">
        <v>16153</v>
      </c>
      <c r="B6462" s="878" t="s">
        <v>30151</v>
      </c>
      <c r="C6462" s="879" t="s">
        <v>227</v>
      </c>
      <c r="D6462" s="880" t="s">
        <v>31250</v>
      </c>
    </row>
    <row r="6463" spans="1:4" ht="13.5" x14ac:dyDescent="0.25">
      <c r="A6463" s="878" t="s">
        <v>16154</v>
      </c>
      <c r="B6463" s="878" t="s">
        <v>16155</v>
      </c>
      <c r="C6463" s="879" t="s">
        <v>227</v>
      </c>
      <c r="D6463" s="880" t="s">
        <v>31251</v>
      </c>
    </row>
    <row r="6464" spans="1:4" ht="13.5" x14ac:dyDescent="0.25">
      <c r="A6464" s="878" t="s">
        <v>16156</v>
      </c>
      <c r="B6464" s="878" t="s">
        <v>16157</v>
      </c>
      <c r="C6464" s="879" t="s">
        <v>227</v>
      </c>
      <c r="D6464" s="880" t="s">
        <v>31251</v>
      </c>
    </row>
    <row r="6465" spans="1:4" ht="13.5" x14ac:dyDescent="0.25">
      <c r="A6465" s="878" t="s">
        <v>16158</v>
      </c>
      <c r="B6465" s="878" t="s">
        <v>30152</v>
      </c>
      <c r="C6465" s="879" t="s">
        <v>227</v>
      </c>
      <c r="D6465" s="880" t="s">
        <v>31252</v>
      </c>
    </row>
    <row r="6466" spans="1:4" ht="13.5" x14ac:dyDescent="0.25">
      <c r="A6466" s="878" t="s">
        <v>16159</v>
      </c>
      <c r="B6466" s="878" t="s">
        <v>30153</v>
      </c>
      <c r="C6466" s="879" t="s">
        <v>227</v>
      </c>
      <c r="D6466" s="880" t="s">
        <v>30652</v>
      </c>
    </row>
    <row r="6467" spans="1:4" ht="13.5" x14ac:dyDescent="0.25">
      <c r="A6467" s="878" t="s">
        <v>16160</v>
      </c>
      <c r="B6467" s="878" t="s">
        <v>30154</v>
      </c>
      <c r="C6467" s="879" t="s">
        <v>227</v>
      </c>
      <c r="D6467" s="880" t="s">
        <v>31253</v>
      </c>
    </row>
    <row r="6468" spans="1:4" ht="13.5" x14ac:dyDescent="0.25">
      <c r="A6468" s="878" t="s">
        <v>16161</v>
      </c>
      <c r="B6468" s="878" t="s">
        <v>30155</v>
      </c>
      <c r="C6468" s="879" t="s">
        <v>227</v>
      </c>
      <c r="D6468" s="880" t="s">
        <v>31254</v>
      </c>
    </row>
    <row r="6469" spans="1:4" ht="13.5" x14ac:dyDescent="0.25">
      <c r="A6469" s="878" t="s">
        <v>30156</v>
      </c>
      <c r="B6469" s="878" t="s">
        <v>30157</v>
      </c>
      <c r="C6469" s="879" t="s">
        <v>227</v>
      </c>
      <c r="D6469" s="880" t="s">
        <v>31255</v>
      </c>
    </row>
    <row r="6470" spans="1:4" ht="13.5" x14ac:dyDescent="0.25">
      <c r="A6470" s="878" t="s">
        <v>30158</v>
      </c>
      <c r="B6470" s="878" t="s">
        <v>30159</v>
      </c>
      <c r="C6470" s="879" t="s">
        <v>227</v>
      </c>
      <c r="D6470" s="880" t="s">
        <v>30688</v>
      </c>
    </row>
    <row r="6471" spans="1:4" ht="13.5" x14ac:dyDescent="0.25">
      <c r="A6471" s="878" t="s">
        <v>30160</v>
      </c>
      <c r="B6471" s="878" t="s">
        <v>30161</v>
      </c>
      <c r="C6471" s="879" t="s">
        <v>227</v>
      </c>
      <c r="D6471" s="880" t="s">
        <v>31256</v>
      </c>
    </row>
    <row r="6472" spans="1:4" ht="13.5" x14ac:dyDescent="0.25">
      <c r="A6472" s="878" t="s">
        <v>30162</v>
      </c>
      <c r="B6472" s="878" t="s">
        <v>30163</v>
      </c>
      <c r="C6472" s="879" t="s">
        <v>227</v>
      </c>
      <c r="D6472" s="880" t="s">
        <v>31257</v>
      </c>
    </row>
    <row r="6473" spans="1:4" ht="13.5" x14ac:dyDescent="0.25">
      <c r="A6473" s="878" t="s">
        <v>30164</v>
      </c>
      <c r="B6473" s="878" t="s">
        <v>30165</v>
      </c>
      <c r="C6473" s="879" t="s">
        <v>227</v>
      </c>
      <c r="D6473" s="880" t="s">
        <v>31258</v>
      </c>
    </row>
    <row r="6474" spans="1:4" ht="13.5" x14ac:dyDescent="0.25">
      <c r="A6474" s="878" t="s">
        <v>30166</v>
      </c>
      <c r="B6474" s="878" t="s">
        <v>30167</v>
      </c>
      <c r="C6474" s="879" t="s">
        <v>227</v>
      </c>
      <c r="D6474" s="880" t="s">
        <v>31259</v>
      </c>
    </row>
    <row r="6475" spans="1:4" ht="13.5" x14ac:dyDescent="0.25">
      <c r="A6475" s="878" t="s">
        <v>30168</v>
      </c>
      <c r="B6475" s="878" t="s">
        <v>30169</v>
      </c>
      <c r="C6475" s="879" t="s">
        <v>227</v>
      </c>
      <c r="D6475" s="880" t="s">
        <v>31260</v>
      </c>
    </row>
    <row r="6476" spans="1:4" ht="13.5" x14ac:dyDescent="0.25">
      <c r="A6476" s="878" t="s">
        <v>30170</v>
      </c>
      <c r="B6476" s="878" t="s">
        <v>30171</v>
      </c>
      <c r="C6476" s="879" t="s">
        <v>227</v>
      </c>
      <c r="D6476" s="880" t="s">
        <v>31261</v>
      </c>
    </row>
    <row r="6477" spans="1:4" ht="13.5" x14ac:dyDescent="0.25">
      <c r="A6477" s="878" t="s">
        <v>30172</v>
      </c>
      <c r="B6477" s="878" t="s">
        <v>30173</v>
      </c>
      <c r="C6477" s="879" t="s">
        <v>227</v>
      </c>
      <c r="D6477" s="880" t="s">
        <v>43679</v>
      </c>
    </row>
    <row r="6478" spans="1:4" ht="13.5" x14ac:dyDescent="0.25">
      <c r="A6478" s="878" t="s">
        <v>16162</v>
      </c>
      <c r="B6478" s="878" t="s">
        <v>16163</v>
      </c>
      <c r="C6478" s="879" t="s">
        <v>227</v>
      </c>
      <c r="D6478" s="880" t="s">
        <v>43680</v>
      </c>
    </row>
    <row r="6479" spans="1:4" ht="13.5" x14ac:dyDescent="0.25">
      <c r="A6479" s="878" t="s">
        <v>16164</v>
      </c>
      <c r="B6479" s="878" t="s">
        <v>16165</v>
      </c>
      <c r="C6479" s="879" t="s">
        <v>227</v>
      </c>
      <c r="D6479" s="880" t="s">
        <v>43681</v>
      </c>
    </row>
    <row r="6480" spans="1:4" ht="13.5" x14ac:dyDescent="0.25">
      <c r="A6480" s="878" t="s">
        <v>16166</v>
      </c>
      <c r="B6480" s="878" t="s">
        <v>16167</v>
      </c>
      <c r="C6480" s="879" t="s">
        <v>227</v>
      </c>
      <c r="D6480" s="880" t="s">
        <v>43682</v>
      </c>
    </row>
    <row r="6481" spans="1:4" ht="13.5" x14ac:dyDescent="0.25">
      <c r="A6481" s="878" t="s">
        <v>16168</v>
      </c>
      <c r="B6481" s="878" t="s">
        <v>16169</v>
      </c>
      <c r="C6481" s="879" t="s">
        <v>227</v>
      </c>
      <c r="D6481" s="880" t="s">
        <v>43683</v>
      </c>
    </row>
    <row r="6482" spans="1:4" ht="13.5" x14ac:dyDescent="0.25">
      <c r="A6482" s="878" t="s">
        <v>16170</v>
      </c>
      <c r="B6482" s="878" t="s">
        <v>16171</v>
      </c>
      <c r="C6482" s="879" t="s">
        <v>227</v>
      </c>
      <c r="D6482" s="880" t="s">
        <v>43684</v>
      </c>
    </row>
    <row r="6483" spans="1:4" ht="13.5" x14ac:dyDescent="0.25">
      <c r="A6483" s="878" t="s">
        <v>16172</v>
      </c>
      <c r="B6483" s="878" t="s">
        <v>16173</v>
      </c>
      <c r="C6483" s="879" t="s">
        <v>227</v>
      </c>
      <c r="D6483" s="880" t="s">
        <v>31264</v>
      </c>
    </row>
    <row r="6484" spans="1:4" ht="13.5" x14ac:dyDescent="0.25">
      <c r="A6484" s="878" t="s">
        <v>16174</v>
      </c>
      <c r="B6484" s="878" t="s">
        <v>16175</v>
      </c>
      <c r="C6484" s="879" t="s">
        <v>227</v>
      </c>
      <c r="D6484" s="880" t="s">
        <v>30658</v>
      </c>
    </row>
    <row r="6485" spans="1:4" ht="13.5" x14ac:dyDescent="0.25">
      <c r="A6485" s="878" t="s">
        <v>16176</v>
      </c>
      <c r="B6485" s="878" t="s">
        <v>16177</v>
      </c>
      <c r="C6485" s="879" t="s">
        <v>227</v>
      </c>
      <c r="D6485" s="880" t="s">
        <v>43685</v>
      </c>
    </row>
    <row r="6486" spans="1:4" ht="13.5" x14ac:dyDescent="0.25">
      <c r="A6486" s="878" t="s">
        <v>16178</v>
      </c>
      <c r="B6486" s="878" t="s">
        <v>16179</v>
      </c>
      <c r="C6486" s="879" t="s">
        <v>227</v>
      </c>
      <c r="D6486" s="880" t="s">
        <v>43686</v>
      </c>
    </row>
    <row r="6487" spans="1:4" ht="13.5" x14ac:dyDescent="0.25">
      <c r="A6487" s="878" t="s">
        <v>16180</v>
      </c>
      <c r="B6487" s="878" t="s">
        <v>16181</v>
      </c>
      <c r="C6487" s="879" t="s">
        <v>227</v>
      </c>
      <c r="D6487" s="880" t="s">
        <v>43687</v>
      </c>
    </row>
    <row r="6488" spans="1:4" ht="13.5" x14ac:dyDescent="0.25">
      <c r="A6488" s="878" t="s">
        <v>16182</v>
      </c>
      <c r="B6488" s="878" t="s">
        <v>16183</v>
      </c>
      <c r="C6488" s="879" t="s">
        <v>227</v>
      </c>
      <c r="D6488" s="880" t="s">
        <v>40598</v>
      </c>
    </row>
    <row r="6489" spans="1:4" ht="13.5" x14ac:dyDescent="0.25">
      <c r="A6489" s="878" t="s">
        <v>16184</v>
      </c>
      <c r="B6489" s="878" t="s">
        <v>16185</v>
      </c>
      <c r="C6489" s="879" t="s">
        <v>227</v>
      </c>
      <c r="D6489" s="880" t="s">
        <v>43572</v>
      </c>
    </row>
    <row r="6490" spans="1:4" ht="13.5" x14ac:dyDescent="0.25">
      <c r="A6490" s="878" t="s">
        <v>16187</v>
      </c>
      <c r="B6490" s="878" t="s">
        <v>16188</v>
      </c>
      <c r="C6490" s="879" t="s">
        <v>227</v>
      </c>
      <c r="D6490" s="880" t="s">
        <v>43688</v>
      </c>
    </row>
    <row r="6491" spans="1:4" ht="13.5" x14ac:dyDescent="0.25">
      <c r="A6491" s="878" t="s">
        <v>16189</v>
      </c>
      <c r="B6491" s="878" t="s">
        <v>16190</v>
      </c>
      <c r="C6491" s="879" t="s">
        <v>227</v>
      </c>
      <c r="D6491" s="880" t="s">
        <v>17257</v>
      </c>
    </row>
    <row r="6492" spans="1:4" ht="13.5" x14ac:dyDescent="0.25">
      <c r="A6492" s="878" t="s">
        <v>16191</v>
      </c>
      <c r="B6492" s="878" t="s">
        <v>16192</v>
      </c>
      <c r="C6492" s="879" t="s">
        <v>227</v>
      </c>
      <c r="D6492" s="880" t="s">
        <v>43689</v>
      </c>
    </row>
    <row r="6493" spans="1:4" ht="13.5" x14ac:dyDescent="0.25">
      <c r="A6493" s="878" t="s">
        <v>16193</v>
      </c>
      <c r="B6493" s="878" t="s">
        <v>16194</v>
      </c>
      <c r="C6493" s="879" t="s">
        <v>227</v>
      </c>
      <c r="D6493" s="880" t="s">
        <v>12845</v>
      </c>
    </row>
    <row r="6494" spans="1:4" ht="13.5" x14ac:dyDescent="0.25">
      <c r="A6494" s="878" t="s">
        <v>16196</v>
      </c>
      <c r="B6494" s="878" t="s">
        <v>16197</v>
      </c>
      <c r="C6494" s="879" t="s">
        <v>227</v>
      </c>
      <c r="D6494" s="880" t="s">
        <v>43690</v>
      </c>
    </row>
    <row r="6495" spans="1:4" ht="13.5" x14ac:dyDescent="0.25">
      <c r="A6495" s="878" t="s">
        <v>16198</v>
      </c>
      <c r="B6495" s="878" t="s">
        <v>16199</v>
      </c>
      <c r="C6495" s="879" t="s">
        <v>227</v>
      </c>
      <c r="D6495" s="880" t="s">
        <v>43691</v>
      </c>
    </row>
    <row r="6496" spans="1:4" ht="13.5" x14ac:dyDescent="0.25">
      <c r="A6496" s="878" t="s">
        <v>16200</v>
      </c>
      <c r="B6496" s="878" t="s">
        <v>16201</v>
      </c>
      <c r="C6496" s="879" t="s">
        <v>227</v>
      </c>
      <c r="D6496" s="880" t="s">
        <v>31265</v>
      </c>
    </row>
    <row r="6497" spans="1:4" ht="13.5" x14ac:dyDescent="0.25">
      <c r="A6497" s="878" t="s">
        <v>16202</v>
      </c>
      <c r="B6497" s="878" t="s">
        <v>16203</v>
      </c>
      <c r="C6497" s="879" t="s">
        <v>227</v>
      </c>
      <c r="D6497" s="880" t="s">
        <v>4716</v>
      </c>
    </row>
    <row r="6498" spans="1:4" ht="13.5" x14ac:dyDescent="0.25">
      <c r="A6498" s="878" t="s">
        <v>16204</v>
      </c>
      <c r="B6498" s="878" t="s">
        <v>16205</v>
      </c>
      <c r="C6498" s="879" t="s">
        <v>227</v>
      </c>
      <c r="D6498" s="880" t="s">
        <v>31266</v>
      </c>
    </row>
    <row r="6499" spans="1:4" ht="13.5" x14ac:dyDescent="0.25">
      <c r="A6499" s="878" t="s">
        <v>16206</v>
      </c>
      <c r="B6499" s="878" t="s">
        <v>16207</v>
      </c>
      <c r="C6499" s="879" t="s">
        <v>227</v>
      </c>
      <c r="D6499" s="880" t="s">
        <v>15197</v>
      </c>
    </row>
    <row r="6500" spans="1:4" ht="13.5" x14ac:dyDescent="0.25">
      <c r="A6500" s="878" t="s">
        <v>16208</v>
      </c>
      <c r="B6500" s="878" t="s">
        <v>16209</v>
      </c>
      <c r="C6500" s="879" t="s">
        <v>158</v>
      </c>
      <c r="D6500" s="880" t="s">
        <v>31267</v>
      </c>
    </row>
    <row r="6501" spans="1:4" ht="13.5" x14ac:dyDescent="0.25">
      <c r="A6501" s="878" t="s">
        <v>16210</v>
      </c>
      <c r="B6501" s="878" t="s">
        <v>16211</v>
      </c>
      <c r="C6501" s="879" t="s">
        <v>158</v>
      </c>
      <c r="D6501" s="880" t="s">
        <v>4682</v>
      </c>
    </row>
    <row r="6502" spans="1:4" ht="13.5" x14ac:dyDescent="0.25">
      <c r="A6502" s="878" t="s">
        <v>16212</v>
      </c>
      <c r="B6502" s="878" t="s">
        <v>16213</v>
      </c>
      <c r="C6502" s="879" t="s">
        <v>158</v>
      </c>
      <c r="D6502" s="880" t="s">
        <v>3757</v>
      </c>
    </row>
    <row r="6503" spans="1:4" ht="13.5" x14ac:dyDescent="0.25">
      <c r="A6503" s="878" t="s">
        <v>16214</v>
      </c>
      <c r="B6503" s="878" t="s">
        <v>16215</v>
      </c>
      <c r="C6503" s="879" t="s">
        <v>158</v>
      </c>
      <c r="D6503" s="880" t="s">
        <v>14578</v>
      </c>
    </row>
    <row r="6504" spans="1:4" ht="13.5" x14ac:dyDescent="0.25">
      <c r="A6504" s="878" t="s">
        <v>16216</v>
      </c>
      <c r="B6504" s="878" t="s">
        <v>16217</v>
      </c>
      <c r="C6504" s="879" t="s">
        <v>227</v>
      </c>
      <c r="D6504" s="880" t="s">
        <v>30782</v>
      </c>
    </row>
    <row r="6505" spans="1:4" ht="13.5" x14ac:dyDescent="0.25">
      <c r="A6505" s="878" t="s">
        <v>16218</v>
      </c>
      <c r="B6505" s="878" t="s">
        <v>16219</v>
      </c>
      <c r="C6505" s="879" t="s">
        <v>227</v>
      </c>
      <c r="D6505" s="880" t="s">
        <v>14743</v>
      </c>
    </row>
    <row r="6506" spans="1:4" ht="13.5" x14ac:dyDescent="0.25">
      <c r="A6506" s="878" t="s">
        <v>16221</v>
      </c>
      <c r="B6506" s="878" t="s">
        <v>16222</v>
      </c>
      <c r="C6506" s="879" t="s">
        <v>158</v>
      </c>
      <c r="D6506" s="880" t="s">
        <v>4173</v>
      </c>
    </row>
    <row r="6507" spans="1:4" ht="13.5" x14ac:dyDescent="0.25">
      <c r="A6507" s="878" t="s">
        <v>16223</v>
      </c>
      <c r="B6507" s="878" t="s">
        <v>16224</v>
      </c>
      <c r="C6507" s="879" t="s">
        <v>227</v>
      </c>
      <c r="D6507" s="880" t="s">
        <v>30723</v>
      </c>
    </row>
    <row r="6508" spans="1:4" ht="13.5" x14ac:dyDescent="0.25">
      <c r="A6508" s="878" t="s">
        <v>16225</v>
      </c>
      <c r="B6508" s="878" t="s">
        <v>16226</v>
      </c>
      <c r="C6508" s="879" t="s">
        <v>227</v>
      </c>
      <c r="D6508" s="880" t="s">
        <v>30819</v>
      </c>
    </row>
    <row r="6509" spans="1:4" ht="13.5" x14ac:dyDescent="0.25">
      <c r="A6509" s="878" t="s">
        <v>16227</v>
      </c>
      <c r="B6509" s="878" t="s">
        <v>16228</v>
      </c>
      <c r="C6509" s="879" t="s">
        <v>227</v>
      </c>
      <c r="D6509" s="880" t="s">
        <v>6838</v>
      </c>
    </row>
    <row r="6510" spans="1:4" ht="13.5" x14ac:dyDescent="0.25">
      <c r="A6510" s="878" t="s">
        <v>16229</v>
      </c>
      <c r="B6510" s="878" t="s">
        <v>16230</v>
      </c>
      <c r="C6510" s="879" t="s">
        <v>227</v>
      </c>
      <c r="D6510" s="880" t="s">
        <v>14595</v>
      </c>
    </row>
    <row r="6511" spans="1:4" ht="13.5" x14ac:dyDescent="0.25">
      <c r="A6511" s="878" t="s">
        <v>16231</v>
      </c>
      <c r="B6511" s="878" t="s">
        <v>16232</v>
      </c>
      <c r="C6511" s="879" t="s">
        <v>158</v>
      </c>
      <c r="D6511" s="880" t="s">
        <v>2944</v>
      </c>
    </row>
    <row r="6512" spans="1:4" ht="13.5" x14ac:dyDescent="0.25">
      <c r="A6512" s="878" t="s">
        <v>16233</v>
      </c>
      <c r="B6512" s="878" t="s">
        <v>16234</v>
      </c>
      <c r="C6512" s="879" t="s">
        <v>158</v>
      </c>
      <c r="D6512" s="880" t="s">
        <v>31268</v>
      </c>
    </row>
    <row r="6513" spans="1:4" ht="13.5" x14ac:dyDescent="0.25">
      <c r="A6513" s="878" t="s">
        <v>16235</v>
      </c>
      <c r="B6513" s="878" t="s">
        <v>16236</v>
      </c>
      <c r="C6513" s="879" t="s">
        <v>227</v>
      </c>
      <c r="D6513" s="880" t="s">
        <v>30804</v>
      </c>
    </row>
    <row r="6514" spans="1:4" ht="13.5" x14ac:dyDescent="0.25">
      <c r="A6514" s="878" t="s">
        <v>16237</v>
      </c>
      <c r="B6514" s="878" t="s">
        <v>16238</v>
      </c>
      <c r="C6514" s="879" t="s">
        <v>227</v>
      </c>
      <c r="D6514" s="880" t="s">
        <v>31042</v>
      </c>
    </row>
    <row r="6515" spans="1:4" ht="13.5" x14ac:dyDescent="0.25">
      <c r="A6515" s="878" t="s">
        <v>16240</v>
      </c>
      <c r="B6515" s="878" t="s">
        <v>16241</v>
      </c>
      <c r="C6515" s="879" t="s">
        <v>227</v>
      </c>
      <c r="D6515" s="880" t="s">
        <v>43692</v>
      </c>
    </row>
    <row r="6516" spans="1:4" ht="13.5" x14ac:dyDescent="0.25">
      <c r="A6516" s="878" t="s">
        <v>16242</v>
      </c>
      <c r="B6516" s="878" t="s">
        <v>16243</v>
      </c>
      <c r="C6516" s="879" t="s">
        <v>158</v>
      </c>
      <c r="D6516" s="880" t="s">
        <v>43693</v>
      </c>
    </row>
    <row r="6517" spans="1:4" ht="13.5" x14ac:dyDescent="0.25">
      <c r="A6517" s="878" t="s">
        <v>16244</v>
      </c>
      <c r="B6517" s="878" t="s">
        <v>16245</v>
      </c>
      <c r="C6517" s="879" t="s">
        <v>227</v>
      </c>
      <c r="D6517" s="880" t="s">
        <v>43694</v>
      </c>
    </row>
    <row r="6518" spans="1:4" ht="13.5" x14ac:dyDescent="0.25">
      <c r="A6518" s="878" t="s">
        <v>16246</v>
      </c>
      <c r="B6518" s="878" t="s">
        <v>16247</v>
      </c>
      <c r="C6518" s="879" t="s">
        <v>227</v>
      </c>
      <c r="D6518" s="880" t="s">
        <v>43695</v>
      </c>
    </row>
    <row r="6519" spans="1:4" ht="13.5" x14ac:dyDescent="0.25">
      <c r="A6519" s="878" t="s">
        <v>16248</v>
      </c>
      <c r="B6519" s="878" t="s">
        <v>16249</v>
      </c>
      <c r="C6519" s="879" t="s">
        <v>227</v>
      </c>
      <c r="D6519" s="880" t="s">
        <v>43696</v>
      </c>
    </row>
    <row r="6520" spans="1:4" ht="13.5" x14ac:dyDescent="0.25">
      <c r="A6520" s="878" t="s">
        <v>16250</v>
      </c>
      <c r="B6520" s="878" t="s">
        <v>16251</v>
      </c>
      <c r="C6520" s="879" t="s">
        <v>227</v>
      </c>
      <c r="D6520" s="880" t="s">
        <v>43697</v>
      </c>
    </row>
    <row r="6521" spans="1:4" ht="13.5" x14ac:dyDescent="0.25">
      <c r="A6521" s="878" t="s">
        <v>16252</v>
      </c>
      <c r="B6521" s="878" t="s">
        <v>16253</v>
      </c>
      <c r="C6521" s="879" t="s">
        <v>227</v>
      </c>
      <c r="D6521" s="880" t="s">
        <v>43698</v>
      </c>
    </row>
    <row r="6522" spans="1:4" ht="13.5" x14ac:dyDescent="0.25">
      <c r="A6522" s="878" t="s">
        <v>16254</v>
      </c>
      <c r="B6522" s="878" t="s">
        <v>16255</v>
      </c>
      <c r="C6522" s="879" t="s">
        <v>227</v>
      </c>
      <c r="D6522" s="880" t="s">
        <v>43699</v>
      </c>
    </row>
    <row r="6523" spans="1:4" ht="13.5" x14ac:dyDescent="0.25">
      <c r="A6523" s="878" t="s">
        <v>16256</v>
      </c>
      <c r="B6523" s="878" t="s">
        <v>16257</v>
      </c>
      <c r="C6523" s="879" t="s">
        <v>227</v>
      </c>
      <c r="D6523" s="880" t="s">
        <v>43700</v>
      </c>
    </row>
    <row r="6524" spans="1:4" ht="13.5" x14ac:dyDescent="0.25">
      <c r="A6524" s="878" t="s">
        <v>16258</v>
      </c>
      <c r="B6524" s="878" t="s">
        <v>16259</v>
      </c>
      <c r="C6524" s="879" t="s">
        <v>227</v>
      </c>
      <c r="D6524" s="880" t="s">
        <v>43701</v>
      </c>
    </row>
    <row r="6525" spans="1:4" ht="13.5" x14ac:dyDescent="0.25">
      <c r="A6525" s="878" t="s">
        <v>16260</v>
      </c>
      <c r="B6525" s="878" t="s">
        <v>16261</v>
      </c>
      <c r="C6525" s="879" t="s">
        <v>227</v>
      </c>
      <c r="D6525" s="880" t="s">
        <v>43702</v>
      </c>
    </row>
    <row r="6526" spans="1:4" ht="13.5" x14ac:dyDescent="0.25">
      <c r="A6526" s="878" t="s">
        <v>16262</v>
      </c>
      <c r="B6526" s="878" t="s">
        <v>16263</v>
      </c>
      <c r="C6526" s="879" t="s">
        <v>227</v>
      </c>
      <c r="D6526" s="880" t="s">
        <v>43703</v>
      </c>
    </row>
    <row r="6527" spans="1:4" ht="13.5" x14ac:dyDescent="0.25">
      <c r="A6527" s="878" t="s">
        <v>16264</v>
      </c>
      <c r="B6527" s="878" t="s">
        <v>16265</v>
      </c>
      <c r="C6527" s="879" t="s">
        <v>227</v>
      </c>
      <c r="D6527" s="880" t="s">
        <v>43704</v>
      </c>
    </row>
    <row r="6528" spans="1:4" ht="13.5" x14ac:dyDescent="0.25">
      <c r="A6528" s="878" t="s">
        <v>16266</v>
      </c>
      <c r="B6528" s="878" t="s">
        <v>16267</v>
      </c>
      <c r="C6528" s="879" t="s">
        <v>227</v>
      </c>
      <c r="D6528" s="880" t="s">
        <v>43705</v>
      </c>
    </row>
    <row r="6529" spans="1:4" ht="13.5" x14ac:dyDescent="0.25">
      <c r="A6529" s="878" t="s">
        <v>16268</v>
      </c>
      <c r="B6529" s="878" t="s">
        <v>16269</v>
      </c>
      <c r="C6529" s="879" t="s">
        <v>227</v>
      </c>
      <c r="D6529" s="880" t="s">
        <v>43706</v>
      </c>
    </row>
    <row r="6530" spans="1:4" ht="13.5" x14ac:dyDescent="0.25">
      <c r="A6530" s="878" t="s">
        <v>16270</v>
      </c>
      <c r="B6530" s="878" t="s">
        <v>16271</v>
      </c>
      <c r="C6530" s="879" t="s">
        <v>227</v>
      </c>
      <c r="D6530" s="880" t="s">
        <v>43707</v>
      </c>
    </row>
    <row r="6531" spans="1:4" ht="13.5" x14ac:dyDescent="0.25">
      <c r="A6531" s="878" t="s">
        <v>16272</v>
      </c>
      <c r="B6531" s="878" t="s">
        <v>16273</v>
      </c>
      <c r="C6531" s="879" t="s">
        <v>227</v>
      </c>
      <c r="D6531" s="880" t="s">
        <v>43708</v>
      </c>
    </row>
    <row r="6532" spans="1:4" ht="13.5" x14ac:dyDescent="0.25">
      <c r="A6532" s="878" t="s">
        <v>16274</v>
      </c>
      <c r="B6532" s="878" t="s">
        <v>16275</v>
      </c>
      <c r="C6532" s="879" t="s">
        <v>227</v>
      </c>
      <c r="D6532" s="880" t="s">
        <v>43709</v>
      </c>
    </row>
    <row r="6533" spans="1:4" ht="13.5" x14ac:dyDescent="0.25">
      <c r="A6533" s="878" t="s">
        <v>16276</v>
      </c>
      <c r="B6533" s="878" t="s">
        <v>16277</v>
      </c>
      <c r="C6533" s="879" t="s">
        <v>227</v>
      </c>
      <c r="D6533" s="880" t="s">
        <v>43710</v>
      </c>
    </row>
    <row r="6534" spans="1:4" ht="13.5" x14ac:dyDescent="0.25">
      <c r="A6534" s="878" t="s">
        <v>16278</v>
      </c>
      <c r="B6534" s="878" t="s">
        <v>16279</v>
      </c>
      <c r="C6534" s="879" t="s">
        <v>227</v>
      </c>
      <c r="D6534" s="880" t="s">
        <v>43711</v>
      </c>
    </row>
    <row r="6535" spans="1:4" ht="13.5" x14ac:dyDescent="0.25">
      <c r="A6535" s="878" t="s">
        <v>16280</v>
      </c>
      <c r="B6535" s="878" t="s">
        <v>16281</v>
      </c>
      <c r="C6535" s="879" t="s">
        <v>227</v>
      </c>
      <c r="D6535" s="880" t="s">
        <v>43712</v>
      </c>
    </row>
    <row r="6536" spans="1:4" ht="13.5" x14ac:dyDescent="0.25">
      <c r="A6536" s="878" t="s">
        <v>16282</v>
      </c>
      <c r="B6536" s="878" t="s">
        <v>16283</v>
      </c>
      <c r="C6536" s="879" t="s">
        <v>227</v>
      </c>
      <c r="D6536" s="880" t="s">
        <v>43713</v>
      </c>
    </row>
    <row r="6537" spans="1:4" ht="13.5" x14ac:dyDescent="0.25">
      <c r="A6537" s="878" t="s">
        <v>16284</v>
      </c>
      <c r="B6537" s="878" t="s">
        <v>16285</v>
      </c>
      <c r="C6537" s="879" t="s">
        <v>227</v>
      </c>
      <c r="D6537" s="880" t="s">
        <v>43714</v>
      </c>
    </row>
    <row r="6538" spans="1:4" ht="13.5" x14ac:dyDescent="0.25">
      <c r="A6538" s="882" t="s">
        <v>16286</v>
      </c>
      <c r="B6538" s="882" t="s">
        <v>16287</v>
      </c>
      <c r="C6538" s="883" t="s">
        <v>159</v>
      </c>
      <c r="D6538" s="888" t="s">
        <v>43715</v>
      </c>
    </row>
    <row r="6539" spans="1:4" ht="13.5" x14ac:dyDescent="0.25">
      <c r="A6539" s="878" t="s">
        <v>16288</v>
      </c>
      <c r="B6539" s="878" t="s">
        <v>16289</v>
      </c>
      <c r="C6539" s="879" t="s">
        <v>159</v>
      </c>
      <c r="D6539" s="880" t="s">
        <v>43716</v>
      </c>
    </row>
    <row r="6540" spans="1:4" ht="13.5" x14ac:dyDescent="0.25">
      <c r="A6540" s="878" t="s">
        <v>16290</v>
      </c>
      <c r="B6540" s="878" t="s">
        <v>16291</v>
      </c>
      <c r="C6540" s="879" t="s">
        <v>159</v>
      </c>
      <c r="D6540" s="880" t="s">
        <v>43717</v>
      </c>
    </row>
    <row r="6541" spans="1:4" ht="13.5" x14ac:dyDescent="0.25">
      <c r="A6541" s="878" t="s">
        <v>16292</v>
      </c>
      <c r="B6541" s="878" t="s">
        <v>16293</v>
      </c>
      <c r="C6541" s="879" t="s">
        <v>159</v>
      </c>
      <c r="D6541" s="880" t="s">
        <v>43718</v>
      </c>
    </row>
    <row r="6542" spans="1:4" ht="13.5" x14ac:dyDescent="0.25">
      <c r="A6542" s="878" t="s">
        <v>16294</v>
      </c>
      <c r="B6542" s="878" t="s">
        <v>16295</v>
      </c>
      <c r="C6542" s="879" t="s">
        <v>159</v>
      </c>
      <c r="D6542" s="880" t="s">
        <v>43719</v>
      </c>
    </row>
    <row r="6543" spans="1:4" ht="13.5" x14ac:dyDescent="0.25">
      <c r="A6543" s="878" t="s">
        <v>16296</v>
      </c>
      <c r="B6543" s="878" t="s">
        <v>16297</v>
      </c>
      <c r="C6543" s="879" t="s">
        <v>159</v>
      </c>
      <c r="D6543" s="880" t="s">
        <v>43720</v>
      </c>
    </row>
    <row r="6544" spans="1:4" ht="13.5" x14ac:dyDescent="0.25">
      <c r="A6544" s="878" t="s">
        <v>16298</v>
      </c>
      <c r="B6544" s="878" t="s">
        <v>16299</v>
      </c>
      <c r="C6544" s="879" t="s">
        <v>159</v>
      </c>
      <c r="D6544" s="880" t="s">
        <v>43721</v>
      </c>
    </row>
    <row r="6545" spans="1:4" ht="13.5" x14ac:dyDescent="0.25">
      <c r="A6545" s="878" t="s">
        <v>16300</v>
      </c>
      <c r="B6545" s="878" t="s">
        <v>16301</v>
      </c>
      <c r="C6545" s="879" t="s">
        <v>159</v>
      </c>
      <c r="D6545" s="880" t="s">
        <v>43722</v>
      </c>
    </row>
    <row r="6546" spans="1:4" ht="13.5" x14ac:dyDescent="0.25">
      <c r="A6546" s="878" t="s">
        <v>16302</v>
      </c>
      <c r="B6546" s="878" t="s">
        <v>16303</v>
      </c>
      <c r="C6546" s="879" t="s">
        <v>159</v>
      </c>
      <c r="D6546" s="880" t="s">
        <v>43723</v>
      </c>
    </row>
    <row r="6547" spans="1:4" ht="13.5" x14ac:dyDescent="0.25">
      <c r="A6547" s="878" t="s">
        <v>16304</v>
      </c>
      <c r="B6547" s="878" t="s">
        <v>16305</v>
      </c>
      <c r="C6547" s="879" t="s">
        <v>159</v>
      </c>
      <c r="D6547" s="880" t="s">
        <v>43724</v>
      </c>
    </row>
    <row r="6548" spans="1:4" ht="13.5" x14ac:dyDescent="0.25">
      <c r="A6548" s="878" t="s">
        <v>16306</v>
      </c>
      <c r="B6548" s="878" t="s">
        <v>16307</v>
      </c>
      <c r="C6548" s="879" t="s">
        <v>159</v>
      </c>
      <c r="D6548" s="880" t="s">
        <v>43725</v>
      </c>
    </row>
    <row r="6549" spans="1:4" ht="13.5" x14ac:dyDescent="0.25">
      <c r="A6549" s="878" t="s">
        <v>16308</v>
      </c>
      <c r="B6549" s="878" t="s">
        <v>16309</v>
      </c>
      <c r="C6549" s="879" t="s">
        <v>159</v>
      </c>
      <c r="D6549" s="880" t="s">
        <v>43726</v>
      </c>
    </row>
    <row r="6550" spans="1:4" ht="13.5" x14ac:dyDescent="0.25">
      <c r="A6550" s="878" t="s">
        <v>16310</v>
      </c>
      <c r="B6550" s="878" t="s">
        <v>16311</v>
      </c>
      <c r="C6550" s="879" t="s">
        <v>159</v>
      </c>
      <c r="D6550" s="880" t="s">
        <v>43727</v>
      </c>
    </row>
    <row r="6551" spans="1:4" ht="13.5" x14ac:dyDescent="0.25">
      <c r="A6551" s="878" t="s">
        <v>16312</v>
      </c>
      <c r="B6551" s="878" t="s">
        <v>16313</v>
      </c>
      <c r="C6551" s="879" t="s">
        <v>159</v>
      </c>
      <c r="D6551" s="880" t="s">
        <v>43728</v>
      </c>
    </row>
    <row r="6552" spans="1:4" ht="13.5" x14ac:dyDescent="0.25">
      <c r="A6552" s="878" t="s">
        <v>16314</v>
      </c>
      <c r="B6552" s="878" t="s">
        <v>16315</v>
      </c>
      <c r="C6552" s="879" t="s">
        <v>159</v>
      </c>
      <c r="D6552" s="880" t="s">
        <v>43729</v>
      </c>
    </row>
    <row r="6553" spans="1:4" ht="13.5" x14ac:dyDescent="0.25">
      <c r="A6553" s="878" t="s">
        <v>16316</v>
      </c>
      <c r="B6553" s="878" t="s">
        <v>16317</v>
      </c>
      <c r="C6553" s="879" t="s">
        <v>159</v>
      </c>
      <c r="D6553" s="880" t="s">
        <v>43730</v>
      </c>
    </row>
    <row r="6554" spans="1:4" ht="13.5" x14ac:dyDescent="0.25">
      <c r="A6554" s="878" t="s">
        <v>16318</v>
      </c>
      <c r="B6554" s="878" t="s">
        <v>16319</v>
      </c>
      <c r="C6554" s="879" t="s">
        <v>159</v>
      </c>
      <c r="D6554" s="880" t="s">
        <v>43731</v>
      </c>
    </row>
    <row r="6555" spans="1:4" ht="13.5" x14ac:dyDescent="0.25">
      <c r="A6555" s="878" t="s">
        <v>16320</v>
      </c>
      <c r="B6555" s="878" t="s">
        <v>16321</v>
      </c>
      <c r="C6555" s="879" t="s">
        <v>159</v>
      </c>
      <c r="D6555" s="880" t="s">
        <v>43732</v>
      </c>
    </row>
    <row r="6556" spans="1:4" ht="13.5" x14ac:dyDescent="0.25">
      <c r="A6556" s="878" t="s">
        <v>16322</v>
      </c>
      <c r="B6556" s="878" t="s">
        <v>16323</v>
      </c>
      <c r="C6556" s="879" t="s">
        <v>159</v>
      </c>
      <c r="D6556" s="880" t="s">
        <v>43733</v>
      </c>
    </row>
    <row r="6557" spans="1:4" ht="13.5" x14ac:dyDescent="0.25">
      <c r="A6557" s="878" t="s">
        <v>16324</v>
      </c>
      <c r="B6557" s="878" t="s">
        <v>16325</v>
      </c>
      <c r="C6557" s="879" t="s">
        <v>159</v>
      </c>
      <c r="D6557" s="880" t="s">
        <v>43734</v>
      </c>
    </row>
    <row r="6558" spans="1:4" ht="13.5" x14ac:dyDescent="0.25">
      <c r="A6558" s="878" t="s">
        <v>16326</v>
      </c>
      <c r="B6558" s="878" t="s">
        <v>16327</v>
      </c>
      <c r="C6558" s="879" t="s">
        <v>159</v>
      </c>
      <c r="D6558" s="880" t="s">
        <v>43735</v>
      </c>
    </row>
    <row r="6559" spans="1:4" ht="13.5" x14ac:dyDescent="0.25">
      <c r="A6559" s="878" t="s">
        <v>16328</v>
      </c>
      <c r="B6559" s="878" t="s">
        <v>16329</v>
      </c>
      <c r="C6559" s="879" t="s">
        <v>159</v>
      </c>
      <c r="D6559" s="880" t="s">
        <v>43736</v>
      </c>
    </row>
    <row r="6560" spans="1:4" ht="13.5" x14ac:dyDescent="0.25">
      <c r="A6560" s="878" t="s">
        <v>16330</v>
      </c>
      <c r="B6560" s="878" t="s">
        <v>16331</v>
      </c>
      <c r="C6560" s="879" t="s">
        <v>159</v>
      </c>
      <c r="D6560" s="880" t="s">
        <v>43737</v>
      </c>
    </row>
    <row r="6561" spans="1:4" ht="13.5" x14ac:dyDescent="0.25">
      <c r="A6561" s="878" t="s">
        <v>16332</v>
      </c>
      <c r="B6561" s="878" t="s">
        <v>16333</v>
      </c>
      <c r="C6561" s="879" t="s">
        <v>159</v>
      </c>
      <c r="D6561" s="880" t="s">
        <v>31274</v>
      </c>
    </row>
    <row r="6562" spans="1:4" ht="13.5" x14ac:dyDescent="0.25">
      <c r="A6562" s="878" t="s">
        <v>16334</v>
      </c>
      <c r="B6562" s="878" t="s">
        <v>16335</v>
      </c>
      <c r="C6562" s="879" t="s">
        <v>159</v>
      </c>
      <c r="D6562" s="880" t="s">
        <v>43738</v>
      </c>
    </row>
    <row r="6563" spans="1:4" ht="13.5" x14ac:dyDescent="0.25">
      <c r="A6563" s="878" t="s">
        <v>16336</v>
      </c>
      <c r="B6563" s="878" t="s">
        <v>16337</v>
      </c>
      <c r="C6563" s="879" t="s">
        <v>159</v>
      </c>
      <c r="D6563" s="880" t="s">
        <v>43739</v>
      </c>
    </row>
    <row r="6564" spans="1:4" ht="13.5" x14ac:dyDescent="0.25">
      <c r="A6564" s="878" t="s">
        <v>16338</v>
      </c>
      <c r="B6564" s="878" t="s">
        <v>16339</v>
      </c>
      <c r="C6564" s="879" t="s">
        <v>159</v>
      </c>
      <c r="D6564" s="880" t="s">
        <v>43740</v>
      </c>
    </row>
    <row r="6565" spans="1:4" ht="13.5" x14ac:dyDescent="0.25">
      <c r="A6565" s="878" t="s">
        <v>16340</v>
      </c>
      <c r="B6565" s="878" t="s">
        <v>16341</v>
      </c>
      <c r="C6565" s="879" t="s">
        <v>159</v>
      </c>
      <c r="D6565" s="880" t="s">
        <v>43741</v>
      </c>
    </row>
    <row r="6566" spans="1:4" ht="13.5" x14ac:dyDescent="0.25">
      <c r="A6566" s="878" t="s">
        <v>16342</v>
      </c>
      <c r="B6566" s="878" t="s">
        <v>16343</v>
      </c>
      <c r="C6566" s="879" t="s">
        <v>159</v>
      </c>
      <c r="D6566" s="880" t="s">
        <v>43742</v>
      </c>
    </row>
    <row r="6567" spans="1:4" ht="13.5" x14ac:dyDescent="0.25">
      <c r="A6567" s="878" t="s">
        <v>16344</v>
      </c>
      <c r="B6567" s="878" t="s">
        <v>16345</v>
      </c>
      <c r="C6567" s="879" t="s">
        <v>159</v>
      </c>
      <c r="D6567" s="880" t="s">
        <v>43743</v>
      </c>
    </row>
    <row r="6568" spans="1:4" ht="13.5" x14ac:dyDescent="0.25">
      <c r="A6568" s="878" t="s">
        <v>16346</v>
      </c>
      <c r="B6568" s="878" t="s">
        <v>16347</v>
      </c>
      <c r="C6568" s="879" t="s">
        <v>159</v>
      </c>
      <c r="D6568" s="880" t="s">
        <v>43744</v>
      </c>
    </row>
    <row r="6569" spans="1:4" ht="13.5" x14ac:dyDescent="0.25">
      <c r="A6569" s="878" t="s">
        <v>16348</v>
      </c>
      <c r="B6569" s="878" t="s">
        <v>16349</v>
      </c>
      <c r="C6569" s="879" t="s">
        <v>159</v>
      </c>
      <c r="D6569" s="880" t="s">
        <v>43745</v>
      </c>
    </row>
    <row r="6570" spans="1:4" ht="13.5" x14ac:dyDescent="0.25">
      <c r="A6570" s="878" t="s">
        <v>16350</v>
      </c>
      <c r="B6570" s="878" t="s">
        <v>16351</v>
      </c>
      <c r="C6570" s="879" t="s">
        <v>159</v>
      </c>
      <c r="D6570" s="880" t="s">
        <v>43746</v>
      </c>
    </row>
    <row r="6571" spans="1:4" ht="13.5" x14ac:dyDescent="0.25">
      <c r="A6571" s="878" t="s">
        <v>16352</v>
      </c>
      <c r="B6571" s="878" t="s">
        <v>16353</v>
      </c>
      <c r="C6571" s="879" t="s">
        <v>159</v>
      </c>
      <c r="D6571" s="880" t="s">
        <v>43747</v>
      </c>
    </row>
    <row r="6572" spans="1:4" ht="13.5" x14ac:dyDescent="0.25">
      <c r="A6572" s="878" t="s">
        <v>16354</v>
      </c>
      <c r="B6572" s="878" t="s">
        <v>16355</v>
      </c>
      <c r="C6572" s="879" t="s">
        <v>159</v>
      </c>
      <c r="D6572" s="880" t="s">
        <v>43748</v>
      </c>
    </row>
    <row r="6573" spans="1:4" ht="13.5" x14ac:dyDescent="0.25">
      <c r="A6573" s="878" t="s">
        <v>16356</v>
      </c>
      <c r="B6573" s="878" t="s">
        <v>16357</v>
      </c>
      <c r="C6573" s="879" t="s">
        <v>159</v>
      </c>
      <c r="D6573" s="880" t="s">
        <v>43749</v>
      </c>
    </row>
    <row r="6574" spans="1:4" ht="13.5" x14ac:dyDescent="0.25">
      <c r="A6574" s="878" t="s">
        <v>16358</v>
      </c>
      <c r="B6574" s="878" t="s">
        <v>16359</v>
      </c>
      <c r="C6574" s="879" t="s">
        <v>159</v>
      </c>
      <c r="D6574" s="880" t="s">
        <v>43750</v>
      </c>
    </row>
    <row r="6575" spans="1:4" ht="13.5" x14ac:dyDescent="0.25">
      <c r="A6575" s="878" t="s">
        <v>16360</v>
      </c>
      <c r="B6575" s="878" t="s">
        <v>16361</v>
      </c>
      <c r="C6575" s="879" t="s">
        <v>159</v>
      </c>
      <c r="D6575" s="880" t="s">
        <v>30736</v>
      </c>
    </row>
    <row r="6576" spans="1:4" ht="13.5" x14ac:dyDescent="0.25">
      <c r="A6576" s="878" t="s">
        <v>16362</v>
      </c>
      <c r="B6576" s="878" t="s">
        <v>16363</v>
      </c>
      <c r="C6576" s="879" t="s">
        <v>159</v>
      </c>
      <c r="D6576" s="880" t="s">
        <v>43751</v>
      </c>
    </row>
    <row r="6577" spans="1:4" ht="13.5" x14ac:dyDescent="0.25">
      <c r="A6577" s="878" t="s">
        <v>16364</v>
      </c>
      <c r="B6577" s="878" t="s">
        <v>16365</v>
      </c>
      <c r="C6577" s="879" t="s">
        <v>159</v>
      </c>
      <c r="D6577" s="880" t="s">
        <v>43752</v>
      </c>
    </row>
    <row r="6578" spans="1:4" ht="13.5" x14ac:dyDescent="0.25">
      <c r="A6578" s="878" t="s">
        <v>16366</v>
      </c>
      <c r="B6578" s="878" t="s">
        <v>16367</v>
      </c>
      <c r="C6578" s="879" t="s">
        <v>159</v>
      </c>
      <c r="D6578" s="880" t="s">
        <v>43753</v>
      </c>
    </row>
    <row r="6579" spans="1:4" ht="13.5" x14ac:dyDescent="0.25">
      <c r="A6579" s="878" t="s">
        <v>16368</v>
      </c>
      <c r="B6579" s="878" t="s">
        <v>16369</v>
      </c>
      <c r="C6579" s="879" t="s">
        <v>159</v>
      </c>
      <c r="D6579" s="880" t="s">
        <v>43754</v>
      </c>
    </row>
    <row r="6580" spans="1:4" ht="13.5" x14ac:dyDescent="0.25">
      <c r="A6580" s="878" t="s">
        <v>16370</v>
      </c>
      <c r="B6580" s="878" t="s">
        <v>16371</v>
      </c>
      <c r="C6580" s="879" t="s">
        <v>159</v>
      </c>
      <c r="D6580" s="880" t="s">
        <v>43755</v>
      </c>
    </row>
    <row r="6581" spans="1:4" ht="13.5" x14ac:dyDescent="0.25">
      <c r="A6581" s="878" t="s">
        <v>16372</v>
      </c>
      <c r="B6581" s="878" t="s">
        <v>16373</v>
      </c>
      <c r="C6581" s="879" t="s">
        <v>159</v>
      </c>
      <c r="D6581" s="880" t="s">
        <v>43756</v>
      </c>
    </row>
    <row r="6582" spans="1:4" ht="13.5" x14ac:dyDescent="0.25">
      <c r="A6582" s="878" t="s">
        <v>16374</v>
      </c>
      <c r="B6582" s="878" t="s">
        <v>16375</v>
      </c>
      <c r="C6582" s="879" t="s">
        <v>159</v>
      </c>
      <c r="D6582" s="880" t="s">
        <v>43757</v>
      </c>
    </row>
    <row r="6583" spans="1:4" ht="13.5" x14ac:dyDescent="0.25">
      <c r="A6583" s="878" t="s">
        <v>16376</v>
      </c>
      <c r="B6583" s="878" t="s">
        <v>16377</v>
      </c>
      <c r="C6583" s="879" t="s">
        <v>159</v>
      </c>
      <c r="D6583" s="880" t="s">
        <v>43758</v>
      </c>
    </row>
    <row r="6584" spans="1:4" ht="13.5" x14ac:dyDescent="0.25">
      <c r="A6584" s="878" t="s">
        <v>16378</v>
      </c>
      <c r="B6584" s="878" t="s">
        <v>16379</v>
      </c>
      <c r="C6584" s="879" t="s">
        <v>159</v>
      </c>
      <c r="D6584" s="880" t="s">
        <v>43759</v>
      </c>
    </row>
    <row r="6585" spans="1:4" ht="13.5" x14ac:dyDescent="0.25">
      <c r="A6585" s="878" t="s">
        <v>16380</v>
      </c>
      <c r="B6585" s="878" t="s">
        <v>16381</v>
      </c>
      <c r="C6585" s="879" t="s">
        <v>159</v>
      </c>
      <c r="D6585" s="880" t="s">
        <v>41515</v>
      </c>
    </row>
    <row r="6586" spans="1:4" ht="13.5" x14ac:dyDescent="0.25">
      <c r="A6586" s="878" t="s">
        <v>16382</v>
      </c>
      <c r="B6586" s="878" t="s">
        <v>16383</v>
      </c>
      <c r="C6586" s="879" t="s">
        <v>159</v>
      </c>
      <c r="D6586" s="880" t="s">
        <v>43760</v>
      </c>
    </row>
    <row r="6587" spans="1:4" ht="13.5" x14ac:dyDescent="0.25">
      <c r="A6587" s="878" t="s">
        <v>16384</v>
      </c>
      <c r="B6587" s="878" t="s">
        <v>16385</v>
      </c>
      <c r="C6587" s="879" t="s">
        <v>159</v>
      </c>
      <c r="D6587" s="880" t="s">
        <v>43761</v>
      </c>
    </row>
    <row r="6588" spans="1:4" ht="13.5" x14ac:dyDescent="0.25">
      <c r="A6588" s="878" t="s">
        <v>16386</v>
      </c>
      <c r="B6588" s="878" t="s">
        <v>16387</v>
      </c>
      <c r="C6588" s="879" t="s">
        <v>159</v>
      </c>
      <c r="D6588" s="880" t="s">
        <v>43762</v>
      </c>
    </row>
    <row r="6589" spans="1:4" ht="13.5" x14ac:dyDescent="0.25">
      <c r="A6589" s="878" t="s">
        <v>16388</v>
      </c>
      <c r="B6589" s="878" t="s">
        <v>16389</v>
      </c>
      <c r="C6589" s="879" t="s">
        <v>159</v>
      </c>
      <c r="D6589" s="880" t="s">
        <v>43763</v>
      </c>
    </row>
    <row r="6590" spans="1:4" ht="13.5" x14ac:dyDescent="0.25">
      <c r="A6590" s="878" t="s">
        <v>16390</v>
      </c>
      <c r="B6590" s="878" t="s">
        <v>16391</v>
      </c>
      <c r="C6590" s="879" t="s">
        <v>159</v>
      </c>
      <c r="D6590" s="880" t="s">
        <v>43764</v>
      </c>
    </row>
    <row r="6591" spans="1:4" ht="13.5" x14ac:dyDescent="0.25">
      <c r="A6591" s="878" t="s">
        <v>16392</v>
      </c>
      <c r="B6591" s="878" t="s">
        <v>16393</v>
      </c>
      <c r="C6591" s="879" t="s">
        <v>159</v>
      </c>
      <c r="D6591" s="880" t="s">
        <v>43765</v>
      </c>
    </row>
    <row r="6592" spans="1:4" ht="13.5" x14ac:dyDescent="0.25">
      <c r="A6592" s="878" t="s">
        <v>16394</v>
      </c>
      <c r="B6592" s="878" t="s">
        <v>16395</v>
      </c>
      <c r="C6592" s="879" t="s">
        <v>159</v>
      </c>
      <c r="D6592" s="880" t="s">
        <v>43766</v>
      </c>
    </row>
    <row r="6593" spans="1:4" ht="13.5" x14ac:dyDescent="0.25">
      <c r="A6593" s="878" t="s">
        <v>16396</v>
      </c>
      <c r="B6593" s="878" t="s">
        <v>16397</v>
      </c>
      <c r="C6593" s="879" t="s">
        <v>159</v>
      </c>
      <c r="D6593" s="880" t="s">
        <v>43767</v>
      </c>
    </row>
    <row r="6594" spans="1:4" ht="13.5" x14ac:dyDescent="0.25">
      <c r="A6594" s="878" t="s">
        <v>16398</v>
      </c>
      <c r="B6594" s="878" t="s">
        <v>16399</v>
      </c>
      <c r="C6594" s="879" t="s">
        <v>159</v>
      </c>
      <c r="D6594" s="880" t="s">
        <v>43768</v>
      </c>
    </row>
    <row r="6595" spans="1:4" ht="13.5" x14ac:dyDescent="0.25">
      <c r="A6595" s="878" t="s">
        <v>16400</v>
      </c>
      <c r="B6595" s="878" t="s">
        <v>16401</v>
      </c>
      <c r="C6595" s="879" t="s">
        <v>159</v>
      </c>
      <c r="D6595" s="880" t="s">
        <v>43769</v>
      </c>
    </row>
    <row r="6596" spans="1:4" ht="13.5" x14ac:dyDescent="0.25">
      <c r="A6596" s="878" t="s">
        <v>16402</v>
      </c>
      <c r="B6596" s="878" t="s">
        <v>16403</v>
      </c>
      <c r="C6596" s="879" t="s">
        <v>159</v>
      </c>
      <c r="D6596" s="880" t="s">
        <v>43770</v>
      </c>
    </row>
    <row r="6597" spans="1:4" ht="13.5" x14ac:dyDescent="0.25">
      <c r="A6597" s="878" t="s">
        <v>16404</v>
      </c>
      <c r="B6597" s="878" t="s">
        <v>16405</v>
      </c>
      <c r="C6597" s="879" t="s">
        <v>159</v>
      </c>
      <c r="D6597" s="880" t="s">
        <v>43771</v>
      </c>
    </row>
    <row r="6598" spans="1:4" ht="13.5" x14ac:dyDescent="0.25">
      <c r="A6598" s="878" t="s">
        <v>16406</v>
      </c>
      <c r="B6598" s="878" t="s">
        <v>16407</v>
      </c>
      <c r="C6598" s="879" t="s">
        <v>159</v>
      </c>
      <c r="D6598" s="880" t="s">
        <v>43772</v>
      </c>
    </row>
    <row r="6599" spans="1:4" ht="13.5" x14ac:dyDescent="0.25">
      <c r="A6599" s="878" t="s">
        <v>16408</v>
      </c>
      <c r="B6599" s="878" t="s">
        <v>16409</v>
      </c>
      <c r="C6599" s="879" t="s">
        <v>159</v>
      </c>
      <c r="D6599" s="880" t="s">
        <v>43773</v>
      </c>
    </row>
    <row r="6600" spans="1:4" ht="13.5" x14ac:dyDescent="0.25">
      <c r="A6600" s="878" t="s">
        <v>16410</v>
      </c>
      <c r="B6600" s="878" t="s">
        <v>16411</v>
      </c>
      <c r="C6600" s="879" t="s">
        <v>159</v>
      </c>
      <c r="D6600" s="880" t="s">
        <v>43774</v>
      </c>
    </row>
    <row r="6601" spans="1:4" ht="13.5" x14ac:dyDescent="0.25">
      <c r="A6601" s="878" t="s">
        <v>16412</v>
      </c>
      <c r="B6601" s="878" t="s">
        <v>16413</v>
      </c>
      <c r="C6601" s="879" t="s">
        <v>159</v>
      </c>
      <c r="D6601" s="880" t="s">
        <v>43775</v>
      </c>
    </row>
    <row r="6602" spans="1:4" ht="13.5" x14ac:dyDescent="0.25">
      <c r="A6602" s="878" t="s">
        <v>16414</v>
      </c>
      <c r="B6602" s="878" t="s">
        <v>16415</v>
      </c>
      <c r="C6602" s="879" t="s">
        <v>159</v>
      </c>
      <c r="D6602" s="880" t="s">
        <v>43776</v>
      </c>
    </row>
    <row r="6603" spans="1:4" ht="13.5" x14ac:dyDescent="0.25">
      <c r="A6603" s="878" t="s">
        <v>16416</v>
      </c>
      <c r="B6603" s="878" t="s">
        <v>16417</v>
      </c>
      <c r="C6603" s="879" t="s">
        <v>159</v>
      </c>
      <c r="D6603" s="880" t="s">
        <v>43777</v>
      </c>
    </row>
    <row r="6604" spans="1:4" ht="13.5" x14ac:dyDescent="0.25">
      <c r="A6604" s="878" t="s">
        <v>16418</v>
      </c>
      <c r="B6604" s="878" t="s">
        <v>16419</v>
      </c>
      <c r="C6604" s="879" t="s">
        <v>159</v>
      </c>
      <c r="D6604" s="880" t="s">
        <v>43778</v>
      </c>
    </row>
    <row r="6605" spans="1:4" ht="13.5" x14ac:dyDescent="0.25">
      <c r="A6605" s="878" t="s">
        <v>16420</v>
      </c>
      <c r="B6605" s="878" t="s">
        <v>16421</v>
      </c>
      <c r="C6605" s="879" t="s">
        <v>159</v>
      </c>
      <c r="D6605" s="880" t="s">
        <v>43779</v>
      </c>
    </row>
    <row r="6606" spans="1:4" ht="13.5" x14ac:dyDescent="0.25">
      <c r="A6606" s="878" t="s">
        <v>16422</v>
      </c>
      <c r="B6606" s="878" t="s">
        <v>16423</v>
      </c>
      <c r="C6606" s="879" t="s">
        <v>159</v>
      </c>
      <c r="D6606" s="880" t="s">
        <v>43780</v>
      </c>
    </row>
    <row r="6607" spans="1:4" ht="13.5" x14ac:dyDescent="0.25">
      <c r="A6607" s="878" t="s">
        <v>16424</v>
      </c>
      <c r="B6607" s="878" t="s">
        <v>16425</v>
      </c>
      <c r="C6607" s="879" t="s">
        <v>159</v>
      </c>
      <c r="D6607" s="880" t="s">
        <v>43781</v>
      </c>
    </row>
    <row r="6608" spans="1:4" ht="13.5" x14ac:dyDescent="0.25">
      <c r="A6608" s="878" t="s">
        <v>16426</v>
      </c>
      <c r="B6608" s="878" t="s">
        <v>16427</v>
      </c>
      <c r="C6608" s="879" t="s">
        <v>159</v>
      </c>
      <c r="D6608" s="880" t="s">
        <v>43782</v>
      </c>
    </row>
    <row r="6609" spans="1:4" ht="13.5" x14ac:dyDescent="0.25">
      <c r="A6609" s="878" t="s">
        <v>16428</v>
      </c>
      <c r="B6609" s="878" t="s">
        <v>16429</v>
      </c>
      <c r="C6609" s="879" t="s">
        <v>159</v>
      </c>
      <c r="D6609" s="880" t="s">
        <v>43783</v>
      </c>
    </row>
    <row r="6610" spans="1:4" ht="13.5" x14ac:dyDescent="0.25">
      <c r="A6610" s="878" t="s">
        <v>16430</v>
      </c>
      <c r="B6610" s="878" t="s">
        <v>16431</v>
      </c>
      <c r="C6610" s="879" t="s">
        <v>159</v>
      </c>
      <c r="D6610" s="880" t="s">
        <v>43784</v>
      </c>
    </row>
    <row r="6611" spans="1:4" ht="13.5" x14ac:dyDescent="0.25">
      <c r="A6611" s="878" t="s">
        <v>16432</v>
      </c>
      <c r="B6611" s="878" t="s">
        <v>16433</v>
      </c>
      <c r="C6611" s="879" t="s">
        <v>159</v>
      </c>
      <c r="D6611" s="880" t="s">
        <v>43785</v>
      </c>
    </row>
    <row r="6612" spans="1:4" ht="13.5" x14ac:dyDescent="0.25">
      <c r="A6612" s="878" t="s">
        <v>16434</v>
      </c>
      <c r="B6612" s="878" t="s">
        <v>16435</v>
      </c>
      <c r="C6612" s="879" t="s">
        <v>159</v>
      </c>
      <c r="D6612" s="880" t="s">
        <v>43786</v>
      </c>
    </row>
    <row r="6613" spans="1:4" ht="13.5" x14ac:dyDescent="0.25">
      <c r="A6613" s="878" t="s">
        <v>16436</v>
      </c>
      <c r="B6613" s="878" t="s">
        <v>16437</v>
      </c>
      <c r="C6613" s="879" t="s">
        <v>159</v>
      </c>
      <c r="D6613" s="880" t="s">
        <v>43787</v>
      </c>
    </row>
    <row r="6614" spans="1:4" ht="13.5" x14ac:dyDescent="0.25">
      <c r="A6614" s="878" t="s">
        <v>16438</v>
      </c>
      <c r="B6614" s="878" t="s">
        <v>16439</v>
      </c>
      <c r="C6614" s="879" t="s">
        <v>159</v>
      </c>
      <c r="D6614" s="880" t="s">
        <v>43788</v>
      </c>
    </row>
    <row r="6615" spans="1:4" ht="13.5" x14ac:dyDescent="0.25">
      <c r="A6615" s="878" t="s">
        <v>16440</v>
      </c>
      <c r="B6615" s="878" t="s">
        <v>16441</v>
      </c>
      <c r="C6615" s="879" t="s">
        <v>159</v>
      </c>
      <c r="D6615" s="880" t="s">
        <v>43789</v>
      </c>
    </row>
    <row r="6616" spans="1:4" ht="13.5" x14ac:dyDescent="0.25">
      <c r="A6616" s="878" t="s">
        <v>16442</v>
      </c>
      <c r="B6616" s="878" t="s">
        <v>16443</v>
      </c>
      <c r="C6616" s="879" t="s">
        <v>159</v>
      </c>
      <c r="D6616" s="880" t="s">
        <v>43790</v>
      </c>
    </row>
    <row r="6617" spans="1:4" ht="13.5" x14ac:dyDescent="0.25">
      <c r="A6617" s="878" t="s">
        <v>16444</v>
      </c>
      <c r="B6617" s="878" t="s">
        <v>16445</v>
      </c>
      <c r="C6617" s="879" t="s">
        <v>159</v>
      </c>
      <c r="D6617" s="880" t="s">
        <v>31270</v>
      </c>
    </row>
    <row r="6618" spans="1:4" ht="13.5" x14ac:dyDescent="0.25">
      <c r="A6618" s="878" t="s">
        <v>16446</v>
      </c>
      <c r="B6618" s="878" t="s">
        <v>16447</v>
      </c>
      <c r="C6618" s="879" t="s">
        <v>159</v>
      </c>
      <c r="D6618" s="880" t="s">
        <v>31271</v>
      </c>
    </row>
    <row r="6619" spans="1:4" ht="13.5" x14ac:dyDescent="0.25">
      <c r="A6619" s="878" t="s">
        <v>16448</v>
      </c>
      <c r="B6619" s="878" t="s">
        <v>16449</v>
      </c>
      <c r="C6619" s="879" t="s">
        <v>159</v>
      </c>
      <c r="D6619" s="880" t="s">
        <v>31272</v>
      </c>
    </row>
    <row r="6620" spans="1:4" ht="13.5" x14ac:dyDescent="0.25">
      <c r="A6620" s="878" t="s">
        <v>16450</v>
      </c>
      <c r="B6620" s="878" t="s">
        <v>16451</v>
      </c>
      <c r="C6620" s="879" t="s">
        <v>159</v>
      </c>
      <c r="D6620" s="880" t="s">
        <v>31273</v>
      </c>
    </row>
    <row r="6621" spans="1:4" ht="13.5" x14ac:dyDescent="0.25">
      <c r="A6621" s="878" t="s">
        <v>16452</v>
      </c>
      <c r="B6621" s="878" t="s">
        <v>16453</v>
      </c>
      <c r="C6621" s="879" t="s">
        <v>159</v>
      </c>
      <c r="D6621" s="880" t="s">
        <v>43791</v>
      </c>
    </row>
    <row r="6622" spans="1:4" ht="13.5" x14ac:dyDescent="0.25">
      <c r="A6622" s="878" t="s">
        <v>16454</v>
      </c>
      <c r="B6622" s="878" t="s">
        <v>16455</v>
      </c>
      <c r="C6622" s="879" t="s">
        <v>159</v>
      </c>
      <c r="D6622" s="880" t="s">
        <v>43792</v>
      </c>
    </row>
    <row r="6623" spans="1:4" ht="13.5" x14ac:dyDescent="0.25">
      <c r="A6623" s="878" t="s">
        <v>16456</v>
      </c>
      <c r="B6623" s="878" t="s">
        <v>16457</v>
      </c>
      <c r="C6623" s="879" t="s">
        <v>159</v>
      </c>
      <c r="D6623" s="880" t="s">
        <v>43793</v>
      </c>
    </row>
    <row r="6624" spans="1:4" ht="13.5" x14ac:dyDescent="0.25">
      <c r="A6624" s="878" t="s">
        <v>16458</v>
      </c>
      <c r="B6624" s="878" t="s">
        <v>16459</v>
      </c>
      <c r="C6624" s="879" t="s">
        <v>159</v>
      </c>
      <c r="D6624" s="880" t="s">
        <v>43794</v>
      </c>
    </row>
    <row r="6625" spans="1:4" ht="13.5" x14ac:dyDescent="0.25">
      <c r="A6625" s="878" t="s">
        <v>16460</v>
      </c>
      <c r="B6625" s="878" t="s">
        <v>16461</v>
      </c>
      <c r="C6625" s="879" t="s">
        <v>159</v>
      </c>
      <c r="D6625" s="880" t="s">
        <v>43795</v>
      </c>
    </row>
    <row r="6626" spans="1:4" ht="13.5" x14ac:dyDescent="0.25">
      <c r="A6626" s="878" t="s">
        <v>16462</v>
      </c>
      <c r="B6626" s="878" t="s">
        <v>16463</v>
      </c>
      <c r="C6626" s="879" t="s">
        <v>159</v>
      </c>
      <c r="D6626" s="880" t="s">
        <v>43796</v>
      </c>
    </row>
    <row r="6627" spans="1:4" ht="13.5" x14ac:dyDescent="0.25">
      <c r="A6627" s="878" t="s">
        <v>16464</v>
      </c>
      <c r="B6627" s="878" t="s">
        <v>16465</v>
      </c>
      <c r="C6627" s="879" t="s">
        <v>159</v>
      </c>
      <c r="D6627" s="880" t="s">
        <v>43797</v>
      </c>
    </row>
    <row r="6628" spans="1:4" ht="13.5" x14ac:dyDescent="0.25">
      <c r="A6628" s="878" t="s">
        <v>16466</v>
      </c>
      <c r="B6628" s="878" t="s">
        <v>16467</v>
      </c>
      <c r="C6628" s="879" t="s">
        <v>159</v>
      </c>
      <c r="D6628" s="880" t="s">
        <v>43798</v>
      </c>
    </row>
    <row r="6629" spans="1:4" ht="13.5" x14ac:dyDescent="0.25">
      <c r="A6629" s="878" t="s">
        <v>16468</v>
      </c>
      <c r="B6629" s="878" t="s">
        <v>16469</v>
      </c>
      <c r="C6629" s="879" t="s">
        <v>159</v>
      </c>
      <c r="D6629" s="880" t="s">
        <v>43799</v>
      </c>
    </row>
    <row r="6630" spans="1:4" ht="13.5" x14ac:dyDescent="0.25">
      <c r="A6630" s="878" t="s">
        <v>16470</v>
      </c>
      <c r="B6630" s="878" t="s">
        <v>16471</v>
      </c>
      <c r="C6630" s="879" t="s">
        <v>159</v>
      </c>
      <c r="D6630" s="880" t="s">
        <v>43800</v>
      </c>
    </row>
    <row r="6631" spans="1:4" ht="13.5" x14ac:dyDescent="0.25">
      <c r="A6631" s="878" t="s">
        <v>16472</v>
      </c>
      <c r="B6631" s="878" t="s">
        <v>16473</v>
      </c>
      <c r="C6631" s="879" t="s">
        <v>159</v>
      </c>
      <c r="D6631" s="880" t="s">
        <v>43801</v>
      </c>
    </row>
    <row r="6632" spans="1:4" ht="13.5" x14ac:dyDescent="0.25">
      <c r="A6632" s="878" t="s">
        <v>16474</v>
      </c>
      <c r="B6632" s="878" t="s">
        <v>16475</v>
      </c>
      <c r="C6632" s="879" t="s">
        <v>159</v>
      </c>
      <c r="D6632" s="880" t="s">
        <v>43802</v>
      </c>
    </row>
    <row r="6633" spans="1:4" ht="13.5" x14ac:dyDescent="0.25">
      <c r="A6633" s="878" t="s">
        <v>16476</v>
      </c>
      <c r="B6633" s="878" t="s">
        <v>16477</v>
      </c>
      <c r="C6633" s="879" t="s">
        <v>159</v>
      </c>
      <c r="D6633" s="880" t="s">
        <v>43803</v>
      </c>
    </row>
    <row r="6634" spans="1:4" ht="13.5" x14ac:dyDescent="0.25">
      <c r="A6634" s="878" t="s">
        <v>16478</v>
      </c>
      <c r="B6634" s="878" t="s">
        <v>16479</v>
      </c>
      <c r="C6634" s="879" t="s">
        <v>159</v>
      </c>
      <c r="D6634" s="880" t="s">
        <v>43804</v>
      </c>
    </row>
    <row r="6635" spans="1:4" ht="13.5" x14ac:dyDescent="0.25">
      <c r="A6635" s="878" t="s">
        <v>16480</v>
      </c>
      <c r="B6635" s="878" t="s">
        <v>16481</v>
      </c>
      <c r="C6635" s="879" t="s">
        <v>159</v>
      </c>
      <c r="D6635" s="880" t="s">
        <v>43805</v>
      </c>
    </row>
    <row r="6636" spans="1:4" ht="13.5" x14ac:dyDescent="0.25">
      <c r="A6636" s="878" t="s">
        <v>16482</v>
      </c>
      <c r="B6636" s="878" t="s">
        <v>16483</v>
      </c>
      <c r="C6636" s="879" t="s">
        <v>159</v>
      </c>
      <c r="D6636" s="880" t="s">
        <v>43806</v>
      </c>
    </row>
    <row r="6637" spans="1:4" ht="13.5" x14ac:dyDescent="0.25">
      <c r="A6637" s="878" t="s">
        <v>16484</v>
      </c>
      <c r="B6637" s="878" t="s">
        <v>16485</v>
      </c>
      <c r="C6637" s="879" t="s">
        <v>159</v>
      </c>
      <c r="D6637" s="880" t="s">
        <v>43807</v>
      </c>
    </row>
    <row r="6638" spans="1:4" ht="13.5" x14ac:dyDescent="0.25">
      <c r="A6638" s="878" t="s">
        <v>16486</v>
      </c>
      <c r="B6638" s="878" t="s">
        <v>16487</v>
      </c>
      <c r="C6638" s="879" t="s">
        <v>159</v>
      </c>
      <c r="D6638" s="880" t="s">
        <v>43808</v>
      </c>
    </row>
    <row r="6639" spans="1:4" ht="13.5" x14ac:dyDescent="0.25">
      <c r="A6639" s="878" t="s">
        <v>16488</v>
      </c>
      <c r="B6639" s="878" t="s">
        <v>16489</v>
      </c>
      <c r="C6639" s="879" t="s">
        <v>159</v>
      </c>
      <c r="D6639" s="880" t="s">
        <v>31275</v>
      </c>
    </row>
    <row r="6640" spans="1:4" ht="13.5" x14ac:dyDescent="0.25">
      <c r="A6640" s="878" t="s">
        <v>16490</v>
      </c>
      <c r="B6640" s="878" t="s">
        <v>16491</v>
      </c>
      <c r="C6640" s="879" t="s">
        <v>159</v>
      </c>
      <c r="D6640" s="880" t="s">
        <v>43809</v>
      </c>
    </row>
    <row r="6641" spans="1:4" ht="13.5" x14ac:dyDescent="0.25">
      <c r="A6641" s="878" t="s">
        <v>16492</v>
      </c>
      <c r="B6641" s="878" t="s">
        <v>16493</v>
      </c>
      <c r="C6641" s="879" t="s">
        <v>159</v>
      </c>
      <c r="D6641" s="880" t="s">
        <v>43810</v>
      </c>
    </row>
    <row r="6642" spans="1:4" ht="13.5" x14ac:dyDescent="0.25">
      <c r="A6642" s="878" t="s">
        <v>16494</v>
      </c>
      <c r="B6642" s="878" t="s">
        <v>16495</v>
      </c>
      <c r="C6642" s="879" t="s">
        <v>159</v>
      </c>
      <c r="D6642" s="880" t="s">
        <v>43811</v>
      </c>
    </row>
    <row r="6643" spans="1:4" ht="13.5" x14ac:dyDescent="0.25">
      <c r="A6643" s="878" t="s">
        <v>16496</v>
      </c>
      <c r="B6643" s="878" t="s">
        <v>16497</v>
      </c>
      <c r="C6643" s="879" t="s">
        <v>159</v>
      </c>
      <c r="D6643" s="880" t="s">
        <v>43812</v>
      </c>
    </row>
    <row r="6644" spans="1:4" ht="13.5" x14ac:dyDescent="0.25">
      <c r="A6644" s="878" t="s">
        <v>16498</v>
      </c>
      <c r="B6644" s="878" t="s">
        <v>16499</v>
      </c>
      <c r="C6644" s="879" t="s">
        <v>159</v>
      </c>
      <c r="D6644" s="880" t="s">
        <v>43813</v>
      </c>
    </row>
    <row r="6645" spans="1:4" ht="13.5" x14ac:dyDescent="0.25">
      <c r="A6645" s="878" t="s">
        <v>16500</v>
      </c>
      <c r="B6645" s="878" t="s">
        <v>16501</v>
      </c>
      <c r="C6645" s="879" t="s">
        <v>159</v>
      </c>
      <c r="D6645" s="880" t="s">
        <v>43814</v>
      </c>
    </row>
    <row r="6646" spans="1:4" ht="13.5" x14ac:dyDescent="0.25">
      <c r="A6646" s="878" t="s">
        <v>16502</v>
      </c>
      <c r="B6646" s="878" t="s">
        <v>16503</v>
      </c>
      <c r="C6646" s="879" t="s">
        <v>159</v>
      </c>
      <c r="D6646" s="880" t="s">
        <v>43815</v>
      </c>
    </row>
    <row r="6647" spans="1:4" ht="13.5" x14ac:dyDescent="0.25">
      <c r="A6647" s="878" t="s">
        <v>16504</v>
      </c>
      <c r="B6647" s="878" t="s">
        <v>16505</v>
      </c>
      <c r="C6647" s="879" t="s">
        <v>159</v>
      </c>
      <c r="D6647" s="880" t="s">
        <v>43816</v>
      </c>
    </row>
    <row r="6648" spans="1:4" ht="13.5" x14ac:dyDescent="0.25">
      <c r="A6648" s="878" t="s">
        <v>16506</v>
      </c>
      <c r="B6648" s="878" t="s">
        <v>16507</v>
      </c>
      <c r="C6648" s="879" t="s">
        <v>159</v>
      </c>
      <c r="D6648" s="880" t="s">
        <v>43817</v>
      </c>
    </row>
    <row r="6649" spans="1:4" ht="13.5" x14ac:dyDescent="0.25">
      <c r="A6649" s="878" t="s">
        <v>16508</v>
      </c>
      <c r="B6649" s="878" t="s">
        <v>16509</v>
      </c>
      <c r="C6649" s="879" t="s">
        <v>159</v>
      </c>
      <c r="D6649" s="880" t="s">
        <v>43818</v>
      </c>
    </row>
    <row r="6650" spans="1:4" ht="13.5" x14ac:dyDescent="0.25">
      <c r="A6650" s="878" t="s">
        <v>16510</v>
      </c>
      <c r="B6650" s="878" t="s">
        <v>16511</v>
      </c>
      <c r="C6650" s="879" t="s">
        <v>159</v>
      </c>
      <c r="D6650" s="880" t="s">
        <v>43819</v>
      </c>
    </row>
    <row r="6651" spans="1:4" ht="13.5" x14ac:dyDescent="0.25">
      <c r="A6651" s="878" t="s">
        <v>16512</v>
      </c>
      <c r="B6651" s="878" t="s">
        <v>16513</v>
      </c>
      <c r="C6651" s="879" t="s">
        <v>159</v>
      </c>
      <c r="D6651" s="880" t="s">
        <v>43820</v>
      </c>
    </row>
    <row r="6652" spans="1:4" ht="13.5" x14ac:dyDescent="0.25">
      <c r="A6652" s="878" t="s">
        <v>16514</v>
      </c>
      <c r="B6652" s="878" t="s">
        <v>16515</v>
      </c>
      <c r="C6652" s="879" t="s">
        <v>159</v>
      </c>
      <c r="D6652" s="880" t="s">
        <v>43821</v>
      </c>
    </row>
    <row r="6653" spans="1:4" ht="13.5" x14ac:dyDescent="0.25">
      <c r="A6653" s="878" t="s">
        <v>16516</v>
      </c>
      <c r="B6653" s="878" t="s">
        <v>16517</v>
      </c>
      <c r="C6653" s="879" t="s">
        <v>159</v>
      </c>
      <c r="D6653" s="880" t="s">
        <v>42018</v>
      </c>
    </row>
    <row r="6654" spans="1:4" ht="13.5" x14ac:dyDescent="0.25">
      <c r="A6654" s="878" t="s">
        <v>16518</v>
      </c>
      <c r="B6654" s="878" t="s">
        <v>16519</v>
      </c>
      <c r="C6654" s="879" t="s">
        <v>159</v>
      </c>
      <c r="D6654" s="880" t="s">
        <v>43822</v>
      </c>
    </row>
    <row r="6655" spans="1:4" ht="13.5" x14ac:dyDescent="0.25">
      <c r="A6655" s="878" t="s">
        <v>16520</v>
      </c>
      <c r="B6655" s="878" t="s">
        <v>16521</v>
      </c>
      <c r="C6655" s="879" t="s">
        <v>159</v>
      </c>
      <c r="D6655" s="880" t="s">
        <v>43823</v>
      </c>
    </row>
    <row r="6656" spans="1:4" ht="13.5" x14ac:dyDescent="0.25">
      <c r="A6656" s="878" t="s">
        <v>16522</v>
      </c>
      <c r="B6656" s="878" t="s">
        <v>16523</v>
      </c>
      <c r="C6656" s="879" t="s">
        <v>159</v>
      </c>
      <c r="D6656" s="880" t="s">
        <v>43824</v>
      </c>
    </row>
    <row r="6657" spans="1:4" ht="13.5" x14ac:dyDescent="0.25">
      <c r="A6657" s="878" t="s">
        <v>16524</v>
      </c>
      <c r="B6657" s="878" t="s">
        <v>16525</v>
      </c>
      <c r="C6657" s="879" t="s">
        <v>159</v>
      </c>
      <c r="D6657" s="880" t="s">
        <v>43825</v>
      </c>
    </row>
    <row r="6658" spans="1:4" ht="13.5" x14ac:dyDescent="0.25">
      <c r="A6658" s="878" t="s">
        <v>16526</v>
      </c>
      <c r="B6658" s="878" t="s">
        <v>16527</v>
      </c>
      <c r="C6658" s="879" t="s">
        <v>159</v>
      </c>
      <c r="D6658" s="880" t="s">
        <v>43826</v>
      </c>
    </row>
    <row r="6659" spans="1:4" ht="13.5" x14ac:dyDescent="0.25">
      <c r="A6659" s="878" t="s">
        <v>16528</v>
      </c>
      <c r="B6659" s="878" t="s">
        <v>16529</v>
      </c>
      <c r="C6659" s="879" t="s">
        <v>159</v>
      </c>
      <c r="D6659" s="880" t="s">
        <v>31236</v>
      </c>
    </row>
    <row r="6660" spans="1:4" ht="13.5" x14ac:dyDescent="0.25">
      <c r="A6660" s="878" t="s">
        <v>16530</v>
      </c>
      <c r="B6660" s="878" t="s">
        <v>16531</v>
      </c>
      <c r="C6660" s="879" t="s">
        <v>159</v>
      </c>
      <c r="D6660" s="880" t="s">
        <v>31277</v>
      </c>
    </row>
    <row r="6661" spans="1:4" ht="13.5" x14ac:dyDescent="0.25">
      <c r="A6661" s="878" t="s">
        <v>16532</v>
      </c>
      <c r="B6661" s="878" t="s">
        <v>16533</v>
      </c>
      <c r="C6661" s="879" t="s">
        <v>159</v>
      </c>
      <c r="D6661" s="880" t="s">
        <v>43827</v>
      </c>
    </row>
    <row r="6662" spans="1:4" ht="13.5" x14ac:dyDescent="0.25">
      <c r="A6662" s="878" t="s">
        <v>16534</v>
      </c>
      <c r="B6662" s="878" t="s">
        <v>16535</v>
      </c>
      <c r="C6662" s="879" t="s">
        <v>159</v>
      </c>
      <c r="D6662" s="880" t="s">
        <v>4115</v>
      </c>
    </row>
    <row r="6663" spans="1:4" ht="13.5" x14ac:dyDescent="0.25">
      <c r="A6663" s="878" t="s">
        <v>16537</v>
      </c>
      <c r="B6663" s="878" t="s">
        <v>16538</v>
      </c>
      <c r="C6663" s="879" t="s">
        <v>159</v>
      </c>
      <c r="D6663" s="880" t="s">
        <v>31278</v>
      </c>
    </row>
    <row r="6664" spans="1:4" ht="13.5" x14ac:dyDescent="0.25">
      <c r="A6664" s="878" t="s">
        <v>16539</v>
      </c>
      <c r="B6664" s="878" t="s">
        <v>16540</v>
      </c>
      <c r="C6664" s="879" t="s">
        <v>159</v>
      </c>
      <c r="D6664" s="880" t="s">
        <v>3361</v>
      </c>
    </row>
    <row r="6665" spans="1:4" ht="13.5" x14ac:dyDescent="0.25">
      <c r="A6665" s="878" t="s">
        <v>16541</v>
      </c>
      <c r="B6665" s="878" t="s">
        <v>16542</v>
      </c>
      <c r="C6665" s="879" t="s">
        <v>159</v>
      </c>
      <c r="D6665" s="880" t="s">
        <v>30429</v>
      </c>
    </row>
    <row r="6666" spans="1:4" ht="13.5" x14ac:dyDescent="0.25">
      <c r="A6666" s="878" t="s">
        <v>16543</v>
      </c>
      <c r="B6666" s="878" t="s">
        <v>16544</v>
      </c>
      <c r="C6666" s="879" t="s">
        <v>159</v>
      </c>
      <c r="D6666" s="880" t="s">
        <v>16621</v>
      </c>
    </row>
    <row r="6667" spans="1:4" ht="13.5" x14ac:dyDescent="0.25">
      <c r="A6667" s="878" t="s">
        <v>16545</v>
      </c>
      <c r="B6667" s="878" t="s">
        <v>16546</v>
      </c>
      <c r="C6667" s="879" t="s">
        <v>159</v>
      </c>
      <c r="D6667" s="880" t="s">
        <v>4159</v>
      </c>
    </row>
    <row r="6668" spans="1:4" ht="13.5" x14ac:dyDescent="0.25">
      <c r="A6668" s="878" t="s">
        <v>16547</v>
      </c>
      <c r="B6668" s="878" t="s">
        <v>16548</v>
      </c>
      <c r="C6668" s="879" t="s">
        <v>159</v>
      </c>
      <c r="D6668" s="880" t="s">
        <v>4017</v>
      </c>
    </row>
    <row r="6669" spans="1:4" ht="13.5" x14ac:dyDescent="0.25">
      <c r="A6669" s="878" t="s">
        <v>16549</v>
      </c>
      <c r="B6669" s="878" t="s">
        <v>16550</v>
      </c>
      <c r="C6669" s="879" t="s">
        <v>159</v>
      </c>
      <c r="D6669" s="880" t="s">
        <v>5750</v>
      </c>
    </row>
    <row r="6670" spans="1:4" ht="13.5" x14ac:dyDescent="0.25">
      <c r="A6670" s="878" t="s">
        <v>16551</v>
      </c>
      <c r="B6670" s="878" t="s">
        <v>16552</v>
      </c>
      <c r="C6670" s="879" t="s">
        <v>159</v>
      </c>
      <c r="D6670" s="880" t="s">
        <v>30418</v>
      </c>
    </row>
    <row r="6671" spans="1:4" ht="13.5" x14ac:dyDescent="0.25">
      <c r="A6671" s="878" t="s">
        <v>16553</v>
      </c>
      <c r="B6671" s="878" t="s">
        <v>16554</v>
      </c>
      <c r="C6671" s="879" t="s">
        <v>159</v>
      </c>
      <c r="D6671" s="880" t="s">
        <v>4585</v>
      </c>
    </row>
    <row r="6672" spans="1:4" ht="13.5" x14ac:dyDescent="0.25">
      <c r="A6672" s="878" t="s">
        <v>16555</v>
      </c>
      <c r="B6672" s="878" t="s">
        <v>16556</v>
      </c>
      <c r="C6672" s="879" t="s">
        <v>159</v>
      </c>
      <c r="D6672" s="880" t="s">
        <v>31279</v>
      </c>
    </row>
    <row r="6673" spans="1:4" ht="13.5" x14ac:dyDescent="0.25">
      <c r="A6673" s="878" t="s">
        <v>16558</v>
      </c>
      <c r="B6673" s="878" t="s">
        <v>16559</v>
      </c>
      <c r="C6673" s="879" t="s">
        <v>159</v>
      </c>
      <c r="D6673" s="880" t="s">
        <v>31280</v>
      </c>
    </row>
    <row r="6674" spans="1:4" ht="13.5" x14ac:dyDescent="0.25">
      <c r="A6674" s="878" t="s">
        <v>16560</v>
      </c>
      <c r="B6674" s="878" t="s">
        <v>16561</v>
      </c>
      <c r="C6674" s="879" t="s">
        <v>159</v>
      </c>
      <c r="D6674" s="880" t="s">
        <v>43828</v>
      </c>
    </row>
    <row r="6675" spans="1:4" ht="13.5" x14ac:dyDescent="0.25">
      <c r="A6675" s="878" t="s">
        <v>16562</v>
      </c>
      <c r="B6675" s="878" t="s">
        <v>16563</v>
      </c>
      <c r="C6675" s="879" t="s">
        <v>159</v>
      </c>
      <c r="D6675" s="880" t="s">
        <v>31129</v>
      </c>
    </row>
    <row r="6676" spans="1:4" ht="13.5" x14ac:dyDescent="0.25">
      <c r="A6676" s="878" t="s">
        <v>16565</v>
      </c>
      <c r="B6676" s="878" t="s">
        <v>16566</v>
      </c>
      <c r="C6676" s="879" t="s">
        <v>159</v>
      </c>
      <c r="D6676" s="880" t="s">
        <v>14685</v>
      </c>
    </row>
    <row r="6677" spans="1:4" ht="13.5" x14ac:dyDescent="0.25">
      <c r="A6677" s="878" t="s">
        <v>16568</v>
      </c>
      <c r="B6677" s="878" t="s">
        <v>16569</v>
      </c>
      <c r="C6677" s="879" t="s">
        <v>159</v>
      </c>
      <c r="D6677" s="880" t="s">
        <v>12243</v>
      </c>
    </row>
    <row r="6678" spans="1:4" ht="13.5" x14ac:dyDescent="0.25">
      <c r="A6678" s="878" t="s">
        <v>16570</v>
      </c>
      <c r="B6678" s="878" t="s">
        <v>16571</v>
      </c>
      <c r="C6678" s="879" t="s">
        <v>159</v>
      </c>
      <c r="D6678" s="880" t="s">
        <v>17136</v>
      </c>
    </row>
    <row r="6679" spans="1:4" ht="13.5" x14ac:dyDescent="0.25">
      <c r="A6679" s="878" t="s">
        <v>16572</v>
      </c>
      <c r="B6679" s="878" t="s">
        <v>16573</v>
      </c>
      <c r="C6679" s="879" t="s">
        <v>159</v>
      </c>
      <c r="D6679" s="880" t="s">
        <v>12905</v>
      </c>
    </row>
    <row r="6680" spans="1:4" ht="13.5" x14ac:dyDescent="0.25">
      <c r="A6680" s="878" t="s">
        <v>16575</v>
      </c>
      <c r="B6680" s="878" t="s">
        <v>16576</v>
      </c>
      <c r="C6680" s="879" t="s">
        <v>159</v>
      </c>
      <c r="D6680" s="880" t="s">
        <v>30453</v>
      </c>
    </row>
    <row r="6681" spans="1:4" ht="13.5" x14ac:dyDescent="0.25">
      <c r="A6681" s="878" t="s">
        <v>16578</v>
      </c>
      <c r="B6681" s="878" t="s">
        <v>16579</v>
      </c>
      <c r="C6681" s="879" t="s">
        <v>159</v>
      </c>
      <c r="D6681" s="880" t="s">
        <v>31281</v>
      </c>
    </row>
    <row r="6682" spans="1:4" ht="13.5" x14ac:dyDescent="0.25">
      <c r="A6682" s="878" t="s">
        <v>16580</v>
      </c>
      <c r="B6682" s="878" t="s">
        <v>16581</v>
      </c>
      <c r="C6682" s="879" t="s">
        <v>159</v>
      </c>
      <c r="D6682" s="880" t="s">
        <v>30402</v>
      </c>
    </row>
    <row r="6683" spans="1:4" ht="13.5" x14ac:dyDescent="0.25">
      <c r="A6683" s="878" t="s">
        <v>16582</v>
      </c>
      <c r="B6683" s="878" t="s">
        <v>16583</v>
      </c>
      <c r="C6683" s="879" t="s">
        <v>159</v>
      </c>
      <c r="D6683" s="880" t="s">
        <v>5444</v>
      </c>
    </row>
    <row r="6684" spans="1:4" ht="13.5" x14ac:dyDescent="0.25">
      <c r="A6684" s="878" t="s">
        <v>16584</v>
      </c>
      <c r="B6684" s="878" t="s">
        <v>16585</v>
      </c>
      <c r="C6684" s="879" t="s">
        <v>159</v>
      </c>
      <c r="D6684" s="880" t="s">
        <v>40554</v>
      </c>
    </row>
    <row r="6685" spans="1:4" ht="13.5" x14ac:dyDescent="0.25">
      <c r="A6685" s="878" t="s">
        <v>16586</v>
      </c>
      <c r="B6685" s="878" t="s">
        <v>16587</v>
      </c>
      <c r="C6685" s="879" t="s">
        <v>16536</v>
      </c>
      <c r="D6685" s="880" t="s">
        <v>40071</v>
      </c>
    </row>
    <row r="6686" spans="1:4" ht="13.5" x14ac:dyDescent="0.25">
      <c r="A6686" s="878" t="s">
        <v>16588</v>
      </c>
      <c r="B6686" s="878" t="s">
        <v>16589</v>
      </c>
      <c r="C6686" s="879" t="s">
        <v>16536</v>
      </c>
      <c r="D6686" s="880" t="s">
        <v>16590</v>
      </c>
    </row>
    <row r="6687" spans="1:4" ht="13.5" x14ac:dyDescent="0.25">
      <c r="A6687" s="878" t="s">
        <v>16591</v>
      </c>
      <c r="B6687" s="878" t="s">
        <v>16592</v>
      </c>
      <c r="C6687" s="879" t="s">
        <v>16536</v>
      </c>
      <c r="D6687" s="880" t="s">
        <v>17456</v>
      </c>
    </row>
    <row r="6688" spans="1:4" ht="13.5" x14ac:dyDescent="0.25">
      <c r="A6688" s="878" t="s">
        <v>16594</v>
      </c>
      <c r="B6688" s="878" t="s">
        <v>16595</v>
      </c>
      <c r="C6688" s="879" t="s">
        <v>16536</v>
      </c>
      <c r="D6688" s="880" t="s">
        <v>31050</v>
      </c>
    </row>
    <row r="6689" spans="1:4" ht="13.5" x14ac:dyDescent="0.25">
      <c r="A6689" s="878" t="s">
        <v>16596</v>
      </c>
      <c r="B6689" s="878" t="s">
        <v>16597</v>
      </c>
      <c r="C6689" s="879" t="s">
        <v>16536</v>
      </c>
      <c r="D6689" s="880" t="s">
        <v>30645</v>
      </c>
    </row>
    <row r="6690" spans="1:4" ht="13.5" x14ac:dyDescent="0.25">
      <c r="A6690" s="878" t="s">
        <v>16599</v>
      </c>
      <c r="B6690" s="878" t="s">
        <v>16600</v>
      </c>
      <c r="C6690" s="879" t="s">
        <v>16536</v>
      </c>
      <c r="D6690" s="880" t="s">
        <v>13995</v>
      </c>
    </row>
    <row r="6691" spans="1:4" ht="13.5" x14ac:dyDescent="0.25">
      <c r="A6691" s="878" t="s">
        <v>16601</v>
      </c>
      <c r="B6691" s="878" t="s">
        <v>16602</v>
      </c>
      <c r="C6691" s="879" t="s">
        <v>16536</v>
      </c>
      <c r="D6691" s="880" t="s">
        <v>40554</v>
      </c>
    </row>
    <row r="6692" spans="1:4" ht="13.5" x14ac:dyDescent="0.25">
      <c r="A6692" s="878" t="s">
        <v>16603</v>
      </c>
      <c r="B6692" s="878" t="s">
        <v>16604</v>
      </c>
      <c r="C6692" s="879" t="s">
        <v>16536</v>
      </c>
      <c r="D6692" s="880" t="s">
        <v>9813</v>
      </c>
    </row>
    <row r="6693" spans="1:4" ht="13.5" x14ac:dyDescent="0.25">
      <c r="A6693" s="878" t="s">
        <v>16606</v>
      </c>
      <c r="B6693" s="878" t="s">
        <v>16607</v>
      </c>
      <c r="C6693" s="879" t="s">
        <v>16536</v>
      </c>
      <c r="D6693" s="880" t="s">
        <v>30305</v>
      </c>
    </row>
    <row r="6694" spans="1:4" ht="13.5" x14ac:dyDescent="0.25">
      <c r="A6694" s="878" t="s">
        <v>16609</v>
      </c>
      <c r="B6694" s="878" t="s">
        <v>16610</v>
      </c>
      <c r="C6694" s="879" t="s">
        <v>16536</v>
      </c>
      <c r="D6694" s="880" t="s">
        <v>16763</v>
      </c>
    </row>
    <row r="6695" spans="1:4" ht="13.5" x14ac:dyDescent="0.25">
      <c r="A6695" s="878" t="s">
        <v>16611</v>
      </c>
      <c r="B6695" s="878" t="s">
        <v>16612</v>
      </c>
      <c r="C6695" s="879" t="s">
        <v>16557</v>
      </c>
      <c r="D6695" s="880" t="s">
        <v>4224</v>
      </c>
    </row>
    <row r="6696" spans="1:4" ht="13.5" x14ac:dyDescent="0.25">
      <c r="A6696" s="878" t="s">
        <v>16613</v>
      </c>
      <c r="B6696" s="878" t="s">
        <v>16614</v>
      </c>
      <c r="C6696" s="879" t="s">
        <v>16557</v>
      </c>
      <c r="D6696" s="880" t="s">
        <v>5245</v>
      </c>
    </row>
    <row r="6697" spans="1:4" ht="13.5" x14ac:dyDescent="0.25">
      <c r="A6697" s="878" t="s">
        <v>16615</v>
      </c>
      <c r="B6697" s="878" t="s">
        <v>16616</v>
      </c>
      <c r="C6697" s="879" t="s">
        <v>16557</v>
      </c>
      <c r="D6697" s="880" t="s">
        <v>4272</v>
      </c>
    </row>
    <row r="6698" spans="1:4" ht="13.5" x14ac:dyDescent="0.25">
      <c r="A6698" s="878" t="s">
        <v>16617</v>
      </c>
      <c r="B6698" s="878" t="s">
        <v>16618</v>
      </c>
      <c r="C6698" s="879" t="s">
        <v>16564</v>
      </c>
      <c r="D6698" s="880" t="s">
        <v>4455</v>
      </c>
    </row>
    <row r="6699" spans="1:4" ht="13.5" x14ac:dyDescent="0.25">
      <c r="A6699" s="878" t="s">
        <v>16619</v>
      </c>
      <c r="B6699" s="878" t="s">
        <v>16620</v>
      </c>
      <c r="C6699" s="879" t="s">
        <v>16564</v>
      </c>
      <c r="D6699" s="880" t="s">
        <v>5465</v>
      </c>
    </row>
    <row r="6700" spans="1:4" ht="13.5" x14ac:dyDescent="0.25">
      <c r="A6700" s="878" t="s">
        <v>16622</v>
      </c>
      <c r="B6700" s="878" t="s">
        <v>16623</v>
      </c>
      <c r="C6700" s="879" t="s">
        <v>16564</v>
      </c>
      <c r="D6700" s="880" t="s">
        <v>17619</v>
      </c>
    </row>
    <row r="6701" spans="1:4" ht="13.5" x14ac:dyDescent="0.25">
      <c r="A6701" s="878" t="s">
        <v>16624</v>
      </c>
      <c r="B6701" s="878" t="s">
        <v>16625</v>
      </c>
      <c r="C6701" s="879" t="s">
        <v>16564</v>
      </c>
      <c r="D6701" s="880" t="s">
        <v>4612</v>
      </c>
    </row>
    <row r="6702" spans="1:4" ht="13.5" x14ac:dyDescent="0.25">
      <c r="A6702" s="878" t="s">
        <v>16626</v>
      </c>
      <c r="B6702" s="878" t="s">
        <v>16627</v>
      </c>
      <c r="C6702" s="879" t="s">
        <v>16564</v>
      </c>
      <c r="D6702" s="880" t="s">
        <v>3954</v>
      </c>
    </row>
    <row r="6703" spans="1:4" ht="13.5" x14ac:dyDescent="0.25">
      <c r="A6703" s="878" t="s">
        <v>16629</v>
      </c>
      <c r="B6703" s="878" t="s">
        <v>16630</v>
      </c>
      <c r="C6703" s="879" t="s">
        <v>16564</v>
      </c>
      <c r="D6703" s="880" t="s">
        <v>8839</v>
      </c>
    </row>
    <row r="6704" spans="1:4" ht="13.5" x14ac:dyDescent="0.25">
      <c r="A6704" s="878" t="s">
        <v>16633</v>
      </c>
      <c r="B6704" s="878" t="s">
        <v>16634</v>
      </c>
      <c r="C6704" s="879" t="s">
        <v>16564</v>
      </c>
      <c r="D6704" s="880" t="s">
        <v>31282</v>
      </c>
    </row>
    <row r="6705" spans="1:4" ht="13.5" x14ac:dyDescent="0.25">
      <c r="A6705" s="878" t="s">
        <v>16635</v>
      </c>
      <c r="B6705" s="878" t="s">
        <v>16636</v>
      </c>
      <c r="C6705" s="879" t="s">
        <v>16564</v>
      </c>
      <c r="D6705" s="880" t="s">
        <v>3847</v>
      </c>
    </row>
    <row r="6706" spans="1:4" ht="13.5" x14ac:dyDescent="0.25">
      <c r="A6706" s="878" t="s">
        <v>16637</v>
      </c>
      <c r="B6706" s="878" t="s">
        <v>16638</v>
      </c>
      <c r="C6706" s="879" t="s">
        <v>16564</v>
      </c>
      <c r="D6706" s="880" t="s">
        <v>31061</v>
      </c>
    </row>
    <row r="6707" spans="1:4" ht="13.5" x14ac:dyDescent="0.25">
      <c r="A6707" s="878" t="s">
        <v>16639</v>
      </c>
      <c r="B6707" s="878" t="s">
        <v>16640</v>
      </c>
      <c r="C6707" s="879" t="s">
        <v>16564</v>
      </c>
      <c r="D6707" s="880" t="s">
        <v>31283</v>
      </c>
    </row>
    <row r="6708" spans="1:4" ht="13.5" x14ac:dyDescent="0.25">
      <c r="A6708" s="878" t="s">
        <v>16642</v>
      </c>
      <c r="B6708" s="878" t="s">
        <v>16643</v>
      </c>
      <c r="C6708" s="879" t="s">
        <v>16564</v>
      </c>
      <c r="D6708" s="880" t="s">
        <v>31061</v>
      </c>
    </row>
    <row r="6709" spans="1:4" ht="13.5" x14ac:dyDescent="0.25">
      <c r="A6709" s="878" t="s">
        <v>16644</v>
      </c>
      <c r="B6709" s="878" t="s">
        <v>16645</v>
      </c>
      <c r="C6709" s="879" t="s">
        <v>16564</v>
      </c>
      <c r="D6709" s="880" t="s">
        <v>30198</v>
      </c>
    </row>
    <row r="6710" spans="1:4" ht="13.5" x14ac:dyDescent="0.25">
      <c r="A6710" s="878" t="s">
        <v>16646</v>
      </c>
      <c r="B6710" s="878" t="s">
        <v>16647</v>
      </c>
      <c r="C6710" s="879" t="s">
        <v>16593</v>
      </c>
      <c r="D6710" s="880" t="s">
        <v>15206</v>
      </c>
    </row>
    <row r="6711" spans="1:4" ht="13.5" x14ac:dyDescent="0.25">
      <c r="A6711" s="878" t="s">
        <v>16648</v>
      </c>
      <c r="B6711" s="878" t="s">
        <v>16649</v>
      </c>
      <c r="C6711" s="879" t="s">
        <v>16593</v>
      </c>
      <c r="D6711" s="880" t="s">
        <v>31283</v>
      </c>
    </row>
    <row r="6712" spans="1:4" ht="13.5" x14ac:dyDescent="0.25">
      <c r="A6712" s="878" t="s">
        <v>16650</v>
      </c>
      <c r="B6712" s="878" t="s">
        <v>16651</v>
      </c>
      <c r="C6712" s="879" t="s">
        <v>16593</v>
      </c>
      <c r="D6712" s="880" t="s">
        <v>30828</v>
      </c>
    </row>
    <row r="6713" spans="1:4" ht="13.5" x14ac:dyDescent="0.25">
      <c r="A6713" s="878" t="s">
        <v>16652</v>
      </c>
      <c r="B6713" s="878" t="s">
        <v>16653</v>
      </c>
      <c r="C6713" s="879" t="s">
        <v>16593</v>
      </c>
      <c r="D6713" s="880" t="s">
        <v>5719</v>
      </c>
    </row>
    <row r="6714" spans="1:4" ht="13.5" x14ac:dyDescent="0.25">
      <c r="A6714" s="878" t="s">
        <v>16654</v>
      </c>
      <c r="B6714" s="878" t="s">
        <v>16655</v>
      </c>
      <c r="C6714" s="879" t="s">
        <v>16593</v>
      </c>
      <c r="D6714" s="880" t="s">
        <v>31282</v>
      </c>
    </row>
    <row r="6715" spans="1:4" ht="13.5" x14ac:dyDescent="0.25">
      <c r="A6715" s="878" t="s">
        <v>16656</v>
      </c>
      <c r="B6715" s="878" t="s">
        <v>16657</v>
      </c>
      <c r="C6715" s="879" t="s">
        <v>16605</v>
      </c>
      <c r="D6715" s="880" t="s">
        <v>30974</v>
      </c>
    </row>
    <row r="6716" spans="1:4" ht="13.5" x14ac:dyDescent="0.25">
      <c r="A6716" s="878" t="s">
        <v>16658</v>
      </c>
      <c r="B6716" s="878" t="s">
        <v>16659</v>
      </c>
      <c r="C6716" s="879" t="s">
        <v>16605</v>
      </c>
      <c r="D6716" s="880" t="s">
        <v>5719</v>
      </c>
    </row>
    <row r="6717" spans="1:4" ht="13.5" x14ac:dyDescent="0.25">
      <c r="A6717" s="878" t="s">
        <v>16660</v>
      </c>
      <c r="B6717" s="878" t="s">
        <v>16661</v>
      </c>
      <c r="C6717" s="879" t="s">
        <v>16605</v>
      </c>
      <c r="D6717" s="880" t="s">
        <v>5151</v>
      </c>
    </row>
    <row r="6718" spans="1:4" ht="13.5" x14ac:dyDescent="0.25">
      <c r="A6718" s="878" t="s">
        <v>16663</v>
      </c>
      <c r="B6718" s="878" t="s">
        <v>16664</v>
      </c>
      <c r="C6718" s="879" t="s">
        <v>16605</v>
      </c>
      <c r="D6718" s="880" t="s">
        <v>30974</v>
      </c>
    </row>
    <row r="6719" spans="1:4" ht="13.5" x14ac:dyDescent="0.25">
      <c r="A6719" s="878" t="s">
        <v>16665</v>
      </c>
      <c r="B6719" s="878" t="s">
        <v>16666</v>
      </c>
      <c r="C6719" s="879" t="s">
        <v>6008</v>
      </c>
      <c r="D6719" s="880" t="s">
        <v>30198</v>
      </c>
    </row>
    <row r="6720" spans="1:4" ht="13.5" x14ac:dyDescent="0.25">
      <c r="A6720" s="878" t="s">
        <v>16667</v>
      </c>
      <c r="B6720" s="878" t="s">
        <v>16668</v>
      </c>
      <c r="C6720" s="879" t="s">
        <v>6008</v>
      </c>
      <c r="D6720" s="880" t="s">
        <v>31284</v>
      </c>
    </row>
    <row r="6721" spans="1:4" ht="13.5" x14ac:dyDescent="0.25">
      <c r="A6721" s="878" t="s">
        <v>16669</v>
      </c>
      <c r="B6721" s="878" t="s">
        <v>16670</v>
      </c>
      <c r="C6721" s="879" t="s">
        <v>6008</v>
      </c>
      <c r="D6721" s="880" t="s">
        <v>31285</v>
      </c>
    </row>
    <row r="6722" spans="1:4" ht="13.5" x14ac:dyDescent="0.25">
      <c r="A6722" s="878" t="s">
        <v>16671</v>
      </c>
      <c r="B6722" s="878" t="s">
        <v>16672</v>
      </c>
      <c r="C6722" s="879" t="s">
        <v>226</v>
      </c>
      <c r="D6722" s="880" t="s">
        <v>31286</v>
      </c>
    </row>
    <row r="6723" spans="1:4" ht="13.5" x14ac:dyDescent="0.25">
      <c r="A6723" s="878" t="s">
        <v>16674</v>
      </c>
      <c r="B6723" s="878" t="s">
        <v>16675</v>
      </c>
      <c r="C6723" s="879" t="s">
        <v>226</v>
      </c>
      <c r="D6723" s="880" t="s">
        <v>4052</v>
      </c>
    </row>
    <row r="6724" spans="1:4" ht="13.5" x14ac:dyDescent="0.25">
      <c r="A6724" s="878" t="s">
        <v>16676</v>
      </c>
      <c r="B6724" s="878" t="s">
        <v>16677</v>
      </c>
      <c r="C6724" s="879" t="s">
        <v>227</v>
      </c>
      <c r="D6724" s="880" t="s">
        <v>3847</v>
      </c>
    </row>
    <row r="6725" spans="1:4" ht="13.5" x14ac:dyDescent="0.25">
      <c r="A6725" s="878" t="s">
        <v>16678</v>
      </c>
      <c r="B6725" s="878" t="s">
        <v>16679</v>
      </c>
      <c r="C6725" s="879" t="s">
        <v>16628</v>
      </c>
      <c r="D6725" s="880" t="s">
        <v>31286</v>
      </c>
    </row>
    <row r="6726" spans="1:4" ht="13.5" x14ac:dyDescent="0.25">
      <c r="A6726" s="878" t="s">
        <v>16680</v>
      </c>
      <c r="B6726" s="878" t="s">
        <v>16681</v>
      </c>
      <c r="C6726" s="879" t="s">
        <v>16631</v>
      </c>
      <c r="D6726" s="880" t="s">
        <v>31284</v>
      </c>
    </row>
    <row r="6727" spans="1:4" ht="13.5" x14ac:dyDescent="0.25">
      <c r="A6727" s="878" t="s">
        <v>16682</v>
      </c>
      <c r="B6727" s="878" t="s">
        <v>16683</v>
      </c>
      <c r="C6727" s="879" t="s">
        <v>16631</v>
      </c>
      <c r="D6727" s="880" t="s">
        <v>31287</v>
      </c>
    </row>
    <row r="6728" spans="1:4" ht="13.5" x14ac:dyDescent="0.25">
      <c r="A6728" s="878" t="s">
        <v>16684</v>
      </c>
      <c r="B6728" s="878" t="s">
        <v>16685</v>
      </c>
      <c r="C6728" s="879" t="s">
        <v>16631</v>
      </c>
      <c r="D6728" s="880" t="s">
        <v>30384</v>
      </c>
    </row>
    <row r="6729" spans="1:4" ht="13.5" x14ac:dyDescent="0.25">
      <c r="A6729" s="878" t="s">
        <v>16686</v>
      </c>
      <c r="B6729" s="878" t="s">
        <v>16687</v>
      </c>
      <c r="C6729" s="879" t="s">
        <v>16631</v>
      </c>
      <c r="D6729" s="880" t="s">
        <v>3540</v>
      </c>
    </row>
    <row r="6730" spans="1:4" ht="13.5" x14ac:dyDescent="0.25">
      <c r="A6730" s="878" t="s">
        <v>16688</v>
      </c>
      <c r="B6730" s="878" t="s">
        <v>16689</v>
      </c>
      <c r="C6730" s="879" t="s">
        <v>16631</v>
      </c>
      <c r="D6730" s="880" t="s">
        <v>31288</v>
      </c>
    </row>
    <row r="6731" spans="1:4" ht="13.5" x14ac:dyDescent="0.25">
      <c r="A6731" s="878" t="s">
        <v>16690</v>
      </c>
      <c r="B6731" s="878" t="s">
        <v>16691</v>
      </c>
      <c r="C6731" s="879" t="s">
        <v>16631</v>
      </c>
      <c r="D6731" s="880" t="s">
        <v>31289</v>
      </c>
    </row>
    <row r="6732" spans="1:4" ht="13.5" x14ac:dyDescent="0.25">
      <c r="A6732" s="878" t="s">
        <v>16692</v>
      </c>
      <c r="B6732" s="878" t="s">
        <v>16693</v>
      </c>
      <c r="C6732" s="879" t="s">
        <v>16631</v>
      </c>
      <c r="D6732" s="880" t="s">
        <v>5186</v>
      </c>
    </row>
    <row r="6733" spans="1:4" ht="13.5" x14ac:dyDescent="0.25">
      <c r="A6733" s="878" t="s">
        <v>16695</v>
      </c>
      <c r="B6733" s="878" t="s">
        <v>16696</v>
      </c>
      <c r="C6733" s="879" t="s">
        <v>16631</v>
      </c>
      <c r="D6733" s="880" t="s">
        <v>31290</v>
      </c>
    </row>
    <row r="6734" spans="1:4" ht="13.5" x14ac:dyDescent="0.25">
      <c r="A6734" s="878" t="s">
        <v>16697</v>
      </c>
      <c r="B6734" s="878" t="s">
        <v>16698</v>
      </c>
      <c r="C6734" s="879" t="s">
        <v>16631</v>
      </c>
      <c r="D6734" s="880" t="s">
        <v>31291</v>
      </c>
    </row>
    <row r="6735" spans="1:4" ht="13.5" x14ac:dyDescent="0.25">
      <c r="A6735" s="878" t="s">
        <v>16699</v>
      </c>
      <c r="B6735" s="878" t="s">
        <v>16700</v>
      </c>
      <c r="C6735" s="879" t="s">
        <v>16631</v>
      </c>
      <c r="D6735" s="880" t="s">
        <v>31290</v>
      </c>
    </row>
    <row r="6736" spans="1:4" ht="13.5" x14ac:dyDescent="0.25">
      <c r="A6736" s="878" t="s">
        <v>16701</v>
      </c>
      <c r="B6736" s="878" t="s">
        <v>16702</v>
      </c>
      <c r="C6736" s="879" t="s">
        <v>16631</v>
      </c>
      <c r="D6736" s="880" t="s">
        <v>31291</v>
      </c>
    </row>
    <row r="6737" spans="1:4" ht="13.5" x14ac:dyDescent="0.25">
      <c r="A6737" s="878" t="s">
        <v>16703</v>
      </c>
      <c r="B6737" s="878" t="s">
        <v>16704</v>
      </c>
      <c r="C6737" s="879" t="s">
        <v>16631</v>
      </c>
      <c r="D6737" s="880" t="s">
        <v>31125</v>
      </c>
    </row>
    <row r="6738" spans="1:4" ht="13.5" x14ac:dyDescent="0.25">
      <c r="A6738" s="878" t="s">
        <v>16705</v>
      </c>
      <c r="B6738" s="878" t="s">
        <v>16706</v>
      </c>
      <c r="C6738" s="879" t="s">
        <v>16631</v>
      </c>
      <c r="D6738" s="880" t="s">
        <v>31292</v>
      </c>
    </row>
    <row r="6739" spans="1:4" ht="13.5" x14ac:dyDescent="0.25">
      <c r="A6739" s="878" t="s">
        <v>16707</v>
      </c>
      <c r="B6739" s="878" t="s">
        <v>16708</v>
      </c>
      <c r="C6739" s="879" t="s">
        <v>16631</v>
      </c>
      <c r="D6739" s="880" t="s">
        <v>31293</v>
      </c>
    </row>
    <row r="6740" spans="1:4" ht="13.5" x14ac:dyDescent="0.25">
      <c r="A6740" s="878" t="s">
        <v>16709</v>
      </c>
      <c r="B6740" s="878" t="s">
        <v>16710</v>
      </c>
      <c r="C6740" s="879" t="s">
        <v>16631</v>
      </c>
      <c r="D6740" s="880" t="s">
        <v>4669</v>
      </c>
    </row>
    <row r="6741" spans="1:4" ht="13.5" x14ac:dyDescent="0.25">
      <c r="A6741" s="878" t="s">
        <v>16711</v>
      </c>
      <c r="B6741" s="878" t="s">
        <v>16712</v>
      </c>
      <c r="C6741" s="879" t="s">
        <v>16631</v>
      </c>
      <c r="D6741" s="880" t="s">
        <v>15516</v>
      </c>
    </row>
    <row r="6742" spans="1:4" ht="13.5" x14ac:dyDescent="0.25">
      <c r="A6742" s="878" t="s">
        <v>16714</v>
      </c>
      <c r="B6742" s="878" t="s">
        <v>16715</v>
      </c>
      <c r="C6742" s="879" t="s">
        <v>16631</v>
      </c>
      <c r="D6742" s="880" t="s">
        <v>11212</v>
      </c>
    </row>
    <row r="6743" spans="1:4" ht="13.5" x14ac:dyDescent="0.25">
      <c r="A6743" s="878" t="s">
        <v>16716</v>
      </c>
      <c r="B6743" s="878" t="s">
        <v>16717</v>
      </c>
      <c r="C6743" s="879" t="s">
        <v>16631</v>
      </c>
      <c r="D6743" s="881" t="s">
        <v>31294</v>
      </c>
    </row>
    <row r="6744" spans="1:4" ht="13.5" x14ac:dyDescent="0.25">
      <c r="A6744" s="878" t="s">
        <v>16718</v>
      </c>
      <c r="B6744" s="878" t="s">
        <v>16719</v>
      </c>
      <c r="C6744" s="879" t="s">
        <v>16631</v>
      </c>
      <c r="D6744" s="881" t="s">
        <v>14717</v>
      </c>
    </row>
    <row r="6745" spans="1:4" ht="13.5" x14ac:dyDescent="0.25">
      <c r="A6745" s="878" t="s">
        <v>16720</v>
      </c>
      <c r="B6745" s="878" t="s">
        <v>16721</v>
      </c>
      <c r="C6745" s="879" t="s">
        <v>16631</v>
      </c>
      <c r="D6745" s="881" t="s">
        <v>30711</v>
      </c>
    </row>
    <row r="6746" spans="1:4" ht="13.5" x14ac:dyDescent="0.25">
      <c r="A6746" s="878" t="s">
        <v>16722</v>
      </c>
      <c r="B6746" s="878" t="s">
        <v>16723</v>
      </c>
      <c r="C6746" s="879" t="s">
        <v>16631</v>
      </c>
      <c r="D6746" s="881" t="s">
        <v>5333</v>
      </c>
    </row>
    <row r="6747" spans="1:4" ht="13.5" x14ac:dyDescent="0.25">
      <c r="A6747" s="878" t="s">
        <v>16724</v>
      </c>
      <c r="B6747" s="878" t="s">
        <v>16725</v>
      </c>
      <c r="C6747" s="879" t="s">
        <v>16631</v>
      </c>
      <c r="D6747" s="881" t="s">
        <v>3208</v>
      </c>
    </row>
    <row r="6748" spans="1:4" ht="13.5" x14ac:dyDescent="0.25">
      <c r="A6748" s="878" t="s">
        <v>16726</v>
      </c>
      <c r="B6748" s="878" t="s">
        <v>16727</v>
      </c>
      <c r="C6748" s="879" t="s">
        <v>16631</v>
      </c>
      <c r="D6748" s="881" t="s">
        <v>7550</v>
      </c>
    </row>
    <row r="6749" spans="1:4" ht="13.5" x14ac:dyDescent="0.25">
      <c r="A6749" s="878" t="s">
        <v>16728</v>
      </c>
      <c r="B6749" s="878" t="s">
        <v>16729</v>
      </c>
      <c r="C6749" s="879" t="s">
        <v>16631</v>
      </c>
      <c r="D6749" s="881" t="s">
        <v>31295</v>
      </c>
    </row>
    <row r="6750" spans="1:4" ht="13.5" x14ac:dyDescent="0.25">
      <c r="A6750" s="878" t="s">
        <v>16730</v>
      </c>
      <c r="B6750" s="878" t="s">
        <v>16731</v>
      </c>
      <c r="C6750" s="879" t="s">
        <v>16536</v>
      </c>
      <c r="D6750" s="881" t="s">
        <v>31296</v>
      </c>
    </row>
    <row r="6751" spans="1:4" ht="13.5" x14ac:dyDescent="0.25">
      <c r="A6751" s="878" t="s">
        <v>16732</v>
      </c>
      <c r="B6751" s="878" t="s">
        <v>16733</v>
      </c>
      <c r="C6751" s="879" t="s">
        <v>16536</v>
      </c>
      <c r="D6751" s="881" t="s">
        <v>43829</v>
      </c>
    </row>
    <row r="6752" spans="1:4" ht="13.5" x14ac:dyDescent="0.25">
      <c r="A6752" s="878" t="s">
        <v>16734</v>
      </c>
      <c r="B6752" s="878" t="s">
        <v>16735</v>
      </c>
      <c r="C6752" s="879" t="s">
        <v>16536</v>
      </c>
      <c r="D6752" s="881" t="s">
        <v>30279</v>
      </c>
    </row>
    <row r="6753" spans="1:4" ht="13.5" x14ac:dyDescent="0.25">
      <c r="A6753" s="878" t="s">
        <v>16736</v>
      </c>
      <c r="B6753" s="878" t="s">
        <v>16737</v>
      </c>
      <c r="C6753" s="879" t="s">
        <v>16536</v>
      </c>
      <c r="D6753" s="881" t="s">
        <v>2997</v>
      </c>
    </row>
    <row r="6754" spans="1:4" ht="13.5" x14ac:dyDescent="0.25">
      <c r="A6754" s="878" t="s">
        <v>16738</v>
      </c>
      <c r="B6754" s="878" t="s">
        <v>16739</v>
      </c>
      <c r="C6754" s="879" t="s">
        <v>16593</v>
      </c>
      <c r="D6754" s="881" t="s">
        <v>30974</v>
      </c>
    </row>
    <row r="6755" spans="1:4" ht="13.5" x14ac:dyDescent="0.25">
      <c r="A6755" s="878" t="s">
        <v>16740</v>
      </c>
      <c r="B6755" s="878" t="s">
        <v>16741</v>
      </c>
      <c r="C6755" s="879" t="s">
        <v>227</v>
      </c>
      <c r="D6755" s="881" t="s">
        <v>4725</v>
      </c>
    </row>
    <row r="6756" spans="1:4" ht="13.5" x14ac:dyDescent="0.25">
      <c r="A6756" s="878" t="s">
        <v>16742</v>
      </c>
      <c r="B6756" s="878" t="s">
        <v>16743</v>
      </c>
      <c r="C6756" s="879" t="s">
        <v>16564</v>
      </c>
      <c r="D6756" s="881" t="s">
        <v>5669</v>
      </c>
    </row>
    <row r="6757" spans="1:4" ht="13.5" x14ac:dyDescent="0.25">
      <c r="A6757" s="878" t="s">
        <v>16744</v>
      </c>
      <c r="B6757" s="878" t="s">
        <v>16745</v>
      </c>
      <c r="C6757" s="879" t="s">
        <v>226</v>
      </c>
      <c r="D6757" s="881" t="s">
        <v>14722</v>
      </c>
    </row>
    <row r="6758" spans="1:4" ht="13.5" x14ac:dyDescent="0.25">
      <c r="A6758" s="878" t="s">
        <v>16746</v>
      </c>
      <c r="B6758" s="878" t="s">
        <v>16747</v>
      </c>
      <c r="C6758" s="879" t="s">
        <v>16564</v>
      </c>
      <c r="D6758" s="881" t="s">
        <v>6843</v>
      </c>
    </row>
    <row r="6759" spans="1:4" ht="13.5" x14ac:dyDescent="0.25">
      <c r="A6759" s="878" t="s">
        <v>16748</v>
      </c>
      <c r="B6759" s="878" t="s">
        <v>16749</v>
      </c>
      <c r="C6759" s="879" t="s">
        <v>226</v>
      </c>
      <c r="D6759" s="881" t="s">
        <v>30286</v>
      </c>
    </row>
    <row r="6760" spans="1:4" ht="13.5" x14ac:dyDescent="0.25">
      <c r="A6760" s="878" t="s">
        <v>16750</v>
      </c>
      <c r="B6760" s="878" t="s">
        <v>16751</v>
      </c>
      <c r="C6760" s="879" t="s">
        <v>16564</v>
      </c>
      <c r="D6760" s="881" t="s">
        <v>4162</v>
      </c>
    </row>
    <row r="6761" spans="1:4" ht="13.5" x14ac:dyDescent="0.25">
      <c r="A6761" s="878" t="s">
        <v>16752</v>
      </c>
      <c r="B6761" s="878" t="s">
        <v>16753</v>
      </c>
      <c r="C6761" s="879" t="s">
        <v>16593</v>
      </c>
      <c r="D6761" s="881" t="s">
        <v>31297</v>
      </c>
    </row>
    <row r="6762" spans="1:4" ht="13.5" x14ac:dyDescent="0.25">
      <c r="A6762" s="878" t="s">
        <v>16754</v>
      </c>
      <c r="B6762" s="878" t="s">
        <v>16755</v>
      </c>
      <c r="C6762" s="879" t="s">
        <v>227</v>
      </c>
      <c r="D6762" s="881" t="s">
        <v>10978</v>
      </c>
    </row>
    <row r="6763" spans="1:4" ht="13.5" x14ac:dyDescent="0.25">
      <c r="A6763" s="878" t="s">
        <v>16756</v>
      </c>
      <c r="B6763" s="878" t="s">
        <v>16757</v>
      </c>
      <c r="C6763" s="879" t="s">
        <v>16536</v>
      </c>
      <c r="D6763" s="880" t="s">
        <v>11135</v>
      </c>
    </row>
    <row r="6764" spans="1:4" ht="13.5" x14ac:dyDescent="0.25">
      <c r="A6764" s="878" t="s">
        <v>16759</v>
      </c>
      <c r="B6764" s="878" t="s">
        <v>16760</v>
      </c>
      <c r="C6764" s="879" t="s">
        <v>16593</v>
      </c>
      <c r="D6764" s="880" t="s">
        <v>31298</v>
      </c>
    </row>
    <row r="6765" spans="1:4" ht="13.5" x14ac:dyDescent="0.25">
      <c r="A6765" s="878" t="s">
        <v>16761</v>
      </c>
      <c r="B6765" s="878" t="s">
        <v>16762</v>
      </c>
      <c r="C6765" s="879" t="s">
        <v>16593</v>
      </c>
      <c r="D6765" s="881" t="s">
        <v>17095</v>
      </c>
    </row>
    <row r="6766" spans="1:4" ht="13.5" x14ac:dyDescent="0.25">
      <c r="A6766" s="878" t="s">
        <v>16764</v>
      </c>
      <c r="B6766" s="878" t="s">
        <v>16765</v>
      </c>
      <c r="C6766" s="879" t="s">
        <v>16593</v>
      </c>
      <c r="D6766" s="880" t="s">
        <v>31299</v>
      </c>
    </row>
    <row r="6767" spans="1:4" ht="13.5" x14ac:dyDescent="0.25">
      <c r="A6767" s="878" t="s">
        <v>16766</v>
      </c>
      <c r="B6767" s="878" t="s">
        <v>16767</v>
      </c>
      <c r="C6767" s="879" t="s">
        <v>16593</v>
      </c>
      <c r="D6767" s="880" t="s">
        <v>5067</v>
      </c>
    </row>
    <row r="6768" spans="1:4" ht="13.5" x14ac:dyDescent="0.25">
      <c r="A6768" s="878" t="s">
        <v>16768</v>
      </c>
      <c r="B6768" s="878" t="s">
        <v>16769</v>
      </c>
      <c r="C6768" s="879" t="s">
        <v>16564</v>
      </c>
      <c r="D6768" s="880" t="s">
        <v>41468</v>
      </c>
    </row>
    <row r="6769" spans="1:4" ht="13.5" x14ac:dyDescent="0.25">
      <c r="A6769" s="878" t="s">
        <v>16770</v>
      </c>
      <c r="B6769" s="878" t="s">
        <v>16771</v>
      </c>
      <c r="C6769" s="879" t="s">
        <v>226</v>
      </c>
      <c r="D6769" s="880" t="s">
        <v>43225</v>
      </c>
    </row>
    <row r="6770" spans="1:4" ht="13.5" x14ac:dyDescent="0.25">
      <c r="A6770" s="878" t="s">
        <v>16773</v>
      </c>
      <c r="B6770" s="878" t="s">
        <v>16774</v>
      </c>
      <c r="C6770" s="879" t="s">
        <v>16564</v>
      </c>
      <c r="D6770" s="880" t="s">
        <v>4865</v>
      </c>
    </row>
    <row r="6771" spans="1:4" ht="13.5" x14ac:dyDescent="0.25">
      <c r="A6771" s="878" t="s">
        <v>16775</v>
      </c>
      <c r="B6771" s="878" t="s">
        <v>16776</v>
      </c>
      <c r="C6771" s="879" t="s">
        <v>16564</v>
      </c>
      <c r="D6771" s="880" t="s">
        <v>4865</v>
      </c>
    </row>
    <row r="6772" spans="1:4" ht="13.5" x14ac:dyDescent="0.25">
      <c r="A6772" s="878" t="s">
        <v>16777</v>
      </c>
      <c r="B6772" s="878" t="s">
        <v>16778</v>
      </c>
      <c r="C6772" s="879" t="s">
        <v>16593</v>
      </c>
      <c r="D6772" s="880" t="s">
        <v>12115</v>
      </c>
    </row>
    <row r="6773" spans="1:4" ht="13.5" x14ac:dyDescent="0.25">
      <c r="A6773" s="878" t="s">
        <v>16779</v>
      </c>
      <c r="B6773" s="878" t="s">
        <v>16780</v>
      </c>
      <c r="C6773" s="879" t="s">
        <v>16593</v>
      </c>
      <c r="D6773" s="880" t="s">
        <v>14712</v>
      </c>
    </row>
    <row r="6774" spans="1:4" ht="13.5" x14ac:dyDescent="0.25">
      <c r="A6774" s="878" t="s">
        <v>16781</v>
      </c>
      <c r="B6774" s="878" t="s">
        <v>16782</v>
      </c>
      <c r="C6774" s="879" t="s">
        <v>16593</v>
      </c>
      <c r="D6774" s="880" t="s">
        <v>30653</v>
      </c>
    </row>
    <row r="6775" spans="1:4" ht="13.5" x14ac:dyDescent="0.25">
      <c r="A6775" s="878" t="s">
        <v>16783</v>
      </c>
      <c r="B6775" s="878" t="s">
        <v>16784</v>
      </c>
      <c r="C6775" s="879" t="s">
        <v>16631</v>
      </c>
      <c r="D6775" s="880" t="s">
        <v>5455</v>
      </c>
    </row>
    <row r="6776" spans="1:4" ht="13.5" x14ac:dyDescent="0.25">
      <c r="A6776" s="878" t="s">
        <v>16785</v>
      </c>
      <c r="B6776" s="878" t="s">
        <v>16786</v>
      </c>
      <c r="C6776" s="879" t="s">
        <v>16631</v>
      </c>
      <c r="D6776" s="881" t="s">
        <v>43830</v>
      </c>
    </row>
    <row r="6777" spans="1:4" ht="13.5" x14ac:dyDescent="0.25">
      <c r="A6777" s="878" t="s">
        <v>16787</v>
      </c>
      <c r="B6777" s="878" t="s">
        <v>16788</v>
      </c>
      <c r="C6777" s="879" t="s">
        <v>16631</v>
      </c>
      <c r="D6777" s="880" t="s">
        <v>31301</v>
      </c>
    </row>
    <row r="6778" spans="1:4" ht="13.5" x14ac:dyDescent="0.25">
      <c r="A6778" s="878" t="s">
        <v>16790</v>
      </c>
      <c r="B6778" s="878" t="s">
        <v>16791</v>
      </c>
      <c r="C6778" s="879" t="s">
        <v>227</v>
      </c>
      <c r="D6778" s="880" t="s">
        <v>5351</v>
      </c>
    </row>
    <row r="6779" spans="1:4" ht="13.5" x14ac:dyDescent="0.25">
      <c r="A6779" s="878" t="s">
        <v>16792</v>
      </c>
      <c r="B6779" s="878" t="s">
        <v>16793</v>
      </c>
      <c r="C6779" s="879" t="s">
        <v>227</v>
      </c>
      <c r="D6779" s="880" t="s">
        <v>31302</v>
      </c>
    </row>
    <row r="6780" spans="1:4" ht="13.5" x14ac:dyDescent="0.25">
      <c r="A6780" s="878" t="s">
        <v>16794</v>
      </c>
      <c r="B6780" s="878" t="s">
        <v>16795</v>
      </c>
      <c r="C6780" s="879" t="s">
        <v>227</v>
      </c>
      <c r="D6780" s="880" t="s">
        <v>43831</v>
      </c>
    </row>
    <row r="6781" spans="1:4" ht="13.5" x14ac:dyDescent="0.25">
      <c r="A6781" s="878" t="s">
        <v>16796</v>
      </c>
      <c r="B6781" s="878" t="s">
        <v>16797</v>
      </c>
      <c r="C6781" s="879" t="s">
        <v>227</v>
      </c>
      <c r="D6781" s="880" t="s">
        <v>43832</v>
      </c>
    </row>
    <row r="6782" spans="1:4" ht="13.5" x14ac:dyDescent="0.25">
      <c r="A6782" s="878" t="s">
        <v>16798</v>
      </c>
      <c r="B6782" s="878" t="s">
        <v>16799</v>
      </c>
      <c r="C6782" s="879" t="s">
        <v>227</v>
      </c>
      <c r="D6782" s="880" t="s">
        <v>43480</v>
      </c>
    </row>
    <row r="6783" spans="1:4" ht="13.5" x14ac:dyDescent="0.25">
      <c r="A6783" s="878" t="s">
        <v>16800</v>
      </c>
      <c r="B6783" s="878" t="s">
        <v>16801</v>
      </c>
      <c r="C6783" s="879" t="s">
        <v>227</v>
      </c>
      <c r="D6783" s="880" t="s">
        <v>41826</v>
      </c>
    </row>
    <row r="6784" spans="1:4" ht="13.5" x14ac:dyDescent="0.25">
      <c r="A6784" s="878" t="s">
        <v>16802</v>
      </c>
      <c r="B6784" s="878" t="s">
        <v>16803</v>
      </c>
      <c r="C6784" s="879" t="s">
        <v>227</v>
      </c>
      <c r="D6784" s="880" t="s">
        <v>43833</v>
      </c>
    </row>
    <row r="6785" spans="1:4" ht="13.5" x14ac:dyDescent="0.25">
      <c r="A6785" s="878" t="s">
        <v>16804</v>
      </c>
      <c r="B6785" s="878" t="s">
        <v>16805</v>
      </c>
      <c r="C6785" s="879" t="s">
        <v>227</v>
      </c>
      <c r="D6785" s="880" t="s">
        <v>43834</v>
      </c>
    </row>
    <row r="6786" spans="1:4" ht="13.5" x14ac:dyDescent="0.25">
      <c r="A6786" s="878" t="s">
        <v>16806</v>
      </c>
      <c r="B6786" s="878" t="s">
        <v>16807</v>
      </c>
      <c r="C6786" s="879" t="s">
        <v>227</v>
      </c>
      <c r="D6786" s="880" t="s">
        <v>7763</v>
      </c>
    </row>
    <row r="6787" spans="1:4" ht="13.5" x14ac:dyDescent="0.25">
      <c r="A6787" s="878" t="s">
        <v>16808</v>
      </c>
      <c r="B6787" s="878" t="s">
        <v>16809</v>
      </c>
      <c r="C6787" s="879" t="s">
        <v>227</v>
      </c>
      <c r="D6787" s="880" t="s">
        <v>43835</v>
      </c>
    </row>
    <row r="6788" spans="1:4" ht="13.5" x14ac:dyDescent="0.25">
      <c r="A6788" s="878" t="s">
        <v>16811</v>
      </c>
      <c r="B6788" s="878" t="s">
        <v>16812</v>
      </c>
      <c r="C6788" s="879" t="s">
        <v>227</v>
      </c>
      <c r="D6788" s="880" t="s">
        <v>31237</v>
      </c>
    </row>
    <row r="6789" spans="1:4" ht="13.5" x14ac:dyDescent="0.25">
      <c r="A6789" s="878" t="s">
        <v>16813</v>
      </c>
      <c r="B6789" s="878" t="s">
        <v>16814</v>
      </c>
      <c r="C6789" s="879" t="s">
        <v>227</v>
      </c>
      <c r="D6789" s="880" t="s">
        <v>43836</v>
      </c>
    </row>
    <row r="6790" spans="1:4" ht="13.5" x14ac:dyDescent="0.25">
      <c r="A6790" s="878" t="s">
        <v>16815</v>
      </c>
      <c r="B6790" s="878" t="s">
        <v>16816</v>
      </c>
      <c r="C6790" s="879" t="s">
        <v>227</v>
      </c>
      <c r="D6790" s="880" t="s">
        <v>43837</v>
      </c>
    </row>
    <row r="6791" spans="1:4" ht="13.5" x14ac:dyDescent="0.25">
      <c r="A6791" s="878" t="s">
        <v>16817</v>
      </c>
      <c r="B6791" s="878" t="s">
        <v>16818</v>
      </c>
      <c r="C6791" s="879" t="s">
        <v>226</v>
      </c>
      <c r="D6791" s="880" t="s">
        <v>43838</v>
      </c>
    </row>
    <row r="6792" spans="1:4" ht="13.5" x14ac:dyDescent="0.25">
      <c r="A6792" s="878" t="s">
        <v>16819</v>
      </c>
      <c r="B6792" s="878" t="s">
        <v>16820</v>
      </c>
      <c r="C6792" s="879" t="s">
        <v>226</v>
      </c>
      <c r="D6792" s="880" t="s">
        <v>43839</v>
      </c>
    </row>
    <row r="6793" spans="1:4" ht="13.5" x14ac:dyDescent="0.25">
      <c r="A6793" s="878" t="s">
        <v>16821</v>
      </c>
      <c r="B6793" s="878" t="s">
        <v>16822</v>
      </c>
      <c r="C6793" s="879" t="s">
        <v>226</v>
      </c>
      <c r="D6793" s="880" t="s">
        <v>43840</v>
      </c>
    </row>
    <row r="6794" spans="1:4" ht="13.5" x14ac:dyDescent="0.25">
      <c r="A6794" s="878" t="s">
        <v>16823</v>
      </c>
      <c r="B6794" s="878" t="s">
        <v>16824</v>
      </c>
      <c r="C6794" s="879" t="s">
        <v>226</v>
      </c>
      <c r="D6794" s="880" t="s">
        <v>30643</v>
      </c>
    </row>
    <row r="6795" spans="1:4" ht="13.5" x14ac:dyDescent="0.25">
      <c r="A6795" s="878" t="s">
        <v>16825</v>
      </c>
      <c r="B6795" s="878" t="s">
        <v>16826</v>
      </c>
      <c r="C6795" s="879" t="s">
        <v>227</v>
      </c>
      <c r="D6795" s="880" t="s">
        <v>43841</v>
      </c>
    </row>
    <row r="6796" spans="1:4" ht="13.5" x14ac:dyDescent="0.25">
      <c r="A6796" s="878" t="s">
        <v>16827</v>
      </c>
      <c r="B6796" s="878" t="s">
        <v>16828</v>
      </c>
      <c r="C6796" s="879" t="s">
        <v>227</v>
      </c>
      <c r="D6796" s="880" t="s">
        <v>4880</v>
      </c>
    </row>
    <row r="6797" spans="1:4" ht="13.5" x14ac:dyDescent="0.25">
      <c r="A6797" s="878" t="s">
        <v>16829</v>
      </c>
      <c r="B6797" s="878" t="s">
        <v>16830</v>
      </c>
      <c r="C6797" s="879" t="s">
        <v>227</v>
      </c>
      <c r="D6797" s="880" t="s">
        <v>4233</v>
      </c>
    </row>
    <row r="6798" spans="1:4" ht="13.5" x14ac:dyDescent="0.25">
      <c r="A6798" s="878" t="s">
        <v>16831</v>
      </c>
      <c r="B6798" s="878" t="s">
        <v>16832</v>
      </c>
      <c r="C6798" s="879" t="s">
        <v>227</v>
      </c>
      <c r="D6798" s="880" t="s">
        <v>4923</v>
      </c>
    </row>
    <row r="6799" spans="1:4" ht="13.5" x14ac:dyDescent="0.25">
      <c r="A6799" s="878" t="s">
        <v>16833</v>
      </c>
      <c r="B6799" s="878" t="s">
        <v>16834</v>
      </c>
      <c r="C6799" s="879" t="s">
        <v>227</v>
      </c>
      <c r="D6799" s="880" t="s">
        <v>43842</v>
      </c>
    </row>
    <row r="6800" spans="1:4" ht="13.5" x14ac:dyDescent="0.25">
      <c r="A6800" s="878" t="s">
        <v>16836</v>
      </c>
      <c r="B6800" s="878" t="s">
        <v>16837</v>
      </c>
      <c r="C6800" s="879" t="s">
        <v>227</v>
      </c>
      <c r="D6800" s="880" t="s">
        <v>40372</v>
      </c>
    </row>
    <row r="6801" spans="1:4" ht="13.5" x14ac:dyDescent="0.25">
      <c r="A6801" s="878" t="s">
        <v>16838</v>
      </c>
      <c r="B6801" s="878" t="s">
        <v>16839</v>
      </c>
      <c r="C6801" s="879" t="s">
        <v>227</v>
      </c>
      <c r="D6801" s="880" t="s">
        <v>9991</v>
      </c>
    </row>
    <row r="6802" spans="1:4" ht="13.5" x14ac:dyDescent="0.25">
      <c r="A6802" s="878" t="s">
        <v>16840</v>
      </c>
      <c r="B6802" s="878" t="s">
        <v>16841</v>
      </c>
      <c r="C6802" s="879" t="s">
        <v>227</v>
      </c>
      <c r="D6802" s="880" t="s">
        <v>30981</v>
      </c>
    </row>
    <row r="6803" spans="1:4" ht="13.5" x14ac:dyDescent="0.25">
      <c r="A6803" s="878" t="s">
        <v>16842</v>
      </c>
      <c r="B6803" s="878" t="s">
        <v>16843</v>
      </c>
      <c r="C6803" s="879" t="s">
        <v>158</v>
      </c>
      <c r="D6803" s="880" t="s">
        <v>5383</v>
      </c>
    </row>
    <row r="6804" spans="1:4" ht="13.5" x14ac:dyDescent="0.25">
      <c r="A6804" s="878" t="s">
        <v>16845</v>
      </c>
      <c r="B6804" s="878" t="s">
        <v>16846</v>
      </c>
      <c r="C6804" s="879" t="s">
        <v>158</v>
      </c>
      <c r="D6804" s="880" t="s">
        <v>43843</v>
      </c>
    </row>
    <row r="6805" spans="1:4" ht="13.5" x14ac:dyDescent="0.25">
      <c r="A6805" s="878" t="s">
        <v>16847</v>
      </c>
      <c r="B6805" s="878" t="s">
        <v>16848</v>
      </c>
      <c r="C6805" s="879" t="s">
        <v>158</v>
      </c>
      <c r="D6805" s="880" t="s">
        <v>43844</v>
      </c>
    </row>
    <row r="6806" spans="1:4" ht="13.5" x14ac:dyDescent="0.25">
      <c r="A6806" s="878" t="s">
        <v>16849</v>
      </c>
      <c r="B6806" s="878" t="s">
        <v>16850</v>
      </c>
      <c r="C6806" s="879" t="s">
        <v>158</v>
      </c>
      <c r="D6806" s="880" t="s">
        <v>31303</v>
      </c>
    </row>
    <row r="6807" spans="1:4" ht="13.5" x14ac:dyDescent="0.25">
      <c r="A6807" s="878" t="s">
        <v>16851</v>
      </c>
      <c r="B6807" s="878" t="s">
        <v>16852</v>
      </c>
      <c r="C6807" s="879" t="s">
        <v>158</v>
      </c>
      <c r="D6807" s="880" t="s">
        <v>31304</v>
      </c>
    </row>
    <row r="6808" spans="1:4" ht="13.5" x14ac:dyDescent="0.25">
      <c r="A6808" s="878" t="s">
        <v>16853</v>
      </c>
      <c r="B6808" s="878" t="s">
        <v>16854</v>
      </c>
      <c r="C6808" s="879" t="s">
        <v>158</v>
      </c>
      <c r="D6808" s="880" t="s">
        <v>31305</v>
      </c>
    </row>
    <row r="6809" spans="1:4" ht="13.5" x14ac:dyDescent="0.25">
      <c r="A6809" s="878" t="s">
        <v>16855</v>
      </c>
      <c r="B6809" s="878" t="s">
        <v>16856</v>
      </c>
      <c r="C6809" s="879" t="s">
        <v>158</v>
      </c>
      <c r="D6809" s="880" t="s">
        <v>31306</v>
      </c>
    </row>
    <row r="6810" spans="1:4" ht="13.5" x14ac:dyDescent="0.25">
      <c r="A6810" s="878" t="s">
        <v>16857</v>
      </c>
      <c r="B6810" s="878" t="s">
        <v>16858</v>
      </c>
      <c r="C6810" s="879" t="s">
        <v>158</v>
      </c>
      <c r="D6810" s="880" t="s">
        <v>42239</v>
      </c>
    </row>
    <row r="6811" spans="1:4" ht="13.5" x14ac:dyDescent="0.25">
      <c r="A6811" s="878" t="s">
        <v>16859</v>
      </c>
      <c r="B6811" s="878" t="s">
        <v>16860</v>
      </c>
      <c r="C6811" s="879" t="s">
        <v>158</v>
      </c>
      <c r="D6811" s="880" t="s">
        <v>43845</v>
      </c>
    </row>
    <row r="6812" spans="1:4" ht="13.5" x14ac:dyDescent="0.25">
      <c r="A6812" s="878" t="s">
        <v>16861</v>
      </c>
      <c r="B6812" s="878" t="s">
        <v>16862</v>
      </c>
      <c r="C6812" s="879" t="s">
        <v>158</v>
      </c>
      <c r="D6812" s="880" t="s">
        <v>43846</v>
      </c>
    </row>
    <row r="6813" spans="1:4" ht="13.5" x14ac:dyDescent="0.25">
      <c r="A6813" s="878" t="s">
        <v>16863</v>
      </c>
      <c r="B6813" s="878" t="s">
        <v>16864</v>
      </c>
      <c r="C6813" s="879" t="s">
        <v>158</v>
      </c>
      <c r="D6813" s="880" t="s">
        <v>31307</v>
      </c>
    </row>
    <row r="6814" spans="1:4" ht="13.5" x14ac:dyDescent="0.25">
      <c r="A6814" s="878" t="s">
        <v>16865</v>
      </c>
      <c r="B6814" s="878" t="s">
        <v>16866</v>
      </c>
      <c r="C6814" s="879" t="s">
        <v>158</v>
      </c>
      <c r="D6814" s="880" t="s">
        <v>43847</v>
      </c>
    </row>
    <row r="6815" spans="1:4" ht="13.5" x14ac:dyDescent="0.25">
      <c r="A6815" s="878" t="s">
        <v>16867</v>
      </c>
      <c r="B6815" s="878" t="s">
        <v>16868</v>
      </c>
      <c r="C6815" s="879" t="s">
        <v>158</v>
      </c>
      <c r="D6815" s="880" t="s">
        <v>31308</v>
      </c>
    </row>
    <row r="6816" spans="1:4" ht="13.5" x14ac:dyDescent="0.25">
      <c r="A6816" s="878" t="s">
        <v>16870</v>
      </c>
      <c r="B6816" s="878" t="s">
        <v>16871</v>
      </c>
      <c r="C6816" s="879" t="s">
        <v>227</v>
      </c>
      <c r="D6816" s="880" t="s">
        <v>16632</v>
      </c>
    </row>
    <row r="6817" spans="1:4" ht="13.5" x14ac:dyDescent="0.25">
      <c r="A6817" s="878" t="s">
        <v>16872</v>
      </c>
      <c r="B6817" s="878" t="s">
        <v>16873</v>
      </c>
      <c r="C6817" s="879" t="s">
        <v>227</v>
      </c>
      <c r="D6817" s="880" t="s">
        <v>10217</v>
      </c>
    </row>
    <row r="6818" spans="1:4" ht="13.5" x14ac:dyDescent="0.25">
      <c r="A6818" s="878" t="s">
        <v>16874</v>
      </c>
      <c r="B6818" s="878" t="s">
        <v>16875</v>
      </c>
      <c r="C6818" s="879" t="s">
        <v>227</v>
      </c>
      <c r="D6818" s="880" t="s">
        <v>30211</v>
      </c>
    </row>
    <row r="6819" spans="1:4" ht="13.5" x14ac:dyDescent="0.25">
      <c r="A6819" s="878" t="s">
        <v>16876</v>
      </c>
      <c r="B6819" s="878" t="s">
        <v>16877</v>
      </c>
      <c r="C6819" s="879" t="s">
        <v>227</v>
      </c>
      <c r="D6819" s="880" t="s">
        <v>31309</v>
      </c>
    </row>
    <row r="6820" spans="1:4" ht="13.5" x14ac:dyDescent="0.25">
      <c r="A6820" s="878" t="s">
        <v>16878</v>
      </c>
      <c r="B6820" s="878" t="s">
        <v>16879</v>
      </c>
      <c r="C6820" s="879" t="s">
        <v>227</v>
      </c>
      <c r="D6820" s="880" t="s">
        <v>9179</v>
      </c>
    </row>
    <row r="6821" spans="1:4" ht="13.5" x14ac:dyDescent="0.25">
      <c r="A6821" s="878" t="s">
        <v>16880</v>
      </c>
      <c r="B6821" s="878" t="s">
        <v>16881</v>
      </c>
      <c r="C6821" s="879" t="s">
        <v>227</v>
      </c>
      <c r="D6821" s="880" t="s">
        <v>31310</v>
      </c>
    </row>
    <row r="6822" spans="1:4" ht="13.5" x14ac:dyDescent="0.25">
      <c r="A6822" s="878" t="s">
        <v>16882</v>
      </c>
      <c r="B6822" s="878" t="s">
        <v>16883</v>
      </c>
      <c r="C6822" s="879" t="s">
        <v>226</v>
      </c>
      <c r="D6822" s="880" t="s">
        <v>4846</v>
      </c>
    </row>
    <row r="6823" spans="1:4" ht="13.5" x14ac:dyDescent="0.25">
      <c r="A6823" s="878" t="s">
        <v>16884</v>
      </c>
      <c r="B6823" s="878" t="s">
        <v>16885</v>
      </c>
      <c r="C6823" s="879" t="s">
        <v>227</v>
      </c>
      <c r="D6823" s="880" t="s">
        <v>30451</v>
      </c>
    </row>
    <row r="6824" spans="1:4" ht="13.5" x14ac:dyDescent="0.25">
      <c r="A6824" s="878" t="s">
        <v>16886</v>
      </c>
      <c r="B6824" s="878" t="s">
        <v>16887</v>
      </c>
      <c r="C6824" s="879" t="s">
        <v>227</v>
      </c>
      <c r="D6824" s="880" t="s">
        <v>4162</v>
      </c>
    </row>
    <row r="6825" spans="1:4" ht="13.5" x14ac:dyDescent="0.25">
      <c r="A6825" s="878" t="s">
        <v>16888</v>
      </c>
      <c r="B6825" s="878" t="s">
        <v>16889</v>
      </c>
      <c r="C6825" s="879" t="s">
        <v>158</v>
      </c>
      <c r="D6825" s="880" t="s">
        <v>31311</v>
      </c>
    </row>
    <row r="6826" spans="1:4" ht="13.5" x14ac:dyDescent="0.25">
      <c r="A6826" s="878" t="s">
        <v>16891</v>
      </c>
      <c r="B6826" s="878" t="s">
        <v>16892</v>
      </c>
      <c r="C6826" s="879" t="s">
        <v>159</v>
      </c>
      <c r="D6826" s="880" t="s">
        <v>4002</v>
      </c>
    </row>
    <row r="6827" spans="1:4" ht="13.5" x14ac:dyDescent="0.25">
      <c r="A6827" s="878" t="s">
        <v>16893</v>
      </c>
      <c r="B6827" s="878" t="s">
        <v>16894</v>
      </c>
      <c r="C6827" s="879" t="s">
        <v>227</v>
      </c>
      <c r="D6827" s="880" t="s">
        <v>30816</v>
      </c>
    </row>
    <row r="6828" spans="1:4" ht="13.5" x14ac:dyDescent="0.25">
      <c r="A6828" s="878" t="s">
        <v>16895</v>
      </c>
      <c r="B6828" s="878" t="s">
        <v>16896</v>
      </c>
      <c r="C6828" s="879" t="s">
        <v>158</v>
      </c>
      <c r="D6828" s="880" t="s">
        <v>3346</v>
      </c>
    </row>
    <row r="6829" spans="1:4" ht="13.5" x14ac:dyDescent="0.25">
      <c r="A6829" s="878" t="s">
        <v>16898</v>
      </c>
      <c r="B6829" s="878" t="s">
        <v>16899</v>
      </c>
      <c r="C6829" s="879" t="s">
        <v>159</v>
      </c>
      <c r="D6829" s="880" t="s">
        <v>43848</v>
      </c>
    </row>
    <row r="6830" spans="1:4" ht="13.5" x14ac:dyDescent="0.25">
      <c r="A6830" s="878" t="s">
        <v>16900</v>
      </c>
      <c r="B6830" s="878" t="s">
        <v>16901</v>
      </c>
      <c r="C6830" s="879" t="s">
        <v>159</v>
      </c>
      <c r="D6830" s="880" t="s">
        <v>13936</v>
      </c>
    </row>
    <row r="6831" spans="1:4" ht="13.5" x14ac:dyDescent="0.25">
      <c r="A6831" s="878" t="s">
        <v>16902</v>
      </c>
      <c r="B6831" s="878" t="s">
        <v>16903</v>
      </c>
      <c r="C6831" s="879" t="s">
        <v>159</v>
      </c>
      <c r="D6831" s="880" t="s">
        <v>5016</v>
      </c>
    </row>
    <row r="6832" spans="1:4" ht="13.5" x14ac:dyDescent="0.25">
      <c r="A6832" s="878" t="s">
        <v>16904</v>
      </c>
      <c r="B6832" s="878" t="s">
        <v>16905</v>
      </c>
      <c r="C6832" s="879" t="s">
        <v>159</v>
      </c>
      <c r="D6832" s="880" t="s">
        <v>30409</v>
      </c>
    </row>
    <row r="6833" spans="1:4" ht="13.5" x14ac:dyDescent="0.25">
      <c r="A6833" s="878" t="s">
        <v>16906</v>
      </c>
      <c r="B6833" s="878" t="s">
        <v>16907</v>
      </c>
      <c r="C6833" s="879" t="s">
        <v>159</v>
      </c>
      <c r="D6833" s="880" t="s">
        <v>5336</v>
      </c>
    </row>
    <row r="6834" spans="1:4" ht="13.5" x14ac:dyDescent="0.25">
      <c r="A6834" s="878" t="s">
        <v>16908</v>
      </c>
      <c r="B6834" s="878" t="s">
        <v>16909</v>
      </c>
      <c r="C6834" s="879" t="s">
        <v>159</v>
      </c>
      <c r="D6834" s="880" t="s">
        <v>31312</v>
      </c>
    </row>
    <row r="6835" spans="1:4" ht="13.5" x14ac:dyDescent="0.25">
      <c r="A6835" s="878" t="s">
        <v>16910</v>
      </c>
      <c r="B6835" s="878" t="s">
        <v>16911</v>
      </c>
      <c r="C6835" s="879" t="s">
        <v>159</v>
      </c>
      <c r="D6835" s="880" t="s">
        <v>31313</v>
      </c>
    </row>
    <row r="6836" spans="1:4" ht="13.5" x14ac:dyDescent="0.25">
      <c r="A6836" s="878" t="s">
        <v>16912</v>
      </c>
      <c r="B6836" s="878" t="s">
        <v>16913</v>
      </c>
      <c r="C6836" s="879" t="s">
        <v>159</v>
      </c>
      <c r="D6836" s="880" t="s">
        <v>43849</v>
      </c>
    </row>
    <row r="6837" spans="1:4" ht="13.5" x14ac:dyDescent="0.25">
      <c r="A6837" s="878" t="s">
        <v>16914</v>
      </c>
      <c r="B6837" s="878" t="s">
        <v>16915</v>
      </c>
      <c r="C6837" s="879" t="s">
        <v>159</v>
      </c>
      <c r="D6837" s="880" t="s">
        <v>43850</v>
      </c>
    </row>
    <row r="6838" spans="1:4" ht="13.5" x14ac:dyDescent="0.25">
      <c r="A6838" s="878" t="s">
        <v>16917</v>
      </c>
      <c r="B6838" s="878" t="s">
        <v>16918</v>
      </c>
      <c r="C6838" s="879" t="s">
        <v>227</v>
      </c>
      <c r="D6838" s="880" t="s">
        <v>43851</v>
      </c>
    </row>
    <row r="6839" spans="1:4" ht="13.5" x14ac:dyDescent="0.25">
      <c r="A6839" s="878" t="s">
        <v>16919</v>
      </c>
      <c r="B6839" s="878" t="s">
        <v>16920</v>
      </c>
      <c r="C6839" s="879" t="s">
        <v>158</v>
      </c>
      <c r="D6839" s="880" t="s">
        <v>43852</v>
      </c>
    </row>
    <row r="6840" spans="1:4" ht="13.5" x14ac:dyDescent="0.25">
      <c r="A6840" s="878" t="s">
        <v>16921</v>
      </c>
      <c r="B6840" s="878" t="s">
        <v>16922</v>
      </c>
      <c r="C6840" s="879" t="s">
        <v>227</v>
      </c>
      <c r="D6840" s="880" t="s">
        <v>43853</v>
      </c>
    </row>
    <row r="6841" spans="1:4" ht="13.5" x14ac:dyDescent="0.25">
      <c r="A6841" s="878" t="s">
        <v>16923</v>
      </c>
      <c r="B6841" s="878" t="s">
        <v>16924</v>
      </c>
      <c r="C6841" s="879" t="s">
        <v>227</v>
      </c>
      <c r="D6841" s="880" t="s">
        <v>43854</v>
      </c>
    </row>
    <row r="6842" spans="1:4" ht="13.5" x14ac:dyDescent="0.25">
      <c r="A6842" s="878" t="s">
        <v>16925</v>
      </c>
      <c r="B6842" s="878" t="s">
        <v>16926</v>
      </c>
      <c r="C6842" s="879" t="s">
        <v>227</v>
      </c>
      <c r="D6842" s="880" t="s">
        <v>43855</v>
      </c>
    </row>
    <row r="6843" spans="1:4" ht="13.5" x14ac:dyDescent="0.25">
      <c r="A6843" s="878" t="s">
        <v>16927</v>
      </c>
      <c r="B6843" s="878" t="s">
        <v>16928</v>
      </c>
      <c r="C6843" s="879" t="s">
        <v>227</v>
      </c>
      <c r="D6843" s="880" t="s">
        <v>30305</v>
      </c>
    </row>
    <row r="6844" spans="1:4" ht="13.5" x14ac:dyDescent="0.25">
      <c r="A6844" s="878" t="s">
        <v>16929</v>
      </c>
      <c r="B6844" s="878" t="s">
        <v>16930</v>
      </c>
      <c r="C6844" s="879" t="s">
        <v>227</v>
      </c>
      <c r="D6844" s="880" t="s">
        <v>30305</v>
      </c>
    </row>
    <row r="6845" spans="1:4" ht="13.5" x14ac:dyDescent="0.25">
      <c r="A6845" s="878" t="s">
        <v>16931</v>
      </c>
      <c r="B6845" s="878" t="s">
        <v>16932</v>
      </c>
      <c r="C6845" s="879" t="s">
        <v>227</v>
      </c>
      <c r="D6845" s="880" t="s">
        <v>4198</v>
      </c>
    </row>
    <row r="6846" spans="1:4" ht="13.5" x14ac:dyDescent="0.25">
      <c r="A6846" s="878" t="s">
        <v>16933</v>
      </c>
      <c r="B6846" s="878" t="s">
        <v>16934</v>
      </c>
      <c r="C6846" s="879" t="s">
        <v>227</v>
      </c>
      <c r="D6846" s="880" t="s">
        <v>31316</v>
      </c>
    </row>
    <row r="6847" spans="1:4" ht="13.5" x14ac:dyDescent="0.25">
      <c r="A6847" s="878" t="s">
        <v>16935</v>
      </c>
      <c r="B6847" s="878" t="s">
        <v>16936</v>
      </c>
      <c r="C6847" s="879" t="s">
        <v>227</v>
      </c>
      <c r="D6847" s="880" t="s">
        <v>17100</v>
      </c>
    </row>
    <row r="6848" spans="1:4" ht="13.5" x14ac:dyDescent="0.25">
      <c r="A6848" s="878" t="s">
        <v>16938</v>
      </c>
      <c r="B6848" s="878" t="s">
        <v>16939</v>
      </c>
      <c r="C6848" s="879" t="s">
        <v>227</v>
      </c>
      <c r="D6848" s="880" t="s">
        <v>31317</v>
      </c>
    </row>
    <row r="6849" spans="1:4" ht="13.5" x14ac:dyDescent="0.25">
      <c r="A6849" s="878" t="s">
        <v>16940</v>
      </c>
      <c r="B6849" s="878" t="s">
        <v>16941</v>
      </c>
      <c r="C6849" s="879" t="s">
        <v>227</v>
      </c>
      <c r="D6849" s="880" t="s">
        <v>15349</v>
      </c>
    </row>
    <row r="6850" spans="1:4" ht="13.5" x14ac:dyDescent="0.25">
      <c r="A6850" s="878" t="s">
        <v>16942</v>
      </c>
      <c r="B6850" s="878" t="s">
        <v>16943</v>
      </c>
      <c r="C6850" s="879" t="s">
        <v>227</v>
      </c>
      <c r="D6850" s="880" t="s">
        <v>31318</v>
      </c>
    </row>
    <row r="6851" spans="1:4" ht="13.5" x14ac:dyDescent="0.25">
      <c r="A6851" s="878" t="s">
        <v>16944</v>
      </c>
      <c r="B6851" s="878" t="s">
        <v>16945</v>
      </c>
      <c r="C6851" s="879" t="s">
        <v>227</v>
      </c>
      <c r="D6851" s="880" t="s">
        <v>42629</v>
      </c>
    </row>
    <row r="6852" spans="1:4" ht="13.5" x14ac:dyDescent="0.25">
      <c r="A6852" s="878" t="s">
        <v>16946</v>
      </c>
      <c r="B6852" s="878" t="s">
        <v>16947</v>
      </c>
      <c r="C6852" s="879" t="s">
        <v>227</v>
      </c>
      <c r="D6852" s="880" t="s">
        <v>30278</v>
      </c>
    </row>
    <row r="6853" spans="1:4" ht="13.5" x14ac:dyDescent="0.25">
      <c r="A6853" s="878" t="s">
        <v>16948</v>
      </c>
      <c r="B6853" s="878" t="s">
        <v>16949</v>
      </c>
      <c r="C6853" s="879" t="s">
        <v>227</v>
      </c>
      <c r="D6853" s="880" t="s">
        <v>43856</v>
      </c>
    </row>
    <row r="6854" spans="1:4" ht="13.5" x14ac:dyDescent="0.25">
      <c r="A6854" s="878" t="s">
        <v>16950</v>
      </c>
      <c r="B6854" s="878" t="s">
        <v>16951</v>
      </c>
      <c r="C6854" s="879" t="s">
        <v>227</v>
      </c>
      <c r="D6854" s="880" t="s">
        <v>30696</v>
      </c>
    </row>
    <row r="6855" spans="1:4" ht="13.5" x14ac:dyDescent="0.25">
      <c r="A6855" s="878" t="s">
        <v>16952</v>
      </c>
      <c r="B6855" s="878" t="s">
        <v>16953</v>
      </c>
      <c r="C6855" s="879" t="s">
        <v>227</v>
      </c>
      <c r="D6855" s="880" t="s">
        <v>31319</v>
      </c>
    </row>
    <row r="6856" spans="1:4" ht="13.5" x14ac:dyDescent="0.25">
      <c r="A6856" s="878" t="s">
        <v>16954</v>
      </c>
      <c r="B6856" s="878" t="s">
        <v>16955</v>
      </c>
      <c r="C6856" s="879" t="s">
        <v>227</v>
      </c>
      <c r="D6856" s="880" t="s">
        <v>40154</v>
      </c>
    </row>
    <row r="6857" spans="1:4" ht="13.5" x14ac:dyDescent="0.25">
      <c r="A6857" s="878" t="s">
        <v>16956</v>
      </c>
      <c r="B6857" s="878" t="s">
        <v>16957</v>
      </c>
      <c r="C6857" s="879" t="s">
        <v>226</v>
      </c>
      <c r="D6857" s="880" t="s">
        <v>16694</v>
      </c>
    </row>
    <row r="6858" spans="1:4" ht="13.5" x14ac:dyDescent="0.25">
      <c r="A6858" s="878" t="s">
        <v>16958</v>
      </c>
      <c r="B6858" s="878" t="s">
        <v>16959</v>
      </c>
      <c r="C6858" s="879" t="s">
        <v>226</v>
      </c>
      <c r="D6858" s="880" t="s">
        <v>43857</v>
      </c>
    </row>
    <row r="6859" spans="1:4" ht="13.5" x14ac:dyDescent="0.25">
      <c r="A6859" s="878" t="s">
        <v>16960</v>
      </c>
      <c r="B6859" s="878" t="s">
        <v>16961</v>
      </c>
      <c r="C6859" s="879" t="s">
        <v>226</v>
      </c>
      <c r="D6859" s="880" t="s">
        <v>16966</v>
      </c>
    </row>
    <row r="6860" spans="1:4" ht="13.5" x14ac:dyDescent="0.25">
      <c r="A6860" s="878" t="s">
        <v>16962</v>
      </c>
      <c r="B6860" s="878" t="s">
        <v>16963</v>
      </c>
      <c r="C6860" s="879" t="s">
        <v>226</v>
      </c>
      <c r="D6860" s="880" t="s">
        <v>5333</v>
      </c>
    </row>
    <row r="6861" spans="1:4" ht="13.5" x14ac:dyDescent="0.25">
      <c r="A6861" s="878" t="s">
        <v>16964</v>
      </c>
      <c r="B6861" s="878" t="s">
        <v>16965</v>
      </c>
      <c r="C6861" s="879" t="s">
        <v>227</v>
      </c>
      <c r="D6861" s="880" t="s">
        <v>3139</v>
      </c>
    </row>
    <row r="6862" spans="1:4" ht="13.5" x14ac:dyDescent="0.25">
      <c r="A6862" s="878" t="s">
        <v>16967</v>
      </c>
      <c r="B6862" s="878" t="s">
        <v>16968</v>
      </c>
      <c r="C6862" s="879" t="s">
        <v>226</v>
      </c>
      <c r="D6862" s="880" t="s">
        <v>43858</v>
      </c>
    </row>
    <row r="6863" spans="1:4" ht="13.5" x14ac:dyDescent="0.25">
      <c r="A6863" s="878" t="s">
        <v>16969</v>
      </c>
      <c r="B6863" s="878" t="s">
        <v>16970</v>
      </c>
      <c r="C6863" s="879" t="s">
        <v>226</v>
      </c>
      <c r="D6863" s="880" t="s">
        <v>40385</v>
      </c>
    </row>
    <row r="6864" spans="1:4" ht="13.5" x14ac:dyDescent="0.25">
      <c r="A6864" s="878" t="s">
        <v>16971</v>
      </c>
      <c r="B6864" s="878" t="s">
        <v>16972</v>
      </c>
      <c r="C6864" s="879" t="s">
        <v>226</v>
      </c>
      <c r="D6864" s="880" t="s">
        <v>40378</v>
      </c>
    </row>
    <row r="6865" spans="1:4" ht="13.5" x14ac:dyDescent="0.25">
      <c r="A6865" s="878" t="s">
        <v>16973</v>
      </c>
      <c r="B6865" s="878" t="s">
        <v>16974</v>
      </c>
      <c r="C6865" s="879" t="s">
        <v>226</v>
      </c>
      <c r="D6865" s="880" t="s">
        <v>9810</v>
      </c>
    </row>
    <row r="6866" spans="1:4" ht="13.5" x14ac:dyDescent="0.25">
      <c r="A6866" s="878" t="s">
        <v>16975</v>
      </c>
      <c r="B6866" s="878" t="s">
        <v>16976</v>
      </c>
      <c r="C6866" s="879" t="s">
        <v>226</v>
      </c>
      <c r="D6866" s="880" t="s">
        <v>17798</v>
      </c>
    </row>
    <row r="6867" spans="1:4" ht="13.5" x14ac:dyDescent="0.25">
      <c r="A6867" s="878" t="s">
        <v>16977</v>
      </c>
      <c r="B6867" s="878" t="s">
        <v>16978</v>
      </c>
      <c r="C6867" s="879" t="s">
        <v>158</v>
      </c>
      <c r="D6867" s="880" t="s">
        <v>17085</v>
      </c>
    </row>
    <row r="6868" spans="1:4" ht="13.5" x14ac:dyDescent="0.25">
      <c r="A6868" s="878" t="s">
        <v>16979</v>
      </c>
      <c r="B6868" s="878" t="s">
        <v>16980</v>
      </c>
      <c r="C6868" s="879" t="s">
        <v>158</v>
      </c>
      <c r="D6868" s="880" t="s">
        <v>16981</v>
      </c>
    </row>
    <row r="6869" spans="1:4" ht="13.5" x14ac:dyDescent="0.25">
      <c r="A6869" s="878" t="s">
        <v>16982</v>
      </c>
      <c r="B6869" s="878" t="s">
        <v>16983</v>
      </c>
      <c r="C6869" s="879" t="s">
        <v>226</v>
      </c>
      <c r="D6869" s="880" t="s">
        <v>5480</v>
      </c>
    </row>
    <row r="6870" spans="1:4" ht="13.5" x14ac:dyDescent="0.25">
      <c r="A6870" s="878" t="s">
        <v>16984</v>
      </c>
      <c r="B6870" s="878" t="s">
        <v>16985</v>
      </c>
      <c r="C6870" s="879" t="s">
        <v>226</v>
      </c>
      <c r="D6870" s="880" t="s">
        <v>17302</v>
      </c>
    </row>
    <row r="6871" spans="1:4" ht="13.5" x14ac:dyDescent="0.25">
      <c r="A6871" s="878" t="s">
        <v>16986</v>
      </c>
      <c r="B6871" s="878" t="s">
        <v>16987</v>
      </c>
      <c r="C6871" s="879" t="s">
        <v>226</v>
      </c>
      <c r="D6871" s="880" t="s">
        <v>43859</v>
      </c>
    </row>
    <row r="6872" spans="1:4" ht="13.5" x14ac:dyDescent="0.25">
      <c r="A6872" s="878" t="s">
        <v>16988</v>
      </c>
      <c r="B6872" s="878" t="s">
        <v>16989</v>
      </c>
      <c r="C6872" s="879" t="s">
        <v>226</v>
      </c>
      <c r="D6872" s="880" t="s">
        <v>43860</v>
      </c>
    </row>
    <row r="6873" spans="1:4" ht="13.5" x14ac:dyDescent="0.25">
      <c r="A6873" s="878" t="s">
        <v>16990</v>
      </c>
      <c r="B6873" s="878" t="s">
        <v>16991</v>
      </c>
      <c r="C6873" s="879" t="s">
        <v>4341</v>
      </c>
      <c r="D6873" s="880" t="s">
        <v>16981</v>
      </c>
    </row>
    <row r="6874" spans="1:4" ht="13.5" x14ac:dyDescent="0.25">
      <c r="A6874" s="878" t="s">
        <v>16993</v>
      </c>
      <c r="B6874" s="878" t="s">
        <v>16994</v>
      </c>
      <c r="C6874" s="879" t="s">
        <v>226</v>
      </c>
      <c r="D6874" s="881" t="s">
        <v>30456</v>
      </c>
    </row>
    <row r="6875" spans="1:4" ht="13.5" x14ac:dyDescent="0.25">
      <c r="A6875" s="878" t="s">
        <v>16996</v>
      </c>
      <c r="B6875" s="878" t="s">
        <v>16997</v>
      </c>
      <c r="C6875" s="879" t="s">
        <v>158</v>
      </c>
      <c r="D6875" s="881" t="s">
        <v>5465</v>
      </c>
    </row>
    <row r="6876" spans="1:4" ht="13.5" x14ac:dyDescent="0.25">
      <c r="A6876" s="878" t="s">
        <v>16998</v>
      </c>
      <c r="B6876" s="878" t="s">
        <v>16999</v>
      </c>
      <c r="C6876" s="879" t="s">
        <v>226</v>
      </c>
      <c r="D6876" s="881" t="s">
        <v>5067</v>
      </c>
    </row>
    <row r="6877" spans="1:4" ht="13.5" x14ac:dyDescent="0.25">
      <c r="A6877" s="878" t="s">
        <v>17000</v>
      </c>
      <c r="B6877" s="878" t="s">
        <v>17001</v>
      </c>
      <c r="C6877" s="879" t="s">
        <v>226</v>
      </c>
      <c r="D6877" s="881" t="s">
        <v>31431</v>
      </c>
    </row>
    <row r="6878" spans="1:4" ht="13.5" x14ac:dyDescent="0.25">
      <c r="A6878" s="878" t="s">
        <v>17003</v>
      </c>
      <c r="B6878" s="878" t="s">
        <v>17004</v>
      </c>
      <c r="C6878" s="879" t="s">
        <v>226</v>
      </c>
      <c r="D6878" s="881" t="s">
        <v>30382</v>
      </c>
    </row>
    <row r="6879" spans="1:4" ht="13.5" x14ac:dyDescent="0.25">
      <c r="A6879" s="878" t="s">
        <v>17005</v>
      </c>
      <c r="B6879" s="878" t="s">
        <v>17006</v>
      </c>
      <c r="C6879" s="879" t="s">
        <v>158</v>
      </c>
      <c r="D6879" s="881" t="s">
        <v>13921</v>
      </c>
    </row>
    <row r="6880" spans="1:4" ht="13.5" x14ac:dyDescent="0.25">
      <c r="A6880" s="878" t="s">
        <v>17007</v>
      </c>
      <c r="B6880" s="878" t="s">
        <v>17008</v>
      </c>
      <c r="C6880" s="879" t="s">
        <v>158</v>
      </c>
      <c r="D6880" s="881" t="s">
        <v>17095</v>
      </c>
    </row>
    <row r="6881" spans="1:4" ht="13.5" x14ac:dyDescent="0.25">
      <c r="A6881" s="885" t="s">
        <v>17009</v>
      </c>
      <c r="B6881" s="885" t="s">
        <v>17010</v>
      </c>
      <c r="C6881" s="886" t="s">
        <v>16557</v>
      </c>
      <c r="D6881" s="1179" t="s">
        <v>5444</v>
      </c>
    </row>
    <row r="6882" spans="1:4" ht="13.5" x14ac:dyDescent="0.25">
      <c r="A6882" s="885" t="s">
        <v>17011</v>
      </c>
      <c r="B6882" s="885" t="s">
        <v>17012</v>
      </c>
      <c r="C6882" s="886" t="s">
        <v>16557</v>
      </c>
      <c r="D6882" s="1179" t="s">
        <v>43861</v>
      </c>
    </row>
    <row r="6883" spans="1:4" ht="13.5" x14ac:dyDescent="0.25">
      <c r="A6883" s="885" t="s">
        <v>17013</v>
      </c>
      <c r="B6883" s="885" t="s">
        <v>17014</v>
      </c>
      <c r="C6883" s="886" t="s">
        <v>16557</v>
      </c>
      <c r="D6883" s="1179" t="s">
        <v>31310</v>
      </c>
    </row>
    <row r="6884" spans="1:4" ht="13.5" x14ac:dyDescent="0.25">
      <c r="A6884" s="885" t="s">
        <v>17015</v>
      </c>
      <c r="B6884" s="885" t="s">
        <v>17016</v>
      </c>
      <c r="C6884" s="886" t="s">
        <v>16557</v>
      </c>
      <c r="D6884" s="1179" t="s">
        <v>30194</v>
      </c>
    </row>
    <row r="6885" spans="1:4" ht="13.5" x14ac:dyDescent="0.25">
      <c r="A6885" s="885" t="s">
        <v>17017</v>
      </c>
      <c r="B6885" s="885" t="s">
        <v>17018</v>
      </c>
      <c r="C6885" s="886" t="s">
        <v>16557</v>
      </c>
      <c r="D6885" s="1179" t="s">
        <v>43862</v>
      </c>
    </row>
    <row r="6886" spans="1:4" ht="13.5" x14ac:dyDescent="0.25">
      <c r="A6886" s="885" t="s">
        <v>17019</v>
      </c>
      <c r="B6886" s="885" t="s">
        <v>17020</v>
      </c>
      <c r="C6886" s="886" t="s">
        <v>16557</v>
      </c>
      <c r="D6886" s="1179" t="s">
        <v>43863</v>
      </c>
    </row>
    <row r="6887" spans="1:4" ht="13.5" x14ac:dyDescent="0.25">
      <c r="A6887" s="878" t="s">
        <v>17021</v>
      </c>
      <c r="B6887" s="878" t="s">
        <v>17022</v>
      </c>
      <c r="C6887" s="879" t="s">
        <v>14711</v>
      </c>
      <c r="D6887" s="881" t="s">
        <v>14578</v>
      </c>
    </row>
    <row r="6888" spans="1:4" ht="13.5" x14ac:dyDescent="0.25">
      <c r="A6888" s="878" t="s">
        <v>17023</v>
      </c>
      <c r="B6888" s="878" t="s">
        <v>17024</v>
      </c>
      <c r="C6888" s="879" t="s">
        <v>14711</v>
      </c>
      <c r="D6888" s="881" t="s">
        <v>43864</v>
      </c>
    </row>
    <row r="6889" spans="1:4" ht="13.5" x14ac:dyDescent="0.25">
      <c r="A6889" s="878" t="s">
        <v>17025</v>
      </c>
      <c r="B6889" s="878" t="s">
        <v>17026</v>
      </c>
      <c r="C6889" s="879" t="s">
        <v>14711</v>
      </c>
      <c r="D6889" s="881" t="s">
        <v>40499</v>
      </c>
    </row>
    <row r="6890" spans="1:4" ht="13.5" x14ac:dyDescent="0.25">
      <c r="A6890" s="878" t="s">
        <v>17027</v>
      </c>
      <c r="B6890" s="878" t="s">
        <v>17028</v>
      </c>
      <c r="C6890" s="879" t="s">
        <v>14711</v>
      </c>
      <c r="D6890" s="881" t="s">
        <v>3757</v>
      </c>
    </row>
    <row r="6891" spans="1:4" ht="13.5" x14ac:dyDescent="0.25">
      <c r="A6891" s="878" t="s">
        <v>17029</v>
      </c>
      <c r="B6891" s="878" t="s">
        <v>17030</v>
      </c>
      <c r="C6891" s="879" t="s">
        <v>14711</v>
      </c>
      <c r="D6891" s="880" t="s">
        <v>40493</v>
      </c>
    </row>
    <row r="6892" spans="1:4" ht="13.5" x14ac:dyDescent="0.25">
      <c r="A6892" s="878" t="s">
        <v>17031</v>
      </c>
      <c r="B6892" s="878" t="s">
        <v>17032</v>
      </c>
      <c r="C6892" s="879" t="s">
        <v>14711</v>
      </c>
      <c r="D6892" s="880" t="s">
        <v>5351</v>
      </c>
    </row>
    <row r="6893" spans="1:4" ht="13.5" x14ac:dyDescent="0.25">
      <c r="A6893" s="885" t="s">
        <v>17033</v>
      </c>
      <c r="B6893" s="885" t="s">
        <v>17034</v>
      </c>
      <c r="C6893" s="886" t="s">
        <v>16557</v>
      </c>
      <c r="D6893" s="887" t="s">
        <v>4071</v>
      </c>
    </row>
    <row r="6894" spans="1:4" ht="13.5" x14ac:dyDescent="0.25">
      <c r="A6894" s="885" t="s">
        <v>17035</v>
      </c>
      <c r="B6894" s="885" t="s">
        <v>17036</v>
      </c>
      <c r="C6894" s="886" t="s">
        <v>16557</v>
      </c>
      <c r="D6894" s="887" t="s">
        <v>30722</v>
      </c>
    </row>
    <row r="6895" spans="1:4" ht="13.5" x14ac:dyDescent="0.25">
      <c r="A6895" s="885" t="s">
        <v>17037</v>
      </c>
      <c r="B6895" s="885" t="s">
        <v>17038</v>
      </c>
      <c r="C6895" s="886" t="s">
        <v>16557</v>
      </c>
      <c r="D6895" s="887" t="s">
        <v>5067</v>
      </c>
    </row>
    <row r="6896" spans="1:4" ht="13.5" x14ac:dyDescent="0.25">
      <c r="A6896" s="878" t="s">
        <v>17039</v>
      </c>
      <c r="B6896" s="878" t="s">
        <v>17040</v>
      </c>
      <c r="C6896" s="879" t="s">
        <v>14711</v>
      </c>
      <c r="D6896" s="880" t="s">
        <v>3815</v>
      </c>
    </row>
    <row r="6897" spans="1:4" ht="13.5" x14ac:dyDescent="0.25">
      <c r="A6897" s="878" t="s">
        <v>17041</v>
      </c>
      <c r="B6897" s="878" t="s">
        <v>17042</v>
      </c>
      <c r="C6897" s="879" t="s">
        <v>14711</v>
      </c>
      <c r="D6897" s="880" t="s">
        <v>43865</v>
      </c>
    </row>
    <row r="6898" spans="1:4" ht="13.5" x14ac:dyDescent="0.25">
      <c r="A6898" s="878" t="s">
        <v>17043</v>
      </c>
      <c r="B6898" s="878" t="s">
        <v>17044</v>
      </c>
      <c r="C6898" s="879" t="s">
        <v>14711</v>
      </c>
      <c r="D6898" s="880" t="s">
        <v>14722</v>
      </c>
    </row>
    <row r="6899" spans="1:4" ht="13.5" x14ac:dyDescent="0.25">
      <c r="A6899" s="885" t="s">
        <v>17046</v>
      </c>
      <c r="B6899" s="885" t="s">
        <v>17047</v>
      </c>
      <c r="C6899" s="886" t="s">
        <v>16557</v>
      </c>
      <c r="D6899" s="887" t="s">
        <v>43866</v>
      </c>
    </row>
    <row r="6900" spans="1:4" ht="13.5" x14ac:dyDescent="0.25">
      <c r="A6900" s="885" t="s">
        <v>17048</v>
      </c>
      <c r="B6900" s="885" t="s">
        <v>17049</v>
      </c>
      <c r="C6900" s="886" t="s">
        <v>16557</v>
      </c>
      <c r="D6900" s="887" t="s">
        <v>43867</v>
      </c>
    </row>
    <row r="6901" spans="1:4" ht="13.5" x14ac:dyDescent="0.25">
      <c r="A6901" s="885" t="s">
        <v>17050</v>
      </c>
      <c r="B6901" s="885" t="s">
        <v>17051</v>
      </c>
      <c r="C6901" s="886" t="s">
        <v>16557</v>
      </c>
      <c r="D6901" s="887" t="s">
        <v>43868</v>
      </c>
    </row>
    <row r="6902" spans="1:4" ht="13.5" x14ac:dyDescent="0.25">
      <c r="A6902" s="878" t="s">
        <v>17052</v>
      </c>
      <c r="B6902" s="878" t="s">
        <v>17053</v>
      </c>
      <c r="C6902" s="879" t="s">
        <v>14711</v>
      </c>
      <c r="D6902" s="880" t="s">
        <v>40518</v>
      </c>
    </row>
    <row r="6903" spans="1:4" ht="13.5" x14ac:dyDescent="0.25">
      <c r="A6903" s="878" t="s">
        <v>17054</v>
      </c>
      <c r="B6903" s="878" t="s">
        <v>17055</v>
      </c>
      <c r="C6903" s="879" t="s">
        <v>14711</v>
      </c>
      <c r="D6903" s="880" t="s">
        <v>40480</v>
      </c>
    </row>
    <row r="6904" spans="1:4" ht="13.5" x14ac:dyDescent="0.25">
      <c r="A6904" s="878" t="s">
        <v>17056</v>
      </c>
      <c r="B6904" s="878" t="s">
        <v>17057</v>
      </c>
      <c r="C6904" s="879" t="s">
        <v>14711</v>
      </c>
      <c r="D6904" s="880" t="s">
        <v>30458</v>
      </c>
    </row>
    <row r="6905" spans="1:4" ht="13.5" x14ac:dyDescent="0.25">
      <c r="A6905" s="885" t="s">
        <v>17058</v>
      </c>
      <c r="B6905" s="885" t="s">
        <v>17059</v>
      </c>
      <c r="C6905" s="886" t="s">
        <v>16557</v>
      </c>
      <c r="D6905" s="887" t="s">
        <v>43869</v>
      </c>
    </row>
    <row r="6906" spans="1:4" ht="13.5" x14ac:dyDescent="0.25">
      <c r="A6906" s="885" t="s">
        <v>17061</v>
      </c>
      <c r="B6906" s="885" t="s">
        <v>17062</v>
      </c>
      <c r="C6906" s="886" t="s">
        <v>16557</v>
      </c>
      <c r="D6906" s="887" t="s">
        <v>43151</v>
      </c>
    </row>
    <row r="6907" spans="1:4" ht="13.5" x14ac:dyDescent="0.25">
      <c r="A6907" s="885" t="s">
        <v>17063</v>
      </c>
      <c r="B6907" s="885" t="s">
        <v>17064</v>
      </c>
      <c r="C6907" s="886" t="s">
        <v>16557</v>
      </c>
      <c r="D6907" s="887" t="s">
        <v>43870</v>
      </c>
    </row>
    <row r="6908" spans="1:4" ht="13.5" x14ac:dyDescent="0.25">
      <c r="A6908" s="885" t="s">
        <v>17065</v>
      </c>
      <c r="B6908" s="885" t="s">
        <v>17066</v>
      </c>
      <c r="C6908" s="886" t="s">
        <v>16557</v>
      </c>
      <c r="D6908" s="887" t="s">
        <v>43871</v>
      </c>
    </row>
    <row r="6909" spans="1:4" ht="13.5" x14ac:dyDescent="0.25">
      <c r="A6909" s="885" t="s">
        <v>17067</v>
      </c>
      <c r="B6909" s="885" t="s">
        <v>17068</v>
      </c>
      <c r="C6909" s="886" t="s">
        <v>16557</v>
      </c>
      <c r="D6909" s="887" t="s">
        <v>5079</v>
      </c>
    </row>
    <row r="6910" spans="1:4" ht="13.5" x14ac:dyDescent="0.25">
      <c r="A6910" s="885" t="s">
        <v>17069</v>
      </c>
      <c r="B6910" s="885" t="s">
        <v>17070</v>
      </c>
      <c r="C6910" s="886" t="s">
        <v>16557</v>
      </c>
      <c r="D6910" s="887" t="s">
        <v>30718</v>
      </c>
    </row>
    <row r="6911" spans="1:4" ht="13.5" x14ac:dyDescent="0.25">
      <c r="A6911" s="885" t="s">
        <v>17071</v>
      </c>
      <c r="B6911" s="885" t="s">
        <v>17072</v>
      </c>
      <c r="C6911" s="886" t="s">
        <v>16557</v>
      </c>
      <c r="D6911" s="887" t="s">
        <v>31319</v>
      </c>
    </row>
    <row r="6912" spans="1:4" ht="13.5" x14ac:dyDescent="0.25">
      <c r="A6912" s="885" t="s">
        <v>17073</v>
      </c>
      <c r="B6912" s="885" t="s">
        <v>17074</v>
      </c>
      <c r="C6912" s="886" t="s">
        <v>16557</v>
      </c>
      <c r="D6912" s="887" t="s">
        <v>4899</v>
      </c>
    </row>
    <row r="6913" spans="1:4" ht="13.5" x14ac:dyDescent="0.25">
      <c r="A6913" s="878" t="s">
        <v>17075</v>
      </c>
      <c r="B6913" s="878" t="s">
        <v>17076</v>
      </c>
      <c r="C6913" s="879" t="s">
        <v>14711</v>
      </c>
      <c r="D6913" s="880" t="s">
        <v>8123</v>
      </c>
    </row>
    <row r="6914" spans="1:4" ht="13.5" x14ac:dyDescent="0.25">
      <c r="A6914" s="878" t="s">
        <v>17077</v>
      </c>
      <c r="B6914" s="878" t="s">
        <v>17078</v>
      </c>
      <c r="C6914" s="879" t="s">
        <v>14711</v>
      </c>
      <c r="D6914" s="880" t="s">
        <v>15578</v>
      </c>
    </row>
    <row r="6915" spans="1:4" ht="13.5" x14ac:dyDescent="0.25">
      <c r="A6915" s="878" t="s">
        <v>17079</v>
      </c>
      <c r="B6915" s="878" t="s">
        <v>17080</v>
      </c>
      <c r="C6915" s="879" t="s">
        <v>14711</v>
      </c>
      <c r="D6915" s="880" t="s">
        <v>30192</v>
      </c>
    </row>
    <row r="6916" spans="1:4" ht="13.5" x14ac:dyDescent="0.25">
      <c r="A6916" s="878" t="s">
        <v>17081</v>
      </c>
      <c r="B6916" s="878" t="s">
        <v>17082</v>
      </c>
      <c r="C6916" s="879" t="s">
        <v>14711</v>
      </c>
      <c r="D6916" s="880" t="s">
        <v>43872</v>
      </c>
    </row>
    <row r="6917" spans="1:4" ht="13.5" x14ac:dyDescent="0.25">
      <c r="A6917" s="878" t="s">
        <v>17083</v>
      </c>
      <c r="B6917" s="878" t="s">
        <v>17084</v>
      </c>
      <c r="C6917" s="879" t="s">
        <v>14711</v>
      </c>
      <c r="D6917" s="880" t="s">
        <v>43873</v>
      </c>
    </row>
    <row r="6918" spans="1:4" ht="13.5" x14ac:dyDescent="0.25">
      <c r="A6918" s="878" t="s">
        <v>17086</v>
      </c>
      <c r="B6918" s="878" t="s">
        <v>17087</v>
      </c>
      <c r="C6918" s="879" t="s">
        <v>14711</v>
      </c>
      <c r="D6918" s="880" t="s">
        <v>16981</v>
      </c>
    </row>
    <row r="6919" spans="1:4" ht="13.5" x14ac:dyDescent="0.25">
      <c r="A6919" s="878" t="s">
        <v>17088</v>
      </c>
      <c r="B6919" s="878" t="s">
        <v>17089</v>
      </c>
      <c r="C6919" s="879" t="s">
        <v>14711</v>
      </c>
      <c r="D6919" s="880" t="s">
        <v>14712</v>
      </c>
    </row>
    <row r="6920" spans="1:4" ht="13.5" x14ac:dyDescent="0.25">
      <c r="A6920" s="878" t="s">
        <v>17090</v>
      </c>
      <c r="B6920" s="878" t="s">
        <v>17091</v>
      </c>
      <c r="C6920" s="879" t="s">
        <v>14711</v>
      </c>
      <c r="D6920" s="880" t="s">
        <v>30439</v>
      </c>
    </row>
    <row r="6921" spans="1:4" ht="13.5" x14ac:dyDescent="0.25">
      <c r="A6921" s="878" t="s">
        <v>17093</v>
      </c>
      <c r="B6921" s="878" t="s">
        <v>17094</v>
      </c>
      <c r="C6921" s="879" t="s">
        <v>14711</v>
      </c>
      <c r="D6921" s="880" t="s">
        <v>17095</v>
      </c>
    </row>
    <row r="6922" spans="1:4" ht="13.5" x14ac:dyDescent="0.25">
      <c r="A6922" s="878" t="s">
        <v>17096</v>
      </c>
      <c r="B6922" s="878" t="s">
        <v>17097</v>
      </c>
      <c r="C6922" s="879" t="s">
        <v>14711</v>
      </c>
      <c r="D6922" s="880" t="s">
        <v>5278</v>
      </c>
    </row>
    <row r="6923" spans="1:4" ht="13.5" x14ac:dyDescent="0.25">
      <c r="A6923" s="878" t="s">
        <v>17098</v>
      </c>
      <c r="B6923" s="878" t="s">
        <v>17099</v>
      </c>
      <c r="C6923" s="879" t="s">
        <v>14711</v>
      </c>
      <c r="D6923" s="880" t="s">
        <v>15120</v>
      </c>
    </row>
    <row r="6924" spans="1:4" ht="13.5" x14ac:dyDescent="0.25">
      <c r="A6924" s="878" t="s">
        <v>17101</v>
      </c>
      <c r="B6924" s="878" t="s">
        <v>17102</v>
      </c>
      <c r="C6924" s="879" t="s">
        <v>14711</v>
      </c>
      <c r="D6924" s="880" t="s">
        <v>43860</v>
      </c>
    </row>
    <row r="6925" spans="1:4" ht="13.5" x14ac:dyDescent="0.25">
      <c r="A6925" s="878" t="s">
        <v>17103</v>
      </c>
      <c r="B6925" s="878" t="s">
        <v>17104</v>
      </c>
      <c r="C6925" s="879" t="s">
        <v>14711</v>
      </c>
      <c r="D6925" s="880" t="s">
        <v>43874</v>
      </c>
    </row>
    <row r="6926" spans="1:4" ht="13.5" x14ac:dyDescent="0.25">
      <c r="A6926" s="878" t="s">
        <v>17106</v>
      </c>
      <c r="B6926" s="878" t="s">
        <v>17107</v>
      </c>
      <c r="C6926" s="879" t="s">
        <v>14711</v>
      </c>
      <c r="D6926" s="880" t="s">
        <v>43875</v>
      </c>
    </row>
    <row r="6927" spans="1:4" ht="13.5" x14ac:dyDescent="0.25">
      <c r="A6927" s="878" t="s">
        <v>17108</v>
      </c>
      <c r="B6927" s="878" t="s">
        <v>17109</v>
      </c>
      <c r="C6927" s="879" t="s">
        <v>16557</v>
      </c>
      <c r="D6927" s="880" t="s">
        <v>43876</v>
      </c>
    </row>
    <row r="6928" spans="1:4" ht="13.5" x14ac:dyDescent="0.25">
      <c r="A6928" s="878" t="s">
        <v>17110</v>
      </c>
      <c r="B6928" s="878" t="s">
        <v>17111</v>
      </c>
      <c r="C6928" s="879" t="s">
        <v>16557</v>
      </c>
      <c r="D6928" s="880" t="s">
        <v>43877</v>
      </c>
    </row>
    <row r="6929" spans="1:4" ht="13.5" x14ac:dyDescent="0.25">
      <c r="A6929" s="878" t="s">
        <v>17112</v>
      </c>
      <c r="B6929" s="878" t="s">
        <v>17113</v>
      </c>
      <c r="C6929" s="879" t="s">
        <v>16557</v>
      </c>
      <c r="D6929" s="880" t="s">
        <v>30452</v>
      </c>
    </row>
    <row r="6930" spans="1:4" ht="13.5" x14ac:dyDescent="0.25">
      <c r="A6930" s="878" t="s">
        <v>17114</v>
      </c>
      <c r="B6930" s="878" t="s">
        <v>17115</v>
      </c>
      <c r="C6930" s="879" t="s">
        <v>16557</v>
      </c>
      <c r="D6930" s="880" t="s">
        <v>12102</v>
      </c>
    </row>
    <row r="6931" spans="1:4" ht="13.5" x14ac:dyDescent="0.25">
      <c r="A6931" s="878" t="s">
        <v>17116</v>
      </c>
      <c r="B6931" s="878" t="s">
        <v>17117</v>
      </c>
      <c r="C6931" s="879" t="s">
        <v>16557</v>
      </c>
      <c r="D6931" s="880" t="s">
        <v>43878</v>
      </c>
    </row>
    <row r="6932" spans="1:4" ht="13.5" x14ac:dyDescent="0.25">
      <c r="A6932" s="878" t="s">
        <v>17119</v>
      </c>
      <c r="B6932" s="878" t="s">
        <v>17120</v>
      </c>
      <c r="C6932" s="879" t="s">
        <v>16557</v>
      </c>
      <c r="D6932" s="880" t="s">
        <v>17121</v>
      </c>
    </row>
    <row r="6933" spans="1:4" ht="13.5" x14ac:dyDescent="0.25">
      <c r="A6933" s="878" t="s">
        <v>17122</v>
      </c>
      <c r="B6933" s="878" t="s">
        <v>17123</v>
      </c>
      <c r="C6933" s="879" t="s">
        <v>16557</v>
      </c>
      <c r="D6933" s="880" t="s">
        <v>43879</v>
      </c>
    </row>
    <row r="6934" spans="1:4" ht="13.5" x14ac:dyDescent="0.25">
      <c r="A6934" s="878" t="s">
        <v>17125</v>
      </c>
      <c r="B6934" s="878" t="s">
        <v>17126</v>
      </c>
      <c r="C6934" s="879" t="s">
        <v>16557</v>
      </c>
      <c r="D6934" s="880" t="s">
        <v>7040</v>
      </c>
    </row>
    <row r="6935" spans="1:4" ht="13.5" x14ac:dyDescent="0.25">
      <c r="A6935" s="878" t="s">
        <v>17127</v>
      </c>
      <c r="B6935" s="878" t="s">
        <v>17128</v>
      </c>
      <c r="C6935" s="879" t="s">
        <v>16557</v>
      </c>
      <c r="D6935" s="880" t="s">
        <v>43152</v>
      </c>
    </row>
    <row r="6936" spans="1:4" ht="13.5" x14ac:dyDescent="0.25">
      <c r="A6936" s="878" t="s">
        <v>17129</v>
      </c>
      <c r="B6936" s="878" t="s">
        <v>17130</v>
      </c>
      <c r="C6936" s="879" t="s">
        <v>16557</v>
      </c>
      <c r="D6936" s="880" t="s">
        <v>8248</v>
      </c>
    </row>
    <row r="6937" spans="1:4" ht="13.5" x14ac:dyDescent="0.25">
      <c r="A6937" s="878" t="s">
        <v>17131</v>
      </c>
      <c r="B6937" s="878" t="s">
        <v>17132</v>
      </c>
      <c r="C6937" s="879" t="s">
        <v>159</v>
      </c>
      <c r="D6937" s="880" t="s">
        <v>10978</v>
      </c>
    </row>
    <row r="6938" spans="1:4" ht="13.5" x14ac:dyDescent="0.25">
      <c r="A6938" s="878" t="s">
        <v>17134</v>
      </c>
      <c r="B6938" s="878" t="s">
        <v>17135</v>
      </c>
      <c r="C6938" s="879" t="s">
        <v>159</v>
      </c>
      <c r="D6938" s="880" t="s">
        <v>17124</v>
      </c>
    </row>
    <row r="6939" spans="1:4" ht="13.5" x14ac:dyDescent="0.25">
      <c r="A6939" s="878" t="s">
        <v>17137</v>
      </c>
      <c r="B6939" s="878" t="s">
        <v>17138</v>
      </c>
      <c r="C6939" s="879" t="s">
        <v>159</v>
      </c>
      <c r="D6939" s="880" t="s">
        <v>41651</v>
      </c>
    </row>
    <row r="6940" spans="1:4" ht="13.5" x14ac:dyDescent="0.25">
      <c r="A6940" s="878" t="s">
        <v>17139</v>
      </c>
      <c r="B6940" s="878" t="s">
        <v>17140</v>
      </c>
      <c r="C6940" s="879" t="s">
        <v>14711</v>
      </c>
      <c r="D6940" s="880" t="s">
        <v>41460</v>
      </c>
    </row>
    <row r="6941" spans="1:4" ht="13.5" x14ac:dyDescent="0.25">
      <c r="A6941" s="878" t="s">
        <v>17141</v>
      </c>
      <c r="B6941" s="878" t="s">
        <v>17142</v>
      </c>
      <c r="C6941" s="879" t="s">
        <v>14711</v>
      </c>
      <c r="D6941" s="880" t="s">
        <v>31089</v>
      </c>
    </row>
    <row r="6942" spans="1:4" ht="13.5" x14ac:dyDescent="0.25">
      <c r="A6942" s="878" t="s">
        <v>17143</v>
      </c>
      <c r="B6942" s="878" t="s">
        <v>17144</v>
      </c>
      <c r="C6942" s="879" t="s">
        <v>14711</v>
      </c>
      <c r="D6942" s="880" t="s">
        <v>9753</v>
      </c>
    </row>
    <row r="6943" spans="1:4" ht="13.5" x14ac:dyDescent="0.25">
      <c r="A6943" s="878" t="s">
        <v>17145</v>
      </c>
      <c r="B6943" s="878" t="s">
        <v>17146</v>
      </c>
      <c r="C6943" s="879" t="s">
        <v>14711</v>
      </c>
      <c r="D6943" s="880" t="s">
        <v>17147</v>
      </c>
    </row>
    <row r="6944" spans="1:4" ht="13.5" x14ac:dyDescent="0.25">
      <c r="A6944" s="878" t="s">
        <v>17148</v>
      </c>
      <c r="B6944" s="878" t="s">
        <v>17149</v>
      </c>
      <c r="C6944" s="879" t="s">
        <v>14711</v>
      </c>
      <c r="D6944" s="880" t="s">
        <v>43880</v>
      </c>
    </row>
    <row r="6945" spans="1:4" ht="13.5" x14ac:dyDescent="0.25">
      <c r="A6945" s="878" t="s">
        <v>17150</v>
      </c>
      <c r="B6945" s="878" t="s">
        <v>17151</v>
      </c>
      <c r="C6945" s="879" t="s">
        <v>14711</v>
      </c>
      <c r="D6945" s="880" t="s">
        <v>43881</v>
      </c>
    </row>
    <row r="6946" spans="1:4" ht="13.5" x14ac:dyDescent="0.25">
      <c r="A6946" s="878" t="s">
        <v>17152</v>
      </c>
      <c r="B6946" s="878" t="s">
        <v>17153</v>
      </c>
      <c r="C6946" s="879" t="s">
        <v>14711</v>
      </c>
      <c r="D6946" s="880" t="s">
        <v>43882</v>
      </c>
    </row>
    <row r="6947" spans="1:4" ht="13.5" x14ac:dyDescent="0.25">
      <c r="A6947" s="878" t="s">
        <v>17154</v>
      </c>
      <c r="B6947" s="878" t="s">
        <v>17155</v>
      </c>
      <c r="C6947" s="879" t="s">
        <v>14711</v>
      </c>
      <c r="D6947" s="880" t="s">
        <v>43883</v>
      </c>
    </row>
    <row r="6948" spans="1:4" ht="13.5" x14ac:dyDescent="0.25">
      <c r="A6948" s="878" t="s">
        <v>17156</v>
      </c>
      <c r="B6948" s="878" t="s">
        <v>17157</v>
      </c>
      <c r="C6948" s="879" t="s">
        <v>17105</v>
      </c>
      <c r="D6948" s="880" t="s">
        <v>43884</v>
      </c>
    </row>
    <row r="6949" spans="1:4" ht="13.5" x14ac:dyDescent="0.25">
      <c r="A6949" s="878" t="s">
        <v>17158</v>
      </c>
      <c r="B6949" s="878" t="s">
        <v>17159</v>
      </c>
      <c r="C6949" s="879" t="s">
        <v>17105</v>
      </c>
      <c r="D6949" s="880" t="s">
        <v>43885</v>
      </c>
    </row>
    <row r="6950" spans="1:4" ht="13.5" x14ac:dyDescent="0.25">
      <c r="A6950" s="878" t="s">
        <v>17160</v>
      </c>
      <c r="B6950" s="878" t="s">
        <v>17161</v>
      </c>
      <c r="C6950" s="879" t="s">
        <v>17105</v>
      </c>
      <c r="D6950" s="880" t="s">
        <v>13990</v>
      </c>
    </row>
    <row r="6951" spans="1:4" ht="13.5" x14ac:dyDescent="0.25">
      <c r="A6951" s="878" t="s">
        <v>17162</v>
      </c>
      <c r="B6951" s="878" t="s">
        <v>17163</v>
      </c>
      <c r="C6951" s="879" t="s">
        <v>159</v>
      </c>
      <c r="D6951" s="880" t="s">
        <v>40154</v>
      </c>
    </row>
    <row r="6952" spans="1:4" ht="13.5" x14ac:dyDescent="0.25">
      <c r="A6952" s="878" t="s">
        <v>17164</v>
      </c>
      <c r="B6952" s="878" t="s">
        <v>17165</v>
      </c>
      <c r="C6952" s="879" t="s">
        <v>159</v>
      </c>
      <c r="D6952" s="880" t="s">
        <v>4441</v>
      </c>
    </row>
    <row r="6953" spans="1:4" ht="13.5" x14ac:dyDescent="0.25">
      <c r="A6953" s="878" t="s">
        <v>17166</v>
      </c>
      <c r="B6953" s="878" t="s">
        <v>17167</v>
      </c>
      <c r="C6953" s="879" t="s">
        <v>159</v>
      </c>
      <c r="D6953" s="880" t="s">
        <v>30458</v>
      </c>
    </row>
    <row r="6954" spans="1:4" ht="13.5" x14ac:dyDescent="0.25">
      <c r="A6954" s="878" t="s">
        <v>17169</v>
      </c>
      <c r="B6954" s="878" t="s">
        <v>17170</v>
      </c>
      <c r="C6954" s="879" t="s">
        <v>159</v>
      </c>
      <c r="D6954" s="880" t="s">
        <v>3961</v>
      </c>
    </row>
    <row r="6955" spans="1:4" ht="13.5" x14ac:dyDescent="0.25">
      <c r="A6955" s="878" t="s">
        <v>17171</v>
      </c>
      <c r="B6955" s="878" t="s">
        <v>17172</v>
      </c>
      <c r="C6955" s="879" t="s">
        <v>159</v>
      </c>
      <c r="D6955" s="880" t="s">
        <v>14722</v>
      </c>
    </row>
    <row r="6956" spans="1:4" ht="13.5" x14ac:dyDescent="0.25">
      <c r="A6956" s="878" t="s">
        <v>17173</v>
      </c>
      <c r="B6956" s="878" t="s">
        <v>17174</v>
      </c>
      <c r="C6956" s="879" t="s">
        <v>159</v>
      </c>
      <c r="D6956" s="880" t="s">
        <v>30368</v>
      </c>
    </row>
    <row r="6957" spans="1:4" ht="13.5" x14ac:dyDescent="0.25">
      <c r="A6957" s="878" t="s">
        <v>17175</v>
      </c>
      <c r="B6957" s="878" t="s">
        <v>17176</v>
      </c>
      <c r="C6957" s="879" t="s">
        <v>159</v>
      </c>
      <c r="D6957" s="880" t="s">
        <v>31041</v>
      </c>
    </row>
    <row r="6958" spans="1:4" ht="13.5" x14ac:dyDescent="0.25">
      <c r="A6958" s="878" t="s">
        <v>17177</v>
      </c>
      <c r="B6958" s="878" t="s">
        <v>17178</v>
      </c>
      <c r="C6958" s="879" t="s">
        <v>159</v>
      </c>
      <c r="D6958" s="880" t="s">
        <v>43886</v>
      </c>
    </row>
    <row r="6959" spans="1:4" ht="13.5" x14ac:dyDescent="0.25">
      <c r="A6959" s="878" t="s">
        <v>17179</v>
      </c>
      <c r="B6959" s="878" t="s">
        <v>17180</v>
      </c>
      <c r="C6959" s="879" t="s">
        <v>159</v>
      </c>
      <c r="D6959" s="880" t="s">
        <v>4093</v>
      </c>
    </row>
    <row r="6960" spans="1:4" ht="13.5" x14ac:dyDescent="0.25">
      <c r="A6960" s="878" t="s">
        <v>17182</v>
      </c>
      <c r="B6960" s="878" t="s">
        <v>17183</v>
      </c>
      <c r="C6960" s="879" t="s">
        <v>159</v>
      </c>
      <c r="D6960" s="880" t="s">
        <v>40434</v>
      </c>
    </row>
    <row r="6961" spans="1:4" ht="13.5" x14ac:dyDescent="0.25">
      <c r="A6961" s="878" t="s">
        <v>17184</v>
      </c>
      <c r="B6961" s="878" t="s">
        <v>17185</v>
      </c>
      <c r="C6961" s="879" t="s">
        <v>159</v>
      </c>
      <c r="D6961" s="880" t="s">
        <v>43587</v>
      </c>
    </row>
    <row r="6962" spans="1:4" ht="13.5" x14ac:dyDescent="0.25">
      <c r="A6962" s="878" t="s">
        <v>17186</v>
      </c>
      <c r="B6962" s="878" t="s">
        <v>17187</v>
      </c>
      <c r="C6962" s="879" t="s">
        <v>159</v>
      </c>
      <c r="D6962" s="880" t="s">
        <v>43887</v>
      </c>
    </row>
    <row r="6963" spans="1:4" ht="13.5" x14ac:dyDescent="0.25">
      <c r="A6963" s="878" t="s">
        <v>17188</v>
      </c>
      <c r="B6963" s="878" t="s">
        <v>17189</v>
      </c>
      <c r="C6963" s="879" t="s">
        <v>159</v>
      </c>
      <c r="D6963" s="880" t="s">
        <v>30661</v>
      </c>
    </row>
    <row r="6964" spans="1:4" ht="13.5" x14ac:dyDescent="0.25">
      <c r="A6964" s="878" t="s">
        <v>17190</v>
      </c>
      <c r="B6964" s="878" t="s">
        <v>17191</v>
      </c>
      <c r="C6964" s="879" t="s">
        <v>17105</v>
      </c>
      <c r="D6964" s="880" t="s">
        <v>43061</v>
      </c>
    </row>
    <row r="6965" spans="1:4" ht="13.5" x14ac:dyDescent="0.25">
      <c r="A6965" s="878" t="s">
        <v>17192</v>
      </c>
      <c r="B6965" s="878" t="s">
        <v>17193</v>
      </c>
      <c r="C6965" s="879" t="s">
        <v>17105</v>
      </c>
      <c r="D6965" s="880" t="s">
        <v>15516</v>
      </c>
    </row>
    <row r="6966" spans="1:4" ht="13.5" x14ac:dyDescent="0.25">
      <c r="A6966" s="878" t="s">
        <v>17194</v>
      </c>
      <c r="B6966" s="878" t="s">
        <v>17195</v>
      </c>
      <c r="C6966" s="879" t="s">
        <v>17105</v>
      </c>
      <c r="D6966" s="880" t="s">
        <v>15721</v>
      </c>
    </row>
    <row r="6967" spans="1:4" ht="13.5" x14ac:dyDescent="0.25">
      <c r="A6967" s="878" t="s">
        <v>17196</v>
      </c>
      <c r="B6967" s="878" t="s">
        <v>17197</v>
      </c>
      <c r="C6967" s="879" t="s">
        <v>17105</v>
      </c>
      <c r="D6967" s="880" t="s">
        <v>43888</v>
      </c>
    </row>
    <row r="6968" spans="1:4" ht="13.5" x14ac:dyDescent="0.25">
      <c r="A6968" s="878" t="s">
        <v>17199</v>
      </c>
      <c r="B6968" s="878" t="s">
        <v>17200</v>
      </c>
      <c r="C6968" s="879" t="s">
        <v>17105</v>
      </c>
      <c r="D6968" s="880" t="s">
        <v>43889</v>
      </c>
    </row>
    <row r="6969" spans="1:4" ht="13.5" x14ac:dyDescent="0.25">
      <c r="A6969" s="878" t="s">
        <v>17201</v>
      </c>
      <c r="B6969" s="878" t="s">
        <v>17202</v>
      </c>
      <c r="C6969" s="879" t="s">
        <v>17105</v>
      </c>
      <c r="D6969" s="880" t="s">
        <v>30966</v>
      </c>
    </row>
    <row r="6970" spans="1:4" ht="13.5" x14ac:dyDescent="0.25">
      <c r="A6970" s="878" t="s">
        <v>17203</v>
      </c>
      <c r="B6970" s="878" t="s">
        <v>17204</v>
      </c>
      <c r="C6970" s="879" t="s">
        <v>17105</v>
      </c>
      <c r="D6970" s="880" t="s">
        <v>43179</v>
      </c>
    </row>
    <row r="6971" spans="1:4" ht="13.5" x14ac:dyDescent="0.25">
      <c r="A6971" s="878" t="s">
        <v>17205</v>
      </c>
      <c r="B6971" s="878" t="s">
        <v>17206</v>
      </c>
      <c r="C6971" s="879" t="s">
        <v>17105</v>
      </c>
      <c r="D6971" s="880" t="s">
        <v>4973</v>
      </c>
    </row>
    <row r="6972" spans="1:4" ht="13.5" x14ac:dyDescent="0.25">
      <c r="A6972" s="878" t="s">
        <v>17207</v>
      </c>
      <c r="B6972" s="878" t="s">
        <v>17208</v>
      </c>
      <c r="C6972" s="879" t="s">
        <v>17105</v>
      </c>
      <c r="D6972" s="880" t="s">
        <v>40508</v>
      </c>
    </row>
    <row r="6973" spans="1:4" ht="13.5" x14ac:dyDescent="0.25">
      <c r="A6973" s="878" t="s">
        <v>17209</v>
      </c>
      <c r="B6973" s="878" t="s">
        <v>17210</v>
      </c>
      <c r="C6973" s="879" t="s">
        <v>17105</v>
      </c>
      <c r="D6973" s="880" t="s">
        <v>30659</v>
      </c>
    </row>
    <row r="6974" spans="1:4" ht="13.5" x14ac:dyDescent="0.25">
      <c r="A6974" s="878" t="s">
        <v>17211</v>
      </c>
      <c r="B6974" s="878" t="s">
        <v>17212</v>
      </c>
      <c r="C6974" s="879" t="s">
        <v>17105</v>
      </c>
      <c r="D6974" s="880" t="s">
        <v>30587</v>
      </c>
    </row>
    <row r="6975" spans="1:4" ht="13.5" x14ac:dyDescent="0.25">
      <c r="A6975" s="878" t="s">
        <v>17213</v>
      </c>
      <c r="B6975" s="878" t="s">
        <v>17214</v>
      </c>
      <c r="C6975" s="879" t="s">
        <v>17105</v>
      </c>
      <c r="D6975" s="880" t="s">
        <v>31236</v>
      </c>
    </row>
    <row r="6976" spans="1:4" ht="13.5" x14ac:dyDescent="0.25">
      <c r="A6976" s="878" t="s">
        <v>17215</v>
      </c>
      <c r="B6976" s="878" t="s">
        <v>17216</v>
      </c>
      <c r="C6976" s="879" t="s">
        <v>17105</v>
      </c>
      <c r="D6976" s="880" t="s">
        <v>30360</v>
      </c>
    </row>
    <row r="6977" spans="1:4" ht="13.5" x14ac:dyDescent="0.25">
      <c r="A6977" s="878" t="s">
        <v>17217</v>
      </c>
      <c r="B6977" s="878" t="s">
        <v>17218</v>
      </c>
      <c r="C6977" s="879" t="s">
        <v>17105</v>
      </c>
      <c r="D6977" s="880" t="s">
        <v>42214</v>
      </c>
    </row>
    <row r="6978" spans="1:4" ht="13.5" x14ac:dyDescent="0.25">
      <c r="A6978" s="878" t="s">
        <v>17219</v>
      </c>
      <c r="B6978" s="878" t="s">
        <v>17220</v>
      </c>
      <c r="C6978" s="879" t="s">
        <v>17105</v>
      </c>
      <c r="D6978" s="880" t="s">
        <v>41660</v>
      </c>
    </row>
    <row r="6979" spans="1:4" ht="13.5" x14ac:dyDescent="0.25">
      <c r="A6979" s="878" t="s">
        <v>17221</v>
      </c>
      <c r="B6979" s="878" t="s">
        <v>17222</v>
      </c>
      <c r="C6979" s="879" t="s">
        <v>17105</v>
      </c>
      <c r="D6979" s="880" t="s">
        <v>30827</v>
      </c>
    </row>
    <row r="6980" spans="1:4" ht="13.5" x14ac:dyDescent="0.25">
      <c r="A6980" s="878" t="s">
        <v>17223</v>
      </c>
      <c r="B6980" s="878" t="s">
        <v>17224</v>
      </c>
      <c r="C6980" s="879" t="s">
        <v>159</v>
      </c>
      <c r="D6980" s="880" t="s">
        <v>40553</v>
      </c>
    </row>
    <row r="6981" spans="1:4" ht="13.5" x14ac:dyDescent="0.25">
      <c r="A6981" s="878" t="s">
        <v>17225</v>
      </c>
      <c r="B6981" s="878" t="s">
        <v>17226</v>
      </c>
      <c r="C6981" s="879" t="s">
        <v>159</v>
      </c>
      <c r="D6981" s="880" t="s">
        <v>30968</v>
      </c>
    </row>
    <row r="6982" spans="1:4" ht="13.5" x14ac:dyDescent="0.25">
      <c r="A6982" s="878" t="s">
        <v>17227</v>
      </c>
      <c r="B6982" s="878" t="s">
        <v>17228</v>
      </c>
      <c r="C6982" s="879" t="s">
        <v>159</v>
      </c>
      <c r="D6982" s="880" t="s">
        <v>30974</v>
      </c>
    </row>
    <row r="6983" spans="1:4" ht="13.5" x14ac:dyDescent="0.25">
      <c r="A6983" s="878" t="s">
        <v>17229</v>
      </c>
      <c r="B6983" s="878" t="s">
        <v>17230</v>
      </c>
      <c r="C6983" s="879" t="s">
        <v>159</v>
      </c>
      <c r="D6983" s="880" t="s">
        <v>30779</v>
      </c>
    </row>
    <row r="6984" spans="1:4" ht="13.5" x14ac:dyDescent="0.25">
      <c r="A6984" s="878" t="s">
        <v>17232</v>
      </c>
      <c r="B6984" s="878" t="s">
        <v>17233</v>
      </c>
      <c r="C6984" s="879" t="s">
        <v>17105</v>
      </c>
      <c r="D6984" s="880" t="s">
        <v>43890</v>
      </c>
    </row>
    <row r="6985" spans="1:4" ht="13.5" x14ac:dyDescent="0.25">
      <c r="A6985" s="878" t="s">
        <v>17234</v>
      </c>
      <c r="B6985" s="878" t="s">
        <v>17235</v>
      </c>
      <c r="C6985" s="879" t="s">
        <v>17105</v>
      </c>
      <c r="D6985" s="880" t="s">
        <v>43891</v>
      </c>
    </row>
    <row r="6986" spans="1:4" ht="13.5" x14ac:dyDescent="0.25">
      <c r="A6986" s="878" t="s">
        <v>17236</v>
      </c>
      <c r="B6986" s="878" t="s">
        <v>17237</v>
      </c>
      <c r="C6986" s="879" t="s">
        <v>17105</v>
      </c>
      <c r="D6986" s="880" t="s">
        <v>43892</v>
      </c>
    </row>
    <row r="6987" spans="1:4" ht="13.5" x14ac:dyDescent="0.25">
      <c r="A6987" s="878" t="s">
        <v>17238</v>
      </c>
      <c r="B6987" s="878" t="s">
        <v>17239</v>
      </c>
      <c r="C6987" s="879" t="s">
        <v>17105</v>
      </c>
      <c r="D6987" s="880" t="s">
        <v>15806</v>
      </c>
    </row>
    <row r="6988" spans="1:4" ht="13.5" x14ac:dyDescent="0.25">
      <c r="A6988" s="878" t="s">
        <v>17241</v>
      </c>
      <c r="B6988" s="878" t="s">
        <v>17242</v>
      </c>
      <c r="C6988" s="879" t="s">
        <v>17105</v>
      </c>
      <c r="D6988" s="880" t="s">
        <v>43540</v>
      </c>
    </row>
    <row r="6989" spans="1:4" ht="13.5" x14ac:dyDescent="0.25">
      <c r="A6989" s="878" t="s">
        <v>17243</v>
      </c>
      <c r="B6989" s="878" t="s">
        <v>17244</v>
      </c>
      <c r="C6989" s="879" t="s">
        <v>17105</v>
      </c>
      <c r="D6989" s="880" t="s">
        <v>43893</v>
      </c>
    </row>
    <row r="6990" spans="1:4" ht="13.5" x14ac:dyDescent="0.25">
      <c r="A6990" s="878" t="s">
        <v>17245</v>
      </c>
      <c r="B6990" s="878" t="s">
        <v>17246</v>
      </c>
      <c r="C6990" s="879" t="s">
        <v>17105</v>
      </c>
      <c r="D6990" s="880" t="s">
        <v>43894</v>
      </c>
    </row>
    <row r="6991" spans="1:4" ht="13.5" x14ac:dyDescent="0.25">
      <c r="A6991" s="878" t="s">
        <v>17247</v>
      </c>
      <c r="B6991" s="878" t="s">
        <v>17248</v>
      </c>
      <c r="C6991" s="879" t="s">
        <v>17105</v>
      </c>
      <c r="D6991" s="880" t="s">
        <v>43895</v>
      </c>
    </row>
    <row r="6992" spans="1:4" ht="13.5" x14ac:dyDescent="0.25">
      <c r="A6992" s="878" t="s">
        <v>17249</v>
      </c>
      <c r="B6992" s="878" t="s">
        <v>17250</v>
      </c>
      <c r="C6992" s="879" t="s">
        <v>17105</v>
      </c>
      <c r="D6992" s="880" t="s">
        <v>43896</v>
      </c>
    </row>
    <row r="6993" spans="1:4" ht="13.5" x14ac:dyDescent="0.25">
      <c r="A6993" s="878" t="s">
        <v>17251</v>
      </c>
      <c r="B6993" s="878" t="s">
        <v>17252</v>
      </c>
      <c r="C6993" s="879" t="s">
        <v>17105</v>
      </c>
      <c r="D6993" s="880" t="s">
        <v>43897</v>
      </c>
    </row>
    <row r="6994" spans="1:4" ht="13.5" x14ac:dyDescent="0.25">
      <c r="A6994" s="878" t="s">
        <v>17253</v>
      </c>
      <c r="B6994" s="878" t="s">
        <v>17254</v>
      </c>
      <c r="C6994" s="879" t="s">
        <v>17105</v>
      </c>
      <c r="D6994" s="880" t="s">
        <v>9758</v>
      </c>
    </row>
    <row r="6995" spans="1:4" ht="13.5" x14ac:dyDescent="0.25">
      <c r="A6995" s="878" t="s">
        <v>17255</v>
      </c>
      <c r="B6995" s="878" t="s">
        <v>17256</v>
      </c>
      <c r="C6995" s="879" t="s">
        <v>17105</v>
      </c>
      <c r="D6995" s="880" t="s">
        <v>43898</v>
      </c>
    </row>
    <row r="6996" spans="1:4" ht="13.5" x14ac:dyDescent="0.25">
      <c r="A6996" s="878" t="s">
        <v>17258</v>
      </c>
      <c r="B6996" s="878" t="s">
        <v>17259</v>
      </c>
      <c r="C6996" s="879" t="s">
        <v>17105</v>
      </c>
      <c r="D6996" s="880" t="s">
        <v>30506</v>
      </c>
    </row>
    <row r="6997" spans="1:4" ht="13.5" x14ac:dyDescent="0.25">
      <c r="A6997" s="878" t="s">
        <v>17260</v>
      </c>
      <c r="B6997" s="878" t="s">
        <v>17261</v>
      </c>
      <c r="C6997" s="879" t="s">
        <v>17105</v>
      </c>
      <c r="D6997" s="880" t="s">
        <v>43899</v>
      </c>
    </row>
    <row r="6998" spans="1:4" ht="13.5" x14ac:dyDescent="0.25">
      <c r="A6998" s="878" t="s">
        <v>17262</v>
      </c>
      <c r="B6998" s="878" t="s">
        <v>17263</v>
      </c>
      <c r="C6998" s="879" t="s">
        <v>17105</v>
      </c>
      <c r="D6998" s="880" t="s">
        <v>43900</v>
      </c>
    </row>
    <row r="6999" spans="1:4" ht="13.5" x14ac:dyDescent="0.25">
      <c r="A6999" s="878" t="s">
        <v>17264</v>
      </c>
      <c r="B6999" s="878" t="s">
        <v>17265</v>
      </c>
      <c r="C6999" s="879" t="s">
        <v>17105</v>
      </c>
      <c r="D6999" s="880" t="s">
        <v>43901</v>
      </c>
    </row>
    <row r="7000" spans="1:4" ht="13.5" x14ac:dyDescent="0.25">
      <c r="A7000" s="878" t="s">
        <v>17266</v>
      </c>
      <c r="B7000" s="878" t="s">
        <v>17267</v>
      </c>
      <c r="C7000" s="879" t="s">
        <v>17105</v>
      </c>
      <c r="D7000" s="880" t="s">
        <v>43902</v>
      </c>
    </row>
    <row r="7001" spans="1:4" ht="13.5" x14ac:dyDescent="0.25">
      <c r="A7001" s="878" t="s">
        <v>17268</v>
      </c>
      <c r="B7001" s="878" t="s">
        <v>17269</v>
      </c>
      <c r="C7001" s="879" t="s">
        <v>17105</v>
      </c>
      <c r="D7001" s="880" t="s">
        <v>43903</v>
      </c>
    </row>
    <row r="7002" spans="1:4" ht="13.5" x14ac:dyDescent="0.25">
      <c r="A7002" s="878" t="s">
        <v>17270</v>
      </c>
      <c r="B7002" s="878" t="s">
        <v>17271</v>
      </c>
      <c r="C7002" s="879" t="s">
        <v>17105</v>
      </c>
      <c r="D7002" s="880" t="s">
        <v>31139</v>
      </c>
    </row>
    <row r="7003" spans="1:4" ht="13.5" x14ac:dyDescent="0.25">
      <c r="A7003" s="878" t="s">
        <v>17272</v>
      </c>
      <c r="B7003" s="878" t="s">
        <v>17273</v>
      </c>
      <c r="C7003" s="879" t="s">
        <v>17105</v>
      </c>
      <c r="D7003" s="880" t="s">
        <v>43904</v>
      </c>
    </row>
    <row r="7004" spans="1:4" ht="13.5" x14ac:dyDescent="0.25">
      <c r="A7004" s="878" t="s">
        <v>17274</v>
      </c>
      <c r="B7004" s="878" t="s">
        <v>17275</v>
      </c>
      <c r="C7004" s="879" t="s">
        <v>17105</v>
      </c>
      <c r="D7004" s="880" t="s">
        <v>31055</v>
      </c>
    </row>
    <row r="7005" spans="1:4" ht="13.5" x14ac:dyDescent="0.25">
      <c r="A7005" s="878" t="s">
        <v>17276</v>
      </c>
      <c r="B7005" s="878" t="s">
        <v>17277</v>
      </c>
      <c r="C7005" s="879" t="s">
        <v>17105</v>
      </c>
      <c r="D7005" s="880" t="s">
        <v>43905</v>
      </c>
    </row>
    <row r="7006" spans="1:4" ht="13.5" x14ac:dyDescent="0.25">
      <c r="A7006" s="878" t="s">
        <v>17278</v>
      </c>
      <c r="B7006" s="878" t="s">
        <v>17279</v>
      </c>
      <c r="C7006" s="879" t="s">
        <v>17105</v>
      </c>
      <c r="D7006" s="880" t="s">
        <v>43906</v>
      </c>
    </row>
    <row r="7007" spans="1:4" ht="13.5" x14ac:dyDescent="0.25">
      <c r="A7007" s="878" t="s">
        <v>17280</v>
      </c>
      <c r="B7007" s="878" t="s">
        <v>17281</v>
      </c>
      <c r="C7007" s="879" t="s">
        <v>17105</v>
      </c>
      <c r="D7007" s="880" t="s">
        <v>43907</v>
      </c>
    </row>
    <row r="7008" spans="1:4" ht="13.5" x14ac:dyDescent="0.25">
      <c r="A7008" s="878" t="s">
        <v>17282</v>
      </c>
      <c r="B7008" s="878" t="s">
        <v>17283</v>
      </c>
      <c r="C7008" s="879" t="s">
        <v>17105</v>
      </c>
      <c r="D7008" s="880" t="s">
        <v>40474</v>
      </c>
    </row>
    <row r="7009" spans="1:4" ht="13.5" x14ac:dyDescent="0.25">
      <c r="A7009" s="878" t="s">
        <v>17284</v>
      </c>
      <c r="B7009" s="878" t="s">
        <v>17285</v>
      </c>
      <c r="C7009" s="879" t="s">
        <v>17105</v>
      </c>
      <c r="D7009" s="880" t="s">
        <v>43906</v>
      </c>
    </row>
    <row r="7010" spans="1:4" ht="13.5" x14ac:dyDescent="0.25">
      <c r="A7010" s="878" t="s">
        <v>17286</v>
      </c>
      <c r="B7010" s="878" t="s">
        <v>17287</v>
      </c>
      <c r="C7010" s="879" t="s">
        <v>17105</v>
      </c>
      <c r="D7010" s="880" t="s">
        <v>43908</v>
      </c>
    </row>
    <row r="7011" spans="1:4" ht="13.5" x14ac:dyDescent="0.25">
      <c r="A7011" s="878" t="s">
        <v>17288</v>
      </c>
      <c r="B7011" s="878" t="s">
        <v>17289</v>
      </c>
      <c r="C7011" s="879" t="s">
        <v>17105</v>
      </c>
      <c r="D7011" s="880" t="s">
        <v>43909</v>
      </c>
    </row>
    <row r="7012" spans="1:4" ht="13.5" x14ac:dyDescent="0.25">
      <c r="A7012" s="878" t="s">
        <v>17290</v>
      </c>
      <c r="B7012" s="878" t="s">
        <v>17291</v>
      </c>
      <c r="C7012" s="879" t="s">
        <v>17105</v>
      </c>
      <c r="D7012" s="880" t="s">
        <v>43910</v>
      </c>
    </row>
    <row r="7013" spans="1:4" ht="13.5" x14ac:dyDescent="0.25">
      <c r="A7013" s="878" t="s">
        <v>17292</v>
      </c>
      <c r="B7013" s="878" t="s">
        <v>17293</v>
      </c>
      <c r="C7013" s="879" t="s">
        <v>17105</v>
      </c>
      <c r="D7013" s="880" t="s">
        <v>6363</v>
      </c>
    </row>
    <row r="7014" spans="1:4" ht="13.5" x14ac:dyDescent="0.25">
      <c r="A7014" s="878" t="s">
        <v>17294</v>
      </c>
      <c r="B7014" s="878" t="s">
        <v>17295</v>
      </c>
      <c r="C7014" s="879" t="s">
        <v>17105</v>
      </c>
      <c r="D7014" s="880" t="s">
        <v>31332</v>
      </c>
    </row>
    <row r="7015" spans="1:4" ht="13.5" x14ac:dyDescent="0.25">
      <c r="A7015" s="878" t="s">
        <v>17296</v>
      </c>
      <c r="B7015" s="878" t="s">
        <v>17297</v>
      </c>
      <c r="C7015" s="879" t="s">
        <v>17105</v>
      </c>
      <c r="D7015" s="880" t="s">
        <v>31167</v>
      </c>
    </row>
    <row r="7016" spans="1:4" ht="13.5" x14ac:dyDescent="0.25">
      <c r="A7016" s="878" t="s">
        <v>17298</v>
      </c>
      <c r="B7016" s="878" t="s">
        <v>17299</v>
      </c>
      <c r="C7016" s="879" t="s">
        <v>17105</v>
      </c>
      <c r="D7016" s="880" t="s">
        <v>43911</v>
      </c>
    </row>
    <row r="7017" spans="1:4" ht="13.5" x14ac:dyDescent="0.25">
      <c r="A7017" s="878" t="s">
        <v>17300</v>
      </c>
      <c r="B7017" s="878" t="s">
        <v>17301</v>
      </c>
      <c r="C7017" s="879" t="s">
        <v>158</v>
      </c>
      <c r="D7017" s="880" t="s">
        <v>31333</v>
      </c>
    </row>
    <row r="7018" spans="1:4" ht="13.5" x14ac:dyDescent="0.25">
      <c r="A7018" s="878" t="s">
        <v>17303</v>
      </c>
      <c r="B7018" s="878" t="s">
        <v>17304</v>
      </c>
      <c r="C7018" s="879" t="s">
        <v>158</v>
      </c>
      <c r="D7018" s="880" t="s">
        <v>31324</v>
      </c>
    </row>
    <row r="7019" spans="1:4" ht="13.5" x14ac:dyDescent="0.25">
      <c r="A7019" s="878" t="s">
        <v>17305</v>
      </c>
      <c r="B7019" s="878" t="s">
        <v>17306</v>
      </c>
      <c r="C7019" s="879" t="s">
        <v>158</v>
      </c>
      <c r="D7019" s="880" t="s">
        <v>4569</v>
      </c>
    </row>
    <row r="7020" spans="1:4" ht="13.5" x14ac:dyDescent="0.25">
      <c r="A7020" s="878" t="s">
        <v>17307</v>
      </c>
      <c r="B7020" s="878" t="s">
        <v>17308</v>
      </c>
      <c r="C7020" s="879" t="s">
        <v>158</v>
      </c>
      <c r="D7020" s="880" t="s">
        <v>43912</v>
      </c>
    </row>
    <row r="7021" spans="1:4" ht="13.5" x14ac:dyDescent="0.25">
      <c r="A7021" s="878" t="s">
        <v>17309</v>
      </c>
      <c r="B7021" s="878" t="s">
        <v>17310</v>
      </c>
      <c r="C7021" s="879" t="s">
        <v>158</v>
      </c>
      <c r="D7021" s="880" t="s">
        <v>30719</v>
      </c>
    </row>
    <row r="7022" spans="1:4" ht="13.5" x14ac:dyDescent="0.25">
      <c r="A7022" s="878" t="s">
        <v>17311</v>
      </c>
      <c r="B7022" s="878" t="s">
        <v>17312</v>
      </c>
      <c r="C7022" s="879" t="s">
        <v>227</v>
      </c>
      <c r="D7022" s="880" t="s">
        <v>43913</v>
      </c>
    </row>
    <row r="7023" spans="1:4" ht="13.5" x14ac:dyDescent="0.25">
      <c r="A7023" s="878" t="s">
        <v>17313</v>
      </c>
      <c r="B7023" s="878" t="s">
        <v>17314</v>
      </c>
      <c r="C7023" s="879" t="s">
        <v>227</v>
      </c>
      <c r="D7023" s="880" t="s">
        <v>8801</v>
      </c>
    </row>
    <row r="7024" spans="1:4" ht="13.5" x14ac:dyDescent="0.25">
      <c r="A7024" s="878" t="s">
        <v>17315</v>
      </c>
      <c r="B7024" s="878" t="s">
        <v>17316</v>
      </c>
      <c r="C7024" s="879" t="s">
        <v>158</v>
      </c>
      <c r="D7024" s="880" t="s">
        <v>3283</v>
      </c>
    </row>
    <row r="7025" spans="1:4" ht="13.5" x14ac:dyDescent="0.25">
      <c r="A7025" s="878" t="s">
        <v>17317</v>
      </c>
      <c r="B7025" s="878" t="s">
        <v>17318</v>
      </c>
      <c r="C7025" s="879" t="s">
        <v>227</v>
      </c>
      <c r="D7025" s="880" t="s">
        <v>31335</v>
      </c>
    </row>
    <row r="7026" spans="1:4" ht="13.5" x14ac:dyDescent="0.25">
      <c r="A7026" s="878" t="s">
        <v>17319</v>
      </c>
      <c r="B7026" s="878" t="s">
        <v>17320</v>
      </c>
      <c r="C7026" s="879" t="s">
        <v>158</v>
      </c>
      <c r="D7026" s="880" t="s">
        <v>31336</v>
      </c>
    </row>
    <row r="7027" spans="1:4" ht="13.5" x14ac:dyDescent="0.25">
      <c r="A7027" s="878" t="s">
        <v>17321</v>
      </c>
      <c r="B7027" s="878" t="s">
        <v>17322</v>
      </c>
      <c r="C7027" s="879" t="s">
        <v>158</v>
      </c>
      <c r="D7027" s="880" t="s">
        <v>31337</v>
      </c>
    </row>
    <row r="7028" spans="1:4" ht="13.5" x14ac:dyDescent="0.25">
      <c r="A7028" s="878" t="s">
        <v>17323</v>
      </c>
      <c r="B7028" s="878" t="s">
        <v>17324</v>
      </c>
      <c r="C7028" s="879" t="s">
        <v>158</v>
      </c>
      <c r="D7028" s="880" t="s">
        <v>31338</v>
      </c>
    </row>
    <row r="7029" spans="1:4" ht="13.5" x14ac:dyDescent="0.25">
      <c r="A7029" s="878" t="s">
        <v>17325</v>
      </c>
      <c r="B7029" s="878" t="s">
        <v>17326</v>
      </c>
      <c r="C7029" s="879" t="s">
        <v>158</v>
      </c>
      <c r="D7029" s="880" t="s">
        <v>31339</v>
      </c>
    </row>
    <row r="7030" spans="1:4" ht="13.5" x14ac:dyDescent="0.25">
      <c r="A7030" s="878" t="s">
        <v>17327</v>
      </c>
      <c r="B7030" s="878" t="s">
        <v>17328</v>
      </c>
      <c r="C7030" s="879" t="s">
        <v>158</v>
      </c>
      <c r="D7030" s="880" t="s">
        <v>31340</v>
      </c>
    </row>
    <row r="7031" spans="1:4" ht="13.5" x14ac:dyDescent="0.25">
      <c r="A7031" s="878" t="s">
        <v>17329</v>
      </c>
      <c r="B7031" s="878" t="s">
        <v>17330</v>
      </c>
      <c r="C7031" s="879" t="s">
        <v>158</v>
      </c>
      <c r="D7031" s="880" t="s">
        <v>43914</v>
      </c>
    </row>
    <row r="7032" spans="1:4" ht="13.5" x14ac:dyDescent="0.25">
      <c r="A7032" s="878" t="s">
        <v>17331</v>
      </c>
      <c r="B7032" s="878" t="s">
        <v>17332</v>
      </c>
      <c r="C7032" s="879" t="s">
        <v>158</v>
      </c>
      <c r="D7032" s="881" t="s">
        <v>43915</v>
      </c>
    </row>
    <row r="7033" spans="1:4" ht="13.5" x14ac:dyDescent="0.25">
      <c r="A7033" s="878" t="s">
        <v>17333</v>
      </c>
      <c r="B7033" s="878" t="s">
        <v>17334</v>
      </c>
      <c r="C7033" s="879" t="s">
        <v>227</v>
      </c>
      <c r="D7033" s="881" t="s">
        <v>43916</v>
      </c>
    </row>
    <row r="7034" spans="1:4" ht="13.5" x14ac:dyDescent="0.25">
      <c r="A7034" s="878" t="s">
        <v>17335</v>
      </c>
      <c r="B7034" s="878" t="s">
        <v>17336</v>
      </c>
      <c r="C7034" s="879" t="s">
        <v>227</v>
      </c>
      <c r="D7034" s="881" t="s">
        <v>43917</v>
      </c>
    </row>
    <row r="7035" spans="1:4" ht="13.5" x14ac:dyDescent="0.25">
      <c r="A7035" s="878" t="s">
        <v>17337</v>
      </c>
      <c r="B7035" s="878" t="s">
        <v>17338</v>
      </c>
      <c r="C7035" s="879" t="s">
        <v>227</v>
      </c>
      <c r="D7035" s="881" t="s">
        <v>43918</v>
      </c>
    </row>
    <row r="7036" spans="1:4" ht="13.5" x14ac:dyDescent="0.25">
      <c r="A7036" s="878" t="s">
        <v>17339</v>
      </c>
      <c r="B7036" s="878" t="s">
        <v>17340</v>
      </c>
      <c r="C7036" s="879" t="s">
        <v>226</v>
      </c>
      <c r="D7036" s="881" t="s">
        <v>43919</v>
      </c>
    </row>
    <row r="7037" spans="1:4" ht="13.5" x14ac:dyDescent="0.25">
      <c r="A7037" s="878" t="s">
        <v>17341</v>
      </c>
      <c r="B7037" s="878" t="s">
        <v>17342</v>
      </c>
      <c r="C7037" s="879" t="s">
        <v>226</v>
      </c>
      <c r="D7037" s="881" t="s">
        <v>43920</v>
      </c>
    </row>
    <row r="7038" spans="1:4" ht="13.5" x14ac:dyDescent="0.25">
      <c r="A7038" s="878" t="s">
        <v>17343</v>
      </c>
      <c r="B7038" s="878" t="s">
        <v>17344</v>
      </c>
      <c r="C7038" s="879" t="s">
        <v>226</v>
      </c>
      <c r="D7038" s="880" t="s">
        <v>43921</v>
      </c>
    </row>
    <row r="7039" spans="1:4" ht="13.5" x14ac:dyDescent="0.25">
      <c r="A7039" s="878" t="s">
        <v>17345</v>
      </c>
      <c r="B7039" s="878" t="s">
        <v>17346</v>
      </c>
      <c r="C7039" s="879" t="s">
        <v>226</v>
      </c>
      <c r="D7039" s="881" t="s">
        <v>43922</v>
      </c>
    </row>
    <row r="7040" spans="1:4" ht="13.5" x14ac:dyDescent="0.25">
      <c r="A7040" s="878" t="s">
        <v>17347</v>
      </c>
      <c r="B7040" s="878" t="s">
        <v>17348</v>
      </c>
      <c r="C7040" s="879" t="s">
        <v>227</v>
      </c>
      <c r="D7040" s="880" t="s">
        <v>43923</v>
      </c>
    </row>
    <row r="7041" spans="1:4" ht="13.5" x14ac:dyDescent="0.25">
      <c r="A7041" s="878" t="s">
        <v>17349</v>
      </c>
      <c r="B7041" s="878" t="s">
        <v>17350</v>
      </c>
      <c r="C7041" s="879" t="s">
        <v>227</v>
      </c>
      <c r="D7041" s="880" t="s">
        <v>43924</v>
      </c>
    </row>
    <row r="7042" spans="1:4" ht="13.5" x14ac:dyDescent="0.25">
      <c r="A7042" s="878" t="s">
        <v>17351</v>
      </c>
      <c r="B7042" s="878" t="s">
        <v>17352</v>
      </c>
      <c r="C7042" s="879" t="s">
        <v>227</v>
      </c>
      <c r="D7042" s="880" t="s">
        <v>43925</v>
      </c>
    </row>
    <row r="7043" spans="1:4" ht="13.5" x14ac:dyDescent="0.25">
      <c r="A7043" s="878" t="s">
        <v>17353</v>
      </c>
      <c r="B7043" s="878" t="s">
        <v>17354</v>
      </c>
      <c r="C7043" s="879" t="s">
        <v>158</v>
      </c>
      <c r="D7043" s="880" t="s">
        <v>31341</v>
      </c>
    </row>
    <row r="7044" spans="1:4" ht="13.5" x14ac:dyDescent="0.25">
      <c r="A7044" s="878" t="s">
        <v>17355</v>
      </c>
      <c r="B7044" s="878" t="s">
        <v>17356</v>
      </c>
      <c r="C7044" s="879" t="s">
        <v>227</v>
      </c>
      <c r="D7044" s="880" t="s">
        <v>43926</v>
      </c>
    </row>
    <row r="7045" spans="1:4" ht="13.5" x14ac:dyDescent="0.25">
      <c r="A7045" s="878" t="s">
        <v>17357</v>
      </c>
      <c r="B7045" s="878" t="s">
        <v>17358</v>
      </c>
      <c r="C7045" s="879" t="s">
        <v>227</v>
      </c>
      <c r="D7045" s="880" t="s">
        <v>43927</v>
      </c>
    </row>
    <row r="7046" spans="1:4" ht="13.5" x14ac:dyDescent="0.25">
      <c r="A7046" s="878" t="s">
        <v>17359</v>
      </c>
      <c r="B7046" s="878" t="s">
        <v>17360</v>
      </c>
      <c r="C7046" s="879" t="s">
        <v>227</v>
      </c>
      <c r="D7046" s="880" t="s">
        <v>43928</v>
      </c>
    </row>
    <row r="7047" spans="1:4" ht="13.5" x14ac:dyDescent="0.25">
      <c r="A7047" s="878" t="s">
        <v>17361</v>
      </c>
      <c r="B7047" s="878" t="s">
        <v>17362</v>
      </c>
      <c r="C7047" s="879" t="s">
        <v>227</v>
      </c>
      <c r="D7047" s="880" t="s">
        <v>43929</v>
      </c>
    </row>
    <row r="7048" spans="1:4" ht="13.5" x14ac:dyDescent="0.25">
      <c r="A7048" s="878" t="s">
        <v>17363</v>
      </c>
      <c r="B7048" s="878" t="s">
        <v>17364</v>
      </c>
      <c r="C7048" s="879" t="s">
        <v>227</v>
      </c>
      <c r="D7048" s="880" t="s">
        <v>43930</v>
      </c>
    </row>
    <row r="7049" spans="1:4" ht="13.5" x14ac:dyDescent="0.25">
      <c r="A7049" s="878" t="s">
        <v>17365</v>
      </c>
      <c r="B7049" s="878" t="s">
        <v>17366</v>
      </c>
      <c r="C7049" s="879" t="s">
        <v>226</v>
      </c>
      <c r="D7049" s="880" t="s">
        <v>17367</v>
      </c>
    </row>
    <row r="7050" spans="1:4" ht="13.5" x14ac:dyDescent="0.25">
      <c r="A7050" s="878" t="s">
        <v>17368</v>
      </c>
      <c r="B7050" s="878" t="s">
        <v>17369</v>
      </c>
      <c r="C7050" s="879" t="s">
        <v>226</v>
      </c>
      <c r="D7050" s="880" t="s">
        <v>43931</v>
      </c>
    </row>
    <row r="7051" spans="1:4" ht="13.5" x14ac:dyDescent="0.25">
      <c r="A7051" s="878" t="s">
        <v>17370</v>
      </c>
      <c r="B7051" s="878" t="s">
        <v>17371</v>
      </c>
      <c r="C7051" s="879" t="s">
        <v>226</v>
      </c>
      <c r="D7051" s="880" t="s">
        <v>43932</v>
      </c>
    </row>
    <row r="7052" spans="1:4" ht="13.5" x14ac:dyDescent="0.25">
      <c r="A7052" s="878" t="s">
        <v>17372</v>
      </c>
      <c r="B7052" s="878" t="s">
        <v>17373</v>
      </c>
      <c r="C7052" s="879" t="s">
        <v>226</v>
      </c>
      <c r="D7052" s="880" t="s">
        <v>43933</v>
      </c>
    </row>
    <row r="7053" spans="1:4" ht="13.5" x14ac:dyDescent="0.25">
      <c r="A7053" s="878" t="s">
        <v>17374</v>
      </c>
      <c r="B7053" s="878" t="s">
        <v>17375</v>
      </c>
      <c r="C7053" s="879" t="s">
        <v>226</v>
      </c>
      <c r="D7053" s="880" t="s">
        <v>30818</v>
      </c>
    </row>
    <row r="7054" spans="1:4" ht="13.5" x14ac:dyDescent="0.25">
      <c r="A7054" s="878" t="s">
        <v>17376</v>
      </c>
      <c r="B7054" s="878" t="s">
        <v>17377</v>
      </c>
      <c r="C7054" s="879" t="s">
        <v>226</v>
      </c>
      <c r="D7054" s="880" t="s">
        <v>31342</v>
      </c>
    </row>
    <row r="7055" spans="1:4" ht="13.5" x14ac:dyDescent="0.25">
      <c r="A7055" s="878" t="s">
        <v>17378</v>
      </c>
      <c r="B7055" s="878" t="s">
        <v>17379</v>
      </c>
      <c r="C7055" s="879" t="s">
        <v>226</v>
      </c>
      <c r="D7055" s="880" t="s">
        <v>43934</v>
      </c>
    </row>
    <row r="7056" spans="1:4" ht="13.5" x14ac:dyDescent="0.25">
      <c r="A7056" s="878" t="s">
        <v>17380</v>
      </c>
      <c r="B7056" s="878" t="s">
        <v>17381</v>
      </c>
      <c r="C7056" s="879" t="s">
        <v>226</v>
      </c>
      <c r="D7056" s="880" t="s">
        <v>43935</v>
      </c>
    </row>
    <row r="7057" spans="1:4" ht="13.5" x14ac:dyDescent="0.25">
      <c r="A7057" s="878" t="s">
        <v>17382</v>
      </c>
      <c r="B7057" s="878" t="s">
        <v>17383</v>
      </c>
      <c r="C7057" s="879" t="s">
        <v>226</v>
      </c>
      <c r="D7057" s="880" t="s">
        <v>43936</v>
      </c>
    </row>
    <row r="7058" spans="1:4" ht="13.5" x14ac:dyDescent="0.25">
      <c r="A7058" s="878" t="s">
        <v>17384</v>
      </c>
      <c r="B7058" s="878" t="s">
        <v>17385</v>
      </c>
      <c r="C7058" s="879" t="s">
        <v>226</v>
      </c>
      <c r="D7058" s="880" t="s">
        <v>43937</v>
      </c>
    </row>
    <row r="7059" spans="1:4" ht="13.5" x14ac:dyDescent="0.25">
      <c r="A7059" s="878" t="s">
        <v>17386</v>
      </c>
      <c r="B7059" s="878" t="s">
        <v>17387</v>
      </c>
      <c r="C7059" s="879" t="s">
        <v>226</v>
      </c>
      <c r="D7059" s="880" t="s">
        <v>43938</v>
      </c>
    </row>
    <row r="7060" spans="1:4" ht="13.5" x14ac:dyDescent="0.25">
      <c r="A7060" s="878" t="s">
        <v>17388</v>
      </c>
      <c r="B7060" s="878" t="s">
        <v>17389</v>
      </c>
      <c r="C7060" s="879" t="s">
        <v>226</v>
      </c>
      <c r="D7060" s="880" t="s">
        <v>5607</v>
      </c>
    </row>
    <row r="7061" spans="1:4" ht="13.5" x14ac:dyDescent="0.25">
      <c r="A7061" s="878" t="s">
        <v>17390</v>
      </c>
      <c r="B7061" s="878" t="s">
        <v>17391</v>
      </c>
      <c r="C7061" s="879" t="s">
        <v>226</v>
      </c>
      <c r="D7061" s="880" t="s">
        <v>31343</v>
      </c>
    </row>
    <row r="7062" spans="1:4" ht="13.5" x14ac:dyDescent="0.25">
      <c r="A7062" s="878" t="s">
        <v>17392</v>
      </c>
      <c r="B7062" s="878" t="s">
        <v>17393</v>
      </c>
      <c r="C7062" s="879" t="s">
        <v>226</v>
      </c>
      <c r="D7062" s="880" t="s">
        <v>30785</v>
      </c>
    </row>
    <row r="7063" spans="1:4" ht="13.5" x14ac:dyDescent="0.25">
      <c r="A7063" s="878" t="s">
        <v>17394</v>
      </c>
      <c r="B7063" s="878" t="s">
        <v>17395</v>
      </c>
      <c r="C7063" s="879" t="s">
        <v>226</v>
      </c>
      <c r="D7063" s="880" t="s">
        <v>5607</v>
      </c>
    </row>
    <row r="7064" spans="1:4" ht="13.5" x14ac:dyDescent="0.25">
      <c r="A7064" s="878" t="s">
        <v>17396</v>
      </c>
      <c r="B7064" s="878" t="s">
        <v>17397</v>
      </c>
      <c r="C7064" s="879" t="s">
        <v>226</v>
      </c>
      <c r="D7064" s="880" t="s">
        <v>31344</v>
      </c>
    </row>
    <row r="7065" spans="1:4" ht="13.5" x14ac:dyDescent="0.25">
      <c r="A7065" s="878" t="s">
        <v>17398</v>
      </c>
      <c r="B7065" s="878" t="s">
        <v>17399</v>
      </c>
      <c r="C7065" s="879" t="s">
        <v>226</v>
      </c>
      <c r="D7065" s="880" t="s">
        <v>31345</v>
      </c>
    </row>
    <row r="7066" spans="1:4" ht="13.5" x14ac:dyDescent="0.25">
      <c r="A7066" s="878" t="s">
        <v>17400</v>
      </c>
      <c r="B7066" s="878" t="s">
        <v>17401</v>
      </c>
      <c r="C7066" s="879" t="s">
        <v>226</v>
      </c>
      <c r="D7066" s="880" t="s">
        <v>9201</v>
      </c>
    </row>
    <row r="7067" spans="1:4" ht="13.5" x14ac:dyDescent="0.25">
      <c r="A7067" s="878" t="s">
        <v>17403</v>
      </c>
      <c r="B7067" s="878" t="s">
        <v>17404</v>
      </c>
      <c r="C7067" s="879" t="s">
        <v>226</v>
      </c>
      <c r="D7067" s="880" t="s">
        <v>31346</v>
      </c>
    </row>
    <row r="7068" spans="1:4" ht="13.5" x14ac:dyDescent="0.25">
      <c r="A7068" s="878" t="s">
        <v>17405</v>
      </c>
      <c r="B7068" s="878" t="s">
        <v>17406</v>
      </c>
      <c r="C7068" s="879" t="s">
        <v>226</v>
      </c>
      <c r="D7068" s="880" t="s">
        <v>31347</v>
      </c>
    </row>
    <row r="7069" spans="1:4" ht="13.5" x14ac:dyDescent="0.25">
      <c r="A7069" s="878" t="s">
        <v>17407</v>
      </c>
      <c r="B7069" s="878" t="s">
        <v>17408</v>
      </c>
      <c r="C7069" s="879" t="s">
        <v>227</v>
      </c>
      <c r="D7069" s="880" t="s">
        <v>15358</v>
      </c>
    </row>
    <row r="7070" spans="1:4" ht="13.5" x14ac:dyDescent="0.25">
      <c r="A7070" s="878" t="s">
        <v>17409</v>
      </c>
      <c r="B7070" s="878" t="s">
        <v>17410</v>
      </c>
      <c r="C7070" s="879" t="s">
        <v>227</v>
      </c>
      <c r="D7070" s="880" t="s">
        <v>16016</v>
      </c>
    </row>
    <row r="7071" spans="1:4" ht="13.5" x14ac:dyDescent="0.25">
      <c r="A7071" s="878" t="s">
        <v>17411</v>
      </c>
      <c r="B7071" s="878" t="s">
        <v>17412</v>
      </c>
      <c r="C7071" s="879" t="s">
        <v>226</v>
      </c>
      <c r="D7071" s="880" t="s">
        <v>5860</v>
      </c>
    </row>
    <row r="7072" spans="1:4" ht="13.5" x14ac:dyDescent="0.25">
      <c r="A7072" s="878" t="s">
        <v>17413</v>
      </c>
      <c r="B7072" s="878" t="s">
        <v>17414</v>
      </c>
      <c r="C7072" s="879" t="s">
        <v>227</v>
      </c>
      <c r="D7072" s="880" t="s">
        <v>5607</v>
      </c>
    </row>
    <row r="7073" spans="1:4" ht="13.5" x14ac:dyDescent="0.25">
      <c r="A7073" s="878" t="s">
        <v>17415</v>
      </c>
      <c r="B7073" s="878" t="s">
        <v>17416</v>
      </c>
      <c r="C7073" s="879" t="s">
        <v>226</v>
      </c>
      <c r="D7073" s="880" t="s">
        <v>31348</v>
      </c>
    </row>
    <row r="7074" spans="1:4" ht="13.5" x14ac:dyDescent="0.25">
      <c r="A7074" s="878" t="s">
        <v>17417</v>
      </c>
      <c r="B7074" s="878" t="s">
        <v>17418</v>
      </c>
      <c r="C7074" s="879" t="s">
        <v>226</v>
      </c>
      <c r="D7074" s="880" t="s">
        <v>15440</v>
      </c>
    </row>
    <row r="7075" spans="1:4" ht="13.5" x14ac:dyDescent="0.25">
      <c r="A7075" s="878" t="s">
        <v>17419</v>
      </c>
      <c r="B7075" s="878" t="s">
        <v>17420</v>
      </c>
      <c r="C7075" s="879" t="s">
        <v>226</v>
      </c>
      <c r="D7075" s="880" t="s">
        <v>31349</v>
      </c>
    </row>
    <row r="7076" spans="1:4" ht="13.5" x14ac:dyDescent="0.25">
      <c r="A7076" s="878" t="s">
        <v>17421</v>
      </c>
      <c r="B7076" s="878" t="s">
        <v>17422</v>
      </c>
      <c r="C7076" s="879" t="s">
        <v>226</v>
      </c>
      <c r="D7076" s="880" t="s">
        <v>31350</v>
      </c>
    </row>
    <row r="7077" spans="1:4" ht="13.5" x14ac:dyDescent="0.25">
      <c r="A7077" s="878" t="s">
        <v>17423</v>
      </c>
      <c r="B7077" s="878" t="s">
        <v>17424</v>
      </c>
      <c r="C7077" s="879" t="s">
        <v>226</v>
      </c>
      <c r="D7077" s="880" t="s">
        <v>31351</v>
      </c>
    </row>
    <row r="7078" spans="1:4" ht="13.5" x14ac:dyDescent="0.25">
      <c r="A7078" s="878" t="s">
        <v>17425</v>
      </c>
      <c r="B7078" s="878" t="s">
        <v>17426</v>
      </c>
      <c r="C7078" s="879" t="s">
        <v>226</v>
      </c>
      <c r="D7078" s="880" t="s">
        <v>31344</v>
      </c>
    </row>
    <row r="7079" spans="1:4" ht="13.5" x14ac:dyDescent="0.25">
      <c r="A7079" s="878" t="s">
        <v>17427</v>
      </c>
      <c r="B7079" s="878" t="s">
        <v>17428</v>
      </c>
      <c r="C7079" s="879" t="s">
        <v>226</v>
      </c>
      <c r="D7079" s="880" t="s">
        <v>31058</v>
      </c>
    </row>
    <row r="7080" spans="1:4" ht="13.5" x14ac:dyDescent="0.25">
      <c r="A7080" s="878" t="s">
        <v>17429</v>
      </c>
      <c r="B7080" s="878" t="s">
        <v>17430</v>
      </c>
      <c r="C7080" s="879" t="s">
        <v>226</v>
      </c>
      <c r="D7080" s="880" t="s">
        <v>17478</v>
      </c>
    </row>
    <row r="7081" spans="1:4" ht="13.5" x14ac:dyDescent="0.25">
      <c r="A7081" s="878" t="s">
        <v>17431</v>
      </c>
      <c r="B7081" s="878" t="s">
        <v>17432</v>
      </c>
      <c r="C7081" s="879" t="s">
        <v>226</v>
      </c>
      <c r="D7081" s="880" t="s">
        <v>31352</v>
      </c>
    </row>
    <row r="7082" spans="1:4" ht="13.5" x14ac:dyDescent="0.25">
      <c r="A7082" s="878" t="s">
        <v>17433</v>
      </c>
      <c r="B7082" s="878" t="s">
        <v>17434</v>
      </c>
      <c r="C7082" s="879" t="s">
        <v>226</v>
      </c>
      <c r="D7082" s="880" t="s">
        <v>13094</v>
      </c>
    </row>
    <row r="7083" spans="1:4" ht="13.5" x14ac:dyDescent="0.25">
      <c r="A7083" s="878" t="s">
        <v>17435</v>
      </c>
      <c r="B7083" s="878" t="s">
        <v>17436</v>
      </c>
      <c r="C7083" s="879" t="s">
        <v>4341</v>
      </c>
      <c r="D7083" s="880" t="s">
        <v>31353</v>
      </c>
    </row>
    <row r="7084" spans="1:4" ht="13.5" x14ac:dyDescent="0.25">
      <c r="A7084" s="878" t="s">
        <v>17437</v>
      </c>
      <c r="B7084" s="878" t="s">
        <v>17438</v>
      </c>
      <c r="C7084" s="879" t="s">
        <v>4341</v>
      </c>
      <c r="D7084" s="880" t="s">
        <v>30849</v>
      </c>
    </row>
    <row r="7085" spans="1:4" ht="13.5" x14ac:dyDescent="0.25">
      <c r="A7085" s="878" t="s">
        <v>17440</v>
      </c>
      <c r="B7085" s="878" t="s">
        <v>17441</v>
      </c>
      <c r="C7085" s="879" t="s">
        <v>4341</v>
      </c>
      <c r="D7085" s="880" t="s">
        <v>15519</v>
      </c>
    </row>
    <row r="7086" spans="1:4" ht="13.5" x14ac:dyDescent="0.25">
      <c r="A7086" s="878" t="s">
        <v>17442</v>
      </c>
      <c r="B7086" s="878" t="s">
        <v>17443</v>
      </c>
      <c r="C7086" s="879" t="s">
        <v>4341</v>
      </c>
      <c r="D7086" s="880" t="s">
        <v>17519</v>
      </c>
    </row>
    <row r="7087" spans="1:4" ht="13.5" x14ac:dyDescent="0.25">
      <c r="A7087" s="878" t="s">
        <v>17444</v>
      </c>
      <c r="B7087" s="878" t="s">
        <v>17445</v>
      </c>
      <c r="C7087" s="879" t="s">
        <v>4341</v>
      </c>
      <c r="D7087" s="880" t="s">
        <v>9201</v>
      </c>
    </row>
    <row r="7088" spans="1:4" ht="13.5" x14ac:dyDescent="0.25">
      <c r="A7088" s="878" t="s">
        <v>17446</v>
      </c>
      <c r="B7088" s="878" t="s">
        <v>17447</v>
      </c>
      <c r="C7088" s="879" t="s">
        <v>4341</v>
      </c>
      <c r="D7088" s="880" t="s">
        <v>30791</v>
      </c>
    </row>
    <row r="7089" spans="1:4" ht="13.5" x14ac:dyDescent="0.25">
      <c r="A7089" s="878" t="s">
        <v>17448</v>
      </c>
      <c r="B7089" s="878" t="s">
        <v>17449</v>
      </c>
      <c r="C7089" s="879" t="s">
        <v>4341</v>
      </c>
      <c r="D7089" s="880" t="s">
        <v>5423</v>
      </c>
    </row>
    <row r="7090" spans="1:4" ht="13.5" x14ac:dyDescent="0.25">
      <c r="A7090" s="878" t="s">
        <v>17450</v>
      </c>
      <c r="B7090" s="878" t="s">
        <v>17451</v>
      </c>
      <c r="C7090" s="879" t="s">
        <v>4341</v>
      </c>
      <c r="D7090" s="880" t="s">
        <v>17478</v>
      </c>
    </row>
    <row r="7091" spans="1:4" ht="13.5" x14ac:dyDescent="0.25">
      <c r="A7091" s="878" t="s">
        <v>17452</v>
      </c>
      <c r="B7091" s="878" t="s">
        <v>17453</v>
      </c>
      <c r="C7091" s="879" t="s">
        <v>4341</v>
      </c>
      <c r="D7091" s="880" t="s">
        <v>31354</v>
      </c>
    </row>
    <row r="7092" spans="1:4" ht="13.5" x14ac:dyDescent="0.25">
      <c r="A7092" s="878" t="s">
        <v>17454</v>
      </c>
      <c r="B7092" s="878" t="s">
        <v>17455</v>
      </c>
      <c r="C7092" s="879" t="s">
        <v>4341</v>
      </c>
      <c r="D7092" s="880" t="s">
        <v>31056</v>
      </c>
    </row>
    <row r="7093" spans="1:4" ht="13.5" x14ac:dyDescent="0.25">
      <c r="A7093" s="878" t="s">
        <v>17457</v>
      </c>
      <c r="B7093" s="878" t="s">
        <v>17458</v>
      </c>
      <c r="C7093" s="879" t="s">
        <v>4341</v>
      </c>
      <c r="D7093" s="880" t="s">
        <v>31355</v>
      </c>
    </row>
    <row r="7094" spans="1:4" ht="13.5" x14ac:dyDescent="0.25">
      <c r="A7094" s="878" t="s">
        <v>17459</v>
      </c>
      <c r="B7094" s="878" t="s">
        <v>17460</v>
      </c>
      <c r="C7094" s="879" t="s">
        <v>4341</v>
      </c>
      <c r="D7094" s="880" t="s">
        <v>5553</v>
      </c>
    </row>
    <row r="7095" spans="1:4" ht="13.5" x14ac:dyDescent="0.25">
      <c r="A7095" s="878" t="s">
        <v>17461</v>
      </c>
      <c r="B7095" s="878" t="s">
        <v>17462</v>
      </c>
      <c r="C7095" s="879" t="s">
        <v>4341</v>
      </c>
      <c r="D7095" s="880" t="s">
        <v>31356</v>
      </c>
    </row>
    <row r="7096" spans="1:4" ht="13.5" x14ac:dyDescent="0.25">
      <c r="A7096" s="878" t="s">
        <v>17463</v>
      </c>
      <c r="B7096" s="878" t="s">
        <v>17464</v>
      </c>
      <c r="C7096" s="879" t="s">
        <v>4341</v>
      </c>
      <c r="D7096" s="880" t="s">
        <v>31357</v>
      </c>
    </row>
    <row r="7097" spans="1:4" ht="13.5" x14ac:dyDescent="0.25">
      <c r="A7097" s="878" t="s">
        <v>17465</v>
      </c>
      <c r="B7097" s="878" t="s">
        <v>17466</v>
      </c>
      <c r="C7097" s="879" t="s">
        <v>4341</v>
      </c>
      <c r="D7097" s="880" t="s">
        <v>31358</v>
      </c>
    </row>
    <row r="7098" spans="1:4" ht="13.5" x14ac:dyDescent="0.25">
      <c r="A7098" s="878" t="s">
        <v>17468</v>
      </c>
      <c r="B7098" s="878" t="s">
        <v>17469</v>
      </c>
      <c r="C7098" s="879" t="s">
        <v>4341</v>
      </c>
      <c r="D7098" s="880" t="s">
        <v>31359</v>
      </c>
    </row>
    <row r="7099" spans="1:4" ht="13.5" x14ac:dyDescent="0.25">
      <c r="A7099" s="878" t="s">
        <v>17470</v>
      </c>
      <c r="B7099" s="878" t="s">
        <v>17471</v>
      </c>
      <c r="C7099" s="879" t="s">
        <v>4341</v>
      </c>
      <c r="D7099" s="880" t="s">
        <v>13000</v>
      </c>
    </row>
    <row r="7100" spans="1:4" ht="13.5" x14ac:dyDescent="0.25">
      <c r="A7100" s="878" t="s">
        <v>17472</v>
      </c>
      <c r="B7100" s="878" t="s">
        <v>17473</v>
      </c>
      <c r="C7100" s="879" t="s">
        <v>4341</v>
      </c>
      <c r="D7100" s="880" t="s">
        <v>31223</v>
      </c>
    </row>
    <row r="7101" spans="1:4" ht="13.5" x14ac:dyDescent="0.25">
      <c r="A7101" s="878" t="s">
        <v>17474</v>
      </c>
      <c r="B7101" s="878" t="s">
        <v>17475</v>
      </c>
      <c r="C7101" s="879" t="s">
        <v>4341</v>
      </c>
      <c r="D7101" s="880" t="s">
        <v>8651</v>
      </c>
    </row>
    <row r="7102" spans="1:4" ht="13.5" x14ac:dyDescent="0.25">
      <c r="A7102" s="878" t="s">
        <v>17476</v>
      </c>
      <c r="B7102" s="878" t="s">
        <v>17477</v>
      </c>
      <c r="C7102" s="879" t="s">
        <v>4341</v>
      </c>
      <c r="D7102" s="880" t="s">
        <v>7800</v>
      </c>
    </row>
    <row r="7103" spans="1:4" ht="13.5" x14ac:dyDescent="0.25">
      <c r="A7103" s="878" t="s">
        <v>17479</v>
      </c>
      <c r="B7103" s="878" t="s">
        <v>17480</v>
      </c>
      <c r="C7103" s="879" t="s">
        <v>4341</v>
      </c>
      <c r="D7103" s="880" t="s">
        <v>31034</v>
      </c>
    </row>
    <row r="7104" spans="1:4" ht="13.5" x14ac:dyDescent="0.25">
      <c r="A7104" s="878" t="s">
        <v>17481</v>
      </c>
      <c r="B7104" s="878" t="s">
        <v>17482</v>
      </c>
      <c r="C7104" s="879" t="s">
        <v>4341</v>
      </c>
      <c r="D7104" s="880" t="s">
        <v>31344</v>
      </c>
    </row>
    <row r="7105" spans="1:4" ht="13.5" x14ac:dyDescent="0.25">
      <c r="A7105" s="878" t="s">
        <v>17483</v>
      </c>
      <c r="B7105" s="878" t="s">
        <v>17484</v>
      </c>
      <c r="C7105" s="879" t="s">
        <v>4341</v>
      </c>
      <c r="D7105" s="880" t="s">
        <v>31360</v>
      </c>
    </row>
    <row r="7106" spans="1:4" ht="13.5" x14ac:dyDescent="0.25">
      <c r="A7106" s="878" t="s">
        <v>17485</v>
      </c>
      <c r="B7106" s="878" t="s">
        <v>17486</v>
      </c>
      <c r="C7106" s="879" t="s">
        <v>4341</v>
      </c>
      <c r="D7106" s="880" t="s">
        <v>30694</v>
      </c>
    </row>
    <row r="7107" spans="1:4" ht="13.5" x14ac:dyDescent="0.25">
      <c r="A7107" s="878" t="s">
        <v>17487</v>
      </c>
      <c r="B7107" s="878" t="s">
        <v>17488</v>
      </c>
      <c r="C7107" s="879" t="s">
        <v>4341</v>
      </c>
      <c r="D7107" s="880" t="s">
        <v>30748</v>
      </c>
    </row>
    <row r="7108" spans="1:4" ht="13.5" x14ac:dyDescent="0.25">
      <c r="A7108" s="878" t="s">
        <v>17489</v>
      </c>
      <c r="B7108" s="878" t="s">
        <v>17490</v>
      </c>
      <c r="C7108" s="879" t="s">
        <v>4341</v>
      </c>
      <c r="D7108" s="880" t="s">
        <v>31361</v>
      </c>
    </row>
    <row r="7109" spans="1:4" ht="13.5" x14ac:dyDescent="0.25">
      <c r="A7109" s="878" t="s">
        <v>17491</v>
      </c>
      <c r="B7109" s="878" t="s">
        <v>17492</v>
      </c>
      <c r="C7109" s="879" t="s">
        <v>4341</v>
      </c>
      <c r="D7109" s="880" t="s">
        <v>31362</v>
      </c>
    </row>
    <row r="7110" spans="1:4" ht="13.5" x14ac:dyDescent="0.25">
      <c r="A7110" s="878" t="s">
        <v>17493</v>
      </c>
      <c r="B7110" s="878" t="s">
        <v>17494</v>
      </c>
      <c r="C7110" s="879" t="s">
        <v>4341</v>
      </c>
      <c r="D7110" s="880" t="s">
        <v>4699</v>
      </c>
    </row>
    <row r="7111" spans="1:4" ht="13.5" x14ac:dyDescent="0.25">
      <c r="A7111" s="878" t="s">
        <v>17496</v>
      </c>
      <c r="B7111" s="878" t="s">
        <v>17497</v>
      </c>
      <c r="C7111" s="879" t="s">
        <v>4341</v>
      </c>
      <c r="D7111" s="880" t="s">
        <v>31363</v>
      </c>
    </row>
    <row r="7112" spans="1:4" ht="13.5" x14ac:dyDescent="0.25">
      <c r="A7112" s="878" t="s">
        <v>17498</v>
      </c>
      <c r="B7112" s="878" t="s">
        <v>17499</v>
      </c>
      <c r="C7112" s="879" t="s">
        <v>4341</v>
      </c>
      <c r="D7112" s="880" t="s">
        <v>31364</v>
      </c>
    </row>
    <row r="7113" spans="1:4" ht="13.5" x14ac:dyDescent="0.25">
      <c r="A7113" s="878" t="s">
        <v>17500</v>
      </c>
      <c r="B7113" s="878" t="s">
        <v>17501</v>
      </c>
      <c r="C7113" s="879" t="s">
        <v>4341</v>
      </c>
      <c r="D7113" s="880" t="s">
        <v>12770</v>
      </c>
    </row>
    <row r="7114" spans="1:4" ht="13.5" x14ac:dyDescent="0.25">
      <c r="A7114" s="878" t="s">
        <v>17502</v>
      </c>
      <c r="B7114" s="878" t="s">
        <v>17503</v>
      </c>
      <c r="C7114" s="879" t="s">
        <v>4341</v>
      </c>
      <c r="D7114" s="880" t="s">
        <v>31365</v>
      </c>
    </row>
    <row r="7115" spans="1:4" ht="13.5" x14ac:dyDescent="0.25">
      <c r="A7115" s="878" t="s">
        <v>17505</v>
      </c>
      <c r="B7115" s="878" t="s">
        <v>17506</v>
      </c>
      <c r="C7115" s="879" t="s">
        <v>4341</v>
      </c>
      <c r="D7115" s="880" t="s">
        <v>11028</v>
      </c>
    </row>
    <row r="7116" spans="1:4" ht="13.5" x14ac:dyDescent="0.25">
      <c r="A7116" s="878" t="s">
        <v>17507</v>
      </c>
      <c r="B7116" s="878" t="s">
        <v>17508</v>
      </c>
      <c r="C7116" s="879" t="s">
        <v>4341</v>
      </c>
      <c r="D7116" s="880" t="s">
        <v>30553</v>
      </c>
    </row>
    <row r="7117" spans="1:4" ht="13.5" x14ac:dyDescent="0.25">
      <c r="A7117" s="878" t="s">
        <v>17509</v>
      </c>
      <c r="B7117" s="878" t="s">
        <v>17510</v>
      </c>
      <c r="C7117" s="879" t="s">
        <v>4341</v>
      </c>
      <c r="D7117" s="880" t="s">
        <v>31366</v>
      </c>
    </row>
    <row r="7118" spans="1:4" ht="13.5" x14ac:dyDescent="0.25">
      <c r="A7118" s="878" t="s">
        <v>17511</v>
      </c>
      <c r="B7118" s="878" t="s">
        <v>17512</v>
      </c>
      <c r="C7118" s="879" t="s">
        <v>4341</v>
      </c>
      <c r="D7118" s="880" t="s">
        <v>17943</v>
      </c>
    </row>
    <row r="7119" spans="1:4" ht="13.5" x14ac:dyDescent="0.25">
      <c r="A7119" s="878" t="s">
        <v>17513</v>
      </c>
      <c r="B7119" s="878" t="s">
        <v>17514</v>
      </c>
      <c r="C7119" s="879" t="s">
        <v>4341</v>
      </c>
      <c r="D7119" s="880" t="s">
        <v>31350</v>
      </c>
    </row>
    <row r="7120" spans="1:4" ht="13.5" x14ac:dyDescent="0.25">
      <c r="A7120" s="878" t="s">
        <v>17515</v>
      </c>
      <c r="B7120" s="878" t="s">
        <v>17516</v>
      </c>
      <c r="C7120" s="879" t="s">
        <v>4341</v>
      </c>
      <c r="D7120" s="880" t="s">
        <v>30791</v>
      </c>
    </row>
    <row r="7121" spans="1:4" ht="13.5" x14ac:dyDescent="0.25">
      <c r="A7121" s="878" t="s">
        <v>17517</v>
      </c>
      <c r="B7121" s="878" t="s">
        <v>17518</v>
      </c>
      <c r="C7121" s="879" t="s">
        <v>4341</v>
      </c>
      <c r="D7121" s="880" t="s">
        <v>30805</v>
      </c>
    </row>
    <row r="7122" spans="1:4" ht="13.5" x14ac:dyDescent="0.25">
      <c r="A7122" s="878" t="s">
        <v>17520</v>
      </c>
      <c r="B7122" s="878" t="s">
        <v>17521</v>
      </c>
      <c r="C7122" s="879" t="s">
        <v>4341</v>
      </c>
      <c r="D7122" s="880" t="s">
        <v>31155</v>
      </c>
    </row>
    <row r="7123" spans="1:4" ht="13.5" x14ac:dyDescent="0.25">
      <c r="A7123" s="878" t="s">
        <v>17522</v>
      </c>
      <c r="B7123" s="878" t="s">
        <v>17523</v>
      </c>
      <c r="C7123" s="879" t="s">
        <v>4341</v>
      </c>
      <c r="D7123" s="880" t="s">
        <v>30805</v>
      </c>
    </row>
    <row r="7124" spans="1:4" ht="13.5" x14ac:dyDescent="0.25">
      <c r="A7124" s="878" t="s">
        <v>17524</v>
      </c>
      <c r="B7124" s="878" t="s">
        <v>17525</v>
      </c>
      <c r="C7124" s="879" t="s">
        <v>4341</v>
      </c>
      <c r="D7124" s="880" t="s">
        <v>14308</v>
      </c>
    </row>
    <row r="7125" spans="1:4" ht="13.5" x14ac:dyDescent="0.25">
      <c r="A7125" s="878" t="s">
        <v>17526</v>
      </c>
      <c r="B7125" s="878" t="s">
        <v>17527</v>
      </c>
      <c r="C7125" s="879" t="s">
        <v>4341</v>
      </c>
      <c r="D7125" s="880" t="s">
        <v>31367</v>
      </c>
    </row>
    <row r="7126" spans="1:4" ht="13.5" x14ac:dyDescent="0.25">
      <c r="A7126" s="878" t="s">
        <v>17528</v>
      </c>
      <c r="B7126" s="878" t="s">
        <v>17529</v>
      </c>
      <c r="C7126" s="879" t="s">
        <v>4341</v>
      </c>
      <c r="D7126" s="880" t="s">
        <v>13607</v>
      </c>
    </row>
    <row r="7127" spans="1:4" ht="13.5" x14ac:dyDescent="0.25">
      <c r="A7127" s="878" t="s">
        <v>17530</v>
      </c>
      <c r="B7127" s="878" t="s">
        <v>17531</v>
      </c>
      <c r="C7127" s="879" t="s">
        <v>4341</v>
      </c>
      <c r="D7127" s="880" t="s">
        <v>9019</v>
      </c>
    </row>
    <row r="7128" spans="1:4" ht="13.5" x14ac:dyDescent="0.25">
      <c r="A7128" s="878" t="s">
        <v>17532</v>
      </c>
      <c r="B7128" s="878" t="s">
        <v>17533</v>
      </c>
      <c r="C7128" s="879" t="s">
        <v>4341</v>
      </c>
      <c r="D7128" s="880" t="s">
        <v>30849</v>
      </c>
    </row>
    <row r="7129" spans="1:4" ht="13.5" x14ac:dyDescent="0.25">
      <c r="A7129" s="878" t="s">
        <v>17534</v>
      </c>
      <c r="B7129" s="878" t="s">
        <v>17535</v>
      </c>
      <c r="C7129" s="879" t="s">
        <v>4341</v>
      </c>
      <c r="D7129" s="880" t="s">
        <v>12379</v>
      </c>
    </row>
    <row r="7130" spans="1:4" ht="13.5" x14ac:dyDescent="0.25">
      <c r="A7130" s="878" t="s">
        <v>17536</v>
      </c>
      <c r="B7130" s="878" t="s">
        <v>17537</v>
      </c>
      <c r="C7130" s="879" t="s">
        <v>4341</v>
      </c>
      <c r="D7130" s="881" t="s">
        <v>31352</v>
      </c>
    </row>
    <row r="7131" spans="1:4" ht="13.5" x14ac:dyDescent="0.25">
      <c r="A7131" s="878" t="s">
        <v>17538</v>
      </c>
      <c r="B7131" s="878" t="s">
        <v>17539</v>
      </c>
      <c r="C7131" s="879" t="s">
        <v>4341</v>
      </c>
      <c r="D7131" s="881" t="s">
        <v>31368</v>
      </c>
    </row>
    <row r="7132" spans="1:4" ht="13.5" x14ac:dyDescent="0.25">
      <c r="A7132" s="878" t="s">
        <v>17540</v>
      </c>
      <c r="B7132" s="878" t="s">
        <v>17541</v>
      </c>
      <c r="C7132" s="879" t="s">
        <v>4341</v>
      </c>
      <c r="D7132" s="881" t="s">
        <v>9186</v>
      </c>
    </row>
    <row r="7133" spans="1:4" ht="13.5" x14ac:dyDescent="0.25">
      <c r="A7133" s="878" t="s">
        <v>17543</v>
      </c>
      <c r="B7133" s="878" t="s">
        <v>17544</v>
      </c>
      <c r="C7133" s="879" t="s">
        <v>4341</v>
      </c>
      <c r="D7133" s="881" t="s">
        <v>31352</v>
      </c>
    </row>
    <row r="7134" spans="1:4" ht="13.5" x14ac:dyDescent="0.25">
      <c r="A7134" s="878" t="s">
        <v>17545</v>
      </c>
      <c r="B7134" s="878" t="s">
        <v>17546</v>
      </c>
      <c r="C7134" s="879" t="s">
        <v>4341</v>
      </c>
      <c r="D7134" s="881" t="s">
        <v>31366</v>
      </c>
    </row>
    <row r="7135" spans="1:4" ht="13.5" x14ac:dyDescent="0.25">
      <c r="A7135" s="878" t="s">
        <v>17547</v>
      </c>
      <c r="B7135" s="878" t="s">
        <v>17548</v>
      </c>
      <c r="C7135" s="879" t="s">
        <v>4341</v>
      </c>
      <c r="D7135" s="881" t="s">
        <v>31344</v>
      </c>
    </row>
    <row r="7136" spans="1:4" ht="13.5" x14ac:dyDescent="0.25">
      <c r="A7136" s="878" t="s">
        <v>17549</v>
      </c>
      <c r="B7136" s="878" t="s">
        <v>17550</v>
      </c>
      <c r="C7136" s="879" t="s">
        <v>4341</v>
      </c>
      <c r="D7136" s="881" t="s">
        <v>12878</v>
      </c>
    </row>
    <row r="7137" spans="1:4" ht="13.5" x14ac:dyDescent="0.25">
      <c r="A7137" s="878" t="s">
        <v>17551</v>
      </c>
      <c r="B7137" s="878" t="s">
        <v>17552</v>
      </c>
      <c r="C7137" s="879" t="s">
        <v>4341</v>
      </c>
      <c r="D7137" s="881" t="s">
        <v>31369</v>
      </c>
    </row>
    <row r="7138" spans="1:4" ht="13.5" x14ac:dyDescent="0.25">
      <c r="A7138" s="878" t="s">
        <v>17553</v>
      </c>
      <c r="B7138" s="878" t="s">
        <v>17554</v>
      </c>
      <c r="C7138" s="879" t="s">
        <v>4341</v>
      </c>
      <c r="D7138" s="881" t="s">
        <v>31370</v>
      </c>
    </row>
    <row r="7139" spans="1:4" ht="13.5" x14ac:dyDescent="0.25">
      <c r="A7139" s="878" t="s">
        <v>17555</v>
      </c>
      <c r="B7139" s="878" t="s">
        <v>17556</v>
      </c>
      <c r="C7139" s="879" t="s">
        <v>4341</v>
      </c>
      <c r="D7139" s="881" t="s">
        <v>31371</v>
      </c>
    </row>
    <row r="7140" spans="1:4" ht="13.5" x14ac:dyDescent="0.25">
      <c r="A7140" s="878" t="s">
        <v>17557</v>
      </c>
      <c r="B7140" s="878" t="s">
        <v>17558</v>
      </c>
      <c r="C7140" s="879" t="s">
        <v>4341</v>
      </c>
      <c r="D7140" s="881" t="s">
        <v>31036</v>
      </c>
    </row>
    <row r="7141" spans="1:4" ht="13.5" x14ac:dyDescent="0.25">
      <c r="A7141" s="878" t="s">
        <v>17559</v>
      </c>
      <c r="B7141" s="878" t="s">
        <v>17560</v>
      </c>
      <c r="C7141" s="879" t="s">
        <v>4341</v>
      </c>
      <c r="D7141" s="881" t="s">
        <v>31372</v>
      </c>
    </row>
    <row r="7142" spans="1:4" ht="13.5" x14ac:dyDescent="0.25">
      <c r="A7142" s="878" t="s">
        <v>17561</v>
      </c>
      <c r="B7142" s="878" t="s">
        <v>17562</v>
      </c>
      <c r="C7142" s="879" t="s">
        <v>4341</v>
      </c>
      <c r="D7142" s="881" t="s">
        <v>31373</v>
      </c>
    </row>
    <row r="7143" spans="1:4" ht="13.5" x14ac:dyDescent="0.25">
      <c r="A7143" s="878" t="s">
        <v>17563</v>
      </c>
      <c r="B7143" s="878" t="s">
        <v>17564</v>
      </c>
      <c r="C7143" s="879" t="s">
        <v>4341</v>
      </c>
      <c r="D7143" s="881" t="s">
        <v>31374</v>
      </c>
    </row>
    <row r="7144" spans="1:4" ht="13.5" x14ac:dyDescent="0.25">
      <c r="A7144" s="878" t="s">
        <v>17565</v>
      </c>
      <c r="B7144" s="878" t="s">
        <v>17566</v>
      </c>
      <c r="C7144" s="879" t="s">
        <v>4341</v>
      </c>
      <c r="D7144" s="881" t="s">
        <v>31375</v>
      </c>
    </row>
    <row r="7145" spans="1:4" ht="13.5" x14ac:dyDescent="0.25">
      <c r="A7145" s="878" t="s">
        <v>17567</v>
      </c>
      <c r="B7145" s="878" t="s">
        <v>17568</v>
      </c>
      <c r="C7145" s="879" t="s">
        <v>4341</v>
      </c>
      <c r="D7145" s="881" t="s">
        <v>31376</v>
      </c>
    </row>
    <row r="7146" spans="1:4" ht="13.5" x14ac:dyDescent="0.25">
      <c r="A7146" s="878" t="s">
        <v>17569</v>
      </c>
      <c r="B7146" s="878" t="s">
        <v>17570</v>
      </c>
      <c r="C7146" s="879" t="s">
        <v>4341</v>
      </c>
      <c r="D7146" s="881" t="s">
        <v>30511</v>
      </c>
    </row>
    <row r="7147" spans="1:4" ht="13.5" x14ac:dyDescent="0.25">
      <c r="A7147" s="878" t="s">
        <v>17571</v>
      </c>
      <c r="B7147" s="878" t="s">
        <v>17572</v>
      </c>
      <c r="C7147" s="879" t="s">
        <v>4341</v>
      </c>
      <c r="D7147" s="881" t="s">
        <v>31377</v>
      </c>
    </row>
    <row r="7148" spans="1:4" ht="13.5" x14ac:dyDescent="0.25">
      <c r="A7148" s="878" t="s">
        <v>17573</v>
      </c>
      <c r="B7148" s="878" t="s">
        <v>17574</v>
      </c>
      <c r="C7148" s="879" t="s">
        <v>4341</v>
      </c>
      <c r="D7148" s="881" t="s">
        <v>31378</v>
      </c>
    </row>
    <row r="7149" spans="1:4" ht="13.5" x14ac:dyDescent="0.25">
      <c r="A7149" s="878" t="s">
        <v>17575</v>
      </c>
      <c r="B7149" s="878" t="s">
        <v>17576</v>
      </c>
      <c r="C7149" s="879" t="s">
        <v>4341</v>
      </c>
      <c r="D7149" s="881" t="s">
        <v>5213</v>
      </c>
    </row>
    <row r="7150" spans="1:4" ht="13.5" x14ac:dyDescent="0.25">
      <c r="A7150" s="878" t="s">
        <v>17577</v>
      </c>
      <c r="B7150" s="878" t="s">
        <v>17578</v>
      </c>
      <c r="C7150" s="879" t="s">
        <v>4341</v>
      </c>
      <c r="D7150" s="881" t="s">
        <v>31379</v>
      </c>
    </row>
    <row r="7151" spans="1:4" ht="13.5" x14ac:dyDescent="0.25">
      <c r="A7151" s="878" t="s">
        <v>17579</v>
      </c>
      <c r="B7151" s="878" t="s">
        <v>17580</v>
      </c>
      <c r="C7151" s="879" t="s">
        <v>4341</v>
      </c>
      <c r="D7151" s="881" t="s">
        <v>31380</v>
      </c>
    </row>
    <row r="7152" spans="1:4" ht="13.5" x14ac:dyDescent="0.25">
      <c r="A7152" s="878" t="s">
        <v>17581</v>
      </c>
      <c r="B7152" s="878" t="s">
        <v>17582</v>
      </c>
      <c r="C7152" s="879" t="s">
        <v>4341</v>
      </c>
      <c r="D7152" s="881" t="s">
        <v>31381</v>
      </c>
    </row>
    <row r="7153" spans="1:4" ht="13.5" x14ac:dyDescent="0.25">
      <c r="A7153" s="878" t="s">
        <v>17583</v>
      </c>
      <c r="B7153" s="878" t="s">
        <v>17584</v>
      </c>
      <c r="C7153" s="879" t="s">
        <v>4341</v>
      </c>
      <c r="D7153" s="881" t="s">
        <v>31382</v>
      </c>
    </row>
    <row r="7154" spans="1:4" ht="13.5" x14ac:dyDescent="0.25">
      <c r="A7154" s="878" t="s">
        <v>17585</v>
      </c>
      <c r="B7154" s="878" t="s">
        <v>17586</v>
      </c>
      <c r="C7154" s="879" t="s">
        <v>4341</v>
      </c>
      <c r="D7154" s="881" t="s">
        <v>7766</v>
      </c>
    </row>
    <row r="7155" spans="1:4" ht="13.5" x14ac:dyDescent="0.25">
      <c r="A7155" s="878" t="s">
        <v>17588</v>
      </c>
      <c r="B7155" s="878" t="s">
        <v>17589</v>
      </c>
      <c r="C7155" s="879" t="s">
        <v>4341</v>
      </c>
      <c r="D7155" s="881" t="s">
        <v>31383</v>
      </c>
    </row>
    <row r="7156" spans="1:4" ht="13.5" x14ac:dyDescent="0.25">
      <c r="A7156" s="878" t="s">
        <v>17590</v>
      </c>
      <c r="B7156" s="878" t="s">
        <v>17591</v>
      </c>
      <c r="C7156" s="879" t="s">
        <v>4341</v>
      </c>
      <c r="D7156" s="881" t="s">
        <v>30980</v>
      </c>
    </row>
    <row r="7157" spans="1:4" ht="13.5" x14ac:dyDescent="0.25">
      <c r="A7157" s="878" t="s">
        <v>17592</v>
      </c>
      <c r="B7157" s="878" t="s">
        <v>17593</v>
      </c>
      <c r="C7157" s="879" t="s">
        <v>4341</v>
      </c>
      <c r="D7157" s="881" t="s">
        <v>31384</v>
      </c>
    </row>
    <row r="7158" spans="1:4" ht="13.5" x14ac:dyDescent="0.25">
      <c r="A7158" s="878" t="s">
        <v>17595</v>
      </c>
      <c r="B7158" s="878" t="s">
        <v>17556</v>
      </c>
      <c r="C7158" s="879" t="s">
        <v>4341</v>
      </c>
      <c r="D7158" s="881" t="s">
        <v>31385</v>
      </c>
    </row>
    <row r="7159" spans="1:4" ht="13.5" x14ac:dyDescent="0.25">
      <c r="A7159" s="878" t="s">
        <v>17596</v>
      </c>
      <c r="B7159" s="878" t="s">
        <v>17572</v>
      </c>
      <c r="C7159" s="879" t="s">
        <v>4341</v>
      </c>
      <c r="D7159" s="881" t="s">
        <v>31386</v>
      </c>
    </row>
    <row r="7160" spans="1:4" ht="13.5" x14ac:dyDescent="0.25">
      <c r="A7160" s="878" t="s">
        <v>17597</v>
      </c>
      <c r="B7160" s="878" t="s">
        <v>17574</v>
      </c>
      <c r="C7160" s="879" t="s">
        <v>4341</v>
      </c>
      <c r="D7160" s="881" t="s">
        <v>31387</v>
      </c>
    </row>
    <row r="7161" spans="1:4" ht="13.5" x14ac:dyDescent="0.25">
      <c r="A7161" s="878" t="s">
        <v>17598</v>
      </c>
      <c r="B7161" s="878" t="s">
        <v>17568</v>
      </c>
      <c r="C7161" s="879" t="s">
        <v>4341</v>
      </c>
      <c r="D7161" s="881" t="s">
        <v>31388</v>
      </c>
    </row>
    <row r="7162" spans="1:4" ht="13.5" x14ac:dyDescent="0.25">
      <c r="A7162" s="878" t="s">
        <v>17599</v>
      </c>
      <c r="B7162" s="878" t="s">
        <v>17558</v>
      </c>
      <c r="C7162" s="879" t="s">
        <v>4341</v>
      </c>
      <c r="D7162" s="881" t="s">
        <v>31389</v>
      </c>
    </row>
    <row r="7163" spans="1:4" ht="13.5" x14ac:dyDescent="0.25">
      <c r="A7163" s="878" t="s">
        <v>17600</v>
      </c>
      <c r="B7163" s="878" t="s">
        <v>17560</v>
      </c>
      <c r="C7163" s="879" t="s">
        <v>4341</v>
      </c>
      <c r="D7163" s="881" t="s">
        <v>31390</v>
      </c>
    </row>
    <row r="7164" spans="1:4" ht="13.5" x14ac:dyDescent="0.25">
      <c r="A7164" s="878" t="s">
        <v>17601</v>
      </c>
      <c r="B7164" s="878" t="s">
        <v>17578</v>
      </c>
      <c r="C7164" s="879" t="s">
        <v>4341</v>
      </c>
      <c r="D7164" s="881" t="s">
        <v>31391</v>
      </c>
    </row>
    <row r="7165" spans="1:4" ht="13.5" x14ac:dyDescent="0.25">
      <c r="A7165" s="878" t="s">
        <v>17602</v>
      </c>
      <c r="B7165" s="878" t="s">
        <v>17570</v>
      </c>
      <c r="C7165" s="879" t="s">
        <v>4341</v>
      </c>
      <c r="D7165" s="881" t="s">
        <v>31392</v>
      </c>
    </row>
    <row r="7166" spans="1:4" ht="13.5" x14ac:dyDescent="0.25">
      <c r="A7166" s="878" t="s">
        <v>17603</v>
      </c>
      <c r="B7166" s="878" t="s">
        <v>17580</v>
      </c>
      <c r="C7166" s="879" t="s">
        <v>4341</v>
      </c>
      <c r="D7166" s="881" t="s">
        <v>31393</v>
      </c>
    </row>
    <row r="7167" spans="1:4" ht="13.5" x14ac:dyDescent="0.25">
      <c r="A7167" s="878" t="s">
        <v>17604</v>
      </c>
      <c r="B7167" s="878" t="s">
        <v>17582</v>
      </c>
      <c r="C7167" s="879" t="s">
        <v>4341</v>
      </c>
      <c r="D7167" s="881" t="s">
        <v>31394</v>
      </c>
    </row>
    <row r="7168" spans="1:4" ht="13.5" x14ac:dyDescent="0.25">
      <c r="A7168" s="878" t="s">
        <v>17605</v>
      </c>
      <c r="B7168" s="878" t="s">
        <v>17606</v>
      </c>
      <c r="C7168" s="879" t="s">
        <v>4341</v>
      </c>
      <c r="D7168" s="881" t="s">
        <v>31395</v>
      </c>
    </row>
    <row r="7169" spans="1:4" ht="13.5" x14ac:dyDescent="0.25">
      <c r="A7169" s="878" t="s">
        <v>17607</v>
      </c>
      <c r="B7169" s="878" t="s">
        <v>17608</v>
      </c>
      <c r="C7169" s="879" t="s">
        <v>4341</v>
      </c>
      <c r="D7169" s="881" t="s">
        <v>31396</v>
      </c>
    </row>
    <row r="7170" spans="1:4" ht="13.5" x14ac:dyDescent="0.25">
      <c r="A7170" s="878" t="s">
        <v>17609</v>
      </c>
      <c r="B7170" s="878" t="s">
        <v>17610</v>
      </c>
      <c r="C7170" s="879" t="s">
        <v>4341</v>
      </c>
      <c r="D7170" s="881" t="s">
        <v>31397</v>
      </c>
    </row>
    <row r="7171" spans="1:4" ht="13.5" x14ac:dyDescent="0.25">
      <c r="A7171" s="878" t="s">
        <v>17611</v>
      </c>
      <c r="B7171" s="878" t="s">
        <v>17612</v>
      </c>
      <c r="C7171" s="879" t="s">
        <v>4341</v>
      </c>
      <c r="D7171" s="881" t="s">
        <v>31398</v>
      </c>
    </row>
    <row r="7172" spans="1:4" ht="13.5" x14ac:dyDescent="0.25">
      <c r="A7172" s="878" t="s">
        <v>17613</v>
      </c>
      <c r="B7172" s="878" t="s">
        <v>17584</v>
      </c>
      <c r="C7172" s="879" t="s">
        <v>4341</v>
      </c>
      <c r="D7172" s="881" t="s">
        <v>31399</v>
      </c>
    </row>
    <row r="7173" spans="1:4" ht="13.5" x14ac:dyDescent="0.25">
      <c r="A7173" s="878" t="s">
        <v>17614</v>
      </c>
      <c r="B7173" s="878" t="s">
        <v>17586</v>
      </c>
      <c r="C7173" s="879" t="s">
        <v>4341</v>
      </c>
      <c r="D7173" s="881" t="s">
        <v>31400</v>
      </c>
    </row>
    <row r="7174" spans="1:4" ht="13.5" x14ac:dyDescent="0.25">
      <c r="A7174" s="878" t="s">
        <v>17615</v>
      </c>
      <c r="B7174" s="878" t="s">
        <v>17616</v>
      </c>
      <c r="C7174" s="879" t="s">
        <v>4341</v>
      </c>
      <c r="D7174" s="881" t="s">
        <v>17619</v>
      </c>
    </row>
    <row r="7175" spans="1:4" ht="13.5" x14ac:dyDescent="0.25">
      <c r="A7175" s="878" t="s">
        <v>17617</v>
      </c>
      <c r="B7175" s="878" t="s">
        <v>17618</v>
      </c>
      <c r="C7175" s="879" t="s">
        <v>4341</v>
      </c>
      <c r="D7175" s="881" t="s">
        <v>5346</v>
      </c>
    </row>
    <row r="7176" spans="1:4" ht="13.5" x14ac:dyDescent="0.25">
      <c r="A7176" s="878" t="s">
        <v>17620</v>
      </c>
      <c r="B7176" s="878" t="s">
        <v>17621</v>
      </c>
      <c r="C7176" s="879" t="s">
        <v>4341</v>
      </c>
      <c r="D7176" s="881" t="s">
        <v>4338</v>
      </c>
    </row>
    <row r="7177" spans="1:4" ht="13.5" x14ac:dyDescent="0.25">
      <c r="A7177" s="878" t="s">
        <v>17622</v>
      </c>
      <c r="B7177" s="878" t="s">
        <v>17623</v>
      </c>
      <c r="C7177" s="879" t="s">
        <v>4341</v>
      </c>
      <c r="D7177" s="881" t="s">
        <v>17619</v>
      </c>
    </row>
    <row r="7178" spans="1:4" ht="13.5" x14ac:dyDescent="0.25">
      <c r="A7178" s="878" t="s">
        <v>17624</v>
      </c>
      <c r="B7178" s="878" t="s">
        <v>17625</v>
      </c>
      <c r="C7178" s="879" t="s">
        <v>4341</v>
      </c>
      <c r="D7178" s="881" t="s">
        <v>5346</v>
      </c>
    </row>
    <row r="7179" spans="1:4" ht="13.5" x14ac:dyDescent="0.25">
      <c r="A7179" s="878" t="s">
        <v>17626</v>
      </c>
      <c r="B7179" s="878" t="s">
        <v>17627</v>
      </c>
      <c r="C7179" s="879" t="s">
        <v>4341</v>
      </c>
      <c r="D7179" s="881" t="s">
        <v>17639</v>
      </c>
    </row>
    <row r="7180" spans="1:4" ht="13.5" x14ac:dyDescent="0.25">
      <c r="A7180" s="878" t="s">
        <v>17629</v>
      </c>
      <c r="B7180" s="878" t="s">
        <v>17630</v>
      </c>
      <c r="C7180" s="879" t="s">
        <v>17594</v>
      </c>
      <c r="D7180" s="881" t="s">
        <v>4224</v>
      </c>
    </row>
    <row r="7181" spans="1:4" ht="13.5" x14ac:dyDescent="0.25">
      <c r="A7181" s="878" t="s">
        <v>17631</v>
      </c>
      <c r="B7181" s="878" t="s">
        <v>17632</v>
      </c>
      <c r="C7181" s="879" t="s">
        <v>17594</v>
      </c>
      <c r="D7181" s="881" t="s">
        <v>5341</v>
      </c>
    </row>
    <row r="7182" spans="1:4" ht="13.5" x14ac:dyDescent="0.25">
      <c r="A7182" s="878" t="s">
        <v>17633</v>
      </c>
      <c r="B7182" s="878" t="s">
        <v>17634</v>
      </c>
      <c r="C7182" s="879" t="s">
        <v>17594</v>
      </c>
      <c r="D7182" s="881" t="s">
        <v>4582</v>
      </c>
    </row>
    <row r="7183" spans="1:4" ht="13.5" x14ac:dyDescent="0.25">
      <c r="A7183" s="878" t="s">
        <v>17635</v>
      </c>
      <c r="B7183" s="878" t="s">
        <v>17636</v>
      </c>
      <c r="C7183" s="879" t="s">
        <v>17594</v>
      </c>
      <c r="D7183" s="881" t="s">
        <v>4096</v>
      </c>
    </row>
    <row r="7184" spans="1:4" ht="13.5" x14ac:dyDescent="0.25">
      <c r="A7184" s="878" t="s">
        <v>17637</v>
      </c>
      <c r="B7184" s="878" t="s">
        <v>17638</v>
      </c>
      <c r="C7184" s="879" t="s">
        <v>17594</v>
      </c>
      <c r="D7184" s="881" t="s">
        <v>4224</v>
      </c>
    </row>
    <row r="7185" spans="1:4" ht="13.5" x14ac:dyDescent="0.25">
      <c r="A7185" s="878" t="s">
        <v>17640</v>
      </c>
      <c r="B7185" s="878" t="s">
        <v>17641</v>
      </c>
      <c r="C7185" s="879" t="s">
        <v>17594</v>
      </c>
      <c r="D7185" s="881" t="s">
        <v>17619</v>
      </c>
    </row>
    <row r="7186" spans="1:4" ht="13.5" x14ac:dyDescent="0.25">
      <c r="A7186" s="878" t="s">
        <v>17642</v>
      </c>
      <c r="B7186" s="878" t="s">
        <v>17643</v>
      </c>
      <c r="C7186" s="879" t="s">
        <v>17594</v>
      </c>
      <c r="D7186" s="881" t="s">
        <v>17619</v>
      </c>
    </row>
    <row r="7187" spans="1:4" ht="13.5" x14ac:dyDescent="0.25">
      <c r="A7187" s="878" t="s">
        <v>17644</v>
      </c>
      <c r="B7187" s="878" t="s">
        <v>17645</v>
      </c>
      <c r="C7187" s="879" t="s">
        <v>17594</v>
      </c>
      <c r="D7187" s="881" t="s">
        <v>17619</v>
      </c>
    </row>
    <row r="7188" spans="1:4" ht="13.5" x14ac:dyDescent="0.25">
      <c r="A7188" s="878" t="s">
        <v>17646</v>
      </c>
      <c r="B7188" s="878" t="s">
        <v>17647</v>
      </c>
      <c r="C7188" s="879" t="s">
        <v>17594</v>
      </c>
      <c r="D7188" s="881" t="s">
        <v>17619</v>
      </c>
    </row>
    <row r="7189" spans="1:4" ht="13.5" x14ac:dyDescent="0.25">
      <c r="A7189" s="878" t="s">
        <v>17648</v>
      </c>
      <c r="B7189" s="878" t="s">
        <v>17649</v>
      </c>
      <c r="C7189" s="879" t="s">
        <v>17594</v>
      </c>
      <c r="D7189" s="881" t="s">
        <v>5474</v>
      </c>
    </row>
    <row r="7190" spans="1:4" ht="13.5" x14ac:dyDescent="0.25">
      <c r="A7190" s="878" t="s">
        <v>17650</v>
      </c>
      <c r="B7190" s="878" t="s">
        <v>17651</v>
      </c>
      <c r="C7190" s="879" t="s">
        <v>17594</v>
      </c>
      <c r="D7190" s="881" t="s">
        <v>4452</v>
      </c>
    </row>
    <row r="7191" spans="1:4" ht="13.5" x14ac:dyDescent="0.25">
      <c r="A7191" s="878" t="s">
        <v>17652</v>
      </c>
      <c r="B7191" s="878" t="s">
        <v>17653</v>
      </c>
      <c r="C7191" s="879" t="s">
        <v>17594</v>
      </c>
      <c r="D7191" s="881" t="s">
        <v>5474</v>
      </c>
    </row>
    <row r="7192" spans="1:4" ht="13.5" x14ac:dyDescent="0.25">
      <c r="A7192" s="878" t="s">
        <v>17654</v>
      </c>
      <c r="B7192" s="878" t="s">
        <v>17655</v>
      </c>
      <c r="C7192" s="879" t="s">
        <v>17594</v>
      </c>
      <c r="D7192" s="881" t="s">
        <v>5189</v>
      </c>
    </row>
    <row r="7193" spans="1:4" ht="13.5" x14ac:dyDescent="0.25">
      <c r="A7193" s="878" t="s">
        <v>17656</v>
      </c>
      <c r="B7193" s="878" t="s">
        <v>17657</v>
      </c>
      <c r="C7193" s="879" t="s">
        <v>17594</v>
      </c>
      <c r="D7193" s="881" t="s">
        <v>4224</v>
      </c>
    </row>
    <row r="7194" spans="1:4" ht="13.5" x14ac:dyDescent="0.25">
      <c r="A7194" s="878" t="s">
        <v>17658</v>
      </c>
      <c r="B7194" s="878" t="s">
        <v>17659</v>
      </c>
      <c r="C7194" s="879" t="s">
        <v>17594</v>
      </c>
      <c r="D7194" s="881" t="s">
        <v>4452</v>
      </c>
    </row>
    <row r="7195" spans="1:4" ht="13.5" x14ac:dyDescent="0.25">
      <c r="A7195" s="878" t="s">
        <v>17660</v>
      </c>
      <c r="B7195" s="878" t="s">
        <v>17661</v>
      </c>
      <c r="C7195" s="879" t="s">
        <v>17594</v>
      </c>
      <c r="D7195" s="881" t="s">
        <v>4224</v>
      </c>
    </row>
    <row r="7196" spans="1:4" ht="13.5" x14ac:dyDescent="0.25">
      <c r="A7196" s="878" t="s">
        <v>17662</v>
      </c>
      <c r="B7196" s="878" t="s">
        <v>17663</v>
      </c>
      <c r="C7196" s="879" t="s">
        <v>17594</v>
      </c>
      <c r="D7196" s="881" t="s">
        <v>4767</v>
      </c>
    </row>
    <row r="7197" spans="1:4" ht="13.5" x14ac:dyDescent="0.25">
      <c r="A7197" s="878" t="s">
        <v>17664</v>
      </c>
      <c r="B7197" s="878" t="s">
        <v>17665</v>
      </c>
      <c r="C7197" s="879" t="s">
        <v>4341</v>
      </c>
      <c r="D7197" s="881" t="s">
        <v>30348</v>
      </c>
    </row>
    <row r="7198" spans="1:4" ht="13.5" x14ac:dyDescent="0.25">
      <c r="A7198" s="878" t="s">
        <v>17666</v>
      </c>
      <c r="B7198" s="878" t="s">
        <v>17667</v>
      </c>
      <c r="C7198" s="879" t="s">
        <v>4341</v>
      </c>
      <c r="D7198" s="881" t="s">
        <v>30197</v>
      </c>
    </row>
    <row r="7199" spans="1:4" ht="13.5" x14ac:dyDescent="0.25">
      <c r="A7199" s="878" t="s">
        <v>17668</v>
      </c>
      <c r="B7199" s="878" t="s">
        <v>17669</v>
      </c>
      <c r="C7199" s="879" t="s">
        <v>4341</v>
      </c>
      <c r="D7199" s="881" t="s">
        <v>4592</v>
      </c>
    </row>
    <row r="7200" spans="1:4" ht="13.5" x14ac:dyDescent="0.25">
      <c r="A7200" s="878" t="s">
        <v>17670</v>
      </c>
      <c r="B7200" s="878" t="s">
        <v>17671</v>
      </c>
      <c r="C7200" s="879" t="s">
        <v>4341</v>
      </c>
      <c r="D7200" s="881" t="s">
        <v>5460</v>
      </c>
    </row>
    <row r="7201" spans="1:4" ht="13.5" x14ac:dyDescent="0.25">
      <c r="A7201" s="878" t="s">
        <v>17672</v>
      </c>
      <c r="B7201" s="878" t="s">
        <v>17673</v>
      </c>
      <c r="C7201" s="879" t="s">
        <v>4341</v>
      </c>
      <c r="D7201" s="881" t="s">
        <v>4224</v>
      </c>
    </row>
    <row r="7202" spans="1:4" ht="13.5" x14ac:dyDescent="0.25">
      <c r="A7202" s="878" t="s">
        <v>17674</v>
      </c>
      <c r="B7202" s="878" t="s">
        <v>17675</v>
      </c>
      <c r="C7202" s="879" t="s">
        <v>4341</v>
      </c>
      <c r="D7202" s="881" t="s">
        <v>4159</v>
      </c>
    </row>
    <row r="7203" spans="1:4" ht="13.5" x14ac:dyDescent="0.25">
      <c r="A7203" s="878" t="s">
        <v>17676</v>
      </c>
      <c r="B7203" s="878" t="s">
        <v>17677</v>
      </c>
      <c r="C7203" s="879" t="s">
        <v>4341</v>
      </c>
      <c r="D7203" s="881" t="s">
        <v>4159</v>
      </c>
    </row>
    <row r="7204" spans="1:4" ht="13.5" x14ac:dyDescent="0.25">
      <c r="A7204" s="878" t="s">
        <v>17678</v>
      </c>
      <c r="B7204" s="878" t="s">
        <v>17679</v>
      </c>
      <c r="C7204" s="879" t="s">
        <v>4341</v>
      </c>
      <c r="D7204" s="881" t="s">
        <v>4452</v>
      </c>
    </row>
    <row r="7205" spans="1:4" ht="13.5" x14ac:dyDescent="0.25">
      <c r="A7205" s="878" t="s">
        <v>17680</v>
      </c>
      <c r="B7205" s="878" t="s">
        <v>17681</v>
      </c>
      <c r="C7205" s="879" t="s">
        <v>4341</v>
      </c>
      <c r="D7205" s="881" t="s">
        <v>5474</v>
      </c>
    </row>
    <row r="7206" spans="1:4" ht="13.5" x14ac:dyDescent="0.25">
      <c r="A7206" s="878" t="s">
        <v>17682</v>
      </c>
      <c r="B7206" s="878" t="s">
        <v>17683</v>
      </c>
      <c r="C7206" s="879" t="s">
        <v>4341</v>
      </c>
      <c r="D7206" s="881" t="s">
        <v>4224</v>
      </c>
    </row>
    <row r="7207" spans="1:4" ht="13.5" x14ac:dyDescent="0.25">
      <c r="A7207" s="878" t="s">
        <v>17684</v>
      </c>
      <c r="B7207" s="878" t="s">
        <v>17685</v>
      </c>
      <c r="C7207" s="879" t="s">
        <v>4341</v>
      </c>
      <c r="D7207" s="881" t="s">
        <v>4257</v>
      </c>
    </row>
    <row r="7208" spans="1:4" ht="13.5" x14ac:dyDescent="0.25">
      <c r="A7208" s="878" t="s">
        <v>17686</v>
      </c>
      <c r="B7208" s="878" t="s">
        <v>17687</v>
      </c>
      <c r="C7208" s="879" t="s">
        <v>4341</v>
      </c>
      <c r="D7208" s="881" t="s">
        <v>17619</v>
      </c>
    </row>
    <row r="7209" spans="1:4" ht="13.5" x14ac:dyDescent="0.25">
      <c r="A7209" s="878" t="s">
        <v>17688</v>
      </c>
      <c r="B7209" s="878" t="s">
        <v>17689</v>
      </c>
      <c r="C7209" s="879" t="s">
        <v>4341</v>
      </c>
      <c r="D7209" s="881" t="s">
        <v>4920</v>
      </c>
    </row>
    <row r="7210" spans="1:4" ht="13.5" x14ac:dyDescent="0.25">
      <c r="A7210" s="878" t="s">
        <v>17690</v>
      </c>
      <c r="B7210" s="878" t="s">
        <v>17691</v>
      </c>
      <c r="C7210" s="879" t="s">
        <v>4341</v>
      </c>
      <c r="D7210" s="881" t="s">
        <v>4923</v>
      </c>
    </row>
    <row r="7211" spans="1:4" ht="13.5" x14ac:dyDescent="0.25">
      <c r="A7211" s="878" t="s">
        <v>17692</v>
      </c>
      <c r="B7211" s="878" t="s">
        <v>17693</v>
      </c>
      <c r="C7211" s="879" t="s">
        <v>4341</v>
      </c>
      <c r="D7211" s="881" t="s">
        <v>5189</v>
      </c>
    </row>
    <row r="7212" spans="1:4" ht="13.5" x14ac:dyDescent="0.25">
      <c r="A7212" s="878" t="s">
        <v>17694</v>
      </c>
      <c r="B7212" s="878" t="s">
        <v>17695</v>
      </c>
      <c r="C7212" s="879" t="s">
        <v>4341</v>
      </c>
      <c r="D7212" s="881" t="s">
        <v>4767</v>
      </c>
    </row>
    <row r="7213" spans="1:4" ht="13.5" x14ac:dyDescent="0.25">
      <c r="A7213" s="878" t="s">
        <v>17696</v>
      </c>
      <c r="B7213" s="878" t="s">
        <v>17697</v>
      </c>
      <c r="C7213" s="879" t="s">
        <v>4341</v>
      </c>
      <c r="D7213" s="881" t="s">
        <v>4585</v>
      </c>
    </row>
    <row r="7214" spans="1:4" ht="13.5" x14ac:dyDescent="0.25">
      <c r="A7214" s="878" t="s">
        <v>17698</v>
      </c>
      <c r="B7214" s="878" t="s">
        <v>17699</v>
      </c>
      <c r="C7214" s="879" t="s">
        <v>4341</v>
      </c>
      <c r="D7214" s="881" t="s">
        <v>4923</v>
      </c>
    </row>
    <row r="7215" spans="1:4" x14ac:dyDescent="0.2">
      <c r="A7215" s="14" t="s">
        <v>17700</v>
      </c>
      <c r="B7215" s="14" t="s">
        <v>17701</v>
      </c>
      <c r="C7215" s="38" t="s">
        <v>4341</v>
      </c>
      <c r="D7215" s="14" t="s">
        <v>4257</v>
      </c>
    </row>
    <row r="7216" spans="1:4" x14ac:dyDescent="0.2">
      <c r="A7216" s="14" t="s">
        <v>17702</v>
      </c>
      <c r="B7216" s="14" t="s">
        <v>17703</v>
      </c>
      <c r="C7216" s="38" t="s">
        <v>4341</v>
      </c>
      <c r="D7216" s="14" t="s">
        <v>5346</v>
      </c>
    </row>
    <row r="7217" spans="1:4" x14ac:dyDescent="0.2">
      <c r="A7217" s="14" t="s">
        <v>17704</v>
      </c>
      <c r="B7217" s="14" t="s">
        <v>17705</v>
      </c>
      <c r="C7217" s="38" t="s">
        <v>4341</v>
      </c>
      <c r="D7217" s="14" t="s">
        <v>4338</v>
      </c>
    </row>
    <row r="7218" spans="1:4" x14ac:dyDescent="0.2">
      <c r="A7218" s="14" t="s">
        <v>17706</v>
      </c>
      <c r="B7218" s="14" t="s">
        <v>17707</v>
      </c>
      <c r="C7218" s="38" t="s">
        <v>4341</v>
      </c>
      <c r="D7218" s="14" t="s">
        <v>4326</v>
      </c>
    </row>
    <row r="7219" spans="1:4" x14ac:dyDescent="0.2">
      <c r="A7219" s="14" t="s">
        <v>17708</v>
      </c>
      <c r="B7219" s="14" t="s">
        <v>17709</v>
      </c>
      <c r="C7219" s="38" t="s">
        <v>4341</v>
      </c>
      <c r="D7219" s="14" t="s">
        <v>17619</v>
      </c>
    </row>
    <row r="7220" spans="1:4" x14ac:dyDescent="0.2">
      <c r="A7220" s="14" t="s">
        <v>17710</v>
      </c>
      <c r="B7220" s="14" t="s">
        <v>17711</v>
      </c>
      <c r="C7220" s="38" t="s">
        <v>4341</v>
      </c>
      <c r="D7220" s="14" t="s">
        <v>4452</v>
      </c>
    </row>
    <row r="7221" spans="1:4" x14ac:dyDescent="0.2">
      <c r="A7221" s="14" t="s">
        <v>17712</v>
      </c>
      <c r="B7221" s="14" t="s">
        <v>17713</v>
      </c>
      <c r="C7221" s="38" t="s">
        <v>4341</v>
      </c>
      <c r="D7221" s="14" t="s">
        <v>5300</v>
      </c>
    </row>
    <row r="7222" spans="1:4" x14ac:dyDescent="0.2">
      <c r="A7222" s="14" t="s">
        <v>17714</v>
      </c>
      <c r="B7222" s="14" t="s">
        <v>17715</v>
      </c>
      <c r="C7222" s="38" t="s">
        <v>4341</v>
      </c>
      <c r="D7222" s="14" t="s">
        <v>4452</v>
      </c>
    </row>
    <row r="7223" spans="1:4" x14ac:dyDescent="0.2">
      <c r="A7223" s="14" t="s">
        <v>17716</v>
      </c>
      <c r="B7223" s="14" t="s">
        <v>17717</v>
      </c>
      <c r="C7223" s="38" t="s">
        <v>4341</v>
      </c>
      <c r="D7223" s="14" t="s">
        <v>5346</v>
      </c>
    </row>
    <row r="7224" spans="1:4" x14ac:dyDescent="0.2">
      <c r="A7224" s="14" t="s">
        <v>17718</v>
      </c>
      <c r="B7224" s="14" t="s">
        <v>17719</v>
      </c>
      <c r="C7224" s="38" t="s">
        <v>4341</v>
      </c>
      <c r="D7224" s="14" t="s">
        <v>4767</v>
      </c>
    </row>
    <row r="7225" spans="1:4" x14ac:dyDescent="0.2">
      <c r="A7225" s="14" t="s">
        <v>17720</v>
      </c>
      <c r="B7225" s="14" t="s">
        <v>17721</v>
      </c>
      <c r="C7225" s="38" t="s">
        <v>4341</v>
      </c>
      <c r="D7225" s="14" t="s">
        <v>17619</v>
      </c>
    </row>
    <row r="7226" spans="1:4" x14ac:dyDescent="0.2">
      <c r="A7226" s="14" t="s">
        <v>17722</v>
      </c>
      <c r="B7226" s="14" t="s">
        <v>17723</v>
      </c>
      <c r="C7226" s="38" t="s">
        <v>4341</v>
      </c>
      <c r="D7226" s="14" t="s">
        <v>4224</v>
      </c>
    </row>
    <row r="7227" spans="1:4" x14ac:dyDescent="0.2">
      <c r="A7227" s="14" t="s">
        <v>17724</v>
      </c>
      <c r="B7227" s="14" t="s">
        <v>17725</v>
      </c>
      <c r="C7227" s="38" t="s">
        <v>4341</v>
      </c>
      <c r="D7227" s="14" t="s">
        <v>4841</v>
      </c>
    </row>
    <row r="7228" spans="1:4" x14ac:dyDescent="0.2">
      <c r="A7228" s="14" t="s">
        <v>17726</v>
      </c>
      <c r="B7228" s="14" t="s">
        <v>17727</v>
      </c>
      <c r="C7228" s="38" t="s">
        <v>4341</v>
      </c>
      <c r="D7228" s="14" t="s">
        <v>31401</v>
      </c>
    </row>
    <row r="7229" spans="1:4" x14ac:dyDescent="0.2">
      <c r="A7229" s="14" t="s">
        <v>17728</v>
      </c>
      <c r="B7229" s="14" t="s">
        <v>17729</v>
      </c>
      <c r="C7229" s="38" t="s">
        <v>4341</v>
      </c>
      <c r="D7229" s="14" t="s">
        <v>4338</v>
      </c>
    </row>
    <row r="7230" spans="1:4" x14ac:dyDescent="0.2">
      <c r="A7230" s="14" t="s">
        <v>17730</v>
      </c>
      <c r="B7230" s="14" t="s">
        <v>17731</v>
      </c>
      <c r="C7230" s="38" t="s">
        <v>4341</v>
      </c>
      <c r="D7230" s="14" t="s">
        <v>4841</v>
      </c>
    </row>
    <row r="7231" spans="1:4" x14ac:dyDescent="0.2">
      <c r="A7231" s="14" t="s">
        <v>17732</v>
      </c>
      <c r="B7231" s="14" t="s">
        <v>17733</v>
      </c>
      <c r="C7231" s="38" t="s">
        <v>4341</v>
      </c>
      <c r="D7231" s="14" t="s">
        <v>4031</v>
      </c>
    </row>
    <row r="7232" spans="1:4" x14ac:dyDescent="0.2">
      <c r="A7232" s="14" t="s">
        <v>17734</v>
      </c>
      <c r="B7232" s="14" t="s">
        <v>17735</v>
      </c>
      <c r="C7232" s="38" t="s">
        <v>4341</v>
      </c>
      <c r="D7232" s="14" t="s">
        <v>4841</v>
      </c>
    </row>
    <row r="7233" spans="1:4" x14ac:dyDescent="0.2">
      <c r="A7233" s="14" t="s">
        <v>17736</v>
      </c>
      <c r="B7233" s="14" t="s">
        <v>17737</v>
      </c>
      <c r="C7233" s="38" t="s">
        <v>4341</v>
      </c>
      <c r="D7233" s="14" t="s">
        <v>4452</v>
      </c>
    </row>
    <row r="7234" spans="1:4" x14ac:dyDescent="0.2">
      <c r="A7234" s="14" t="s">
        <v>17738</v>
      </c>
      <c r="B7234" s="14" t="s">
        <v>17739</v>
      </c>
      <c r="C7234" s="38" t="s">
        <v>4341</v>
      </c>
      <c r="D7234" s="14" t="s">
        <v>4159</v>
      </c>
    </row>
    <row r="7235" spans="1:4" x14ac:dyDescent="0.2">
      <c r="A7235" s="14" t="s">
        <v>17740</v>
      </c>
      <c r="B7235" s="14" t="s">
        <v>17741</v>
      </c>
      <c r="C7235" s="38" t="s">
        <v>4341</v>
      </c>
      <c r="D7235" s="14" t="s">
        <v>16621</v>
      </c>
    </row>
    <row r="7236" spans="1:4" x14ac:dyDescent="0.2">
      <c r="A7236" s="14" t="s">
        <v>17742</v>
      </c>
      <c r="B7236" s="14" t="s">
        <v>17743</v>
      </c>
      <c r="C7236" s="38" t="s">
        <v>4341</v>
      </c>
      <c r="D7236" s="14" t="s">
        <v>4458</v>
      </c>
    </row>
    <row r="7237" spans="1:4" x14ac:dyDescent="0.2">
      <c r="A7237" s="14" t="s">
        <v>17744</v>
      </c>
      <c r="B7237" s="14" t="s">
        <v>17745</v>
      </c>
      <c r="C7237" s="38" t="s">
        <v>4341</v>
      </c>
      <c r="D7237" s="14" t="s">
        <v>16621</v>
      </c>
    </row>
    <row r="7238" spans="1:4" x14ac:dyDescent="0.2">
      <c r="A7238" s="14" t="s">
        <v>17746</v>
      </c>
      <c r="B7238" s="14" t="s">
        <v>17747</v>
      </c>
      <c r="C7238" s="38" t="s">
        <v>4341</v>
      </c>
      <c r="D7238" s="14" t="s">
        <v>17367</v>
      </c>
    </row>
    <row r="7239" spans="1:4" x14ac:dyDescent="0.2">
      <c r="A7239" s="14" t="s">
        <v>17748</v>
      </c>
      <c r="B7239" s="14" t="s">
        <v>17749</v>
      </c>
      <c r="C7239" s="38" t="s">
        <v>4341</v>
      </c>
      <c r="D7239" s="14" t="s">
        <v>5159</v>
      </c>
    </row>
    <row r="7240" spans="1:4" x14ac:dyDescent="0.2">
      <c r="A7240" s="14" t="s">
        <v>17750</v>
      </c>
      <c r="B7240" s="14" t="s">
        <v>17751</v>
      </c>
      <c r="C7240" s="38" t="s">
        <v>4341</v>
      </c>
      <c r="D7240" s="14" t="s">
        <v>4224</v>
      </c>
    </row>
    <row r="7241" spans="1:4" x14ac:dyDescent="0.2">
      <c r="A7241" s="14" t="s">
        <v>17752</v>
      </c>
      <c r="B7241" s="14" t="s">
        <v>17753</v>
      </c>
      <c r="C7241" s="38" t="s">
        <v>4341</v>
      </c>
      <c r="D7241" s="14" t="s">
        <v>16621</v>
      </c>
    </row>
    <row r="7242" spans="1:4" x14ac:dyDescent="0.2">
      <c r="A7242" s="14" t="s">
        <v>17754</v>
      </c>
      <c r="B7242" s="14" t="s">
        <v>17755</v>
      </c>
      <c r="C7242" s="38" t="s">
        <v>4341</v>
      </c>
      <c r="D7242" s="14" t="s">
        <v>5300</v>
      </c>
    </row>
    <row r="7243" spans="1:4" x14ac:dyDescent="0.2">
      <c r="A7243" s="14" t="s">
        <v>17756</v>
      </c>
      <c r="B7243" s="14" t="s">
        <v>17757</v>
      </c>
      <c r="C7243" s="38" t="s">
        <v>4341</v>
      </c>
      <c r="D7243" s="14" t="s">
        <v>4452</v>
      </c>
    </row>
    <row r="7244" spans="1:4" x14ac:dyDescent="0.2">
      <c r="A7244" s="14" t="s">
        <v>17758</v>
      </c>
      <c r="B7244" s="14" t="s">
        <v>17759</v>
      </c>
      <c r="C7244" s="38" t="s">
        <v>4341</v>
      </c>
      <c r="D7244" s="14" t="s">
        <v>4224</v>
      </c>
    </row>
    <row r="7245" spans="1:4" x14ac:dyDescent="0.2">
      <c r="A7245" s="14" t="s">
        <v>17760</v>
      </c>
      <c r="B7245" s="14" t="s">
        <v>17761</v>
      </c>
      <c r="C7245" s="38" t="s">
        <v>4341</v>
      </c>
      <c r="D7245" s="14" t="s">
        <v>4880</v>
      </c>
    </row>
    <row r="7246" spans="1:4" x14ac:dyDescent="0.2">
      <c r="A7246" s="14" t="s">
        <v>17762</v>
      </c>
      <c r="B7246" s="14" t="s">
        <v>17763</v>
      </c>
      <c r="C7246" s="38" t="s">
        <v>4341</v>
      </c>
      <c r="D7246" s="14" t="s">
        <v>5474</v>
      </c>
    </row>
    <row r="7247" spans="1:4" x14ac:dyDescent="0.2">
      <c r="A7247" s="14" t="s">
        <v>17764</v>
      </c>
      <c r="B7247" s="14" t="s">
        <v>17765</v>
      </c>
      <c r="C7247" s="38" t="s">
        <v>4341</v>
      </c>
      <c r="D7247" s="14" t="s">
        <v>4224</v>
      </c>
    </row>
    <row r="7248" spans="1:4" x14ac:dyDescent="0.2">
      <c r="A7248" s="14" t="s">
        <v>17766</v>
      </c>
      <c r="B7248" s="14" t="s">
        <v>17767</v>
      </c>
      <c r="C7248" s="38" t="s">
        <v>4341</v>
      </c>
      <c r="D7248" s="14" t="s">
        <v>4031</v>
      </c>
    </row>
    <row r="7249" spans="1:4" x14ac:dyDescent="0.2">
      <c r="A7249" s="14" t="s">
        <v>17768</v>
      </c>
      <c r="B7249" s="14" t="s">
        <v>17769</v>
      </c>
      <c r="C7249" s="38" t="s">
        <v>4341</v>
      </c>
      <c r="D7249" s="14" t="s">
        <v>5346</v>
      </c>
    </row>
    <row r="7250" spans="1:4" x14ac:dyDescent="0.2">
      <c r="A7250" s="14" t="s">
        <v>17770</v>
      </c>
      <c r="B7250" s="14" t="s">
        <v>17771</v>
      </c>
      <c r="C7250" s="38" t="s">
        <v>4341</v>
      </c>
      <c r="D7250" s="14" t="s">
        <v>4335</v>
      </c>
    </row>
    <row r="7251" spans="1:4" x14ac:dyDescent="0.2">
      <c r="A7251" s="14" t="s">
        <v>17772</v>
      </c>
      <c r="B7251" s="14" t="s">
        <v>17773</v>
      </c>
      <c r="C7251" s="38" t="s">
        <v>4341</v>
      </c>
      <c r="D7251" s="14" t="s">
        <v>4326</v>
      </c>
    </row>
    <row r="7252" spans="1:4" x14ac:dyDescent="0.2">
      <c r="A7252" s="14" t="s">
        <v>17774</v>
      </c>
      <c r="B7252" s="14" t="s">
        <v>17775</v>
      </c>
      <c r="C7252" s="38" t="s">
        <v>4341</v>
      </c>
      <c r="D7252" s="14" t="s">
        <v>5159</v>
      </c>
    </row>
    <row r="7253" spans="1:4" x14ac:dyDescent="0.2">
      <c r="A7253" s="14" t="s">
        <v>17776</v>
      </c>
      <c r="B7253" s="14" t="s">
        <v>17777</v>
      </c>
      <c r="C7253" s="38" t="s">
        <v>4341</v>
      </c>
      <c r="D7253" s="14" t="s">
        <v>5197</v>
      </c>
    </row>
    <row r="7254" spans="1:4" x14ac:dyDescent="0.2">
      <c r="A7254" s="14" t="s">
        <v>17778</v>
      </c>
      <c r="B7254" s="14" t="s">
        <v>17779</v>
      </c>
      <c r="C7254" s="38" t="s">
        <v>4341</v>
      </c>
      <c r="D7254" s="14" t="s">
        <v>5391</v>
      </c>
    </row>
    <row r="7255" spans="1:4" x14ac:dyDescent="0.2">
      <c r="A7255" s="14" t="s">
        <v>17780</v>
      </c>
      <c r="B7255" s="14" t="s">
        <v>17781</v>
      </c>
      <c r="C7255" s="38" t="s">
        <v>4341</v>
      </c>
      <c r="D7255" s="14" t="s">
        <v>4725</v>
      </c>
    </row>
    <row r="7256" spans="1:4" x14ac:dyDescent="0.2">
      <c r="A7256" s="14" t="s">
        <v>17782</v>
      </c>
      <c r="B7256" s="14" t="s">
        <v>17783</v>
      </c>
      <c r="C7256" s="38" t="s">
        <v>4341</v>
      </c>
      <c r="D7256" s="14" t="s">
        <v>30272</v>
      </c>
    </row>
    <row r="7257" spans="1:4" x14ac:dyDescent="0.2">
      <c r="A7257" s="14" t="s">
        <v>17784</v>
      </c>
      <c r="B7257" s="14" t="s">
        <v>17785</v>
      </c>
      <c r="C7257" s="38" t="s">
        <v>4341</v>
      </c>
      <c r="D7257" s="14" t="s">
        <v>4017</v>
      </c>
    </row>
    <row r="7258" spans="1:4" x14ac:dyDescent="0.2">
      <c r="A7258" s="14" t="s">
        <v>17786</v>
      </c>
      <c r="B7258" s="14" t="s">
        <v>17787</v>
      </c>
      <c r="C7258" s="38" t="s">
        <v>4341</v>
      </c>
      <c r="D7258" s="14" t="s">
        <v>16995</v>
      </c>
    </row>
    <row r="7259" spans="1:4" x14ac:dyDescent="0.2">
      <c r="A7259" s="14" t="s">
        <v>17788</v>
      </c>
      <c r="B7259" s="14" t="s">
        <v>17789</v>
      </c>
      <c r="C7259" s="38" t="s">
        <v>4341</v>
      </c>
      <c r="D7259" s="14" t="s">
        <v>4841</v>
      </c>
    </row>
    <row r="7260" spans="1:4" x14ac:dyDescent="0.2">
      <c r="A7260" s="14" t="s">
        <v>17790</v>
      </c>
      <c r="B7260" s="14" t="s">
        <v>17791</v>
      </c>
      <c r="C7260" s="38" t="s">
        <v>4341</v>
      </c>
      <c r="D7260" s="14" t="s">
        <v>4335</v>
      </c>
    </row>
    <row r="7261" spans="1:4" x14ac:dyDescent="0.2">
      <c r="A7261" s="14" t="s">
        <v>17792</v>
      </c>
      <c r="B7261" s="14" t="s">
        <v>17793</v>
      </c>
      <c r="C7261" s="38" t="s">
        <v>4341</v>
      </c>
      <c r="D7261" s="14" t="s">
        <v>4338</v>
      </c>
    </row>
    <row r="7262" spans="1:4" x14ac:dyDescent="0.2">
      <c r="A7262" s="14" t="s">
        <v>17794</v>
      </c>
      <c r="B7262" s="14" t="s">
        <v>17795</v>
      </c>
      <c r="C7262" s="38" t="s">
        <v>4341</v>
      </c>
      <c r="D7262" s="14" t="s">
        <v>17639</v>
      </c>
    </row>
    <row r="7263" spans="1:4" x14ac:dyDescent="0.2">
      <c r="A7263" s="14" t="s">
        <v>17796</v>
      </c>
      <c r="B7263" s="14" t="s">
        <v>17797</v>
      </c>
      <c r="C7263" s="38" t="s">
        <v>4341</v>
      </c>
      <c r="D7263" s="14" t="s">
        <v>31402</v>
      </c>
    </row>
    <row r="7264" spans="1:4" x14ac:dyDescent="0.2">
      <c r="A7264" s="14" t="s">
        <v>17799</v>
      </c>
      <c r="B7264" s="14" t="s">
        <v>17800</v>
      </c>
      <c r="C7264" s="38" t="s">
        <v>4341</v>
      </c>
      <c r="D7264" s="14" t="s">
        <v>16937</v>
      </c>
    </row>
    <row r="7265" spans="1:4" x14ac:dyDescent="0.2">
      <c r="A7265" s="14" t="s">
        <v>17801</v>
      </c>
      <c r="B7265" s="14" t="s">
        <v>17802</v>
      </c>
      <c r="C7265" s="38" t="s">
        <v>4341</v>
      </c>
      <c r="D7265" s="14" t="s">
        <v>5477</v>
      </c>
    </row>
    <row r="7266" spans="1:4" x14ac:dyDescent="0.2">
      <c r="A7266" s="14" t="s">
        <v>17803</v>
      </c>
      <c r="B7266" s="14" t="s">
        <v>17804</v>
      </c>
      <c r="C7266" s="38" t="s">
        <v>4341</v>
      </c>
      <c r="D7266" s="14" t="s">
        <v>16966</v>
      </c>
    </row>
    <row r="7267" spans="1:4" x14ac:dyDescent="0.2">
      <c r="A7267" s="14" t="s">
        <v>17805</v>
      </c>
      <c r="B7267" s="14" t="s">
        <v>17806</v>
      </c>
      <c r="C7267" s="38" t="s">
        <v>4341</v>
      </c>
      <c r="D7267" s="14" t="s">
        <v>5192</v>
      </c>
    </row>
    <row r="7268" spans="1:4" x14ac:dyDescent="0.2">
      <c r="A7268" s="14" t="s">
        <v>17808</v>
      </c>
      <c r="B7268" s="14" t="s">
        <v>17809</v>
      </c>
      <c r="C7268" s="38" t="s">
        <v>4341</v>
      </c>
      <c r="D7268" s="14" t="s">
        <v>4159</v>
      </c>
    </row>
    <row r="7269" spans="1:4" x14ac:dyDescent="0.2">
      <c r="A7269" s="14" t="s">
        <v>17810</v>
      </c>
      <c r="B7269" s="14" t="s">
        <v>17811</v>
      </c>
      <c r="C7269" s="38" t="s">
        <v>4341</v>
      </c>
      <c r="D7269" s="14" t="s">
        <v>31403</v>
      </c>
    </row>
    <row r="7270" spans="1:4" x14ac:dyDescent="0.2">
      <c r="A7270" s="14" t="s">
        <v>17812</v>
      </c>
      <c r="B7270" s="14" t="s">
        <v>17813</v>
      </c>
      <c r="C7270" s="38" t="s">
        <v>4341</v>
      </c>
      <c r="D7270" s="14" t="s">
        <v>8088</v>
      </c>
    </row>
    <row r="7271" spans="1:4" x14ac:dyDescent="0.2">
      <c r="A7271" s="14" t="s">
        <v>17814</v>
      </c>
      <c r="B7271" s="14" t="s">
        <v>17815</v>
      </c>
      <c r="C7271" s="38" t="s">
        <v>4341</v>
      </c>
      <c r="D7271" s="14" t="s">
        <v>16186</v>
      </c>
    </row>
    <row r="7272" spans="1:4" x14ac:dyDescent="0.2">
      <c r="A7272" s="14" t="s">
        <v>17816</v>
      </c>
      <c r="B7272" s="14" t="s">
        <v>17817</v>
      </c>
      <c r="C7272" s="38" t="s">
        <v>4341</v>
      </c>
      <c r="D7272" s="14" t="s">
        <v>6992</v>
      </c>
    </row>
    <row r="7273" spans="1:4" x14ac:dyDescent="0.2">
      <c r="A7273" s="14" t="s">
        <v>17819</v>
      </c>
      <c r="B7273" s="14" t="s">
        <v>17820</v>
      </c>
      <c r="C7273" s="38" t="s">
        <v>4341</v>
      </c>
      <c r="D7273" s="14" t="s">
        <v>31404</v>
      </c>
    </row>
    <row r="7274" spans="1:4" x14ac:dyDescent="0.2">
      <c r="A7274" s="14" t="s">
        <v>17821</v>
      </c>
      <c r="B7274" s="14" t="s">
        <v>17822</v>
      </c>
      <c r="C7274" s="38" t="s">
        <v>4341</v>
      </c>
      <c r="D7274" s="14" t="s">
        <v>11006</v>
      </c>
    </row>
    <row r="7275" spans="1:4" x14ac:dyDescent="0.2">
      <c r="A7275" s="14" t="s">
        <v>17823</v>
      </c>
      <c r="B7275" s="14" t="s">
        <v>17824</v>
      </c>
      <c r="C7275" s="38" t="s">
        <v>4341</v>
      </c>
      <c r="D7275" s="14" t="s">
        <v>12792</v>
      </c>
    </row>
    <row r="7276" spans="1:4" x14ac:dyDescent="0.2">
      <c r="A7276" s="14" t="s">
        <v>17825</v>
      </c>
      <c r="B7276" s="14" t="s">
        <v>17826</v>
      </c>
      <c r="C7276" s="38" t="s">
        <v>4341</v>
      </c>
      <c r="D7276" s="14" t="s">
        <v>31405</v>
      </c>
    </row>
    <row r="7277" spans="1:4" x14ac:dyDescent="0.2">
      <c r="A7277" s="14" t="s">
        <v>17827</v>
      </c>
      <c r="B7277" s="14" t="s">
        <v>17828</v>
      </c>
      <c r="C7277" s="38" t="s">
        <v>4341</v>
      </c>
      <c r="D7277" s="14" t="s">
        <v>31406</v>
      </c>
    </row>
    <row r="7278" spans="1:4" x14ac:dyDescent="0.2">
      <c r="A7278" s="14" t="s">
        <v>17829</v>
      </c>
      <c r="B7278" s="14" t="s">
        <v>17830</v>
      </c>
      <c r="C7278" s="38" t="s">
        <v>4341</v>
      </c>
      <c r="D7278" s="14" t="s">
        <v>31111</v>
      </c>
    </row>
    <row r="7279" spans="1:4" x14ac:dyDescent="0.2">
      <c r="A7279" s="14" t="s">
        <v>17831</v>
      </c>
      <c r="B7279" s="14" t="s">
        <v>17832</v>
      </c>
      <c r="C7279" s="38" t="s">
        <v>4341</v>
      </c>
      <c r="D7279" s="14" t="s">
        <v>31407</v>
      </c>
    </row>
    <row r="7280" spans="1:4" x14ac:dyDescent="0.2">
      <c r="A7280" s="14" t="s">
        <v>17833</v>
      </c>
      <c r="B7280" s="14" t="s">
        <v>17834</v>
      </c>
      <c r="C7280" s="38" t="s">
        <v>4341</v>
      </c>
      <c r="D7280" s="14" t="s">
        <v>31408</v>
      </c>
    </row>
    <row r="7281" spans="1:4" x14ac:dyDescent="0.2">
      <c r="A7281" s="14" t="s">
        <v>17835</v>
      </c>
      <c r="B7281" s="14" t="s">
        <v>17836</v>
      </c>
      <c r="C7281" s="38" t="s">
        <v>4341</v>
      </c>
      <c r="D7281" s="14" t="s">
        <v>31409</v>
      </c>
    </row>
    <row r="7282" spans="1:4" x14ac:dyDescent="0.2">
      <c r="A7282" s="14" t="s">
        <v>17837</v>
      </c>
      <c r="B7282" s="14" t="s">
        <v>17838</v>
      </c>
      <c r="C7282" s="38" t="s">
        <v>4341</v>
      </c>
      <c r="D7282" s="14" t="s">
        <v>31410</v>
      </c>
    </row>
    <row r="7283" spans="1:4" x14ac:dyDescent="0.2">
      <c r="A7283" s="14" t="s">
        <v>17839</v>
      </c>
      <c r="B7283" s="14" t="s">
        <v>17840</v>
      </c>
      <c r="C7283" s="38" t="s">
        <v>4341</v>
      </c>
      <c r="D7283" s="14" t="s">
        <v>31411</v>
      </c>
    </row>
    <row r="7284" spans="1:4" x14ac:dyDescent="0.2">
      <c r="A7284" s="14" t="s">
        <v>17841</v>
      </c>
      <c r="B7284" s="14" t="s">
        <v>17842</v>
      </c>
      <c r="C7284" s="38" t="s">
        <v>4341</v>
      </c>
      <c r="D7284" s="14" t="s">
        <v>31412</v>
      </c>
    </row>
    <row r="7285" spans="1:4" x14ac:dyDescent="0.2">
      <c r="A7285" s="14" t="s">
        <v>17843</v>
      </c>
      <c r="B7285" s="14" t="s">
        <v>17844</v>
      </c>
      <c r="C7285" s="38" t="s">
        <v>4341</v>
      </c>
      <c r="D7285" s="14" t="s">
        <v>31413</v>
      </c>
    </row>
    <row r="7286" spans="1:4" x14ac:dyDescent="0.2">
      <c r="A7286" s="14" t="s">
        <v>17845</v>
      </c>
      <c r="B7286" s="14" t="s">
        <v>17846</v>
      </c>
      <c r="C7286" s="38" t="s">
        <v>4341</v>
      </c>
      <c r="D7286" s="14" t="s">
        <v>30652</v>
      </c>
    </row>
    <row r="7287" spans="1:4" x14ac:dyDescent="0.2">
      <c r="A7287" s="14" t="s">
        <v>17847</v>
      </c>
      <c r="B7287" s="14" t="s">
        <v>17848</v>
      </c>
      <c r="C7287" s="38" t="s">
        <v>4341</v>
      </c>
      <c r="D7287" s="14" t="s">
        <v>5159</v>
      </c>
    </row>
    <row r="7288" spans="1:4" x14ac:dyDescent="0.2">
      <c r="A7288" s="14" t="s">
        <v>17849</v>
      </c>
      <c r="B7288" s="14" t="s">
        <v>17850</v>
      </c>
      <c r="C7288" s="38" t="s">
        <v>4341</v>
      </c>
      <c r="D7288" s="14" t="s">
        <v>12206</v>
      </c>
    </row>
    <row r="7289" spans="1:4" x14ac:dyDescent="0.2">
      <c r="A7289" s="14" t="s">
        <v>17851</v>
      </c>
      <c r="B7289" s="14" t="s">
        <v>17852</v>
      </c>
      <c r="C7289" s="38" t="s">
        <v>4341</v>
      </c>
      <c r="D7289" s="14" t="s">
        <v>5189</v>
      </c>
    </row>
    <row r="7290" spans="1:4" x14ac:dyDescent="0.2">
      <c r="A7290" s="14" t="s">
        <v>17853</v>
      </c>
      <c r="B7290" s="14" t="s">
        <v>17854</v>
      </c>
      <c r="C7290" s="38" t="s">
        <v>4341</v>
      </c>
      <c r="D7290" s="14" t="s">
        <v>30429</v>
      </c>
    </row>
    <row r="7291" spans="1:4" x14ac:dyDescent="0.2">
      <c r="A7291" s="14" t="s">
        <v>17855</v>
      </c>
      <c r="B7291" s="14" t="s">
        <v>17856</v>
      </c>
      <c r="C7291" s="38" t="s">
        <v>4341</v>
      </c>
      <c r="D7291" s="14" t="s">
        <v>30305</v>
      </c>
    </row>
    <row r="7292" spans="1:4" x14ac:dyDescent="0.2">
      <c r="A7292" s="14" t="s">
        <v>17857</v>
      </c>
      <c r="B7292" s="14" t="s">
        <v>17858</v>
      </c>
      <c r="C7292" s="38" t="s">
        <v>4341</v>
      </c>
      <c r="D7292" s="14" t="s">
        <v>5346</v>
      </c>
    </row>
    <row r="7293" spans="1:4" x14ac:dyDescent="0.2">
      <c r="A7293" s="14" t="s">
        <v>17859</v>
      </c>
      <c r="B7293" s="14" t="s">
        <v>17860</v>
      </c>
      <c r="C7293" s="38" t="s">
        <v>17594</v>
      </c>
      <c r="D7293" s="14" t="s">
        <v>16621</v>
      </c>
    </row>
    <row r="7294" spans="1:4" x14ac:dyDescent="0.2">
      <c r="A7294" s="14" t="s">
        <v>17861</v>
      </c>
      <c r="B7294" s="14" t="s">
        <v>17862</v>
      </c>
      <c r="C7294" s="38" t="s">
        <v>17594</v>
      </c>
      <c r="D7294" s="14" t="s">
        <v>4950</v>
      </c>
    </row>
    <row r="7295" spans="1:4" x14ac:dyDescent="0.2">
      <c r="A7295" s="14" t="s">
        <v>17863</v>
      </c>
      <c r="B7295" s="14" t="s">
        <v>17864</v>
      </c>
      <c r="C7295" s="38" t="s">
        <v>17594</v>
      </c>
      <c r="D7295" s="14" t="s">
        <v>5388</v>
      </c>
    </row>
    <row r="7296" spans="1:4" x14ac:dyDescent="0.2">
      <c r="A7296" s="14" t="s">
        <v>17865</v>
      </c>
      <c r="B7296" s="14" t="s">
        <v>17866</v>
      </c>
      <c r="C7296" s="38" t="s">
        <v>17594</v>
      </c>
      <c r="D7296" s="14" t="s">
        <v>16992</v>
      </c>
    </row>
    <row r="7297" spans="1:4" x14ac:dyDescent="0.2">
      <c r="A7297" s="14" t="s">
        <v>17867</v>
      </c>
      <c r="B7297" s="14" t="s">
        <v>17868</v>
      </c>
      <c r="C7297" s="38" t="s">
        <v>17594</v>
      </c>
      <c r="D7297" s="14" t="s">
        <v>31320</v>
      </c>
    </row>
    <row r="7298" spans="1:4" x14ac:dyDescent="0.2">
      <c r="A7298" s="14" t="s">
        <v>17869</v>
      </c>
      <c r="B7298" s="14" t="s">
        <v>17870</v>
      </c>
      <c r="C7298" s="38" t="s">
        <v>17594</v>
      </c>
      <c r="D7298" s="14" t="s">
        <v>30286</v>
      </c>
    </row>
    <row r="7299" spans="1:4" x14ac:dyDescent="0.2">
      <c r="A7299" s="14" t="s">
        <v>17871</v>
      </c>
      <c r="B7299" s="14" t="s">
        <v>17872</v>
      </c>
      <c r="C7299" s="38" t="s">
        <v>17594</v>
      </c>
      <c r="D7299" s="14" t="s">
        <v>3358</v>
      </c>
    </row>
    <row r="7300" spans="1:4" x14ac:dyDescent="0.2">
      <c r="A7300" s="14" t="s">
        <v>17873</v>
      </c>
      <c r="B7300" s="14" t="s">
        <v>17874</v>
      </c>
      <c r="C7300" s="38" t="s">
        <v>17594</v>
      </c>
      <c r="D7300" s="14" t="s">
        <v>30265</v>
      </c>
    </row>
    <row r="7301" spans="1:4" x14ac:dyDescent="0.2">
      <c r="A7301" s="14" t="s">
        <v>17875</v>
      </c>
      <c r="B7301" s="14" t="s">
        <v>17876</v>
      </c>
      <c r="C7301" s="38" t="s">
        <v>17594</v>
      </c>
      <c r="D7301" s="14" t="s">
        <v>31414</v>
      </c>
    </row>
    <row r="7302" spans="1:4" x14ac:dyDescent="0.2">
      <c r="A7302" s="14" t="s">
        <v>17877</v>
      </c>
      <c r="B7302" s="14" t="s">
        <v>17878</v>
      </c>
      <c r="C7302" s="38" t="s">
        <v>17594</v>
      </c>
      <c r="D7302" s="14" t="s">
        <v>31344</v>
      </c>
    </row>
    <row r="7303" spans="1:4" x14ac:dyDescent="0.2">
      <c r="A7303" s="14" t="s">
        <v>17879</v>
      </c>
      <c r="B7303" s="14" t="s">
        <v>17880</v>
      </c>
      <c r="C7303" s="38" t="s">
        <v>17594</v>
      </c>
      <c r="D7303" s="14" t="s">
        <v>31415</v>
      </c>
    </row>
    <row r="7304" spans="1:4" x14ac:dyDescent="0.2">
      <c r="A7304" s="14" t="s">
        <v>17882</v>
      </c>
      <c r="B7304" s="14" t="s">
        <v>17883</v>
      </c>
      <c r="C7304" s="38" t="s">
        <v>17594</v>
      </c>
      <c r="D7304" s="14" t="s">
        <v>31416</v>
      </c>
    </row>
    <row r="7305" spans="1:4" x14ac:dyDescent="0.2">
      <c r="A7305" s="14" t="s">
        <v>17884</v>
      </c>
      <c r="B7305" s="14" t="s">
        <v>17885</v>
      </c>
      <c r="C7305" s="38" t="s">
        <v>17594</v>
      </c>
      <c r="D7305" s="14" t="s">
        <v>30717</v>
      </c>
    </row>
    <row r="7306" spans="1:4" x14ac:dyDescent="0.2">
      <c r="A7306" s="14" t="s">
        <v>17886</v>
      </c>
      <c r="B7306" s="14" t="s">
        <v>17887</v>
      </c>
      <c r="C7306" s="38" t="s">
        <v>17594</v>
      </c>
      <c r="D7306" s="14" t="s">
        <v>10820</v>
      </c>
    </row>
    <row r="7307" spans="1:4" x14ac:dyDescent="0.2">
      <c r="A7307" s="14" t="s">
        <v>17889</v>
      </c>
      <c r="B7307" s="14" t="s">
        <v>17890</v>
      </c>
      <c r="C7307" s="38" t="s">
        <v>17594</v>
      </c>
      <c r="D7307" s="14" t="s">
        <v>31417</v>
      </c>
    </row>
    <row r="7308" spans="1:4" x14ac:dyDescent="0.2">
      <c r="A7308" s="14" t="s">
        <v>17891</v>
      </c>
      <c r="B7308" s="14" t="s">
        <v>17892</v>
      </c>
      <c r="C7308" s="38" t="s">
        <v>17594</v>
      </c>
      <c r="D7308" s="14" t="s">
        <v>31418</v>
      </c>
    </row>
    <row r="7309" spans="1:4" x14ac:dyDescent="0.2">
      <c r="A7309" s="14" t="s">
        <v>17893</v>
      </c>
      <c r="B7309" s="14" t="s">
        <v>17894</v>
      </c>
      <c r="C7309" s="38" t="s">
        <v>17594</v>
      </c>
      <c r="D7309" s="14" t="s">
        <v>30638</v>
      </c>
    </row>
    <row r="7310" spans="1:4" x14ac:dyDescent="0.2">
      <c r="A7310" s="14" t="s">
        <v>17895</v>
      </c>
      <c r="B7310" s="14" t="s">
        <v>17896</v>
      </c>
      <c r="C7310" s="38" t="s">
        <v>4341</v>
      </c>
      <c r="D7310" s="14" t="s">
        <v>11690</v>
      </c>
    </row>
    <row r="7311" spans="1:4" x14ac:dyDescent="0.2">
      <c r="A7311" s="14" t="s">
        <v>17897</v>
      </c>
      <c r="B7311" s="14" t="s">
        <v>17898</v>
      </c>
      <c r="C7311" s="38" t="s">
        <v>4341</v>
      </c>
      <c r="D7311" s="14" t="s">
        <v>31419</v>
      </c>
    </row>
    <row r="7312" spans="1:4" x14ac:dyDescent="0.2">
      <c r="A7312" s="14" t="s">
        <v>17899</v>
      </c>
      <c r="B7312" s="14" t="s">
        <v>17900</v>
      </c>
      <c r="C7312" s="38" t="s">
        <v>4341</v>
      </c>
      <c r="D7312" s="14" t="s">
        <v>31420</v>
      </c>
    </row>
    <row r="7313" spans="1:4" x14ac:dyDescent="0.2">
      <c r="A7313" s="14" t="s">
        <v>17901</v>
      </c>
      <c r="B7313" s="14" t="s">
        <v>17902</v>
      </c>
      <c r="C7313" s="38" t="s">
        <v>4341</v>
      </c>
      <c r="D7313" s="14" t="s">
        <v>31421</v>
      </c>
    </row>
    <row r="7314" spans="1:4" x14ac:dyDescent="0.2">
      <c r="A7314" s="14" t="s">
        <v>17903</v>
      </c>
      <c r="B7314" s="14" t="s">
        <v>17904</v>
      </c>
      <c r="C7314" s="38" t="s">
        <v>4341</v>
      </c>
      <c r="D7314" s="14" t="s">
        <v>31422</v>
      </c>
    </row>
    <row r="7315" spans="1:4" x14ac:dyDescent="0.2">
      <c r="A7315" s="14" t="s">
        <v>17905</v>
      </c>
      <c r="B7315" s="14" t="s">
        <v>17872</v>
      </c>
      <c r="C7315" s="38" t="s">
        <v>4341</v>
      </c>
      <c r="D7315" s="14" t="s">
        <v>31423</v>
      </c>
    </row>
    <row r="7316" spans="1:4" x14ac:dyDescent="0.2">
      <c r="A7316" s="14" t="s">
        <v>17906</v>
      </c>
      <c r="B7316" s="14" t="s">
        <v>17907</v>
      </c>
      <c r="C7316" s="38" t="s">
        <v>4341</v>
      </c>
      <c r="D7316" s="14" t="s">
        <v>31424</v>
      </c>
    </row>
    <row r="7317" spans="1:4" x14ac:dyDescent="0.2">
      <c r="A7317" s="14" t="s">
        <v>17908</v>
      </c>
      <c r="B7317" s="14" t="s">
        <v>17880</v>
      </c>
      <c r="C7317" s="38" t="s">
        <v>4341</v>
      </c>
      <c r="D7317" s="14" t="s">
        <v>31425</v>
      </c>
    </row>
    <row r="7318" spans="1:4" x14ac:dyDescent="0.2">
      <c r="A7318" s="14" t="s">
        <v>17909</v>
      </c>
      <c r="B7318" s="14" t="s">
        <v>17883</v>
      </c>
      <c r="C7318" s="38" t="s">
        <v>4341</v>
      </c>
      <c r="D7318" s="14" t="s">
        <v>31426</v>
      </c>
    </row>
    <row r="7319" spans="1:4" x14ac:dyDescent="0.2">
      <c r="A7319" s="14" t="s">
        <v>17910</v>
      </c>
      <c r="B7319" s="14" t="s">
        <v>17885</v>
      </c>
      <c r="C7319" s="38" t="s">
        <v>4341</v>
      </c>
      <c r="D7319" s="14" t="s">
        <v>31427</v>
      </c>
    </row>
    <row r="7320" spans="1:4" x14ac:dyDescent="0.2">
      <c r="A7320" s="14" t="s">
        <v>17911</v>
      </c>
      <c r="B7320" s="14" t="s">
        <v>17892</v>
      </c>
      <c r="C7320" s="38" t="s">
        <v>4341</v>
      </c>
      <c r="D7320" s="14" t="s">
        <v>31428</v>
      </c>
    </row>
    <row r="7321" spans="1:4" x14ac:dyDescent="0.2">
      <c r="A7321" s="14" t="s">
        <v>17912</v>
      </c>
      <c r="B7321" s="14" t="s">
        <v>17913</v>
      </c>
      <c r="C7321" s="38" t="s">
        <v>4341</v>
      </c>
      <c r="D7321" s="14" t="s">
        <v>30665</v>
      </c>
    </row>
    <row r="7322" spans="1:4" x14ac:dyDescent="0.2">
      <c r="A7322" s="14" t="s">
        <v>17914</v>
      </c>
      <c r="B7322" s="14" t="s">
        <v>17913</v>
      </c>
      <c r="C7322" s="38" t="s">
        <v>4341</v>
      </c>
      <c r="D7322" s="14" t="s">
        <v>31429</v>
      </c>
    </row>
    <row r="7323" spans="1:4" x14ac:dyDescent="0.2">
      <c r="A7323" s="14" t="s">
        <v>17915</v>
      </c>
      <c r="B7323" s="14" t="s">
        <v>17916</v>
      </c>
      <c r="C7323" s="38" t="s">
        <v>4341</v>
      </c>
      <c r="D7323" s="14" t="s">
        <v>30305</v>
      </c>
    </row>
    <row r="7324" spans="1:4" x14ac:dyDescent="0.2">
      <c r="A7324" s="14" t="s">
        <v>17917</v>
      </c>
      <c r="B7324" s="14" t="s">
        <v>17918</v>
      </c>
      <c r="C7324" s="38" t="s">
        <v>4341</v>
      </c>
      <c r="D7324" s="14" t="s">
        <v>31430</v>
      </c>
    </row>
    <row r="7325" spans="1:4" x14ac:dyDescent="0.2">
      <c r="A7325" s="14" t="s">
        <v>17919</v>
      </c>
      <c r="B7325" s="14" t="s">
        <v>17920</v>
      </c>
      <c r="C7325" s="38" t="s">
        <v>4341</v>
      </c>
      <c r="D7325" s="14" t="s">
        <v>31431</v>
      </c>
    </row>
    <row r="7326" spans="1:4" x14ac:dyDescent="0.2">
      <c r="A7326" s="14" t="s">
        <v>17921</v>
      </c>
      <c r="B7326" s="14" t="s">
        <v>17922</v>
      </c>
      <c r="C7326" s="38" t="s">
        <v>4341</v>
      </c>
      <c r="D7326" s="14" t="s">
        <v>5480</v>
      </c>
    </row>
    <row r="7327" spans="1:4" x14ac:dyDescent="0.2">
      <c r="A7327" s="14" t="s">
        <v>17923</v>
      </c>
      <c r="B7327" s="14" t="s">
        <v>17924</v>
      </c>
      <c r="C7327" s="38" t="s">
        <v>4341</v>
      </c>
      <c r="D7327" s="14" t="s">
        <v>31432</v>
      </c>
    </row>
    <row r="7328" spans="1:4" x14ac:dyDescent="0.2">
      <c r="A7328" s="14" t="s">
        <v>17925</v>
      </c>
      <c r="B7328" s="14" t="s">
        <v>17926</v>
      </c>
      <c r="C7328" s="38" t="s">
        <v>4341</v>
      </c>
      <c r="D7328" s="14" t="s">
        <v>31433</v>
      </c>
    </row>
    <row r="7329" spans="1:4" x14ac:dyDescent="0.2">
      <c r="A7329" s="14" t="s">
        <v>17927</v>
      </c>
      <c r="B7329" s="14" t="s">
        <v>17928</v>
      </c>
      <c r="C7329" s="38" t="s">
        <v>4341</v>
      </c>
      <c r="D7329" s="14" t="s">
        <v>31434</v>
      </c>
    </row>
    <row r="7330" spans="1:4" x14ac:dyDescent="0.2">
      <c r="A7330" s="14" t="s">
        <v>17929</v>
      </c>
      <c r="B7330" s="14" t="s">
        <v>17930</v>
      </c>
      <c r="C7330" s="38" t="s">
        <v>4341</v>
      </c>
      <c r="D7330" s="14" t="s">
        <v>30266</v>
      </c>
    </row>
    <row r="7331" spans="1:4" x14ac:dyDescent="0.2">
      <c r="A7331" s="14" t="s">
        <v>17931</v>
      </c>
      <c r="B7331" s="14" t="s">
        <v>17932</v>
      </c>
      <c r="C7331" s="38" t="s">
        <v>4341</v>
      </c>
      <c r="D7331" s="14" t="s">
        <v>31435</v>
      </c>
    </row>
    <row r="7332" spans="1:4" x14ac:dyDescent="0.2">
      <c r="A7332" s="14" t="s">
        <v>17933</v>
      </c>
      <c r="B7332" s="14" t="s">
        <v>17934</v>
      </c>
      <c r="C7332" s="38" t="s">
        <v>17594</v>
      </c>
      <c r="D7332" s="14" t="s">
        <v>30266</v>
      </c>
    </row>
    <row r="7333" spans="1:4" x14ac:dyDescent="0.2">
      <c r="A7333" s="14" t="s">
        <v>17935</v>
      </c>
      <c r="B7333" s="14" t="s">
        <v>17936</v>
      </c>
      <c r="C7333" s="38" t="s">
        <v>17594</v>
      </c>
      <c r="D7333" s="14" t="s">
        <v>31436</v>
      </c>
    </row>
    <row r="7334" spans="1:4" x14ac:dyDescent="0.2">
      <c r="A7334" s="14" t="s">
        <v>17937</v>
      </c>
      <c r="B7334" s="14" t="s">
        <v>17938</v>
      </c>
      <c r="C7334" s="38" t="s">
        <v>17594</v>
      </c>
      <c r="D7334" s="14" t="s">
        <v>6136</v>
      </c>
    </row>
    <row r="7335" spans="1:4" x14ac:dyDescent="0.2">
      <c r="A7335" s="14" t="s">
        <v>17939</v>
      </c>
      <c r="B7335" s="14" t="s">
        <v>17940</v>
      </c>
      <c r="C7335" s="38" t="s">
        <v>17594</v>
      </c>
      <c r="D7335" s="14" t="s">
        <v>31437</v>
      </c>
    </row>
    <row r="7336" spans="1:4" x14ac:dyDescent="0.2">
      <c r="A7336" s="14" t="s">
        <v>17941</v>
      </c>
      <c r="B7336" s="14" t="s">
        <v>17942</v>
      </c>
      <c r="C7336" s="38" t="s">
        <v>17594</v>
      </c>
      <c r="D7336" s="14" t="s">
        <v>31438</v>
      </c>
    </row>
    <row r="7337" spans="1:4" x14ac:dyDescent="0.2">
      <c r="A7337" s="14" t="s">
        <v>17944</v>
      </c>
      <c r="B7337" s="14" t="s">
        <v>17945</v>
      </c>
      <c r="C7337" s="38" t="s">
        <v>17594</v>
      </c>
      <c r="D7337" s="14" t="s">
        <v>4034</v>
      </c>
    </row>
    <row r="7338" spans="1:4" x14ac:dyDescent="0.2">
      <c r="A7338" s="14" t="s">
        <v>17946</v>
      </c>
      <c r="B7338" s="14" t="s">
        <v>17947</v>
      </c>
      <c r="C7338" s="38" t="s">
        <v>17594</v>
      </c>
      <c r="D7338" s="14" t="s">
        <v>30805</v>
      </c>
    </row>
    <row r="7339" spans="1:4" x14ac:dyDescent="0.2">
      <c r="A7339" s="14" t="s">
        <v>17948</v>
      </c>
      <c r="B7339" s="14" t="s">
        <v>17949</v>
      </c>
      <c r="C7339" s="38" t="s">
        <v>17594</v>
      </c>
      <c r="D7339" s="14" t="s">
        <v>8622</v>
      </c>
    </row>
    <row r="7340" spans="1:4" x14ac:dyDescent="0.2">
      <c r="A7340" s="14" t="s">
        <v>17950</v>
      </c>
      <c r="B7340" s="14" t="s">
        <v>17951</v>
      </c>
      <c r="C7340" s="38" t="s">
        <v>17594</v>
      </c>
      <c r="D7340" s="14" t="s">
        <v>31438</v>
      </c>
    </row>
    <row r="7341" spans="1:4" x14ac:dyDescent="0.2">
      <c r="A7341" s="14" t="s">
        <v>17952</v>
      </c>
      <c r="B7341" s="14" t="s">
        <v>17953</v>
      </c>
      <c r="C7341" s="38" t="s">
        <v>17594</v>
      </c>
      <c r="D7341" s="14" t="s">
        <v>10340</v>
      </c>
    </row>
    <row r="7342" spans="1:4" x14ac:dyDescent="0.2">
      <c r="A7342" s="14" t="s">
        <v>17954</v>
      </c>
      <c r="B7342" s="14" t="s">
        <v>17955</v>
      </c>
      <c r="C7342" s="38" t="s">
        <v>17594</v>
      </c>
      <c r="D7342" s="14" t="s">
        <v>31047</v>
      </c>
    </row>
    <row r="7343" spans="1:4" x14ac:dyDescent="0.2">
      <c r="A7343" s="14" t="s">
        <v>17956</v>
      </c>
      <c r="B7343" s="14" t="s">
        <v>17957</v>
      </c>
      <c r="C7343" s="38" t="s">
        <v>17594</v>
      </c>
      <c r="D7343" s="14" t="s">
        <v>8863</v>
      </c>
    </row>
    <row r="7344" spans="1:4" x14ac:dyDescent="0.2">
      <c r="A7344" s="14" t="s">
        <v>17958</v>
      </c>
      <c r="B7344" s="14" t="s">
        <v>17959</v>
      </c>
      <c r="C7344" s="38" t="s">
        <v>4341</v>
      </c>
      <c r="D7344" s="14" t="s">
        <v>31439</v>
      </c>
    </row>
    <row r="7345" spans="1:4" x14ac:dyDescent="0.2">
      <c r="A7345" s="14" t="s">
        <v>17960</v>
      </c>
      <c r="B7345" s="14" t="s">
        <v>17961</v>
      </c>
      <c r="C7345" s="38" t="s">
        <v>17594</v>
      </c>
      <c r="D7345" s="14" t="s">
        <v>16011</v>
      </c>
    </row>
    <row r="7346" spans="1:4" x14ac:dyDescent="0.2">
      <c r="A7346" s="14" t="s">
        <v>17962</v>
      </c>
      <c r="B7346" s="14" t="s">
        <v>17963</v>
      </c>
      <c r="C7346" s="38" t="s">
        <v>4341</v>
      </c>
      <c r="D7346" s="14" t="s">
        <v>31440</v>
      </c>
    </row>
    <row r="7347" spans="1:4" x14ac:dyDescent="0.2">
      <c r="A7347" s="14" t="s">
        <v>17965</v>
      </c>
      <c r="B7347" s="14" t="s">
        <v>17966</v>
      </c>
      <c r="C7347" s="38" t="s">
        <v>17594</v>
      </c>
      <c r="D7347" s="14" t="s">
        <v>30734</v>
      </c>
    </row>
    <row r="7348" spans="1:4" x14ac:dyDescent="0.2">
      <c r="A7348" s="14" t="s">
        <v>17967</v>
      </c>
      <c r="B7348" s="14" t="s">
        <v>17968</v>
      </c>
      <c r="C7348" s="38" t="s">
        <v>4341</v>
      </c>
      <c r="D7348" s="14" t="s">
        <v>31441</v>
      </c>
    </row>
    <row r="7349" spans="1:4" x14ac:dyDescent="0.2">
      <c r="A7349" s="14" t="s">
        <v>17970</v>
      </c>
      <c r="B7349" s="14" t="s">
        <v>17971</v>
      </c>
      <c r="C7349" s="38" t="s">
        <v>4341</v>
      </c>
      <c r="D7349" s="14" t="s">
        <v>31438</v>
      </c>
    </row>
    <row r="7350" spans="1:4" x14ac:dyDescent="0.2">
      <c r="A7350" s="14" t="s">
        <v>17972</v>
      </c>
      <c r="B7350" s="14" t="s">
        <v>17973</v>
      </c>
      <c r="C7350" s="38" t="s">
        <v>17594</v>
      </c>
      <c r="D7350" s="14" t="s">
        <v>16011</v>
      </c>
    </row>
    <row r="7351" spans="1:4" x14ac:dyDescent="0.2">
      <c r="A7351" s="14" t="s">
        <v>17974</v>
      </c>
      <c r="B7351" s="14" t="s">
        <v>17975</v>
      </c>
      <c r="C7351" s="38" t="s">
        <v>17594</v>
      </c>
      <c r="D7351" s="14" t="s">
        <v>6136</v>
      </c>
    </row>
    <row r="7352" spans="1:4" x14ac:dyDescent="0.2">
      <c r="A7352" s="14" t="s">
        <v>17976</v>
      </c>
      <c r="B7352" s="14" t="s">
        <v>17977</v>
      </c>
      <c r="C7352" s="38" t="s">
        <v>17594</v>
      </c>
      <c r="D7352" s="14" t="s">
        <v>14405</v>
      </c>
    </row>
    <row r="7353" spans="1:4" x14ac:dyDescent="0.2">
      <c r="A7353" s="14" t="s">
        <v>17978</v>
      </c>
      <c r="B7353" s="14" t="s">
        <v>17979</v>
      </c>
      <c r="C7353" s="38" t="s">
        <v>17594</v>
      </c>
      <c r="D7353" s="14" t="s">
        <v>31442</v>
      </c>
    </row>
    <row r="7354" spans="1:4" x14ac:dyDescent="0.2">
      <c r="A7354" s="14" t="s">
        <v>17980</v>
      </c>
      <c r="B7354" s="14" t="s">
        <v>17981</v>
      </c>
      <c r="C7354" s="38" t="s">
        <v>17594</v>
      </c>
      <c r="D7354" s="14" t="s">
        <v>31443</v>
      </c>
    </row>
    <row r="7355" spans="1:4" x14ac:dyDescent="0.2">
      <c r="A7355" s="14" t="s">
        <v>17982</v>
      </c>
      <c r="B7355" s="14" t="s">
        <v>17983</v>
      </c>
      <c r="C7355" s="38" t="s">
        <v>17594</v>
      </c>
      <c r="D7355" s="14" t="s">
        <v>12563</v>
      </c>
    </row>
    <row r="7356" spans="1:4" x14ac:dyDescent="0.2">
      <c r="A7356" s="14" t="s">
        <v>17985</v>
      </c>
      <c r="B7356" s="14" t="s">
        <v>17986</v>
      </c>
      <c r="C7356" s="38" t="s">
        <v>17594</v>
      </c>
      <c r="D7356" s="14" t="s">
        <v>9157</v>
      </c>
    </row>
    <row r="7357" spans="1:4" x14ac:dyDescent="0.2">
      <c r="A7357" s="14" t="s">
        <v>17987</v>
      </c>
      <c r="B7357" s="14" t="s">
        <v>17988</v>
      </c>
      <c r="C7357" s="38" t="s">
        <v>17594</v>
      </c>
      <c r="D7357" s="14" t="s">
        <v>31444</v>
      </c>
    </row>
    <row r="7358" spans="1:4" x14ac:dyDescent="0.2">
      <c r="A7358" s="14" t="s">
        <v>17989</v>
      </c>
      <c r="B7358" s="14" t="s">
        <v>17990</v>
      </c>
      <c r="C7358" s="38" t="s">
        <v>17594</v>
      </c>
      <c r="D7358" s="14" t="s">
        <v>31445</v>
      </c>
    </row>
    <row r="7359" spans="1:4" x14ac:dyDescent="0.2">
      <c r="A7359" s="14" t="s">
        <v>17991</v>
      </c>
      <c r="B7359" s="14" t="s">
        <v>17992</v>
      </c>
      <c r="C7359" s="38" t="s">
        <v>17594</v>
      </c>
      <c r="D7359" s="14" t="s">
        <v>31446</v>
      </c>
    </row>
    <row r="7360" spans="1:4" x14ac:dyDescent="0.2">
      <c r="A7360" s="14" t="s">
        <v>17993</v>
      </c>
      <c r="B7360" s="14" t="s">
        <v>17994</v>
      </c>
      <c r="C7360" s="38" t="s">
        <v>17594</v>
      </c>
      <c r="D7360" s="14" t="s">
        <v>3615</v>
      </c>
    </row>
    <row r="7361" spans="1:4" x14ac:dyDescent="0.2">
      <c r="A7361" s="14" t="s">
        <v>17995</v>
      </c>
      <c r="B7361" s="14" t="s">
        <v>17996</v>
      </c>
      <c r="C7361" s="38" t="s">
        <v>17594</v>
      </c>
      <c r="D7361" s="14" t="s">
        <v>6136</v>
      </c>
    </row>
    <row r="7362" spans="1:4" x14ac:dyDescent="0.2">
      <c r="A7362" s="14" t="s">
        <v>17997</v>
      </c>
      <c r="B7362" s="14" t="s">
        <v>17998</v>
      </c>
      <c r="C7362" s="38" t="s">
        <v>17594</v>
      </c>
      <c r="D7362" s="14" t="s">
        <v>13710</v>
      </c>
    </row>
    <row r="7363" spans="1:4" x14ac:dyDescent="0.2">
      <c r="A7363" s="14" t="s">
        <v>17999</v>
      </c>
      <c r="B7363" s="14" t="s">
        <v>18000</v>
      </c>
      <c r="C7363" s="38" t="s">
        <v>17594</v>
      </c>
      <c r="D7363" s="14" t="s">
        <v>8708</v>
      </c>
    </row>
    <row r="7364" spans="1:4" x14ac:dyDescent="0.2">
      <c r="A7364" s="14" t="s">
        <v>18001</v>
      </c>
      <c r="B7364" s="14" t="s">
        <v>18002</v>
      </c>
      <c r="C7364" s="38" t="s">
        <v>17594</v>
      </c>
      <c r="D7364" s="14" t="s">
        <v>7461</v>
      </c>
    </row>
    <row r="7365" spans="1:4" x14ac:dyDescent="0.2">
      <c r="A7365" s="14" t="s">
        <v>18003</v>
      </c>
      <c r="B7365" s="14" t="s">
        <v>18004</v>
      </c>
      <c r="C7365" s="38" t="s">
        <v>17594</v>
      </c>
      <c r="D7365" s="14" t="s">
        <v>30676</v>
      </c>
    </row>
    <row r="7366" spans="1:4" x14ac:dyDescent="0.2">
      <c r="A7366" s="14" t="s">
        <v>18005</v>
      </c>
      <c r="B7366" s="14" t="s">
        <v>18006</v>
      </c>
      <c r="C7366" s="38" t="s">
        <v>17594</v>
      </c>
      <c r="D7366" s="14" t="s">
        <v>8585</v>
      </c>
    </row>
    <row r="7367" spans="1:4" x14ac:dyDescent="0.2">
      <c r="A7367" s="14" t="s">
        <v>18007</v>
      </c>
      <c r="B7367" s="14" t="s">
        <v>18008</v>
      </c>
      <c r="C7367" s="38" t="s">
        <v>17594</v>
      </c>
      <c r="D7367" s="14" t="s">
        <v>12388</v>
      </c>
    </row>
    <row r="7368" spans="1:4" x14ac:dyDescent="0.2">
      <c r="A7368" s="14" t="s">
        <v>18009</v>
      </c>
      <c r="B7368" s="14" t="s">
        <v>18010</v>
      </c>
      <c r="C7368" s="38" t="s">
        <v>17594</v>
      </c>
      <c r="D7368" s="14" t="s">
        <v>31447</v>
      </c>
    </row>
    <row r="7369" spans="1:4" x14ac:dyDescent="0.2">
      <c r="A7369" s="14" t="s">
        <v>18012</v>
      </c>
      <c r="B7369" s="14" t="s">
        <v>18013</v>
      </c>
      <c r="C7369" s="38" t="s">
        <v>17594</v>
      </c>
      <c r="D7369" s="14" t="s">
        <v>16011</v>
      </c>
    </row>
    <row r="7370" spans="1:4" x14ac:dyDescent="0.2">
      <c r="A7370" s="14" t="s">
        <v>18014</v>
      </c>
      <c r="B7370" s="14" t="s">
        <v>18015</v>
      </c>
      <c r="C7370" s="38" t="s">
        <v>17594</v>
      </c>
      <c r="D7370" s="14" t="s">
        <v>30634</v>
      </c>
    </row>
    <row r="7371" spans="1:4" x14ac:dyDescent="0.2">
      <c r="A7371" s="14" t="s">
        <v>18016</v>
      </c>
      <c r="B7371" s="14" t="s">
        <v>18017</v>
      </c>
      <c r="C7371" s="38" t="s">
        <v>17594</v>
      </c>
      <c r="D7371" s="14" t="s">
        <v>31448</v>
      </c>
    </row>
    <row r="7372" spans="1:4" x14ac:dyDescent="0.2">
      <c r="A7372" s="14" t="s">
        <v>18018</v>
      </c>
      <c r="B7372" s="14" t="s">
        <v>18019</v>
      </c>
      <c r="C7372" s="38" t="s">
        <v>17594</v>
      </c>
      <c r="D7372" s="14" t="s">
        <v>11286</v>
      </c>
    </row>
    <row r="7373" spans="1:4" x14ac:dyDescent="0.2">
      <c r="A7373" s="14" t="s">
        <v>18020</v>
      </c>
      <c r="B7373" s="14" t="s">
        <v>18021</v>
      </c>
      <c r="C7373" s="38" t="s">
        <v>17594</v>
      </c>
      <c r="D7373" s="14" t="s">
        <v>31449</v>
      </c>
    </row>
    <row r="7374" spans="1:4" x14ac:dyDescent="0.2">
      <c r="A7374" s="14" t="s">
        <v>18022</v>
      </c>
      <c r="B7374" s="14" t="s">
        <v>18023</v>
      </c>
      <c r="C7374" s="38" t="s">
        <v>17594</v>
      </c>
      <c r="D7374" s="14" t="s">
        <v>30655</v>
      </c>
    </row>
    <row r="7375" spans="1:4" x14ac:dyDescent="0.2">
      <c r="A7375" s="14" t="s">
        <v>18024</v>
      </c>
      <c r="B7375" s="14" t="s">
        <v>18025</v>
      </c>
      <c r="C7375" s="38" t="s">
        <v>17594</v>
      </c>
      <c r="D7375" s="14" t="s">
        <v>31450</v>
      </c>
    </row>
    <row r="7376" spans="1:4" x14ac:dyDescent="0.2">
      <c r="A7376" s="14" t="s">
        <v>18026</v>
      </c>
      <c r="B7376" s="14" t="s">
        <v>18027</v>
      </c>
      <c r="C7376" s="38" t="s">
        <v>17594</v>
      </c>
      <c r="D7376" s="14" t="s">
        <v>30342</v>
      </c>
    </row>
    <row r="7377" spans="1:4" x14ac:dyDescent="0.2">
      <c r="A7377" s="14" t="s">
        <v>18028</v>
      </c>
      <c r="B7377" s="14" t="s">
        <v>18029</v>
      </c>
      <c r="C7377" s="38" t="s">
        <v>17594</v>
      </c>
      <c r="D7377" s="14" t="s">
        <v>8823</v>
      </c>
    </row>
    <row r="7378" spans="1:4" x14ac:dyDescent="0.2">
      <c r="A7378" s="14" t="s">
        <v>18030</v>
      </c>
      <c r="B7378" s="14" t="s">
        <v>18031</v>
      </c>
      <c r="C7378" s="38" t="s">
        <v>17594</v>
      </c>
      <c r="D7378" s="14" t="s">
        <v>9830</v>
      </c>
    </row>
    <row r="7379" spans="1:4" x14ac:dyDescent="0.2">
      <c r="A7379" s="14" t="s">
        <v>18033</v>
      </c>
      <c r="B7379" s="14" t="s">
        <v>18034</v>
      </c>
      <c r="C7379" s="38" t="s">
        <v>17594</v>
      </c>
      <c r="D7379" s="14" t="s">
        <v>10320</v>
      </c>
    </row>
    <row r="7380" spans="1:4" x14ac:dyDescent="0.2">
      <c r="A7380" s="14" t="s">
        <v>18035</v>
      </c>
      <c r="B7380" s="14" t="s">
        <v>18036</v>
      </c>
      <c r="C7380" s="38" t="s">
        <v>17594</v>
      </c>
      <c r="D7380" s="14" t="s">
        <v>31451</v>
      </c>
    </row>
    <row r="7381" spans="1:4" x14ac:dyDescent="0.2">
      <c r="A7381" s="14" t="s">
        <v>18037</v>
      </c>
      <c r="B7381" s="14" t="s">
        <v>18038</v>
      </c>
      <c r="C7381" s="38" t="s">
        <v>17594</v>
      </c>
      <c r="D7381" s="14" t="s">
        <v>11440</v>
      </c>
    </row>
    <row r="7382" spans="1:4" x14ac:dyDescent="0.2">
      <c r="A7382" s="14" t="s">
        <v>18039</v>
      </c>
      <c r="B7382" s="14" t="s">
        <v>18040</v>
      </c>
      <c r="C7382" s="38" t="s">
        <v>17594</v>
      </c>
      <c r="D7382" s="14" t="s">
        <v>31102</v>
      </c>
    </row>
    <row r="7383" spans="1:4" x14ac:dyDescent="0.2">
      <c r="A7383" s="14" t="s">
        <v>18041</v>
      </c>
      <c r="B7383" s="14" t="s">
        <v>18042</v>
      </c>
      <c r="C7383" s="38" t="s">
        <v>17594</v>
      </c>
      <c r="D7383" s="14" t="s">
        <v>31452</v>
      </c>
    </row>
    <row r="7384" spans="1:4" x14ac:dyDescent="0.2">
      <c r="A7384" s="14" t="s">
        <v>18043</v>
      </c>
      <c r="B7384" s="14" t="s">
        <v>18044</v>
      </c>
      <c r="C7384" s="38" t="s">
        <v>17594</v>
      </c>
      <c r="D7384" s="14" t="s">
        <v>13466</v>
      </c>
    </row>
    <row r="7385" spans="1:4" x14ac:dyDescent="0.2">
      <c r="A7385" s="14" t="s">
        <v>18045</v>
      </c>
      <c r="B7385" s="14" t="s">
        <v>18046</v>
      </c>
      <c r="C7385" s="38" t="s">
        <v>17594</v>
      </c>
      <c r="D7385" s="14" t="s">
        <v>9209</v>
      </c>
    </row>
    <row r="7386" spans="1:4" x14ac:dyDescent="0.2">
      <c r="A7386" s="14" t="s">
        <v>18047</v>
      </c>
      <c r="B7386" s="14" t="s">
        <v>18048</v>
      </c>
      <c r="C7386" s="38" t="s">
        <v>17594</v>
      </c>
      <c r="D7386" s="14" t="s">
        <v>5836</v>
      </c>
    </row>
    <row r="7387" spans="1:4" x14ac:dyDescent="0.2">
      <c r="A7387" s="14" t="s">
        <v>18049</v>
      </c>
      <c r="B7387" s="14" t="s">
        <v>18050</v>
      </c>
      <c r="C7387" s="38" t="s">
        <v>17594</v>
      </c>
      <c r="D7387" s="14" t="s">
        <v>31214</v>
      </c>
    </row>
    <row r="7388" spans="1:4" x14ac:dyDescent="0.2">
      <c r="A7388" s="14" t="s">
        <v>18052</v>
      </c>
      <c r="B7388" s="14" t="s">
        <v>18053</v>
      </c>
      <c r="C7388" s="38" t="s">
        <v>17594</v>
      </c>
      <c r="D7388" s="14" t="s">
        <v>31453</v>
      </c>
    </row>
    <row r="7389" spans="1:4" x14ac:dyDescent="0.2">
      <c r="A7389" s="14" t="s">
        <v>18054</v>
      </c>
      <c r="B7389" s="14" t="s">
        <v>18055</v>
      </c>
      <c r="C7389" s="38" t="s">
        <v>17594</v>
      </c>
      <c r="D7389" s="14" t="s">
        <v>31454</v>
      </c>
    </row>
    <row r="7390" spans="1:4" x14ac:dyDescent="0.2">
      <c r="A7390" s="14" t="s">
        <v>18056</v>
      </c>
      <c r="B7390" s="14" t="s">
        <v>18057</v>
      </c>
      <c r="C7390" s="38" t="s">
        <v>17594</v>
      </c>
      <c r="D7390" s="14" t="s">
        <v>11015</v>
      </c>
    </row>
    <row r="7391" spans="1:4" x14ac:dyDescent="0.2">
      <c r="A7391" s="14" t="s">
        <v>18058</v>
      </c>
      <c r="B7391" s="14" t="s">
        <v>18059</v>
      </c>
      <c r="C7391" s="38" t="s">
        <v>17594</v>
      </c>
      <c r="D7391" s="14" t="s">
        <v>10749</v>
      </c>
    </row>
    <row r="7392" spans="1:4" x14ac:dyDescent="0.2">
      <c r="A7392" s="14" t="s">
        <v>18060</v>
      </c>
      <c r="B7392" s="14" t="s">
        <v>18061</v>
      </c>
      <c r="C7392" s="38" t="s">
        <v>17594</v>
      </c>
      <c r="D7392" s="14" t="s">
        <v>30825</v>
      </c>
    </row>
    <row r="7393" spans="1:4" x14ac:dyDescent="0.2">
      <c r="A7393" s="14" t="s">
        <v>18063</v>
      </c>
      <c r="B7393" s="14" t="s">
        <v>18064</v>
      </c>
      <c r="C7393" s="38" t="s">
        <v>17594</v>
      </c>
      <c r="D7393" s="14" t="s">
        <v>9189</v>
      </c>
    </row>
    <row r="7394" spans="1:4" x14ac:dyDescent="0.2">
      <c r="A7394" s="14" t="s">
        <v>18065</v>
      </c>
      <c r="B7394" s="14" t="s">
        <v>18066</v>
      </c>
      <c r="C7394" s="38" t="s">
        <v>17594</v>
      </c>
      <c r="D7394" s="14" t="s">
        <v>10217</v>
      </c>
    </row>
    <row r="7395" spans="1:4" x14ac:dyDescent="0.2">
      <c r="A7395" s="14" t="s">
        <v>18067</v>
      </c>
      <c r="B7395" s="14" t="s">
        <v>18068</v>
      </c>
      <c r="C7395" s="38" t="s">
        <v>17594</v>
      </c>
      <c r="D7395" s="14" t="s">
        <v>16011</v>
      </c>
    </row>
    <row r="7396" spans="1:4" x14ac:dyDescent="0.2">
      <c r="A7396" s="14" t="s">
        <v>18069</v>
      </c>
      <c r="B7396" s="14" t="s">
        <v>18070</v>
      </c>
      <c r="C7396" s="38" t="s">
        <v>17594</v>
      </c>
      <c r="D7396" s="14" t="s">
        <v>13710</v>
      </c>
    </row>
    <row r="7397" spans="1:4" x14ac:dyDescent="0.2">
      <c r="A7397" s="14" t="s">
        <v>18071</v>
      </c>
      <c r="B7397" s="14" t="s">
        <v>18072</v>
      </c>
      <c r="C7397" s="38" t="s">
        <v>17594</v>
      </c>
      <c r="D7397" s="14" t="s">
        <v>30662</v>
      </c>
    </row>
    <row r="7398" spans="1:4" x14ac:dyDescent="0.2">
      <c r="A7398" s="14" t="s">
        <v>18073</v>
      </c>
      <c r="B7398" s="14" t="s">
        <v>18074</v>
      </c>
      <c r="C7398" s="38" t="s">
        <v>17594</v>
      </c>
      <c r="D7398" s="14" t="s">
        <v>31455</v>
      </c>
    </row>
    <row r="7399" spans="1:4" x14ac:dyDescent="0.2">
      <c r="A7399" s="14" t="s">
        <v>18075</v>
      </c>
      <c r="B7399" s="14" t="s">
        <v>18076</v>
      </c>
      <c r="C7399" s="38" t="s">
        <v>17594</v>
      </c>
      <c r="D7399" s="14" t="s">
        <v>30662</v>
      </c>
    </row>
    <row r="7400" spans="1:4" x14ac:dyDescent="0.2">
      <c r="A7400" s="14" t="s">
        <v>18077</v>
      </c>
      <c r="B7400" s="14" t="s">
        <v>18078</v>
      </c>
      <c r="C7400" s="38" t="s">
        <v>17594</v>
      </c>
      <c r="D7400" s="14" t="s">
        <v>31456</v>
      </c>
    </row>
    <row r="7401" spans="1:4" x14ac:dyDescent="0.2">
      <c r="A7401" s="14" t="s">
        <v>18079</v>
      </c>
      <c r="B7401" s="14" t="s">
        <v>18080</v>
      </c>
      <c r="C7401" s="38" t="s">
        <v>17594</v>
      </c>
      <c r="D7401" s="14" t="s">
        <v>17231</v>
      </c>
    </row>
    <row r="7402" spans="1:4" x14ac:dyDescent="0.2">
      <c r="A7402" s="14" t="s">
        <v>18081</v>
      </c>
      <c r="B7402" s="14" t="s">
        <v>18082</v>
      </c>
      <c r="C7402" s="38" t="s">
        <v>17594</v>
      </c>
      <c r="D7402" s="14" t="s">
        <v>31457</v>
      </c>
    </row>
    <row r="7403" spans="1:4" x14ac:dyDescent="0.2">
      <c r="A7403" s="14" t="s">
        <v>18084</v>
      </c>
      <c r="B7403" s="14" t="s">
        <v>18085</v>
      </c>
      <c r="C7403" s="38" t="s">
        <v>17594</v>
      </c>
      <c r="D7403" s="14" t="s">
        <v>31458</v>
      </c>
    </row>
    <row r="7404" spans="1:4" x14ac:dyDescent="0.2">
      <c r="A7404" s="14" t="s">
        <v>18086</v>
      </c>
      <c r="B7404" s="14" t="s">
        <v>18087</v>
      </c>
      <c r="C7404" s="38" t="s">
        <v>17594</v>
      </c>
      <c r="D7404" s="14" t="s">
        <v>31459</v>
      </c>
    </row>
    <row r="7405" spans="1:4" x14ac:dyDescent="0.2">
      <c r="A7405" s="14" t="s">
        <v>18088</v>
      </c>
      <c r="B7405" s="14" t="s">
        <v>18089</v>
      </c>
      <c r="C7405" s="38" t="s">
        <v>17594</v>
      </c>
      <c r="D7405" s="14" t="s">
        <v>30441</v>
      </c>
    </row>
    <row r="7406" spans="1:4" x14ac:dyDescent="0.2">
      <c r="A7406" s="14" t="s">
        <v>18091</v>
      </c>
      <c r="B7406" s="14" t="s">
        <v>18092</v>
      </c>
      <c r="C7406" s="38" t="s">
        <v>17594</v>
      </c>
      <c r="D7406" s="14" t="s">
        <v>6136</v>
      </c>
    </row>
    <row r="7407" spans="1:4" x14ac:dyDescent="0.2">
      <c r="A7407" s="14" t="s">
        <v>18093</v>
      </c>
      <c r="B7407" s="14" t="s">
        <v>18094</v>
      </c>
      <c r="C7407" s="38" t="s">
        <v>17594</v>
      </c>
      <c r="D7407" s="14" t="s">
        <v>31460</v>
      </c>
    </row>
    <row r="7408" spans="1:4" x14ac:dyDescent="0.2">
      <c r="A7408" s="14" t="s">
        <v>18095</v>
      </c>
      <c r="B7408" s="14" t="s">
        <v>18096</v>
      </c>
      <c r="C7408" s="38" t="s">
        <v>17594</v>
      </c>
      <c r="D7408" s="14" t="s">
        <v>31461</v>
      </c>
    </row>
    <row r="7409" spans="1:4" x14ac:dyDescent="0.2">
      <c r="A7409" s="14" t="s">
        <v>18097</v>
      </c>
      <c r="B7409" s="14" t="s">
        <v>18098</v>
      </c>
      <c r="C7409" s="38" t="s">
        <v>17594</v>
      </c>
      <c r="D7409" s="14" t="s">
        <v>6136</v>
      </c>
    </row>
    <row r="7410" spans="1:4" x14ac:dyDescent="0.2">
      <c r="A7410" s="14" t="s">
        <v>18099</v>
      </c>
      <c r="B7410" s="14" t="s">
        <v>18100</v>
      </c>
      <c r="C7410" s="38" t="s">
        <v>17594</v>
      </c>
      <c r="D7410" s="14" t="s">
        <v>8971</v>
      </c>
    </row>
    <row r="7411" spans="1:4" x14ac:dyDescent="0.2">
      <c r="A7411" s="14" t="s">
        <v>18101</v>
      </c>
      <c r="B7411" s="14" t="s">
        <v>18102</v>
      </c>
      <c r="C7411" s="38" t="s">
        <v>17594</v>
      </c>
      <c r="D7411" s="14" t="s">
        <v>30676</v>
      </c>
    </row>
    <row r="7412" spans="1:4" x14ac:dyDescent="0.2">
      <c r="A7412" s="14" t="s">
        <v>18103</v>
      </c>
      <c r="B7412" s="14" t="s">
        <v>18104</v>
      </c>
      <c r="C7412" s="38" t="s">
        <v>17594</v>
      </c>
      <c r="D7412" s="14" t="s">
        <v>31462</v>
      </c>
    </row>
    <row r="7413" spans="1:4" x14ac:dyDescent="0.2">
      <c r="A7413" s="14" t="s">
        <v>18105</v>
      </c>
      <c r="B7413" s="14" t="s">
        <v>17389</v>
      </c>
      <c r="C7413" s="38" t="s">
        <v>17594</v>
      </c>
      <c r="D7413" s="14" t="s">
        <v>31463</v>
      </c>
    </row>
    <row r="7414" spans="1:4" x14ac:dyDescent="0.2">
      <c r="A7414" s="14" t="s">
        <v>18106</v>
      </c>
      <c r="B7414" s="14" t="s">
        <v>18107</v>
      </c>
      <c r="C7414" s="38" t="s">
        <v>17594</v>
      </c>
      <c r="D7414" s="14" t="s">
        <v>31464</v>
      </c>
    </row>
    <row r="7415" spans="1:4" x14ac:dyDescent="0.2">
      <c r="A7415" s="14" t="s">
        <v>18108</v>
      </c>
      <c r="B7415" s="14" t="s">
        <v>18109</v>
      </c>
      <c r="C7415" s="38" t="s">
        <v>17594</v>
      </c>
      <c r="D7415" s="14" t="s">
        <v>31465</v>
      </c>
    </row>
    <row r="7416" spans="1:4" x14ac:dyDescent="0.2">
      <c r="A7416" s="14" t="s">
        <v>18110</v>
      </c>
      <c r="B7416" s="14" t="s">
        <v>17395</v>
      </c>
      <c r="C7416" s="38" t="s">
        <v>17594</v>
      </c>
      <c r="D7416" s="14" t="s">
        <v>31466</v>
      </c>
    </row>
    <row r="7417" spans="1:4" x14ac:dyDescent="0.2">
      <c r="A7417" s="14" t="s">
        <v>18111</v>
      </c>
      <c r="B7417" s="14" t="s">
        <v>17874</v>
      </c>
      <c r="C7417" s="38" t="s">
        <v>17594</v>
      </c>
      <c r="D7417" s="14" t="s">
        <v>31467</v>
      </c>
    </row>
    <row r="7418" spans="1:4" x14ac:dyDescent="0.2">
      <c r="A7418" s="14" t="s">
        <v>18112</v>
      </c>
      <c r="B7418" s="14" t="s">
        <v>18113</v>
      </c>
      <c r="C7418" s="38" t="s">
        <v>17594</v>
      </c>
      <c r="D7418" s="14" t="s">
        <v>31466</v>
      </c>
    </row>
    <row r="7419" spans="1:4" x14ac:dyDescent="0.2">
      <c r="A7419" s="14" t="s">
        <v>18114</v>
      </c>
      <c r="B7419" s="14" t="s">
        <v>17399</v>
      </c>
      <c r="C7419" s="38" t="s">
        <v>17594</v>
      </c>
      <c r="D7419" s="14" t="s">
        <v>31468</v>
      </c>
    </row>
    <row r="7420" spans="1:4" x14ac:dyDescent="0.2">
      <c r="A7420" s="14" t="s">
        <v>18115</v>
      </c>
      <c r="B7420" s="14" t="s">
        <v>17401</v>
      </c>
      <c r="C7420" s="38" t="s">
        <v>17594</v>
      </c>
      <c r="D7420" s="14" t="s">
        <v>31469</v>
      </c>
    </row>
    <row r="7421" spans="1:4" x14ac:dyDescent="0.2">
      <c r="A7421" s="14" t="s">
        <v>18116</v>
      </c>
      <c r="B7421" s="14" t="s">
        <v>18117</v>
      </c>
      <c r="C7421" s="38" t="s">
        <v>17594</v>
      </c>
      <c r="D7421" s="14" t="s">
        <v>31470</v>
      </c>
    </row>
    <row r="7422" spans="1:4" x14ac:dyDescent="0.2">
      <c r="A7422" s="14" t="s">
        <v>18118</v>
      </c>
      <c r="B7422" s="14" t="s">
        <v>17878</v>
      </c>
      <c r="C7422" s="38" t="s">
        <v>17594</v>
      </c>
      <c r="D7422" s="14" t="s">
        <v>31471</v>
      </c>
    </row>
    <row r="7423" spans="1:4" x14ac:dyDescent="0.2">
      <c r="A7423" s="14" t="s">
        <v>18119</v>
      </c>
      <c r="B7423" s="14" t="s">
        <v>17408</v>
      </c>
      <c r="C7423" s="38" t="s">
        <v>17594</v>
      </c>
      <c r="D7423" s="14" t="s">
        <v>31472</v>
      </c>
    </row>
    <row r="7424" spans="1:4" x14ac:dyDescent="0.2">
      <c r="A7424" s="14" t="s">
        <v>18120</v>
      </c>
      <c r="B7424" s="14" t="s">
        <v>18121</v>
      </c>
      <c r="C7424" s="38" t="s">
        <v>17594</v>
      </c>
      <c r="D7424" s="14" t="s">
        <v>31473</v>
      </c>
    </row>
    <row r="7425" spans="1:4" x14ac:dyDescent="0.2">
      <c r="A7425" s="14" t="s">
        <v>18122</v>
      </c>
      <c r="B7425" s="14" t="s">
        <v>17412</v>
      </c>
      <c r="C7425" s="38" t="s">
        <v>17594</v>
      </c>
      <c r="D7425" s="14" t="s">
        <v>31474</v>
      </c>
    </row>
    <row r="7426" spans="1:4" x14ac:dyDescent="0.2">
      <c r="A7426" s="14" t="s">
        <v>18123</v>
      </c>
      <c r="B7426" s="14" t="s">
        <v>18124</v>
      </c>
      <c r="C7426" s="38" t="s">
        <v>17594</v>
      </c>
      <c r="D7426" s="14" t="s">
        <v>31471</v>
      </c>
    </row>
    <row r="7427" spans="1:4" x14ac:dyDescent="0.2">
      <c r="A7427" s="14" t="s">
        <v>18125</v>
      </c>
      <c r="B7427" s="14" t="s">
        <v>17416</v>
      </c>
      <c r="C7427" s="38" t="s">
        <v>17594</v>
      </c>
      <c r="D7427" s="14" t="s">
        <v>31475</v>
      </c>
    </row>
    <row r="7428" spans="1:4" x14ac:dyDescent="0.2">
      <c r="A7428" s="14" t="s">
        <v>18126</v>
      </c>
      <c r="B7428" s="14" t="s">
        <v>17418</v>
      </c>
      <c r="C7428" s="38" t="s">
        <v>17594</v>
      </c>
      <c r="D7428" s="14" t="s">
        <v>31476</v>
      </c>
    </row>
    <row r="7429" spans="1:4" x14ac:dyDescent="0.2">
      <c r="A7429" s="14" t="s">
        <v>18127</v>
      </c>
      <c r="B7429" s="14" t="s">
        <v>18128</v>
      </c>
      <c r="C7429" s="38" t="s">
        <v>17594</v>
      </c>
      <c r="D7429" s="14" t="s">
        <v>31477</v>
      </c>
    </row>
    <row r="7430" spans="1:4" x14ac:dyDescent="0.2">
      <c r="A7430" s="14" t="s">
        <v>18129</v>
      </c>
      <c r="B7430" s="14" t="s">
        <v>18130</v>
      </c>
      <c r="C7430" s="38" t="s">
        <v>17594</v>
      </c>
      <c r="D7430" s="14" t="s">
        <v>31478</v>
      </c>
    </row>
    <row r="7431" spans="1:4" x14ac:dyDescent="0.2">
      <c r="A7431" s="14" t="s">
        <v>18131</v>
      </c>
      <c r="B7431" s="14" t="s">
        <v>18132</v>
      </c>
      <c r="C7431" s="38" t="s">
        <v>17594</v>
      </c>
      <c r="D7431" s="14" t="s">
        <v>31479</v>
      </c>
    </row>
    <row r="7432" spans="1:4" x14ac:dyDescent="0.2">
      <c r="A7432" s="14" t="s">
        <v>18133</v>
      </c>
      <c r="B7432" s="14" t="s">
        <v>17428</v>
      </c>
      <c r="C7432" s="38" t="s">
        <v>17594</v>
      </c>
      <c r="D7432" s="14" t="s">
        <v>31480</v>
      </c>
    </row>
    <row r="7433" spans="1:4" x14ac:dyDescent="0.2">
      <c r="A7433" s="14" t="s">
        <v>18134</v>
      </c>
      <c r="B7433" s="14" t="s">
        <v>18135</v>
      </c>
      <c r="C7433" s="38" t="s">
        <v>17594</v>
      </c>
      <c r="D7433" s="14" t="s">
        <v>31481</v>
      </c>
    </row>
    <row r="7434" spans="1:4" x14ac:dyDescent="0.2">
      <c r="A7434" s="14" t="s">
        <v>18136</v>
      </c>
      <c r="B7434" s="14" t="s">
        <v>18137</v>
      </c>
      <c r="C7434" s="38" t="s">
        <v>17594</v>
      </c>
      <c r="D7434" s="14" t="s">
        <v>31482</v>
      </c>
    </row>
    <row r="7435" spans="1:4" x14ac:dyDescent="0.2">
      <c r="A7435" s="14" t="s">
        <v>18138</v>
      </c>
      <c r="B7435" s="14" t="s">
        <v>17432</v>
      </c>
      <c r="C7435" s="38" t="s">
        <v>4341</v>
      </c>
      <c r="D7435" s="14" t="s">
        <v>31483</v>
      </c>
    </row>
    <row r="7436" spans="1:4" x14ac:dyDescent="0.2">
      <c r="A7436" s="14" t="s">
        <v>18139</v>
      </c>
      <c r="B7436" s="14" t="s">
        <v>18140</v>
      </c>
      <c r="C7436" s="38" t="s">
        <v>17594</v>
      </c>
      <c r="D7436" s="14" t="s">
        <v>31484</v>
      </c>
    </row>
    <row r="7437" spans="1:4" x14ac:dyDescent="0.2">
      <c r="A7437" s="14" t="s">
        <v>18141</v>
      </c>
      <c r="B7437" s="14" t="s">
        <v>17436</v>
      </c>
      <c r="C7437" s="38" t="s">
        <v>17594</v>
      </c>
      <c r="D7437" s="14" t="s">
        <v>31485</v>
      </c>
    </row>
    <row r="7438" spans="1:4" x14ac:dyDescent="0.2">
      <c r="A7438" s="14" t="s">
        <v>18142</v>
      </c>
      <c r="B7438" s="14" t="s">
        <v>18143</v>
      </c>
      <c r="C7438" s="38" t="s">
        <v>17594</v>
      </c>
      <c r="D7438" s="14" t="s">
        <v>31486</v>
      </c>
    </row>
    <row r="7439" spans="1:4" x14ac:dyDescent="0.2">
      <c r="A7439" s="14" t="s">
        <v>18144</v>
      </c>
      <c r="B7439" s="14" t="s">
        <v>17441</v>
      </c>
      <c r="C7439" s="38" t="s">
        <v>17594</v>
      </c>
      <c r="D7439" s="14" t="s">
        <v>31487</v>
      </c>
    </row>
    <row r="7440" spans="1:4" x14ac:dyDescent="0.2">
      <c r="A7440" s="14" t="s">
        <v>18145</v>
      </c>
      <c r="B7440" s="14" t="s">
        <v>17443</v>
      </c>
      <c r="C7440" s="38" t="s">
        <v>17594</v>
      </c>
      <c r="D7440" s="14" t="s">
        <v>31488</v>
      </c>
    </row>
    <row r="7441" spans="1:4" x14ac:dyDescent="0.2">
      <c r="A7441" s="14" t="s">
        <v>18146</v>
      </c>
      <c r="B7441" s="14" t="s">
        <v>18104</v>
      </c>
      <c r="C7441" s="38" t="s">
        <v>17594</v>
      </c>
      <c r="D7441" s="14" t="s">
        <v>31489</v>
      </c>
    </row>
    <row r="7442" spans="1:4" x14ac:dyDescent="0.2">
      <c r="A7442" s="14" t="s">
        <v>18147</v>
      </c>
      <c r="B7442" s="14" t="s">
        <v>17589</v>
      </c>
      <c r="C7442" s="38" t="s">
        <v>17594</v>
      </c>
      <c r="D7442" s="14" t="s">
        <v>31490</v>
      </c>
    </row>
    <row r="7443" spans="1:4" x14ac:dyDescent="0.2">
      <c r="A7443" s="14" t="s">
        <v>18148</v>
      </c>
      <c r="B7443" s="14" t="s">
        <v>17591</v>
      </c>
      <c r="C7443" s="38" t="s">
        <v>17594</v>
      </c>
      <c r="D7443" s="14" t="s">
        <v>31491</v>
      </c>
    </row>
    <row r="7444" spans="1:4" x14ac:dyDescent="0.2">
      <c r="A7444" s="14" t="s">
        <v>18149</v>
      </c>
      <c r="B7444" s="14" t="s">
        <v>17445</v>
      </c>
      <c r="C7444" s="38" t="s">
        <v>17594</v>
      </c>
      <c r="D7444" s="14" t="s">
        <v>31469</v>
      </c>
    </row>
    <row r="7445" spans="1:4" x14ac:dyDescent="0.2">
      <c r="A7445" s="14" t="s">
        <v>18150</v>
      </c>
      <c r="B7445" s="14" t="s">
        <v>17447</v>
      </c>
      <c r="C7445" s="38" t="s">
        <v>17594</v>
      </c>
      <c r="D7445" s="14" t="s">
        <v>31492</v>
      </c>
    </row>
    <row r="7446" spans="1:4" x14ac:dyDescent="0.2">
      <c r="A7446" s="14" t="s">
        <v>18151</v>
      </c>
      <c r="B7446" s="14" t="s">
        <v>18152</v>
      </c>
      <c r="C7446" s="38" t="s">
        <v>17594</v>
      </c>
      <c r="D7446" s="14" t="s">
        <v>31493</v>
      </c>
    </row>
    <row r="7447" spans="1:4" x14ac:dyDescent="0.2">
      <c r="A7447" s="14" t="s">
        <v>18153</v>
      </c>
      <c r="B7447" s="14" t="s">
        <v>17554</v>
      </c>
      <c r="C7447" s="38" t="s">
        <v>17594</v>
      </c>
      <c r="D7447" s="14" t="s">
        <v>31494</v>
      </c>
    </row>
    <row r="7448" spans="1:4" x14ac:dyDescent="0.2">
      <c r="A7448" s="14" t="s">
        <v>18154</v>
      </c>
      <c r="B7448" s="14" t="s">
        <v>18155</v>
      </c>
      <c r="C7448" s="38" t="s">
        <v>17594</v>
      </c>
      <c r="D7448" s="14" t="s">
        <v>31495</v>
      </c>
    </row>
    <row r="7449" spans="1:4" x14ac:dyDescent="0.2">
      <c r="A7449" s="14" t="s">
        <v>18156</v>
      </c>
      <c r="B7449" s="14" t="s">
        <v>18157</v>
      </c>
      <c r="C7449" s="38" t="s">
        <v>17594</v>
      </c>
      <c r="D7449" s="14" t="s">
        <v>31496</v>
      </c>
    </row>
    <row r="7450" spans="1:4" x14ac:dyDescent="0.2">
      <c r="A7450" s="14" t="s">
        <v>18158</v>
      </c>
      <c r="B7450" s="14" t="s">
        <v>17451</v>
      </c>
      <c r="C7450" s="38" t="s">
        <v>17594</v>
      </c>
      <c r="D7450" s="14" t="s">
        <v>31482</v>
      </c>
    </row>
    <row r="7451" spans="1:4" x14ac:dyDescent="0.2">
      <c r="A7451" s="14" t="s">
        <v>18159</v>
      </c>
      <c r="B7451" s="14" t="s">
        <v>18160</v>
      </c>
      <c r="C7451" s="38" t="s">
        <v>17594</v>
      </c>
      <c r="D7451" s="14" t="s">
        <v>31497</v>
      </c>
    </row>
    <row r="7452" spans="1:4" x14ac:dyDescent="0.2">
      <c r="A7452" s="14" t="s">
        <v>18161</v>
      </c>
      <c r="B7452" s="14" t="s">
        <v>18162</v>
      </c>
      <c r="C7452" s="38" t="s">
        <v>17594</v>
      </c>
      <c r="D7452" s="14" t="s">
        <v>31498</v>
      </c>
    </row>
    <row r="7453" spans="1:4" x14ac:dyDescent="0.2">
      <c r="A7453" s="14" t="s">
        <v>18163</v>
      </c>
      <c r="B7453" s="14" t="s">
        <v>17890</v>
      </c>
      <c r="C7453" s="38" t="s">
        <v>17594</v>
      </c>
      <c r="D7453" s="14" t="s">
        <v>31499</v>
      </c>
    </row>
    <row r="7454" spans="1:4" x14ac:dyDescent="0.2">
      <c r="A7454" s="14" t="s">
        <v>18164</v>
      </c>
      <c r="B7454" s="14" t="s">
        <v>18165</v>
      </c>
      <c r="C7454" s="38" t="s">
        <v>17594</v>
      </c>
      <c r="D7454" s="14" t="s">
        <v>31500</v>
      </c>
    </row>
    <row r="7455" spans="1:4" x14ac:dyDescent="0.2">
      <c r="A7455" s="14" t="s">
        <v>18166</v>
      </c>
      <c r="B7455" s="14" t="s">
        <v>18167</v>
      </c>
      <c r="C7455" s="38" t="s">
        <v>17594</v>
      </c>
      <c r="D7455" s="14" t="s">
        <v>31501</v>
      </c>
    </row>
    <row r="7456" spans="1:4" x14ac:dyDescent="0.2">
      <c r="A7456" s="14" t="s">
        <v>18168</v>
      </c>
      <c r="B7456" s="14" t="s">
        <v>18169</v>
      </c>
      <c r="C7456" s="38" t="s">
        <v>17594</v>
      </c>
      <c r="D7456" s="14" t="s">
        <v>31502</v>
      </c>
    </row>
    <row r="7457" spans="1:4" x14ac:dyDescent="0.2">
      <c r="A7457" s="14" t="s">
        <v>18170</v>
      </c>
      <c r="B7457" s="14" t="s">
        <v>18171</v>
      </c>
      <c r="C7457" s="38" t="s">
        <v>17594</v>
      </c>
      <c r="D7457" s="14" t="s">
        <v>31503</v>
      </c>
    </row>
    <row r="7458" spans="1:4" x14ac:dyDescent="0.2">
      <c r="A7458" s="14" t="s">
        <v>18172</v>
      </c>
      <c r="B7458" s="14" t="s">
        <v>18173</v>
      </c>
      <c r="C7458" s="38" t="s">
        <v>17594</v>
      </c>
      <c r="D7458" s="14" t="s">
        <v>31504</v>
      </c>
    </row>
    <row r="7459" spans="1:4" x14ac:dyDescent="0.2">
      <c r="A7459" s="14" t="s">
        <v>18174</v>
      </c>
      <c r="B7459" s="14" t="s">
        <v>18175</v>
      </c>
      <c r="C7459" s="38" t="s">
        <v>17594</v>
      </c>
      <c r="D7459" s="14" t="s">
        <v>31505</v>
      </c>
    </row>
    <row r="7460" spans="1:4" x14ac:dyDescent="0.2">
      <c r="A7460" s="14" t="s">
        <v>18176</v>
      </c>
      <c r="B7460" s="14" t="s">
        <v>18177</v>
      </c>
      <c r="C7460" s="38" t="s">
        <v>17594</v>
      </c>
      <c r="D7460" s="14" t="s">
        <v>31506</v>
      </c>
    </row>
    <row r="7461" spans="1:4" x14ac:dyDescent="0.2">
      <c r="A7461" s="14" t="s">
        <v>18178</v>
      </c>
      <c r="B7461" s="14" t="s">
        <v>18179</v>
      </c>
      <c r="C7461" s="38" t="s">
        <v>17594</v>
      </c>
      <c r="D7461" s="14" t="s">
        <v>31507</v>
      </c>
    </row>
    <row r="7462" spans="1:4" x14ac:dyDescent="0.2">
      <c r="A7462" s="14" t="s">
        <v>18180</v>
      </c>
      <c r="B7462" s="14" t="s">
        <v>18181</v>
      </c>
      <c r="C7462" s="38" t="s">
        <v>17594</v>
      </c>
      <c r="D7462" s="14" t="s">
        <v>31508</v>
      </c>
    </row>
    <row r="7463" spans="1:4" x14ac:dyDescent="0.2">
      <c r="A7463" s="14" t="s">
        <v>18182</v>
      </c>
      <c r="B7463" s="14" t="s">
        <v>18183</v>
      </c>
      <c r="C7463" s="38" t="s">
        <v>17594</v>
      </c>
      <c r="D7463" s="14" t="s">
        <v>31509</v>
      </c>
    </row>
    <row r="7464" spans="1:4" x14ac:dyDescent="0.2">
      <c r="A7464" s="14" t="s">
        <v>18184</v>
      </c>
      <c r="B7464" s="14" t="s">
        <v>17480</v>
      </c>
      <c r="C7464" s="38" t="s">
        <v>17594</v>
      </c>
      <c r="D7464" s="14" t="s">
        <v>31510</v>
      </c>
    </row>
    <row r="7465" spans="1:4" x14ac:dyDescent="0.2">
      <c r="A7465" s="14" t="s">
        <v>18185</v>
      </c>
      <c r="B7465" s="14" t="s">
        <v>18186</v>
      </c>
      <c r="C7465" s="38" t="s">
        <v>17594</v>
      </c>
      <c r="D7465" s="14" t="s">
        <v>31511</v>
      </c>
    </row>
    <row r="7466" spans="1:4" x14ac:dyDescent="0.2">
      <c r="A7466" s="14" t="s">
        <v>18187</v>
      </c>
      <c r="B7466" s="14" t="s">
        <v>18188</v>
      </c>
      <c r="C7466" s="38" t="s">
        <v>17594</v>
      </c>
      <c r="D7466" s="14" t="s">
        <v>31512</v>
      </c>
    </row>
    <row r="7467" spans="1:4" x14ac:dyDescent="0.2">
      <c r="A7467" s="14" t="s">
        <v>18189</v>
      </c>
      <c r="B7467" s="14" t="s">
        <v>18190</v>
      </c>
      <c r="C7467" s="38" t="s">
        <v>17594</v>
      </c>
      <c r="D7467" s="14" t="s">
        <v>31513</v>
      </c>
    </row>
    <row r="7468" spans="1:4" x14ac:dyDescent="0.2">
      <c r="A7468" s="14" t="s">
        <v>18191</v>
      </c>
      <c r="B7468" s="14" t="s">
        <v>17486</v>
      </c>
      <c r="C7468" s="38" t="s">
        <v>17594</v>
      </c>
      <c r="D7468" s="14" t="s">
        <v>31514</v>
      </c>
    </row>
    <row r="7469" spans="1:4" x14ac:dyDescent="0.2">
      <c r="A7469" s="14" t="s">
        <v>18192</v>
      </c>
      <c r="B7469" s="14" t="s">
        <v>18193</v>
      </c>
      <c r="C7469" s="38" t="s">
        <v>17594</v>
      </c>
      <c r="D7469" s="14" t="s">
        <v>31515</v>
      </c>
    </row>
    <row r="7470" spans="1:4" x14ac:dyDescent="0.2">
      <c r="A7470" s="14" t="s">
        <v>18194</v>
      </c>
      <c r="B7470" s="14" t="s">
        <v>17490</v>
      </c>
      <c r="C7470" s="38" t="s">
        <v>17594</v>
      </c>
      <c r="D7470" s="14" t="s">
        <v>31516</v>
      </c>
    </row>
    <row r="7471" spans="1:4" x14ac:dyDescent="0.2">
      <c r="A7471" s="14" t="s">
        <v>18195</v>
      </c>
      <c r="B7471" s="14" t="s">
        <v>18196</v>
      </c>
      <c r="C7471" s="38" t="s">
        <v>17594</v>
      </c>
      <c r="D7471" s="14" t="s">
        <v>31517</v>
      </c>
    </row>
    <row r="7472" spans="1:4" x14ac:dyDescent="0.2">
      <c r="A7472" s="14" t="s">
        <v>18197</v>
      </c>
      <c r="B7472" s="14" t="s">
        <v>18198</v>
      </c>
      <c r="C7472" s="38" t="s">
        <v>17594</v>
      </c>
      <c r="D7472" s="14" t="s">
        <v>31518</v>
      </c>
    </row>
    <row r="7473" spans="1:4" x14ac:dyDescent="0.2">
      <c r="A7473" s="14" t="s">
        <v>18199</v>
      </c>
      <c r="B7473" s="14" t="s">
        <v>17494</v>
      </c>
      <c r="C7473" s="38" t="s">
        <v>17594</v>
      </c>
      <c r="D7473" s="14" t="s">
        <v>31519</v>
      </c>
    </row>
    <row r="7474" spans="1:4" x14ac:dyDescent="0.2">
      <c r="A7474" s="14" t="s">
        <v>18200</v>
      </c>
      <c r="B7474" s="14" t="s">
        <v>18201</v>
      </c>
      <c r="C7474" s="38" t="s">
        <v>17594</v>
      </c>
      <c r="D7474" s="14" t="s">
        <v>31520</v>
      </c>
    </row>
    <row r="7475" spans="1:4" x14ac:dyDescent="0.2">
      <c r="A7475" s="14" t="s">
        <v>18202</v>
      </c>
      <c r="B7475" s="14" t="s">
        <v>17499</v>
      </c>
      <c r="C7475" s="38" t="s">
        <v>17594</v>
      </c>
      <c r="D7475" s="14" t="s">
        <v>31521</v>
      </c>
    </row>
    <row r="7476" spans="1:4" x14ac:dyDescent="0.2">
      <c r="A7476" s="14" t="s">
        <v>18203</v>
      </c>
      <c r="B7476" s="14" t="s">
        <v>17501</v>
      </c>
      <c r="C7476" s="38" t="s">
        <v>17594</v>
      </c>
      <c r="D7476" s="14" t="s">
        <v>31522</v>
      </c>
    </row>
    <row r="7477" spans="1:4" x14ac:dyDescent="0.2">
      <c r="A7477" s="14" t="s">
        <v>18204</v>
      </c>
      <c r="B7477" s="14" t="s">
        <v>18205</v>
      </c>
      <c r="C7477" s="38" t="s">
        <v>17594</v>
      </c>
      <c r="D7477" s="14" t="s">
        <v>31523</v>
      </c>
    </row>
    <row r="7478" spans="1:4" x14ac:dyDescent="0.2">
      <c r="A7478" s="14" t="s">
        <v>18206</v>
      </c>
      <c r="B7478" s="14" t="s">
        <v>17506</v>
      </c>
      <c r="C7478" s="38" t="s">
        <v>17594</v>
      </c>
      <c r="D7478" s="14" t="s">
        <v>31524</v>
      </c>
    </row>
    <row r="7479" spans="1:4" x14ac:dyDescent="0.2">
      <c r="A7479" s="14" t="s">
        <v>18207</v>
      </c>
      <c r="B7479" s="14" t="s">
        <v>18208</v>
      </c>
      <c r="C7479" s="38" t="s">
        <v>17594</v>
      </c>
      <c r="D7479" s="14" t="s">
        <v>31525</v>
      </c>
    </row>
    <row r="7480" spans="1:4" x14ac:dyDescent="0.2">
      <c r="A7480" s="14" t="s">
        <v>18209</v>
      </c>
      <c r="B7480" s="14" t="s">
        <v>17508</v>
      </c>
      <c r="C7480" s="38" t="s">
        <v>17594</v>
      </c>
      <c r="D7480" s="14" t="s">
        <v>31526</v>
      </c>
    </row>
    <row r="7481" spans="1:4" x14ac:dyDescent="0.2">
      <c r="A7481" s="14" t="s">
        <v>18210</v>
      </c>
      <c r="B7481" s="14" t="s">
        <v>17514</v>
      </c>
      <c r="C7481" s="38" t="s">
        <v>17594</v>
      </c>
      <c r="D7481" s="14" t="s">
        <v>31478</v>
      </c>
    </row>
    <row r="7482" spans="1:4" x14ac:dyDescent="0.2">
      <c r="A7482" s="14" t="s">
        <v>18211</v>
      </c>
      <c r="B7482" s="14" t="s">
        <v>17516</v>
      </c>
      <c r="C7482" s="38" t="s">
        <v>17594</v>
      </c>
      <c r="D7482" s="14" t="s">
        <v>31492</v>
      </c>
    </row>
    <row r="7483" spans="1:4" x14ac:dyDescent="0.2">
      <c r="A7483" s="14" t="s">
        <v>18212</v>
      </c>
      <c r="B7483" s="14" t="s">
        <v>17518</v>
      </c>
      <c r="C7483" s="38" t="s">
        <v>17594</v>
      </c>
      <c r="D7483" s="14" t="s">
        <v>31527</v>
      </c>
    </row>
    <row r="7484" spans="1:4" x14ac:dyDescent="0.2">
      <c r="A7484" s="14" t="s">
        <v>18213</v>
      </c>
      <c r="B7484" s="14" t="s">
        <v>17521</v>
      </c>
      <c r="C7484" s="38" t="s">
        <v>17594</v>
      </c>
      <c r="D7484" s="14" t="s">
        <v>31528</v>
      </c>
    </row>
    <row r="7485" spans="1:4" x14ac:dyDescent="0.2">
      <c r="A7485" s="14" t="s">
        <v>18214</v>
      </c>
      <c r="B7485" s="14" t="s">
        <v>17523</v>
      </c>
      <c r="C7485" s="38" t="s">
        <v>17594</v>
      </c>
      <c r="D7485" s="14" t="s">
        <v>31527</v>
      </c>
    </row>
    <row r="7486" spans="1:4" x14ac:dyDescent="0.2">
      <c r="A7486" s="14" t="s">
        <v>18215</v>
      </c>
      <c r="B7486" s="14" t="s">
        <v>18216</v>
      </c>
      <c r="C7486" s="38" t="s">
        <v>17594</v>
      </c>
      <c r="D7486" s="14" t="s">
        <v>31529</v>
      </c>
    </row>
    <row r="7487" spans="1:4" x14ac:dyDescent="0.2">
      <c r="A7487" s="14" t="s">
        <v>18217</v>
      </c>
      <c r="B7487" s="14" t="s">
        <v>17527</v>
      </c>
      <c r="C7487" s="38" t="s">
        <v>17594</v>
      </c>
      <c r="D7487" s="14" t="s">
        <v>31530</v>
      </c>
    </row>
    <row r="7488" spans="1:4" x14ac:dyDescent="0.2">
      <c r="A7488" s="14" t="s">
        <v>18218</v>
      </c>
      <c r="B7488" s="14" t="s">
        <v>17529</v>
      </c>
      <c r="C7488" s="38" t="s">
        <v>17594</v>
      </c>
      <c r="D7488" s="14" t="s">
        <v>31531</v>
      </c>
    </row>
    <row r="7489" spans="1:4" x14ac:dyDescent="0.2">
      <c r="A7489" s="14" t="s">
        <v>18219</v>
      </c>
      <c r="B7489" s="14" t="s">
        <v>18220</v>
      </c>
      <c r="C7489" s="38" t="s">
        <v>17594</v>
      </c>
      <c r="D7489" s="14" t="s">
        <v>31532</v>
      </c>
    </row>
    <row r="7490" spans="1:4" x14ac:dyDescent="0.2">
      <c r="A7490" s="14" t="s">
        <v>18221</v>
      </c>
      <c r="B7490" s="14" t="s">
        <v>17533</v>
      </c>
      <c r="C7490" s="38" t="s">
        <v>17594</v>
      </c>
      <c r="D7490" s="14" t="s">
        <v>31533</v>
      </c>
    </row>
    <row r="7491" spans="1:4" x14ac:dyDescent="0.2">
      <c r="A7491" s="14" t="s">
        <v>18222</v>
      </c>
      <c r="B7491" s="14" t="s">
        <v>18223</v>
      </c>
      <c r="C7491" s="38" t="s">
        <v>17594</v>
      </c>
      <c r="D7491" s="14" t="s">
        <v>31534</v>
      </c>
    </row>
    <row r="7492" spans="1:4" x14ac:dyDescent="0.2">
      <c r="A7492" s="14" t="s">
        <v>18224</v>
      </c>
      <c r="B7492" s="14" t="s">
        <v>17537</v>
      </c>
      <c r="C7492" s="38" t="s">
        <v>17594</v>
      </c>
      <c r="D7492" s="14" t="s">
        <v>31483</v>
      </c>
    </row>
    <row r="7493" spans="1:4" x14ac:dyDescent="0.2">
      <c r="A7493" s="14" t="s">
        <v>18225</v>
      </c>
      <c r="B7493" s="14" t="s">
        <v>18226</v>
      </c>
      <c r="C7493" s="38" t="s">
        <v>17594</v>
      </c>
      <c r="D7493" s="14" t="s">
        <v>31535</v>
      </c>
    </row>
    <row r="7494" spans="1:4" x14ac:dyDescent="0.2">
      <c r="A7494" s="14" t="s">
        <v>18227</v>
      </c>
      <c r="B7494" s="14" t="s">
        <v>18228</v>
      </c>
      <c r="C7494" s="38" t="s">
        <v>17594</v>
      </c>
      <c r="D7494" s="14" t="s">
        <v>31536</v>
      </c>
    </row>
    <row r="7495" spans="1:4" x14ac:dyDescent="0.2">
      <c r="A7495" s="14" t="s">
        <v>18229</v>
      </c>
      <c r="B7495" s="14" t="s">
        <v>18230</v>
      </c>
      <c r="C7495" s="38" t="s">
        <v>17594</v>
      </c>
      <c r="D7495" s="14" t="s">
        <v>31483</v>
      </c>
    </row>
    <row r="7496" spans="1:4" x14ac:dyDescent="0.2">
      <c r="A7496" s="14" t="s">
        <v>18231</v>
      </c>
      <c r="B7496" s="14" t="s">
        <v>17548</v>
      </c>
      <c r="C7496" s="38" t="s">
        <v>17594</v>
      </c>
      <c r="D7496" s="14" t="s">
        <v>31537</v>
      </c>
    </row>
    <row r="7497" spans="1:4" x14ac:dyDescent="0.2">
      <c r="A7497" s="14" t="s">
        <v>18232</v>
      </c>
      <c r="B7497" s="14" t="s">
        <v>17850</v>
      </c>
      <c r="C7497" s="38" t="s">
        <v>17594</v>
      </c>
      <c r="D7497" s="14" t="s">
        <v>31538</v>
      </c>
    </row>
    <row r="7498" spans="1:4" x14ac:dyDescent="0.2">
      <c r="A7498" s="14" t="s">
        <v>18202</v>
      </c>
      <c r="B7498" s="14" t="s">
        <v>17499</v>
      </c>
      <c r="C7498" s="38" t="s">
        <v>17594</v>
      </c>
      <c r="D7498" s="14" t="s">
        <v>31521</v>
      </c>
    </row>
    <row r="7499" spans="1:4" x14ac:dyDescent="0.2">
      <c r="A7499" s="14" t="s">
        <v>18203</v>
      </c>
      <c r="B7499" s="14" t="s">
        <v>17501</v>
      </c>
      <c r="C7499" s="38" t="s">
        <v>17594</v>
      </c>
      <c r="D7499" s="14" t="s">
        <v>31522</v>
      </c>
    </row>
    <row r="7500" spans="1:4" x14ac:dyDescent="0.2">
      <c r="A7500" s="14" t="s">
        <v>18204</v>
      </c>
      <c r="B7500" s="14" t="s">
        <v>18205</v>
      </c>
      <c r="C7500" s="38" t="s">
        <v>17594</v>
      </c>
      <c r="D7500" s="14" t="s">
        <v>31523</v>
      </c>
    </row>
    <row r="7501" spans="1:4" x14ac:dyDescent="0.2">
      <c r="A7501" s="14" t="s">
        <v>18206</v>
      </c>
      <c r="B7501" s="14" t="s">
        <v>17506</v>
      </c>
      <c r="C7501" s="38" t="s">
        <v>17594</v>
      </c>
      <c r="D7501" s="14" t="s">
        <v>31524</v>
      </c>
    </row>
    <row r="7502" spans="1:4" x14ac:dyDescent="0.2">
      <c r="A7502" s="14" t="s">
        <v>18207</v>
      </c>
      <c r="B7502" s="14" t="s">
        <v>18208</v>
      </c>
      <c r="C7502" s="38" t="s">
        <v>17594</v>
      </c>
      <c r="D7502" s="14" t="s">
        <v>31525</v>
      </c>
    </row>
    <row r="7503" spans="1:4" x14ac:dyDescent="0.2">
      <c r="A7503" s="14" t="s">
        <v>18209</v>
      </c>
      <c r="B7503" s="14" t="s">
        <v>17508</v>
      </c>
      <c r="C7503" s="38" t="s">
        <v>17594</v>
      </c>
      <c r="D7503" s="14" t="s">
        <v>31526</v>
      </c>
    </row>
    <row r="7504" spans="1:4" x14ac:dyDescent="0.2">
      <c r="A7504" s="14" t="s">
        <v>18210</v>
      </c>
      <c r="B7504" s="14" t="s">
        <v>17514</v>
      </c>
      <c r="C7504" s="38" t="s">
        <v>17594</v>
      </c>
      <c r="D7504" s="14" t="s">
        <v>31478</v>
      </c>
    </row>
    <row r="7505" spans="1:4" x14ac:dyDescent="0.2">
      <c r="A7505" s="14" t="s">
        <v>18211</v>
      </c>
      <c r="B7505" s="14" t="s">
        <v>17516</v>
      </c>
      <c r="C7505" s="38" t="s">
        <v>17594</v>
      </c>
      <c r="D7505" s="14" t="s">
        <v>31492</v>
      </c>
    </row>
    <row r="7506" spans="1:4" x14ac:dyDescent="0.2">
      <c r="A7506" s="14" t="s">
        <v>18212</v>
      </c>
      <c r="B7506" s="14" t="s">
        <v>17518</v>
      </c>
      <c r="C7506" s="38" t="s">
        <v>17594</v>
      </c>
      <c r="D7506" s="14" t="s">
        <v>31527</v>
      </c>
    </row>
    <row r="7507" spans="1:4" x14ac:dyDescent="0.2">
      <c r="A7507" s="14" t="s">
        <v>18213</v>
      </c>
      <c r="B7507" s="14" t="s">
        <v>17521</v>
      </c>
      <c r="C7507" s="38" t="s">
        <v>17594</v>
      </c>
      <c r="D7507" s="14" t="s">
        <v>31528</v>
      </c>
    </row>
    <row r="7508" spans="1:4" x14ac:dyDescent="0.2">
      <c r="A7508" s="14" t="s">
        <v>18214</v>
      </c>
      <c r="B7508" s="14" t="s">
        <v>17523</v>
      </c>
      <c r="C7508" s="38" t="s">
        <v>17594</v>
      </c>
      <c r="D7508" s="14" t="s">
        <v>31527</v>
      </c>
    </row>
    <row r="7509" spans="1:4" x14ac:dyDescent="0.2">
      <c r="A7509" s="14" t="s">
        <v>18215</v>
      </c>
      <c r="B7509" s="14" t="s">
        <v>18216</v>
      </c>
      <c r="C7509" s="38" t="s">
        <v>17594</v>
      </c>
      <c r="D7509" s="14" t="s">
        <v>31529</v>
      </c>
    </row>
    <row r="7510" spans="1:4" x14ac:dyDescent="0.2">
      <c r="A7510" s="14" t="s">
        <v>18217</v>
      </c>
      <c r="B7510" s="14" t="s">
        <v>17527</v>
      </c>
      <c r="C7510" s="38" t="s">
        <v>17594</v>
      </c>
      <c r="D7510" s="14" t="s">
        <v>31530</v>
      </c>
    </row>
    <row r="7511" spans="1:4" x14ac:dyDescent="0.2">
      <c r="A7511" s="14" t="s">
        <v>18218</v>
      </c>
      <c r="B7511" s="14" t="s">
        <v>17529</v>
      </c>
      <c r="C7511" s="38" t="s">
        <v>17594</v>
      </c>
      <c r="D7511" s="14" t="s">
        <v>31531</v>
      </c>
    </row>
    <row r="7512" spans="1:4" x14ac:dyDescent="0.2">
      <c r="A7512" s="14" t="s">
        <v>18219</v>
      </c>
      <c r="B7512" s="14" t="s">
        <v>18220</v>
      </c>
      <c r="C7512" s="38" t="s">
        <v>17594</v>
      </c>
      <c r="D7512" s="14" t="s">
        <v>31532</v>
      </c>
    </row>
    <row r="7513" spans="1:4" x14ac:dyDescent="0.2">
      <c r="A7513" s="14" t="s">
        <v>18221</v>
      </c>
      <c r="B7513" s="14" t="s">
        <v>17533</v>
      </c>
      <c r="C7513" s="38" t="s">
        <v>17594</v>
      </c>
      <c r="D7513" s="14" t="s">
        <v>31533</v>
      </c>
    </row>
    <row r="7514" spans="1:4" x14ac:dyDescent="0.2">
      <c r="A7514" s="14" t="s">
        <v>18222</v>
      </c>
      <c r="B7514" s="14" t="s">
        <v>18223</v>
      </c>
      <c r="C7514" s="38" t="s">
        <v>17594</v>
      </c>
      <c r="D7514" s="14" t="s">
        <v>31534</v>
      </c>
    </row>
    <row r="7515" spans="1:4" x14ac:dyDescent="0.2">
      <c r="A7515" s="14" t="s">
        <v>18224</v>
      </c>
      <c r="B7515" s="14" t="s">
        <v>17537</v>
      </c>
      <c r="C7515" s="38" t="s">
        <v>17594</v>
      </c>
      <c r="D7515" s="14" t="s">
        <v>31483</v>
      </c>
    </row>
    <row r="7516" spans="1:4" x14ac:dyDescent="0.2">
      <c r="A7516" s="14" t="s">
        <v>18225</v>
      </c>
      <c r="B7516" s="14" t="s">
        <v>18226</v>
      </c>
      <c r="C7516" s="38" t="s">
        <v>17594</v>
      </c>
      <c r="D7516" s="14" t="s">
        <v>31535</v>
      </c>
    </row>
    <row r="7517" spans="1:4" x14ac:dyDescent="0.2">
      <c r="A7517" s="14" t="s">
        <v>18227</v>
      </c>
      <c r="B7517" s="14" t="s">
        <v>18228</v>
      </c>
      <c r="C7517" s="38" t="s">
        <v>17594</v>
      </c>
      <c r="D7517" s="14" t="s">
        <v>31536</v>
      </c>
    </row>
    <row r="7518" spans="1:4" x14ac:dyDescent="0.2">
      <c r="A7518" s="14" t="s">
        <v>18229</v>
      </c>
      <c r="B7518" s="14" t="s">
        <v>18230</v>
      </c>
      <c r="C7518" s="38" t="s">
        <v>17594</v>
      </c>
      <c r="D7518" s="14" t="s">
        <v>31483</v>
      </c>
    </row>
    <row r="7519" spans="1:4" x14ac:dyDescent="0.2">
      <c r="A7519" s="14" t="s">
        <v>18231</v>
      </c>
      <c r="B7519" s="14" t="s">
        <v>17548</v>
      </c>
      <c r="C7519" s="38" t="s">
        <v>17594</v>
      </c>
      <c r="D7519" s="14" t="s">
        <v>31537</v>
      </c>
    </row>
    <row r="7520" spans="1:4" x14ac:dyDescent="0.2">
      <c r="A7520" s="14" t="s">
        <v>18232</v>
      </c>
      <c r="B7520" s="14" t="s">
        <v>17850</v>
      </c>
      <c r="C7520" s="38" t="s">
        <v>17594</v>
      </c>
      <c r="D7520" s="14" t="s">
        <v>31538</v>
      </c>
    </row>
    <row r="7521" spans="1:4" x14ac:dyDescent="0.2">
      <c r="A7521" s="14">
        <v>367</v>
      </c>
      <c r="B7521" s="14" t="s">
        <v>31539</v>
      </c>
      <c r="C7521" s="38" t="s">
        <v>31540</v>
      </c>
      <c r="D7521" s="14" t="s">
        <v>18235</v>
      </c>
    </row>
    <row r="7522" spans="1:4" x14ac:dyDescent="0.2">
      <c r="A7522" s="14">
        <v>2690</v>
      </c>
      <c r="B7522" s="14" t="s">
        <v>18233</v>
      </c>
      <c r="C7522" s="38" t="s">
        <v>18234</v>
      </c>
      <c r="D7522" s="14" t="s">
        <v>16641</v>
      </c>
    </row>
    <row r="7523" spans="1:4" x14ac:dyDescent="0.2">
      <c r="A7523" s="14" t="s">
        <v>31546</v>
      </c>
      <c r="B7523" s="14" t="s">
        <v>31547</v>
      </c>
      <c r="C7523" s="38" t="s">
        <v>226</v>
      </c>
      <c r="D7523" s="14" t="s">
        <v>31548</v>
      </c>
    </row>
    <row r="7524" spans="1:4" x14ac:dyDescent="0.2">
      <c r="A7524" s="14">
        <v>39212</v>
      </c>
      <c r="B7524" s="14" t="s">
        <v>43942</v>
      </c>
      <c r="C7524" s="38" t="s">
        <v>43943</v>
      </c>
      <c r="D7524" s="14" t="s">
        <v>17092</v>
      </c>
    </row>
    <row r="7525" spans="1:4" x14ac:dyDescent="0.2">
      <c r="A7525" s="14">
        <v>4730</v>
      </c>
      <c r="B7525" s="14" t="s">
        <v>43944</v>
      </c>
      <c r="C7525" s="38" t="s">
        <v>31540</v>
      </c>
      <c r="D7525" s="14" t="s">
        <v>43945</v>
      </c>
    </row>
    <row r="7526" spans="1:4" x14ac:dyDescent="0.2">
      <c r="A7526" s="14" t="s">
        <v>43948</v>
      </c>
      <c r="B7526" s="14" t="s">
        <v>43949</v>
      </c>
      <c r="C7526" s="38" t="s">
        <v>226</v>
      </c>
      <c r="D7526" s="14" t="s">
        <v>42774</v>
      </c>
    </row>
    <row r="7527" spans="1:4" x14ac:dyDescent="0.2">
      <c r="A7527" s="14" t="s">
        <v>43951</v>
      </c>
      <c r="B7527" s="14" t="s">
        <v>43952</v>
      </c>
      <c r="C7527" s="38" t="s">
        <v>227</v>
      </c>
      <c r="D7527" s="14" t="s">
        <v>4559</v>
      </c>
    </row>
    <row r="7528" spans="1:4" x14ac:dyDescent="0.2">
      <c r="A7528" s="14">
        <v>370</v>
      </c>
      <c r="B7528" s="14" t="s">
        <v>43957</v>
      </c>
      <c r="C7528" s="38" t="s">
        <v>159</v>
      </c>
      <c r="D7528" s="14" t="s">
        <v>31083</v>
      </c>
    </row>
  </sheetData>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0D1D-3E60-4E5E-8240-F70F03F0D9F6}">
  <sheetPr>
    <tabColor theme="0" tint="-4.9989318521683403E-2"/>
  </sheetPr>
  <dimension ref="A1:N4231"/>
  <sheetViews>
    <sheetView topLeftCell="A195" zoomScale="130" zoomScaleNormal="130" workbookViewId="0">
      <selection activeCell="A207" sqref="A207"/>
    </sheetView>
  </sheetViews>
  <sheetFormatPr defaultColWidth="9.140625" defaultRowHeight="12.75" x14ac:dyDescent="0.25"/>
  <cols>
    <col min="1" max="1" width="10.85546875" style="341" customWidth="1"/>
    <col min="2" max="2" width="56" style="341" customWidth="1"/>
    <col min="3" max="3" width="8" style="341" customWidth="1"/>
    <col min="4" max="4" width="10.85546875" style="341" customWidth="1"/>
    <col min="5" max="5" width="9" style="341" customWidth="1"/>
    <col min="6" max="6" width="12" style="341" customWidth="1"/>
    <col min="7" max="7" width="10.85546875" style="341" customWidth="1"/>
    <col min="8" max="8" width="9.140625" style="341"/>
    <col min="9" max="9" width="11.85546875" style="341" bestFit="1" customWidth="1"/>
    <col min="10" max="10" width="9.140625" style="341"/>
    <col min="11" max="11" width="11.28515625" style="341" bestFit="1" customWidth="1"/>
    <col min="12" max="13" width="9.140625" style="341"/>
    <col min="14" max="14" width="9.85546875" style="341" bestFit="1" customWidth="1"/>
    <col min="15" max="16384" width="9.140625" style="341"/>
  </cols>
  <sheetData>
    <row r="1" spans="1:7" s="1167" customFormat="1" ht="15.6" customHeight="1" x14ac:dyDescent="0.25">
      <c r="A1" s="1166"/>
      <c r="B1" s="1269" t="s">
        <v>31567</v>
      </c>
      <c r="C1" s="1269"/>
      <c r="D1" s="1269"/>
      <c r="E1" s="1269"/>
      <c r="F1" s="1269"/>
      <c r="G1" s="1269"/>
    </row>
    <row r="2" spans="1:7" s="1167" customFormat="1" ht="15.6" customHeight="1" x14ac:dyDescent="0.25">
      <c r="A2" s="1269" t="s">
        <v>31568</v>
      </c>
      <c r="B2" s="1269"/>
      <c r="C2" s="1269"/>
      <c r="D2" s="1269"/>
      <c r="E2" s="1269"/>
      <c r="F2" s="1269"/>
      <c r="G2" s="1269"/>
    </row>
    <row r="3" spans="1:7" s="1167" customFormat="1" ht="15.6" customHeight="1" x14ac:dyDescent="0.25">
      <c r="A3" s="1270" t="s">
        <v>225</v>
      </c>
      <c r="B3" s="1270"/>
      <c r="C3" s="1270"/>
      <c r="D3" s="1270"/>
      <c r="E3" s="1270"/>
      <c r="F3" s="1270"/>
      <c r="G3" s="1270"/>
    </row>
    <row r="4" spans="1:7" s="1167" customFormat="1" ht="15.6" customHeight="1" x14ac:dyDescent="0.25">
      <c r="A4" s="1271" t="s">
        <v>31541</v>
      </c>
      <c r="B4" s="1271"/>
      <c r="C4" s="1271"/>
      <c r="D4" s="1271"/>
      <c r="E4" s="1271"/>
      <c r="F4" s="1271"/>
      <c r="G4" s="1271"/>
    </row>
    <row r="5" spans="1:7" s="1167" customFormat="1" ht="15" x14ac:dyDescent="0.25">
      <c r="A5" s="1168"/>
      <c r="B5"/>
      <c r="C5"/>
      <c r="D5" s="1171" t="s">
        <v>31569</v>
      </c>
      <c r="E5" s="1169"/>
      <c r="F5" s="1170"/>
      <c r="G5" s="1171" t="s">
        <v>31569</v>
      </c>
    </row>
    <row r="6" spans="1:7" s="1167" customFormat="1" ht="15" x14ac:dyDescent="0.25">
      <c r="A6" s="1168"/>
      <c r="B6" s="1172"/>
      <c r="C6" s="1173"/>
      <c r="D6" s="1175" t="s">
        <v>31571</v>
      </c>
      <c r="E6" s="1169"/>
      <c r="F6" s="1174" t="s">
        <v>31570</v>
      </c>
      <c r="G6" s="1175" t="s">
        <v>31571</v>
      </c>
    </row>
    <row r="7" spans="1:7" s="1167" customFormat="1" ht="15" x14ac:dyDescent="0.25">
      <c r="A7" s="1168"/>
      <c r="B7" s="1172"/>
      <c r="C7" s="1176" t="s">
        <v>31572</v>
      </c>
      <c r="D7" s="1177">
        <v>1.2823</v>
      </c>
      <c r="E7" s="1177">
        <v>0</v>
      </c>
      <c r="F7" s="1178" t="s">
        <v>31573</v>
      </c>
      <c r="G7" s="1177">
        <v>1.2823</v>
      </c>
    </row>
    <row r="8" spans="1:7" ht="11.45" customHeight="1" x14ac:dyDescent="0.25">
      <c r="A8" s="543" t="s">
        <v>31574</v>
      </c>
      <c r="B8" s="544" t="s">
        <v>31575</v>
      </c>
      <c r="C8" s="544" t="s">
        <v>21592</v>
      </c>
      <c r="D8" s="543" t="s">
        <v>31578</v>
      </c>
      <c r="E8" s="545" t="s">
        <v>31576</v>
      </c>
      <c r="F8" s="546" t="s">
        <v>31577</v>
      </c>
      <c r="G8" s="543" t="s">
        <v>31578</v>
      </c>
    </row>
    <row r="9" spans="1:7" ht="12.6" customHeight="1" x14ac:dyDescent="0.25">
      <c r="A9" s="547" t="s">
        <v>31579</v>
      </c>
      <c r="B9" s="548" t="s">
        <v>31580</v>
      </c>
      <c r="C9" s="549"/>
      <c r="D9" s="549"/>
      <c r="E9" s="549"/>
      <c r="F9" s="549"/>
      <c r="G9" s="549"/>
    </row>
    <row r="10" spans="1:7" ht="12.6" customHeight="1" x14ac:dyDescent="0.2">
      <c r="A10" s="548" t="s">
        <v>31581</v>
      </c>
      <c r="B10" s="548" t="s">
        <v>31582</v>
      </c>
      <c r="C10" s="550"/>
      <c r="D10" s="550"/>
      <c r="E10" s="550"/>
      <c r="F10" s="550"/>
      <c r="G10" s="550"/>
    </row>
    <row r="11" spans="1:7" ht="24.95" customHeight="1" x14ac:dyDescent="0.25">
      <c r="A11" s="551" t="s">
        <v>31583</v>
      </c>
      <c r="B11" s="342" t="s">
        <v>31584</v>
      </c>
      <c r="C11" s="552" t="s">
        <v>226</v>
      </c>
      <c r="D11" s="553">
        <v>6218.4</v>
      </c>
      <c r="E11" s="344"/>
      <c r="F11" s="553">
        <v>6218.4</v>
      </c>
      <c r="G11" s="553">
        <v>6218.4</v>
      </c>
    </row>
    <row r="12" spans="1:7" ht="24.95" customHeight="1" x14ac:dyDescent="0.25">
      <c r="A12" s="551" t="s">
        <v>31585</v>
      </c>
      <c r="B12" s="342" t="s">
        <v>31586</v>
      </c>
      <c r="C12" s="552" t="s">
        <v>226</v>
      </c>
      <c r="D12" s="553">
        <v>8269.26</v>
      </c>
      <c r="E12" s="344"/>
      <c r="F12" s="553">
        <v>8269.26</v>
      </c>
      <c r="G12" s="553">
        <v>8269.26</v>
      </c>
    </row>
    <row r="13" spans="1:7" ht="24.95" customHeight="1" x14ac:dyDescent="0.25">
      <c r="A13" s="551" t="s">
        <v>31587</v>
      </c>
      <c r="B13" s="342" t="s">
        <v>31588</v>
      </c>
      <c r="C13" s="552" t="s">
        <v>226</v>
      </c>
      <c r="D13" s="553">
        <v>14125.76</v>
      </c>
      <c r="E13" s="344"/>
      <c r="F13" s="553">
        <v>14125.76</v>
      </c>
      <c r="G13" s="553">
        <v>14125.76</v>
      </c>
    </row>
    <row r="14" spans="1:7" ht="24.95" customHeight="1" x14ac:dyDescent="0.25">
      <c r="A14" s="551" t="s">
        <v>31589</v>
      </c>
      <c r="B14" s="342" t="s">
        <v>31590</v>
      </c>
      <c r="C14" s="552" t="s">
        <v>226</v>
      </c>
      <c r="D14" s="553">
        <v>19368.080000000002</v>
      </c>
      <c r="E14" s="344"/>
      <c r="F14" s="553">
        <v>19368.080000000002</v>
      </c>
      <c r="G14" s="553">
        <v>19368.080000000002</v>
      </c>
    </row>
    <row r="15" spans="1:7" ht="24.95" customHeight="1" x14ac:dyDescent="0.25">
      <c r="A15" s="551" t="s">
        <v>31591</v>
      </c>
      <c r="B15" s="342" t="s">
        <v>31592</v>
      </c>
      <c r="C15" s="552" t="s">
        <v>226</v>
      </c>
      <c r="D15" s="553">
        <v>22570.5</v>
      </c>
      <c r="E15" s="344"/>
      <c r="F15" s="553">
        <v>22570.5</v>
      </c>
      <c r="G15" s="553">
        <v>22570.5</v>
      </c>
    </row>
    <row r="16" spans="1:7" ht="12.6" customHeight="1" x14ac:dyDescent="0.2">
      <c r="A16" s="548" t="s">
        <v>31593</v>
      </c>
      <c r="B16" s="548" t="s">
        <v>31594</v>
      </c>
      <c r="C16" s="550"/>
      <c r="D16" s="550"/>
      <c r="E16" s="550"/>
      <c r="F16" s="550"/>
      <c r="G16" s="550"/>
    </row>
    <row r="17" spans="1:7" ht="34.5" customHeight="1" x14ac:dyDescent="0.25">
      <c r="A17" s="554" t="s">
        <v>31595</v>
      </c>
      <c r="B17" s="551" t="s">
        <v>31596</v>
      </c>
      <c r="C17" s="555" t="s">
        <v>226</v>
      </c>
      <c r="D17" s="556">
        <v>7942.64</v>
      </c>
      <c r="E17" s="342"/>
      <c r="F17" s="556">
        <v>7942.64</v>
      </c>
      <c r="G17" s="556">
        <v>7942.64</v>
      </c>
    </row>
    <row r="18" spans="1:7" ht="34.5" customHeight="1" x14ac:dyDescent="0.25">
      <c r="A18" s="554" t="s">
        <v>31597</v>
      </c>
      <c r="B18" s="342" t="s">
        <v>31598</v>
      </c>
      <c r="C18" s="555" t="s">
        <v>226</v>
      </c>
      <c r="D18" s="556">
        <v>13453.18</v>
      </c>
      <c r="E18" s="342"/>
      <c r="F18" s="556">
        <v>13453.18</v>
      </c>
      <c r="G18" s="556">
        <v>13453.18</v>
      </c>
    </row>
    <row r="19" spans="1:7" ht="34.5" customHeight="1" x14ac:dyDescent="0.25">
      <c r="A19" s="554" t="s">
        <v>31599</v>
      </c>
      <c r="B19" s="342" t="s">
        <v>31600</v>
      </c>
      <c r="C19" s="555" t="s">
        <v>226</v>
      </c>
      <c r="D19" s="556">
        <v>18204.759999999998</v>
      </c>
      <c r="E19" s="342"/>
      <c r="F19" s="556">
        <v>18204.759999999998</v>
      </c>
      <c r="G19" s="556">
        <v>18204.759999999998</v>
      </c>
    </row>
    <row r="20" spans="1:7" ht="34.5" customHeight="1" x14ac:dyDescent="0.25">
      <c r="A20" s="554" t="s">
        <v>31601</v>
      </c>
      <c r="B20" s="342" t="s">
        <v>31602</v>
      </c>
      <c r="C20" s="555" t="s">
        <v>226</v>
      </c>
      <c r="D20" s="556">
        <v>24214.5</v>
      </c>
      <c r="E20" s="342"/>
      <c r="F20" s="556">
        <v>24214.5</v>
      </c>
      <c r="G20" s="556">
        <v>24214.5</v>
      </c>
    </row>
    <row r="21" spans="1:7" ht="12.6" customHeight="1" x14ac:dyDescent="0.2">
      <c r="A21" s="548" t="s">
        <v>31603</v>
      </c>
      <c r="B21" s="548" t="s">
        <v>31604</v>
      </c>
      <c r="C21" s="550"/>
      <c r="D21" s="550"/>
      <c r="E21" s="550"/>
      <c r="F21" s="550"/>
      <c r="G21" s="550"/>
    </row>
    <row r="22" spans="1:7" ht="12.6" customHeight="1" x14ac:dyDescent="0.2">
      <c r="A22" s="551" t="s">
        <v>31605</v>
      </c>
      <c r="B22" s="551" t="s">
        <v>31606</v>
      </c>
      <c r="C22" s="552" t="s">
        <v>226</v>
      </c>
      <c r="D22" s="553">
        <v>3128.84</v>
      </c>
      <c r="E22" s="343"/>
      <c r="F22" s="553">
        <v>3128.84</v>
      </c>
      <c r="G22" s="553">
        <v>3128.84</v>
      </c>
    </row>
    <row r="23" spans="1:7" ht="12.6" customHeight="1" x14ac:dyDescent="0.2">
      <c r="A23" s="551" t="s">
        <v>31607</v>
      </c>
      <c r="B23" s="551" t="s">
        <v>31608</v>
      </c>
      <c r="C23" s="552" t="s">
        <v>226</v>
      </c>
      <c r="D23" s="553">
        <v>4229.84</v>
      </c>
      <c r="E23" s="343"/>
      <c r="F23" s="553">
        <v>4229.84</v>
      </c>
      <c r="G23" s="553">
        <v>4229.84</v>
      </c>
    </row>
    <row r="24" spans="1:7" ht="12.6" customHeight="1" x14ac:dyDescent="0.2">
      <c r="A24" s="551" t="s">
        <v>31609</v>
      </c>
      <c r="B24" s="551" t="s">
        <v>31610</v>
      </c>
      <c r="C24" s="552" t="s">
        <v>226</v>
      </c>
      <c r="D24" s="553">
        <v>2294.69</v>
      </c>
      <c r="E24" s="343"/>
      <c r="F24" s="553">
        <v>2294.69</v>
      </c>
      <c r="G24" s="553">
        <v>2294.69</v>
      </c>
    </row>
    <row r="25" spans="1:7" ht="12.6" customHeight="1" x14ac:dyDescent="0.2">
      <c r="A25" s="551" t="s">
        <v>31611</v>
      </c>
      <c r="B25" s="551" t="s">
        <v>31612</v>
      </c>
      <c r="C25" s="552" t="s">
        <v>226</v>
      </c>
      <c r="D25" s="553">
        <v>3139.53</v>
      </c>
      <c r="E25" s="343"/>
      <c r="F25" s="553">
        <v>3139.53</v>
      </c>
      <c r="G25" s="553">
        <v>3139.53</v>
      </c>
    </row>
    <row r="26" spans="1:7" ht="12.6" customHeight="1" x14ac:dyDescent="0.2">
      <c r="A26" s="551" t="s">
        <v>31613</v>
      </c>
      <c r="B26" s="551" t="s">
        <v>31614</v>
      </c>
      <c r="C26" s="552" t="s">
        <v>226</v>
      </c>
      <c r="D26" s="557">
        <v>985.1</v>
      </c>
      <c r="E26" s="343"/>
      <c r="F26" s="557">
        <v>985.1</v>
      </c>
      <c r="G26" s="557">
        <v>985.1</v>
      </c>
    </row>
    <row r="27" spans="1:7" ht="12.6" customHeight="1" x14ac:dyDescent="0.2">
      <c r="A27" s="551" t="s">
        <v>31615</v>
      </c>
      <c r="B27" s="551" t="s">
        <v>31616</v>
      </c>
      <c r="C27" s="552" t="s">
        <v>226</v>
      </c>
      <c r="D27" s="553">
        <v>1311.29</v>
      </c>
      <c r="E27" s="343"/>
      <c r="F27" s="553">
        <v>1311.29</v>
      </c>
      <c r="G27" s="553">
        <v>1311.29</v>
      </c>
    </row>
    <row r="28" spans="1:7" ht="12.6" customHeight="1" x14ac:dyDescent="0.2">
      <c r="A28" s="551" t="s">
        <v>31617</v>
      </c>
      <c r="B28" s="551" t="s">
        <v>31618</v>
      </c>
      <c r="C28" s="552" t="s">
        <v>226</v>
      </c>
      <c r="D28" s="557">
        <v>1093.8900000000001</v>
      </c>
      <c r="E28" s="343"/>
      <c r="F28" s="557">
        <v>1093.8900000000001</v>
      </c>
      <c r="G28" s="557">
        <v>1093.8900000000001</v>
      </c>
    </row>
    <row r="29" spans="1:7" ht="12.6" customHeight="1" x14ac:dyDescent="0.2">
      <c r="A29" s="551" t="s">
        <v>31619</v>
      </c>
      <c r="B29" s="551" t="s">
        <v>31620</v>
      </c>
      <c r="C29" s="552" t="s">
        <v>226</v>
      </c>
      <c r="D29" s="553">
        <v>1516.73</v>
      </c>
      <c r="E29" s="343"/>
      <c r="F29" s="553">
        <v>1516.73</v>
      </c>
      <c r="G29" s="553">
        <v>1516.73</v>
      </c>
    </row>
    <row r="30" spans="1:7" ht="12.6" customHeight="1" x14ac:dyDescent="0.2">
      <c r="A30" s="551" t="s">
        <v>31621</v>
      </c>
      <c r="B30" s="551" t="s">
        <v>31622</v>
      </c>
      <c r="C30" s="552" t="s">
        <v>226</v>
      </c>
      <c r="D30" s="553">
        <v>2105.56</v>
      </c>
      <c r="E30" s="343"/>
      <c r="F30" s="553">
        <v>2105.56</v>
      </c>
      <c r="G30" s="553">
        <v>2105.56</v>
      </c>
    </row>
    <row r="31" spans="1:7" ht="12.6" customHeight="1" x14ac:dyDescent="0.2">
      <c r="A31" s="551" t="s">
        <v>31623</v>
      </c>
      <c r="B31" s="551" t="s">
        <v>31624</v>
      </c>
      <c r="C31" s="552" t="s">
        <v>226</v>
      </c>
      <c r="D31" s="553">
        <v>2870.11</v>
      </c>
      <c r="E31" s="343"/>
      <c r="F31" s="553">
        <v>2870.11</v>
      </c>
      <c r="G31" s="553">
        <v>2870.11</v>
      </c>
    </row>
    <row r="32" spans="1:7" ht="12.6" customHeight="1" x14ac:dyDescent="0.2">
      <c r="A32" s="551" t="s">
        <v>31625</v>
      </c>
      <c r="B32" s="551" t="s">
        <v>31626</v>
      </c>
      <c r="C32" s="552" t="s">
        <v>226</v>
      </c>
      <c r="D32" s="553">
        <v>1817.73</v>
      </c>
      <c r="E32" s="343"/>
      <c r="F32" s="553">
        <v>1817.73</v>
      </c>
      <c r="G32" s="553">
        <v>1817.73</v>
      </c>
    </row>
    <row r="33" spans="1:7" ht="12.6" customHeight="1" x14ac:dyDescent="0.2">
      <c r="A33" s="551" t="s">
        <v>31627</v>
      </c>
      <c r="B33" s="551" t="s">
        <v>31628</v>
      </c>
      <c r="C33" s="552" t="s">
        <v>226</v>
      </c>
      <c r="D33" s="553">
        <v>2349.48</v>
      </c>
      <c r="E33" s="343"/>
      <c r="F33" s="553">
        <v>2349.48</v>
      </c>
      <c r="G33" s="553">
        <v>2349.48</v>
      </c>
    </row>
    <row r="34" spans="1:7" ht="12.6" customHeight="1" x14ac:dyDescent="0.2">
      <c r="A34" s="548" t="s">
        <v>31629</v>
      </c>
      <c r="B34" s="548" t="s">
        <v>31630</v>
      </c>
      <c r="C34" s="550"/>
      <c r="D34" s="550"/>
      <c r="E34" s="550"/>
      <c r="F34" s="550"/>
      <c r="G34" s="550"/>
    </row>
    <row r="35" spans="1:7" ht="24.95" customHeight="1" x14ac:dyDescent="0.25">
      <c r="A35" s="551" t="s">
        <v>31631</v>
      </c>
      <c r="B35" s="342" t="s">
        <v>31632</v>
      </c>
      <c r="C35" s="552" t="s">
        <v>31633</v>
      </c>
      <c r="D35" s="553">
        <v>1286.17</v>
      </c>
      <c r="E35" s="553">
        <v>1286.17</v>
      </c>
      <c r="F35" s="344"/>
      <c r="G35" s="553">
        <v>1286.17</v>
      </c>
    </row>
    <row r="36" spans="1:7" ht="23.1" customHeight="1" x14ac:dyDescent="0.25">
      <c r="A36" s="551" t="s">
        <v>31634</v>
      </c>
      <c r="B36" s="551" t="s">
        <v>2705</v>
      </c>
      <c r="C36" s="552" t="s">
        <v>227</v>
      </c>
      <c r="D36" s="557">
        <v>0.19</v>
      </c>
      <c r="E36" s="557">
        <v>0.04</v>
      </c>
      <c r="F36" s="557">
        <v>0.15</v>
      </c>
      <c r="G36" s="557">
        <v>0.19</v>
      </c>
    </row>
    <row r="37" spans="1:7" ht="34.5" customHeight="1" x14ac:dyDescent="0.25">
      <c r="A37" s="554" t="s">
        <v>31635</v>
      </c>
      <c r="B37" s="342" t="s">
        <v>31636</v>
      </c>
      <c r="C37" s="555" t="s">
        <v>227</v>
      </c>
      <c r="D37" s="558">
        <v>0.89</v>
      </c>
      <c r="E37" s="558">
        <v>0.38</v>
      </c>
      <c r="F37" s="558">
        <v>0.51</v>
      </c>
      <c r="G37" s="558">
        <v>0.89</v>
      </c>
    </row>
    <row r="38" spans="1:7" ht="34.5" customHeight="1" x14ac:dyDescent="0.25">
      <c r="A38" s="554" t="s">
        <v>31637</v>
      </c>
      <c r="B38" s="342" t="s">
        <v>31638</v>
      </c>
      <c r="C38" s="555" t="s">
        <v>227</v>
      </c>
      <c r="D38" s="558">
        <v>0.7</v>
      </c>
      <c r="E38" s="558">
        <v>0.3</v>
      </c>
      <c r="F38" s="558">
        <v>0.4</v>
      </c>
      <c r="G38" s="558">
        <v>0.7</v>
      </c>
    </row>
    <row r="39" spans="1:7" ht="24.95" customHeight="1" x14ac:dyDescent="0.25">
      <c r="A39" s="551" t="s">
        <v>31639</v>
      </c>
      <c r="B39" s="342" t="s">
        <v>31640</v>
      </c>
      <c r="C39" s="552" t="s">
        <v>227</v>
      </c>
      <c r="D39" s="557">
        <v>0.56999999999999995</v>
      </c>
      <c r="E39" s="557">
        <v>0.25</v>
      </c>
      <c r="F39" s="557">
        <v>0.32</v>
      </c>
      <c r="G39" s="557">
        <v>0.56999999999999995</v>
      </c>
    </row>
    <row r="40" spans="1:7" ht="24.95" customHeight="1" x14ac:dyDescent="0.25">
      <c r="A40" s="551" t="s">
        <v>31641</v>
      </c>
      <c r="B40" s="342" t="s">
        <v>31642</v>
      </c>
      <c r="C40" s="552" t="s">
        <v>227</v>
      </c>
      <c r="D40" s="557">
        <v>0.78</v>
      </c>
      <c r="E40" s="557">
        <v>0.34</v>
      </c>
      <c r="F40" s="557">
        <v>0.44</v>
      </c>
      <c r="G40" s="557">
        <v>0.78</v>
      </c>
    </row>
    <row r="41" spans="1:7" ht="24.95" customHeight="1" x14ac:dyDescent="0.25">
      <c r="A41" s="551" t="s">
        <v>31643</v>
      </c>
      <c r="B41" s="342" t="s">
        <v>31644</v>
      </c>
      <c r="C41" s="552" t="s">
        <v>227</v>
      </c>
      <c r="D41" s="557">
        <v>0.65</v>
      </c>
      <c r="E41" s="557">
        <v>0.16</v>
      </c>
      <c r="F41" s="557">
        <v>0.49</v>
      </c>
      <c r="G41" s="557">
        <v>0.65</v>
      </c>
    </row>
    <row r="42" spans="1:7" ht="24.95" customHeight="1" x14ac:dyDescent="0.25">
      <c r="A42" s="551" t="s">
        <v>31645</v>
      </c>
      <c r="B42" s="342" t="s">
        <v>31646</v>
      </c>
      <c r="C42" s="552" t="s">
        <v>227</v>
      </c>
      <c r="D42" s="557">
        <v>0.49</v>
      </c>
      <c r="E42" s="557">
        <v>0.21</v>
      </c>
      <c r="F42" s="557">
        <v>0.28000000000000003</v>
      </c>
      <c r="G42" s="557">
        <v>0.49</v>
      </c>
    </row>
    <row r="43" spans="1:7" ht="11.45" customHeight="1" x14ac:dyDescent="0.25">
      <c r="A43" s="543" t="s">
        <v>31647</v>
      </c>
      <c r="B43" s="544" t="s">
        <v>31648</v>
      </c>
      <c r="C43" s="544" t="s">
        <v>227</v>
      </c>
      <c r="D43" s="543">
        <v>0.69</v>
      </c>
      <c r="E43" s="545">
        <v>0.28999999999999998</v>
      </c>
      <c r="F43" s="546">
        <v>0.4</v>
      </c>
      <c r="G43" s="543">
        <v>0.69</v>
      </c>
    </row>
    <row r="44" spans="1:7" ht="24.95" customHeight="1" x14ac:dyDescent="0.25">
      <c r="A44" s="551" t="s">
        <v>31649</v>
      </c>
      <c r="B44" s="342" t="s">
        <v>31650</v>
      </c>
      <c r="C44" s="552" t="s">
        <v>227</v>
      </c>
      <c r="D44" s="557">
        <v>0.6</v>
      </c>
      <c r="E44" s="557">
        <v>0.26</v>
      </c>
      <c r="F44" s="557">
        <v>0.34</v>
      </c>
      <c r="G44" s="557">
        <v>0.6</v>
      </c>
    </row>
    <row r="45" spans="1:7" ht="24.95" customHeight="1" x14ac:dyDescent="0.25">
      <c r="A45" s="551" t="s">
        <v>31651</v>
      </c>
      <c r="B45" s="342" t="s">
        <v>31652</v>
      </c>
      <c r="C45" s="552" t="s">
        <v>227</v>
      </c>
      <c r="D45" s="557">
        <v>0.57999999999999996</v>
      </c>
      <c r="E45" s="557">
        <v>0.25</v>
      </c>
      <c r="F45" s="557">
        <v>0.33</v>
      </c>
      <c r="G45" s="557">
        <v>0.57999999999999996</v>
      </c>
    </row>
    <row r="46" spans="1:7" ht="24.95" customHeight="1" x14ac:dyDescent="0.25">
      <c r="A46" s="551" t="s">
        <v>31653</v>
      </c>
      <c r="B46" s="342" t="s">
        <v>31654</v>
      </c>
      <c r="C46" s="552" t="s">
        <v>227</v>
      </c>
      <c r="D46" s="557">
        <v>0.95</v>
      </c>
      <c r="E46" s="557">
        <v>0.41</v>
      </c>
      <c r="F46" s="557">
        <v>0.54</v>
      </c>
      <c r="G46" s="557">
        <v>0.95</v>
      </c>
    </row>
    <row r="47" spans="1:7" ht="34.5" customHeight="1" x14ac:dyDescent="0.25">
      <c r="A47" s="554" t="s">
        <v>31655</v>
      </c>
      <c r="B47" s="342" t="s">
        <v>31656</v>
      </c>
      <c r="C47" s="555" t="s">
        <v>227</v>
      </c>
      <c r="D47" s="558">
        <v>0.76</v>
      </c>
      <c r="E47" s="558">
        <v>0.33</v>
      </c>
      <c r="F47" s="558">
        <v>0.43</v>
      </c>
      <c r="G47" s="558">
        <v>0.76</v>
      </c>
    </row>
    <row r="48" spans="1:7" ht="34.5" customHeight="1" x14ac:dyDescent="0.25">
      <c r="A48" s="554" t="s">
        <v>31657</v>
      </c>
      <c r="B48" s="342" t="s">
        <v>31658</v>
      </c>
      <c r="C48" s="555" t="s">
        <v>227</v>
      </c>
      <c r="D48" s="558">
        <v>0.6</v>
      </c>
      <c r="E48" s="558">
        <v>0.26</v>
      </c>
      <c r="F48" s="558">
        <v>0.34</v>
      </c>
      <c r="G48" s="558">
        <v>0.6</v>
      </c>
    </row>
    <row r="49" spans="1:7" ht="24.95" customHeight="1" x14ac:dyDescent="0.25">
      <c r="A49" s="551" t="s">
        <v>31659</v>
      </c>
      <c r="B49" s="342" t="s">
        <v>31660</v>
      </c>
      <c r="C49" s="552" t="s">
        <v>227</v>
      </c>
      <c r="D49" s="557">
        <v>0.8</v>
      </c>
      <c r="E49" s="557">
        <v>0.34</v>
      </c>
      <c r="F49" s="557">
        <v>0.46</v>
      </c>
      <c r="G49" s="557">
        <v>0.8</v>
      </c>
    </row>
    <row r="50" spans="1:7" ht="24.95" customHeight="1" x14ac:dyDescent="0.25">
      <c r="A50" s="551" t="s">
        <v>31661</v>
      </c>
      <c r="B50" s="342" t="s">
        <v>31662</v>
      </c>
      <c r="C50" s="552" t="s">
        <v>227</v>
      </c>
      <c r="D50" s="557">
        <v>0.65</v>
      </c>
      <c r="E50" s="557">
        <v>0.28000000000000003</v>
      </c>
      <c r="F50" s="557">
        <v>0.37</v>
      </c>
      <c r="G50" s="557">
        <v>0.65</v>
      </c>
    </row>
    <row r="51" spans="1:7" ht="24.95" customHeight="1" x14ac:dyDescent="0.25">
      <c r="A51" s="551" t="s">
        <v>31663</v>
      </c>
      <c r="B51" s="342" t="s">
        <v>31664</v>
      </c>
      <c r="C51" s="552" t="s">
        <v>227</v>
      </c>
      <c r="D51" s="557">
        <v>0.56000000000000005</v>
      </c>
      <c r="E51" s="557">
        <v>0.24</v>
      </c>
      <c r="F51" s="557">
        <v>0.32</v>
      </c>
      <c r="G51" s="557">
        <v>0.56000000000000005</v>
      </c>
    </row>
    <row r="52" spans="1:7" ht="24.95" customHeight="1" x14ac:dyDescent="0.25">
      <c r="A52" s="551" t="s">
        <v>31665</v>
      </c>
      <c r="B52" s="342" t="s">
        <v>31666</v>
      </c>
      <c r="C52" s="552" t="s">
        <v>227</v>
      </c>
      <c r="D52" s="557">
        <v>0.92</v>
      </c>
      <c r="E52" s="557">
        <v>0.39</v>
      </c>
      <c r="F52" s="557">
        <v>0.53</v>
      </c>
      <c r="G52" s="557">
        <v>0.92</v>
      </c>
    </row>
    <row r="53" spans="1:7" ht="24.95" customHeight="1" x14ac:dyDescent="0.25">
      <c r="A53" s="551" t="s">
        <v>31667</v>
      </c>
      <c r="B53" s="342" t="s">
        <v>31668</v>
      </c>
      <c r="C53" s="552" t="s">
        <v>227</v>
      </c>
      <c r="D53" s="557">
        <v>0.61</v>
      </c>
      <c r="E53" s="557">
        <v>0.26</v>
      </c>
      <c r="F53" s="557">
        <v>0.35</v>
      </c>
      <c r="G53" s="557">
        <v>0.61</v>
      </c>
    </row>
    <row r="54" spans="1:7" ht="24.95" customHeight="1" x14ac:dyDescent="0.25">
      <c r="A54" s="551" t="s">
        <v>31669</v>
      </c>
      <c r="B54" s="342" t="s">
        <v>31670</v>
      </c>
      <c r="C54" s="552" t="s">
        <v>227</v>
      </c>
      <c r="D54" s="557">
        <v>0.54</v>
      </c>
      <c r="E54" s="557">
        <v>0.16</v>
      </c>
      <c r="F54" s="557">
        <v>0.38</v>
      </c>
      <c r="G54" s="557">
        <v>0.54</v>
      </c>
    </row>
    <row r="55" spans="1:7" ht="24.95" customHeight="1" x14ac:dyDescent="0.25">
      <c r="A55" s="551" t="s">
        <v>31671</v>
      </c>
      <c r="B55" s="342" t="s">
        <v>31672</v>
      </c>
      <c r="C55" s="552" t="s">
        <v>227</v>
      </c>
      <c r="D55" s="557">
        <v>0.38</v>
      </c>
      <c r="E55" s="557">
        <v>0.17</v>
      </c>
      <c r="F55" s="557">
        <v>0.21</v>
      </c>
      <c r="G55" s="557">
        <v>0.38</v>
      </c>
    </row>
    <row r="56" spans="1:7" ht="24.95" customHeight="1" x14ac:dyDescent="0.25">
      <c r="A56" s="551" t="s">
        <v>31673</v>
      </c>
      <c r="B56" s="342" t="s">
        <v>31674</v>
      </c>
      <c r="C56" s="552" t="s">
        <v>227</v>
      </c>
      <c r="D56" s="557">
        <v>0.28000000000000003</v>
      </c>
      <c r="E56" s="557">
        <v>0.12</v>
      </c>
      <c r="F56" s="557">
        <v>0.16</v>
      </c>
      <c r="G56" s="557">
        <v>0.28000000000000003</v>
      </c>
    </row>
    <row r="57" spans="1:7" ht="24.95" customHeight="1" x14ac:dyDescent="0.25">
      <c r="A57" s="551" t="s">
        <v>31675</v>
      </c>
      <c r="B57" s="342" t="s">
        <v>31676</v>
      </c>
      <c r="C57" s="552" t="s">
        <v>227</v>
      </c>
      <c r="D57" s="557">
        <v>0.22</v>
      </c>
      <c r="E57" s="557">
        <v>0.09</v>
      </c>
      <c r="F57" s="557">
        <v>0.13</v>
      </c>
      <c r="G57" s="557">
        <v>0.22</v>
      </c>
    </row>
    <row r="58" spans="1:7" ht="24.95" customHeight="1" x14ac:dyDescent="0.25">
      <c r="A58" s="551" t="s">
        <v>31677</v>
      </c>
      <c r="B58" s="342" t="s">
        <v>31678</v>
      </c>
      <c r="C58" s="552" t="s">
        <v>227</v>
      </c>
      <c r="D58" s="557">
        <v>0.19</v>
      </c>
      <c r="E58" s="557">
        <v>0.08</v>
      </c>
      <c r="F58" s="557">
        <v>0.11</v>
      </c>
      <c r="G58" s="557">
        <v>0.19</v>
      </c>
    </row>
    <row r="59" spans="1:7" ht="23.1" customHeight="1" x14ac:dyDescent="0.25">
      <c r="A59" s="551" t="s">
        <v>31679</v>
      </c>
      <c r="B59" s="551" t="s">
        <v>31680</v>
      </c>
      <c r="C59" s="552" t="s">
        <v>31681</v>
      </c>
      <c r="D59" s="557">
        <v>1255.75</v>
      </c>
      <c r="E59" s="557">
        <v>607.74</v>
      </c>
      <c r="F59" s="557">
        <v>648.01</v>
      </c>
      <c r="G59" s="557">
        <v>1255.75</v>
      </c>
    </row>
    <row r="60" spans="1:7" ht="12.6" customHeight="1" x14ac:dyDescent="0.25">
      <c r="A60" s="551" t="s">
        <v>31682</v>
      </c>
      <c r="B60" s="551" t="s">
        <v>31683</v>
      </c>
      <c r="C60" s="552" t="s">
        <v>226</v>
      </c>
      <c r="D60" s="553">
        <v>1162.5999999999999</v>
      </c>
      <c r="E60" s="557">
        <v>719.68</v>
      </c>
      <c r="F60" s="557">
        <v>442.92</v>
      </c>
      <c r="G60" s="553">
        <v>1162.5999999999999</v>
      </c>
    </row>
    <row r="61" spans="1:7" ht="24.95" customHeight="1" x14ac:dyDescent="0.25">
      <c r="A61" s="551" t="s">
        <v>31684</v>
      </c>
      <c r="B61" s="342" t="s">
        <v>31685</v>
      </c>
      <c r="C61" s="552"/>
      <c r="D61" s="553"/>
      <c r="E61" s="557"/>
      <c r="F61" s="557"/>
      <c r="G61" s="553"/>
    </row>
    <row r="62" spans="1:7" ht="12.6" customHeight="1" x14ac:dyDescent="0.2">
      <c r="A62" s="548" t="s">
        <v>31686</v>
      </c>
      <c r="B62" s="548" t="s">
        <v>31687</v>
      </c>
      <c r="C62" s="550" t="s">
        <v>31633</v>
      </c>
      <c r="D62" s="550">
        <v>1234.48</v>
      </c>
      <c r="E62" s="550">
        <v>1234.48</v>
      </c>
      <c r="F62" s="550"/>
      <c r="G62" s="550">
        <v>1234.48</v>
      </c>
    </row>
    <row r="63" spans="1:7" ht="24.95" customHeight="1" x14ac:dyDescent="0.25">
      <c r="A63" s="551" t="s">
        <v>31688</v>
      </c>
      <c r="B63" s="342" t="s">
        <v>31689</v>
      </c>
      <c r="C63" s="552" t="s">
        <v>31633</v>
      </c>
      <c r="D63" s="553">
        <v>6685.52</v>
      </c>
      <c r="E63" s="553">
        <v>6685.52</v>
      </c>
      <c r="F63" s="344"/>
      <c r="G63" s="553">
        <v>6685.52</v>
      </c>
    </row>
    <row r="64" spans="1:7" ht="24.95" customHeight="1" x14ac:dyDescent="0.25">
      <c r="A64" s="551" t="s">
        <v>31690</v>
      </c>
      <c r="B64" s="342" t="s">
        <v>31691</v>
      </c>
      <c r="C64" s="552" t="s">
        <v>158</v>
      </c>
      <c r="D64" s="553">
        <v>89.58</v>
      </c>
      <c r="E64" s="553">
        <v>89.58</v>
      </c>
      <c r="F64" s="344"/>
      <c r="G64" s="553">
        <v>89.58</v>
      </c>
    </row>
    <row r="65" spans="1:7" ht="12.6" customHeight="1" x14ac:dyDescent="0.2">
      <c r="A65" s="551" t="s">
        <v>31692</v>
      </c>
      <c r="B65" s="551" t="s">
        <v>31693</v>
      </c>
      <c r="C65" s="552" t="s">
        <v>158</v>
      </c>
      <c r="D65" s="557">
        <v>97.2</v>
      </c>
      <c r="E65" s="557">
        <v>97.2</v>
      </c>
      <c r="F65" s="343"/>
      <c r="G65" s="557">
        <v>97.2</v>
      </c>
    </row>
    <row r="66" spans="1:7" ht="12.6" customHeight="1" x14ac:dyDescent="0.2">
      <c r="A66" s="551" t="s">
        <v>31694</v>
      </c>
      <c r="B66" s="551" t="s">
        <v>31695</v>
      </c>
      <c r="C66" s="552" t="s">
        <v>158</v>
      </c>
      <c r="D66" s="557">
        <v>367.43</v>
      </c>
      <c r="E66" s="557">
        <v>367.43</v>
      </c>
      <c r="F66" s="343"/>
      <c r="G66" s="557">
        <v>367.43</v>
      </c>
    </row>
    <row r="67" spans="1:7" ht="12.6" customHeight="1" x14ac:dyDescent="0.2">
      <c r="A67" s="551" t="s">
        <v>31696</v>
      </c>
      <c r="B67" s="551" t="s">
        <v>31697</v>
      </c>
      <c r="C67" s="552" t="s">
        <v>158</v>
      </c>
      <c r="D67" s="557">
        <v>631.29</v>
      </c>
      <c r="E67" s="557">
        <v>631.29</v>
      </c>
      <c r="F67" s="343"/>
      <c r="G67" s="557">
        <v>631.29</v>
      </c>
    </row>
    <row r="68" spans="1:7" ht="12.6" customHeight="1" x14ac:dyDescent="0.2">
      <c r="A68" s="551" t="s">
        <v>31698</v>
      </c>
      <c r="B68" s="551" t="s">
        <v>31699</v>
      </c>
      <c r="C68" s="552" t="s">
        <v>158</v>
      </c>
      <c r="D68" s="557">
        <v>94.2</v>
      </c>
      <c r="E68" s="557">
        <v>94.2</v>
      </c>
      <c r="F68" s="343"/>
      <c r="G68" s="557">
        <v>94.2</v>
      </c>
    </row>
    <row r="69" spans="1:7" ht="24.95" customHeight="1" x14ac:dyDescent="0.25">
      <c r="A69" s="551" t="s">
        <v>31700</v>
      </c>
      <c r="B69" s="342" t="s">
        <v>31701</v>
      </c>
      <c r="C69" s="552"/>
      <c r="D69" s="557"/>
      <c r="E69" s="557"/>
      <c r="F69" s="344"/>
      <c r="G69" s="557"/>
    </row>
    <row r="70" spans="1:7" ht="12.6" customHeight="1" x14ac:dyDescent="0.2">
      <c r="A70" s="548" t="s">
        <v>31702</v>
      </c>
      <c r="B70" s="548" t="s">
        <v>31703</v>
      </c>
      <c r="C70" s="550" t="s">
        <v>31633</v>
      </c>
      <c r="D70" s="550">
        <v>329.54</v>
      </c>
      <c r="E70" s="550">
        <v>329.54</v>
      </c>
      <c r="F70" s="550"/>
      <c r="G70" s="550">
        <v>329.54</v>
      </c>
    </row>
    <row r="71" spans="1:7" ht="24.95" customHeight="1" x14ac:dyDescent="0.25">
      <c r="A71" s="551" t="s">
        <v>31704</v>
      </c>
      <c r="B71" s="342" t="s">
        <v>31705</v>
      </c>
      <c r="C71" s="552" t="s">
        <v>227</v>
      </c>
      <c r="D71" s="557">
        <v>8.6</v>
      </c>
      <c r="E71" s="557">
        <v>2.76</v>
      </c>
      <c r="F71" s="344">
        <v>5.84</v>
      </c>
      <c r="G71" s="557">
        <v>8.6</v>
      </c>
    </row>
    <row r="72" spans="1:7" ht="12.6" customHeight="1" x14ac:dyDescent="0.25">
      <c r="A72" s="551" t="s">
        <v>31706</v>
      </c>
      <c r="B72" s="551" t="s">
        <v>31707</v>
      </c>
      <c r="C72" s="552" t="s">
        <v>227</v>
      </c>
      <c r="D72" s="557">
        <v>170.64</v>
      </c>
      <c r="E72" s="557">
        <v>127.48</v>
      </c>
      <c r="F72" s="557">
        <v>43.16</v>
      </c>
      <c r="G72" s="557">
        <v>170.64</v>
      </c>
    </row>
    <row r="73" spans="1:7" ht="12.6" customHeight="1" x14ac:dyDescent="0.25">
      <c r="A73" s="551" t="s">
        <v>31708</v>
      </c>
      <c r="B73" s="551" t="s">
        <v>31709</v>
      </c>
      <c r="C73" s="552" t="s">
        <v>227</v>
      </c>
      <c r="D73" s="557">
        <v>66.23</v>
      </c>
      <c r="E73" s="557">
        <v>25.07</v>
      </c>
      <c r="F73" s="557">
        <v>41.16</v>
      </c>
      <c r="G73" s="557">
        <v>66.23</v>
      </c>
    </row>
    <row r="74" spans="1:7" ht="12.6" customHeight="1" x14ac:dyDescent="0.25">
      <c r="A74" s="551" t="s">
        <v>31710</v>
      </c>
      <c r="B74" s="551" t="s">
        <v>31711</v>
      </c>
      <c r="C74" s="552" t="s">
        <v>227</v>
      </c>
      <c r="D74" s="557">
        <v>29.21</v>
      </c>
      <c r="E74" s="557"/>
      <c r="F74" s="557">
        <v>29.21</v>
      </c>
      <c r="G74" s="557">
        <v>29.21</v>
      </c>
    </row>
    <row r="75" spans="1:7" ht="12.6" customHeight="1" x14ac:dyDescent="0.2">
      <c r="A75" s="551" t="s">
        <v>31712</v>
      </c>
      <c r="B75" s="551" t="s">
        <v>31713</v>
      </c>
      <c r="C75" s="552" t="s">
        <v>158</v>
      </c>
      <c r="D75" s="557">
        <v>5.29</v>
      </c>
      <c r="E75" s="343">
        <v>0.97</v>
      </c>
      <c r="F75" s="557">
        <v>4.32</v>
      </c>
      <c r="G75" s="557">
        <v>5.29</v>
      </c>
    </row>
    <row r="76" spans="1:7" ht="12.6" customHeight="1" x14ac:dyDescent="0.25">
      <c r="A76" s="551" t="s">
        <v>31714</v>
      </c>
      <c r="B76" s="551" t="s">
        <v>31715</v>
      </c>
      <c r="C76" s="552" t="s">
        <v>159</v>
      </c>
      <c r="D76" s="557">
        <v>440.8</v>
      </c>
      <c r="E76" s="557"/>
      <c r="F76" s="557">
        <v>440.8</v>
      </c>
      <c r="G76" s="557">
        <v>440.8</v>
      </c>
    </row>
    <row r="77" spans="1:7" ht="11.45" customHeight="1" x14ac:dyDescent="0.25">
      <c r="A77" s="543" t="s">
        <v>31716</v>
      </c>
      <c r="B77" s="544" t="s">
        <v>31717</v>
      </c>
      <c r="C77" s="544" t="s">
        <v>158</v>
      </c>
      <c r="D77" s="543">
        <v>199.82</v>
      </c>
      <c r="E77" s="545">
        <v>199.82</v>
      </c>
      <c r="F77" s="546"/>
      <c r="G77" s="543">
        <v>199.82</v>
      </c>
    </row>
    <row r="78" spans="1:7" ht="24.95" customHeight="1" x14ac:dyDescent="0.25">
      <c r="A78" s="551" t="s">
        <v>31718</v>
      </c>
      <c r="B78" s="342" t="s">
        <v>31719</v>
      </c>
      <c r="C78" s="552" t="s">
        <v>158</v>
      </c>
      <c r="D78" s="557">
        <v>237.7</v>
      </c>
      <c r="E78" s="344">
        <v>237.7</v>
      </c>
      <c r="F78" s="557"/>
      <c r="G78" s="557">
        <v>237.7</v>
      </c>
    </row>
    <row r="79" spans="1:7" ht="12.6" customHeight="1" x14ac:dyDescent="0.2">
      <c r="A79" s="551" t="s">
        <v>31720</v>
      </c>
      <c r="B79" s="551" t="s">
        <v>31721</v>
      </c>
      <c r="C79" s="552" t="s">
        <v>158</v>
      </c>
      <c r="D79" s="557">
        <v>308.10000000000002</v>
      </c>
      <c r="E79" s="557">
        <v>308.10000000000002</v>
      </c>
      <c r="F79" s="343"/>
      <c r="G79" s="557">
        <v>308.10000000000002</v>
      </c>
    </row>
    <row r="80" spans="1:7" ht="12.6" customHeight="1" x14ac:dyDescent="0.2">
      <c r="A80" s="551" t="s">
        <v>31722</v>
      </c>
      <c r="B80" s="551" t="s">
        <v>31723</v>
      </c>
      <c r="C80" s="552" t="s">
        <v>158</v>
      </c>
      <c r="D80" s="557">
        <v>315.17</v>
      </c>
      <c r="E80" s="557">
        <v>315.17</v>
      </c>
      <c r="F80" s="343"/>
      <c r="G80" s="557">
        <v>315.17</v>
      </c>
    </row>
    <row r="81" spans="1:7" ht="12.6" customHeight="1" x14ac:dyDescent="0.2">
      <c r="A81" s="551" t="s">
        <v>31724</v>
      </c>
      <c r="B81" s="551" t="s">
        <v>31725</v>
      </c>
      <c r="C81" s="552" t="s">
        <v>31633</v>
      </c>
      <c r="D81" s="557">
        <v>279.91000000000003</v>
      </c>
      <c r="E81" s="557">
        <v>279.91000000000003</v>
      </c>
      <c r="F81" s="343"/>
      <c r="G81" s="557">
        <v>279.91000000000003</v>
      </c>
    </row>
    <row r="82" spans="1:7" ht="12.6" customHeight="1" x14ac:dyDescent="0.2">
      <c r="A82" s="551" t="s">
        <v>31726</v>
      </c>
      <c r="B82" s="551" t="s">
        <v>31727</v>
      </c>
      <c r="C82" s="552" t="s">
        <v>226</v>
      </c>
      <c r="D82" s="557">
        <v>12.56</v>
      </c>
      <c r="E82" s="557">
        <v>12.56</v>
      </c>
      <c r="F82" s="343"/>
      <c r="G82" s="557">
        <v>12.56</v>
      </c>
    </row>
    <row r="83" spans="1:7" ht="24.95" customHeight="1" x14ac:dyDescent="0.25">
      <c r="A83" s="551" t="s">
        <v>31728</v>
      </c>
      <c r="B83" s="342" t="s">
        <v>31729</v>
      </c>
      <c r="C83" s="552" t="s">
        <v>226</v>
      </c>
      <c r="D83" s="557">
        <v>12.86</v>
      </c>
      <c r="E83" s="557">
        <v>12.86</v>
      </c>
      <c r="F83" s="344"/>
      <c r="G83" s="557">
        <v>12.86</v>
      </c>
    </row>
    <row r="84" spans="1:7" ht="24.95" customHeight="1" x14ac:dyDescent="0.25">
      <c r="A84" s="551" t="s">
        <v>31730</v>
      </c>
      <c r="B84" s="342" t="s">
        <v>31731</v>
      </c>
      <c r="C84" s="552" t="s">
        <v>226</v>
      </c>
      <c r="D84" s="557">
        <v>15.36</v>
      </c>
      <c r="E84" s="557">
        <v>15.36</v>
      </c>
      <c r="F84" s="344"/>
      <c r="G84" s="557">
        <v>15.36</v>
      </c>
    </row>
    <row r="85" spans="1:7" ht="24.95" customHeight="1" x14ac:dyDescent="0.25">
      <c r="A85" s="551" t="s">
        <v>31732</v>
      </c>
      <c r="B85" s="342" t="s">
        <v>31733</v>
      </c>
      <c r="C85" s="552" t="s">
        <v>226</v>
      </c>
      <c r="D85" s="557">
        <v>18.84</v>
      </c>
      <c r="E85" s="557">
        <v>18.84</v>
      </c>
      <c r="F85" s="344"/>
      <c r="G85" s="557">
        <v>18.84</v>
      </c>
    </row>
    <row r="86" spans="1:7" ht="24.95" customHeight="1" x14ac:dyDescent="0.25">
      <c r="A86" s="551" t="s">
        <v>31734</v>
      </c>
      <c r="B86" s="342" t="s">
        <v>31735</v>
      </c>
      <c r="C86" s="552" t="s">
        <v>226</v>
      </c>
      <c r="D86" s="557">
        <v>18.97</v>
      </c>
      <c r="E86" s="557">
        <v>18.97</v>
      </c>
      <c r="F86" s="344"/>
      <c r="G86" s="557">
        <v>18.97</v>
      </c>
    </row>
    <row r="87" spans="1:7" ht="24.95" customHeight="1" x14ac:dyDescent="0.25">
      <c r="A87" s="551" t="s">
        <v>31736</v>
      </c>
      <c r="B87" s="342" t="s">
        <v>31737</v>
      </c>
      <c r="C87" s="552" t="s">
        <v>226</v>
      </c>
      <c r="D87" s="557">
        <v>22.64</v>
      </c>
      <c r="E87" s="557">
        <v>22.64</v>
      </c>
      <c r="F87" s="344"/>
      <c r="G87" s="557">
        <v>22.64</v>
      </c>
    </row>
    <row r="88" spans="1:7" ht="24.95" customHeight="1" x14ac:dyDescent="0.25">
      <c r="A88" s="551" t="s">
        <v>31738</v>
      </c>
      <c r="B88" s="342" t="s">
        <v>31739</v>
      </c>
      <c r="C88" s="552" t="s">
        <v>226</v>
      </c>
      <c r="D88" s="557">
        <v>23.47</v>
      </c>
      <c r="E88" s="557">
        <v>23.47</v>
      </c>
      <c r="F88" s="344"/>
      <c r="G88" s="557">
        <v>23.47</v>
      </c>
    </row>
    <row r="89" spans="1:7" ht="24.95" customHeight="1" x14ac:dyDescent="0.25">
      <c r="A89" s="551" t="s">
        <v>31740</v>
      </c>
      <c r="B89" s="342" t="s">
        <v>31741</v>
      </c>
      <c r="C89" s="552" t="s">
        <v>226</v>
      </c>
      <c r="D89" s="557">
        <v>25.12</v>
      </c>
      <c r="E89" s="557">
        <v>25.12</v>
      </c>
      <c r="F89" s="344"/>
      <c r="G89" s="557">
        <v>25.12</v>
      </c>
    </row>
    <row r="90" spans="1:7" ht="24.95" customHeight="1" x14ac:dyDescent="0.25">
      <c r="A90" s="551" t="s">
        <v>31742</v>
      </c>
      <c r="B90" s="342" t="s">
        <v>31743</v>
      </c>
      <c r="C90" s="552" t="s">
        <v>226</v>
      </c>
      <c r="D90" s="557">
        <v>25.29</v>
      </c>
      <c r="E90" s="557">
        <v>25.29</v>
      </c>
      <c r="F90" s="344"/>
      <c r="G90" s="557">
        <v>25.29</v>
      </c>
    </row>
    <row r="91" spans="1:7" ht="24.95" customHeight="1" x14ac:dyDescent="0.25">
      <c r="A91" s="551" t="s">
        <v>31744</v>
      </c>
      <c r="B91" s="342" t="s">
        <v>31745</v>
      </c>
      <c r="C91" s="552" t="s">
        <v>226</v>
      </c>
      <c r="D91" s="557">
        <v>30.19</v>
      </c>
      <c r="E91" s="557">
        <v>30.19</v>
      </c>
      <c r="F91" s="344"/>
      <c r="G91" s="557">
        <v>30.19</v>
      </c>
    </row>
    <row r="92" spans="1:7" ht="24.95" customHeight="1" x14ac:dyDescent="0.25">
      <c r="A92" s="551" t="s">
        <v>31746</v>
      </c>
      <c r="B92" s="342" t="s">
        <v>31747</v>
      </c>
      <c r="C92" s="552" t="s">
        <v>226</v>
      </c>
      <c r="D92" s="557">
        <v>31.3</v>
      </c>
      <c r="E92" s="557">
        <v>31.3</v>
      </c>
      <c r="F92" s="344"/>
      <c r="G92" s="557">
        <v>31.3</v>
      </c>
    </row>
    <row r="93" spans="1:7" ht="24.95" customHeight="1" x14ac:dyDescent="0.25">
      <c r="A93" s="551" t="s">
        <v>31748</v>
      </c>
      <c r="B93" s="342" t="s">
        <v>31749</v>
      </c>
      <c r="C93" s="552" t="s">
        <v>158</v>
      </c>
      <c r="D93" s="557">
        <v>200.91</v>
      </c>
      <c r="E93" s="557">
        <v>200.91</v>
      </c>
      <c r="F93" s="344"/>
      <c r="G93" s="557">
        <v>200.91</v>
      </c>
    </row>
    <row r="94" spans="1:7" ht="24.95" customHeight="1" x14ac:dyDescent="0.25">
      <c r="A94" s="551" t="s">
        <v>31750</v>
      </c>
      <c r="B94" s="342" t="s">
        <v>31751</v>
      </c>
      <c r="C94" s="552" t="s">
        <v>158</v>
      </c>
      <c r="D94" s="557">
        <v>301.52</v>
      </c>
      <c r="E94" s="557">
        <v>301.52</v>
      </c>
      <c r="F94" s="344"/>
      <c r="G94" s="557">
        <v>301.52</v>
      </c>
    </row>
    <row r="95" spans="1:7" ht="12.6" customHeight="1" x14ac:dyDescent="0.2">
      <c r="A95" s="551" t="s">
        <v>31752</v>
      </c>
      <c r="B95" s="551" t="s">
        <v>31753</v>
      </c>
      <c r="C95" s="552" t="s">
        <v>158</v>
      </c>
      <c r="D95" s="557">
        <v>328.99</v>
      </c>
      <c r="E95" s="557">
        <v>328.99</v>
      </c>
      <c r="F95" s="343"/>
      <c r="G95" s="557">
        <v>328.99</v>
      </c>
    </row>
    <row r="96" spans="1:7" ht="12.6" customHeight="1" x14ac:dyDescent="0.2">
      <c r="A96" s="551" t="s">
        <v>31754</v>
      </c>
      <c r="B96" s="551" t="s">
        <v>31755</v>
      </c>
      <c r="C96" s="552" t="s">
        <v>158</v>
      </c>
      <c r="D96" s="557">
        <v>365.71</v>
      </c>
      <c r="E96" s="557">
        <v>365.71</v>
      </c>
      <c r="F96" s="343"/>
      <c r="G96" s="557">
        <v>365.71</v>
      </c>
    </row>
    <row r="97" spans="1:7" ht="12.6" customHeight="1" x14ac:dyDescent="0.2">
      <c r="A97" s="551" t="s">
        <v>31756</v>
      </c>
      <c r="B97" s="551" t="s">
        <v>31757</v>
      </c>
      <c r="C97" s="552" t="s">
        <v>158</v>
      </c>
      <c r="D97" s="557">
        <v>397.89</v>
      </c>
      <c r="E97" s="557">
        <v>397.89</v>
      </c>
      <c r="F97" s="343"/>
      <c r="G97" s="557">
        <v>397.89</v>
      </c>
    </row>
    <row r="98" spans="1:7" ht="12.6" customHeight="1" x14ac:dyDescent="0.2">
      <c r="A98" s="551" t="s">
        <v>31758</v>
      </c>
      <c r="B98" s="551" t="s">
        <v>31759</v>
      </c>
      <c r="C98" s="552" t="s">
        <v>158</v>
      </c>
      <c r="D98" s="557">
        <v>485.52</v>
      </c>
      <c r="E98" s="557">
        <v>485.52</v>
      </c>
      <c r="F98" s="343"/>
      <c r="G98" s="557">
        <v>485.52</v>
      </c>
    </row>
    <row r="99" spans="1:7" ht="12.6" customHeight="1" x14ac:dyDescent="0.2">
      <c r="A99" s="551" t="s">
        <v>31760</v>
      </c>
      <c r="B99" s="551" t="s">
        <v>31761</v>
      </c>
      <c r="C99" s="552" t="s">
        <v>158</v>
      </c>
      <c r="D99" s="557">
        <v>207.68</v>
      </c>
      <c r="E99" s="557">
        <v>207.68</v>
      </c>
      <c r="F99" s="343"/>
      <c r="G99" s="557">
        <v>207.68</v>
      </c>
    </row>
    <row r="100" spans="1:7" ht="12.6" customHeight="1" x14ac:dyDescent="0.2">
      <c r="A100" s="551" t="s">
        <v>31762</v>
      </c>
      <c r="B100" s="551" t="s">
        <v>31763</v>
      </c>
      <c r="C100" s="552" t="s">
        <v>31633</v>
      </c>
      <c r="D100" s="557">
        <v>5627.71</v>
      </c>
      <c r="E100" s="557">
        <v>1659.52</v>
      </c>
      <c r="F100" s="343">
        <v>3968.19</v>
      </c>
      <c r="G100" s="557">
        <v>5627.71</v>
      </c>
    </row>
    <row r="101" spans="1:7" ht="12.6" customHeight="1" x14ac:dyDescent="0.2">
      <c r="A101" s="551" t="s">
        <v>31764</v>
      </c>
      <c r="B101" s="551" t="s">
        <v>31765</v>
      </c>
      <c r="C101" s="552" t="s">
        <v>227</v>
      </c>
      <c r="D101" s="557">
        <v>48.89</v>
      </c>
      <c r="E101" s="557">
        <v>6.7</v>
      </c>
      <c r="F101" s="343">
        <v>42.19</v>
      </c>
      <c r="G101" s="557">
        <v>48.89</v>
      </c>
    </row>
    <row r="102" spans="1:7" ht="24.95" customHeight="1" x14ac:dyDescent="0.25">
      <c r="A102" s="551" t="s">
        <v>31766</v>
      </c>
      <c r="B102" s="342" t="s">
        <v>31767</v>
      </c>
      <c r="C102" s="552" t="s">
        <v>227</v>
      </c>
      <c r="D102" s="553">
        <v>616.84</v>
      </c>
      <c r="E102" s="553">
        <v>315.83999999999997</v>
      </c>
      <c r="F102" s="553">
        <v>301</v>
      </c>
      <c r="G102" s="553">
        <v>616.84</v>
      </c>
    </row>
    <row r="103" spans="1:7" ht="24.95" customHeight="1" x14ac:dyDescent="0.25">
      <c r="A103" s="1218" t="s">
        <v>31768</v>
      </c>
      <c r="B103" s="1221" t="s">
        <v>31769</v>
      </c>
      <c r="C103" s="1219"/>
      <c r="D103" s="1220"/>
      <c r="E103" s="1220"/>
      <c r="F103" s="1220"/>
      <c r="G103" s="1220"/>
    </row>
    <row r="104" spans="1:7" ht="23.1" customHeight="1" x14ac:dyDescent="0.25">
      <c r="A104" s="1218" t="s">
        <v>31770</v>
      </c>
      <c r="B104" s="1218" t="s">
        <v>31771</v>
      </c>
      <c r="C104" s="1219" t="s">
        <v>226</v>
      </c>
      <c r="D104" s="1220">
        <v>9046.6200000000008</v>
      </c>
      <c r="E104" s="1220">
        <v>231.55</v>
      </c>
      <c r="F104" s="1220">
        <v>8815.07</v>
      </c>
      <c r="G104" s="1220">
        <v>9046.6200000000008</v>
      </c>
    </row>
    <row r="105" spans="1:7" ht="12.6" customHeight="1" x14ac:dyDescent="0.25">
      <c r="A105" s="1218" t="s">
        <v>31772</v>
      </c>
      <c r="B105" s="1218" t="s">
        <v>31773</v>
      </c>
      <c r="C105" s="1219" t="s">
        <v>226</v>
      </c>
      <c r="D105" s="1220">
        <v>12039.4</v>
      </c>
      <c r="E105" s="1220">
        <v>231.55</v>
      </c>
      <c r="F105" s="1220">
        <v>11807.85</v>
      </c>
      <c r="G105" s="1220">
        <v>12039.4</v>
      </c>
    </row>
    <row r="106" spans="1:7" ht="24.95" customHeight="1" x14ac:dyDescent="0.25">
      <c r="A106" s="1218" t="s">
        <v>31774</v>
      </c>
      <c r="B106" s="1221" t="s">
        <v>31775</v>
      </c>
      <c r="C106" s="1219" t="s">
        <v>226</v>
      </c>
      <c r="D106" s="1222">
        <v>10679.62</v>
      </c>
      <c r="E106" s="1220">
        <v>231.55</v>
      </c>
      <c r="F106" s="1222">
        <v>10448.07</v>
      </c>
      <c r="G106" s="1222">
        <v>10679.62</v>
      </c>
    </row>
    <row r="107" spans="1:7" ht="12.6" customHeight="1" x14ac:dyDescent="0.25">
      <c r="A107" s="1180" t="s">
        <v>31776</v>
      </c>
      <c r="B107" s="1180" t="s">
        <v>31777</v>
      </c>
      <c r="C107" s="1181" t="s">
        <v>226</v>
      </c>
      <c r="D107" s="1374">
        <v>24999.94</v>
      </c>
      <c r="E107" s="1182">
        <v>669.05</v>
      </c>
      <c r="F107" s="1374">
        <v>24330.89</v>
      </c>
      <c r="G107" s="1374">
        <v>24999.94</v>
      </c>
    </row>
    <row r="108" spans="1:7" ht="12.6" customHeight="1" x14ac:dyDescent="0.25">
      <c r="A108" s="1180" t="s">
        <v>31778</v>
      </c>
      <c r="B108" s="1180" t="s">
        <v>31779</v>
      </c>
      <c r="C108" s="1181" t="s">
        <v>226</v>
      </c>
      <c r="D108" s="1374">
        <v>38004.28</v>
      </c>
      <c r="E108" s="1182">
        <v>669.05</v>
      </c>
      <c r="F108" s="1374">
        <v>37335.230000000003</v>
      </c>
      <c r="G108" s="1374">
        <v>38004.28</v>
      </c>
    </row>
    <row r="109" spans="1:7" ht="12.6" customHeight="1" x14ac:dyDescent="0.25">
      <c r="A109" s="1218" t="s">
        <v>31780</v>
      </c>
      <c r="B109" s="1218" t="s">
        <v>31781</v>
      </c>
      <c r="C109" s="1219" t="s">
        <v>226</v>
      </c>
      <c r="D109" s="1222">
        <v>15469.7</v>
      </c>
      <c r="E109" s="1220">
        <v>669.05</v>
      </c>
      <c r="F109" s="1222">
        <v>14800.65</v>
      </c>
      <c r="G109" s="1222">
        <v>15469.7</v>
      </c>
    </row>
    <row r="110" spans="1:7" ht="12.6" customHeight="1" x14ac:dyDescent="0.25">
      <c r="A110" s="1218" t="s">
        <v>31782</v>
      </c>
      <c r="B110" s="1218" t="s">
        <v>31783</v>
      </c>
      <c r="C110" s="1219" t="s">
        <v>226</v>
      </c>
      <c r="D110" s="1222">
        <v>18308.259999999998</v>
      </c>
      <c r="E110" s="1220">
        <v>544.04999999999995</v>
      </c>
      <c r="F110" s="1222">
        <v>17764.21</v>
      </c>
      <c r="G110" s="1222">
        <v>18308.259999999998</v>
      </c>
    </row>
    <row r="111" spans="1:7" ht="23.1" customHeight="1" x14ac:dyDescent="0.25">
      <c r="A111" s="1218" t="s">
        <v>31784</v>
      </c>
      <c r="B111" s="1218" t="s">
        <v>31785</v>
      </c>
      <c r="C111" s="1219" t="s">
        <v>226</v>
      </c>
      <c r="D111" s="1222">
        <v>29104.27</v>
      </c>
      <c r="E111" s="1220">
        <v>331.55</v>
      </c>
      <c r="F111" s="1222">
        <v>28772.720000000001</v>
      </c>
      <c r="G111" s="1222">
        <v>29104.27</v>
      </c>
    </row>
    <row r="112" spans="1:7" ht="12.6" customHeight="1" x14ac:dyDescent="0.25">
      <c r="A112" s="551" t="s">
        <v>31786</v>
      </c>
      <c r="B112" s="551" t="s">
        <v>31787</v>
      </c>
      <c r="C112" s="552"/>
      <c r="D112" s="553"/>
      <c r="E112" s="557"/>
      <c r="F112" s="553"/>
      <c r="G112" s="553"/>
    </row>
    <row r="113" spans="1:7" ht="12.6" customHeight="1" x14ac:dyDescent="0.25">
      <c r="A113" s="551" t="s">
        <v>31788</v>
      </c>
      <c r="B113" s="551" t="s">
        <v>31789</v>
      </c>
      <c r="C113" s="552" t="s">
        <v>31633</v>
      </c>
      <c r="D113" s="553">
        <v>8405.0300000000007</v>
      </c>
      <c r="E113" s="557">
        <v>8405.0300000000007</v>
      </c>
      <c r="F113" s="553"/>
      <c r="G113" s="553">
        <v>8405.0300000000007</v>
      </c>
    </row>
    <row r="114" spans="1:7" ht="12.6" customHeight="1" x14ac:dyDescent="0.2">
      <c r="A114" s="548" t="s">
        <v>31790</v>
      </c>
      <c r="B114" s="548" t="s">
        <v>31791</v>
      </c>
      <c r="C114" s="550" t="s">
        <v>31633</v>
      </c>
      <c r="D114" s="550">
        <v>11784.52</v>
      </c>
      <c r="E114" s="550">
        <v>11784.52</v>
      </c>
      <c r="F114" s="550"/>
      <c r="G114" s="550">
        <v>11784.52</v>
      </c>
    </row>
    <row r="115" spans="1:7" ht="11.45" customHeight="1" x14ac:dyDescent="0.25">
      <c r="A115" s="543" t="s">
        <v>31792</v>
      </c>
      <c r="B115" s="544" t="s">
        <v>31793</v>
      </c>
      <c r="C115" s="544" t="s">
        <v>31633</v>
      </c>
      <c r="D115" s="543">
        <v>12185.01</v>
      </c>
      <c r="E115" s="545">
        <v>12185.01</v>
      </c>
      <c r="F115" s="543"/>
      <c r="G115" s="543">
        <v>12185.01</v>
      </c>
    </row>
    <row r="116" spans="1:7" ht="34.5" customHeight="1" x14ac:dyDescent="0.25">
      <c r="A116" s="551" t="s">
        <v>31794</v>
      </c>
      <c r="B116" s="551" t="s">
        <v>31795</v>
      </c>
      <c r="C116" s="552" t="s">
        <v>158</v>
      </c>
      <c r="D116" s="553">
        <v>448.32</v>
      </c>
      <c r="E116" s="553">
        <v>448.32</v>
      </c>
      <c r="F116" s="342"/>
      <c r="G116" s="553">
        <v>448.32</v>
      </c>
    </row>
    <row r="117" spans="1:7" ht="34.5" customHeight="1" x14ac:dyDescent="0.25">
      <c r="A117" s="554" t="s">
        <v>31796</v>
      </c>
      <c r="B117" s="551" t="s">
        <v>31797</v>
      </c>
      <c r="C117" s="555" t="s">
        <v>158</v>
      </c>
      <c r="D117" s="556">
        <v>439.06</v>
      </c>
      <c r="E117" s="556">
        <v>439.06</v>
      </c>
      <c r="F117" s="342"/>
      <c r="G117" s="556">
        <v>439.06</v>
      </c>
    </row>
    <row r="118" spans="1:7" ht="34.5" customHeight="1" x14ac:dyDescent="0.25">
      <c r="A118" s="554" t="s">
        <v>31798</v>
      </c>
      <c r="B118" s="551" t="s">
        <v>31799</v>
      </c>
      <c r="C118" s="555" t="s">
        <v>158</v>
      </c>
      <c r="D118" s="556">
        <v>878.27</v>
      </c>
      <c r="E118" s="556">
        <v>878.27</v>
      </c>
      <c r="F118" s="342"/>
      <c r="G118" s="556">
        <v>878.27</v>
      </c>
    </row>
    <row r="119" spans="1:7" ht="24.95" customHeight="1" x14ac:dyDescent="0.25">
      <c r="A119" s="551" t="s">
        <v>31800</v>
      </c>
      <c r="B119" s="342" t="s">
        <v>31801</v>
      </c>
      <c r="C119" s="552" t="s">
        <v>158</v>
      </c>
      <c r="D119" s="557">
        <v>1160.31</v>
      </c>
      <c r="E119" s="557">
        <v>1160.31</v>
      </c>
      <c r="F119" s="344"/>
      <c r="G119" s="557">
        <v>1160.31</v>
      </c>
    </row>
    <row r="120" spans="1:7" ht="24.95" customHeight="1" x14ac:dyDescent="0.25">
      <c r="A120" s="551" t="s">
        <v>31802</v>
      </c>
      <c r="B120" s="342" t="s">
        <v>31803</v>
      </c>
      <c r="C120" s="552" t="s">
        <v>158</v>
      </c>
      <c r="D120" s="557">
        <v>1439.13</v>
      </c>
      <c r="E120" s="557">
        <v>1439.13</v>
      </c>
      <c r="F120" s="344"/>
      <c r="G120" s="557">
        <v>1439.13</v>
      </c>
    </row>
    <row r="121" spans="1:7" ht="24.95" customHeight="1" x14ac:dyDescent="0.25">
      <c r="A121" s="551" t="s">
        <v>31804</v>
      </c>
      <c r="B121" s="342" t="s">
        <v>31805</v>
      </c>
      <c r="C121" s="552" t="s">
        <v>158</v>
      </c>
      <c r="D121" s="557">
        <v>1809.54</v>
      </c>
      <c r="E121" s="557">
        <v>1809.54</v>
      </c>
      <c r="F121" s="344"/>
      <c r="G121" s="557">
        <v>1809.54</v>
      </c>
    </row>
    <row r="122" spans="1:7" ht="24.95" customHeight="1" x14ac:dyDescent="0.25">
      <c r="A122" s="551" t="s">
        <v>31806</v>
      </c>
      <c r="B122" s="342" t="s">
        <v>31807</v>
      </c>
      <c r="C122" s="552" t="s">
        <v>158</v>
      </c>
      <c r="D122" s="557">
        <v>2032.68</v>
      </c>
      <c r="E122" s="557">
        <v>2032.68</v>
      </c>
      <c r="F122" s="344"/>
      <c r="G122" s="557">
        <v>2032.68</v>
      </c>
    </row>
    <row r="123" spans="1:7" ht="24.95" customHeight="1" x14ac:dyDescent="0.25">
      <c r="A123" s="551" t="s">
        <v>31808</v>
      </c>
      <c r="B123" s="342" t="s">
        <v>31809</v>
      </c>
      <c r="C123" s="552" t="s">
        <v>158</v>
      </c>
      <c r="D123" s="553">
        <v>2264.09</v>
      </c>
      <c r="E123" s="553">
        <v>2264.09</v>
      </c>
      <c r="F123" s="344"/>
      <c r="G123" s="553">
        <v>2264.09</v>
      </c>
    </row>
    <row r="124" spans="1:7" ht="24.95" customHeight="1" x14ac:dyDescent="0.25">
      <c r="A124" s="551" t="s">
        <v>31810</v>
      </c>
      <c r="B124" s="342" t="s">
        <v>31811</v>
      </c>
      <c r="C124" s="552" t="s">
        <v>158</v>
      </c>
      <c r="D124" s="553">
        <v>2746.27</v>
      </c>
      <c r="E124" s="553">
        <v>2746.27</v>
      </c>
      <c r="F124" s="344"/>
      <c r="G124" s="553">
        <v>2746.27</v>
      </c>
    </row>
    <row r="125" spans="1:7" ht="24.95" customHeight="1" x14ac:dyDescent="0.25">
      <c r="A125" s="551" t="s">
        <v>31812</v>
      </c>
      <c r="B125" s="342" t="s">
        <v>31813</v>
      </c>
      <c r="C125" s="552" t="s">
        <v>158</v>
      </c>
      <c r="D125" s="553">
        <v>457.54</v>
      </c>
      <c r="E125" s="553">
        <v>457.54</v>
      </c>
      <c r="F125" s="344"/>
      <c r="G125" s="553">
        <v>457.54</v>
      </c>
    </row>
    <row r="126" spans="1:7" ht="24.95" customHeight="1" x14ac:dyDescent="0.25">
      <c r="A126" s="551" t="s">
        <v>31814</v>
      </c>
      <c r="B126" s="342" t="s">
        <v>31815</v>
      </c>
      <c r="C126" s="552" t="s">
        <v>158</v>
      </c>
      <c r="D126" s="553">
        <v>1466.41</v>
      </c>
      <c r="E126" s="553">
        <v>1466.41</v>
      </c>
      <c r="F126" s="344"/>
      <c r="G126" s="553">
        <v>1466.41</v>
      </c>
    </row>
    <row r="127" spans="1:7" ht="24.95" customHeight="1" x14ac:dyDescent="0.25">
      <c r="A127" s="551" t="s">
        <v>31816</v>
      </c>
      <c r="B127" s="342" t="s">
        <v>31817</v>
      </c>
      <c r="C127" s="552" t="s">
        <v>158</v>
      </c>
      <c r="D127" s="553">
        <v>5470.28</v>
      </c>
      <c r="E127" s="553">
        <v>5470.28</v>
      </c>
      <c r="F127" s="344"/>
      <c r="G127" s="553">
        <v>5470.28</v>
      </c>
    </row>
    <row r="128" spans="1:7" ht="24.95" customHeight="1" x14ac:dyDescent="0.25">
      <c r="A128" s="551" t="s">
        <v>31818</v>
      </c>
      <c r="B128" s="342" t="s">
        <v>31819</v>
      </c>
      <c r="C128" s="552" t="s">
        <v>158</v>
      </c>
      <c r="D128" s="557">
        <v>379.63</v>
      </c>
      <c r="E128" s="557">
        <v>379.63</v>
      </c>
      <c r="F128" s="344"/>
      <c r="G128" s="557">
        <v>379.63</v>
      </c>
    </row>
    <row r="129" spans="1:7" ht="24.95" customHeight="1" x14ac:dyDescent="0.25">
      <c r="A129" s="551" t="s">
        <v>31820</v>
      </c>
      <c r="B129" s="342" t="s">
        <v>31821</v>
      </c>
      <c r="C129" s="552" t="s">
        <v>158</v>
      </c>
      <c r="D129" s="553">
        <v>471.23</v>
      </c>
      <c r="E129" s="553">
        <v>471.23</v>
      </c>
      <c r="F129" s="344"/>
      <c r="G129" s="553">
        <v>471.23</v>
      </c>
    </row>
    <row r="130" spans="1:7" ht="24.95" customHeight="1" x14ac:dyDescent="0.25">
      <c r="A130" s="551" t="s">
        <v>31822</v>
      </c>
      <c r="B130" s="342" t="s">
        <v>31823</v>
      </c>
      <c r="C130" s="552" t="s">
        <v>158</v>
      </c>
      <c r="D130" s="553">
        <v>546.89</v>
      </c>
      <c r="E130" s="553">
        <v>546.89</v>
      </c>
      <c r="F130" s="344"/>
      <c r="G130" s="553">
        <v>546.89</v>
      </c>
    </row>
    <row r="131" spans="1:7" ht="24.95" customHeight="1" x14ac:dyDescent="0.25">
      <c r="A131" s="551" t="s">
        <v>31824</v>
      </c>
      <c r="B131" s="342" t="s">
        <v>31825</v>
      </c>
      <c r="C131" s="552" t="s">
        <v>158</v>
      </c>
      <c r="D131" s="557">
        <v>309.08999999999997</v>
      </c>
      <c r="E131" s="557">
        <v>309.08999999999997</v>
      </c>
      <c r="F131" s="344"/>
      <c r="G131" s="557">
        <v>309.08999999999997</v>
      </c>
    </row>
    <row r="132" spans="1:7" ht="24.95" customHeight="1" x14ac:dyDescent="0.25">
      <c r="A132" s="551" t="s">
        <v>31826</v>
      </c>
      <c r="B132" s="342" t="s">
        <v>31827</v>
      </c>
      <c r="C132" s="552" t="s">
        <v>158</v>
      </c>
      <c r="D132" s="557">
        <v>488.27</v>
      </c>
      <c r="E132" s="557">
        <v>488.27</v>
      </c>
      <c r="F132" s="344"/>
      <c r="G132" s="557">
        <v>488.27</v>
      </c>
    </row>
    <row r="133" spans="1:7" ht="24.95" customHeight="1" x14ac:dyDescent="0.25">
      <c r="A133" s="551" t="s">
        <v>31828</v>
      </c>
      <c r="B133" s="342" t="s">
        <v>31829</v>
      </c>
      <c r="C133" s="552" t="s">
        <v>158</v>
      </c>
      <c r="D133" s="557">
        <v>724.29</v>
      </c>
      <c r="E133" s="557">
        <v>724.29</v>
      </c>
      <c r="F133" s="344"/>
      <c r="G133" s="557">
        <v>724.29</v>
      </c>
    </row>
    <row r="134" spans="1:7" ht="24.95" customHeight="1" x14ac:dyDescent="0.25">
      <c r="A134" s="551" t="s">
        <v>31830</v>
      </c>
      <c r="B134" s="342" t="s">
        <v>31831</v>
      </c>
      <c r="C134" s="552" t="s">
        <v>158</v>
      </c>
      <c r="D134" s="557">
        <v>1696.22</v>
      </c>
      <c r="E134" s="557">
        <v>1696.22</v>
      </c>
      <c r="F134" s="344"/>
      <c r="G134" s="557">
        <v>1696.22</v>
      </c>
    </row>
    <row r="135" spans="1:7" ht="24.95" customHeight="1" x14ac:dyDescent="0.25">
      <c r="A135" s="551" t="s">
        <v>31832</v>
      </c>
      <c r="B135" s="342" t="s">
        <v>31833</v>
      </c>
      <c r="C135" s="552" t="s">
        <v>158</v>
      </c>
      <c r="D135" s="557">
        <v>2202.29</v>
      </c>
      <c r="E135" s="557">
        <v>2202.29</v>
      </c>
      <c r="F135" s="344"/>
      <c r="G135" s="557">
        <v>2202.29</v>
      </c>
    </row>
    <row r="136" spans="1:7" ht="24.95" customHeight="1" x14ac:dyDescent="0.25">
      <c r="A136" s="551" t="s">
        <v>31834</v>
      </c>
      <c r="B136" s="342" t="s">
        <v>31835</v>
      </c>
      <c r="C136" s="552" t="s">
        <v>158</v>
      </c>
      <c r="D136" s="557">
        <v>2732.02</v>
      </c>
      <c r="E136" s="557">
        <v>2732.02</v>
      </c>
      <c r="F136" s="344"/>
      <c r="G136" s="557">
        <v>2732.02</v>
      </c>
    </row>
    <row r="137" spans="1:7" ht="24.95" customHeight="1" x14ac:dyDescent="0.25">
      <c r="A137" s="551" t="s">
        <v>31836</v>
      </c>
      <c r="B137" s="342" t="s">
        <v>31837</v>
      </c>
      <c r="C137" s="552" t="s">
        <v>158</v>
      </c>
      <c r="D137" s="553">
        <v>595.35</v>
      </c>
      <c r="E137" s="553">
        <v>595.35</v>
      </c>
      <c r="F137" s="344"/>
      <c r="G137" s="553">
        <v>595.35</v>
      </c>
    </row>
    <row r="138" spans="1:7" ht="24.95" customHeight="1" x14ac:dyDescent="0.25">
      <c r="A138" s="551" t="s">
        <v>31838</v>
      </c>
      <c r="B138" s="342" t="s">
        <v>31839</v>
      </c>
      <c r="C138" s="552" t="s">
        <v>158</v>
      </c>
      <c r="D138" s="553">
        <v>337.04</v>
      </c>
      <c r="E138" s="553">
        <v>337.04</v>
      </c>
      <c r="F138" s="344"/>
      <c r="G138" s="553">
        <v>337.04</v>
      </c>
    </row>
    <row r="139" spans="1:7" ht="24.95" customHeight="1" x14ac:dyDescent="0.25">
      <c r="A139" s="551" t="s">
        <v>31840</v>
      </c>
      <c r="B139" s="342" t="s">
        <v>31841</v>
      </c>
      <c r="C139" s="552" t="s">
        <v>158</v>
      </c>
      <c r="D139" s="553">
        <v>667.6</v>
      </c>
      <c r="E139" s="553">
        <v>667.6</v>
      </c>
      <c r="F139" s="344"/>
      <c r="G139" s="553">
        <v>667.6</v>
      </c>
    </row>
    <row r="140" spans="1:7" ht="24.95" customHeight="1" x14ac:dyDescent="0.25">
      <c r="A140" s="551" t="s">
        <v>31842</v>
      </c>
      <c r="B140" s="342" t="s">
        <v>31843</v>
      </c>
      <c r="C140" s="552" t="s">
        <v>158</v>
      </c>
      <c r="D140" s="557">
        <v>658.5</v>
      </c>
      <c r="E140" s="557">
        <v>658.5</v>
      </c>
      <c r="F140" s="344"/>
      <c r="G140" s="557">
        <v>658.5</v>
      </c>
    </row>
    <row r="141" spans="1:7" ht="24.95" customHeight="1" x14ac:dyDescent="0.25">
      <c r="A141" s="551" t="s">
        <v>31844</v>
      </c>
      <c r="B141" s="342" t="s">
        <v>31845</v>
      </c>
      <c r="C141" s="552" t="s">
        <v>158</v>
      </c>
      <c r="D141" s="557">
        <v>544.04</v>
      </c>
      <c r="E141" s="557">
        <v>544.04</v>
      </c>
      <c r="F141" s="344"/>
      <c r="G141" s="557">
        <v>544.04</v>
      </c>
    </row>
    <row r="142" spans="1:7" ht="24.95" customHeight="1" x14ac:dyDescent="0.25">
      <c r="A142" s="551" t="s">
        <v>31846</v>
      </c>
      <c r="B142" s="342" t="s">
        <v>31847</v>
      </c>
      <c r="C142" s="552" t="s">
        <v>158</v>
      </c>
      <c r="D142" s="557">
        <v>792.09</v>
      </c>
      <c r="E142" s="557">
        <v>792.09</v>
      </c>
      <c r="F142" s="344"/>
      <c r="G142" s="557">
        <v>792.09</v>
      </c>
    </row>
    <row r="143" spans="1:7" ht="11.45" customHeight="1" x14ac:dyDescent="0.25">
      <c r="A143" s="543" t="s">
        <v>31848</v>
      </c>
      <c r="B143" s="544" t="s">
        <v>31849</v>
      </c>
      <c r="C143" s="544" t="s">
        <v>158</v>
      </c>
      <c r="D143" s="543">
        <v>2038.65</v>
      </c>
      <c r="E143" s="545">
        <v>2038.65</v>
      </c>
      <c r="F143" s="546"/>
      <c r="G143" s="543">
        <v>2038.65</v>
      </c>
    </row>
    <row r="144" spans="1:7" ht="24.95" customHeight="1" x14ac:dyDescent="0.25">
      <c r="A144" s="551" t="s">
        <v>31850</v>
      </c>
      <c r="B144" s="342" t="s">
        <v>31851</v>
      </c>
      <c r="C144" s="552" t="s">
        <v>158</v>
      </c>
      <c r="D144" s="557">
        <v>1223.8699999999999</v>
      </c>
      <c r="E144" s="557">
        <v>1223.8699999999999</v>
      </c>
      <c r="F144" s="344"/>
      <c r="G144" s="557">
        <v>1223.8699999999999</v>
      </c>
    </row>
    <row r="145" spans="1:7" ht="24.95" customHeight="1" x14ac:dyDescent="0.25">
      <c r="A145" s="551" t="s">
        <v>31852</v>
      </c>
      <c r="B145" s="342" t="s">
        <v>31853</v>
      </c>
      <c r="C145" s="552" t="s">
        <v>158</v>
      </c>
      <c r="D145" s="557">
        <v>1243.4000000000001</v>
      </c>
      <c r="E145" s="557">
        <v>1243.4000000000001</v>
      </c>
      <c r="F145" s="344"/>
      <c r="G145" s="557">
        <v>1243.4000000000001</v>
      </c>
    </row>
    <row r="146" spans="1:7" ht="24.95" customHeight="1" x14ac:dyDescent="0.25">
      <c r="A146" s="551" t="s">
        <v>31854</v>
      </c>
      <c r="B146" s="342" t="s">
        <v>31855</v>
      </c>
      <c r="C146" s="552" t="s">
        <v>158</v>
      </c>
      <c r="D146" s="557">
        <v>1662.15</v>
      </c>
      <c r="E146" s="557">
        <v>1662.15</v>
      </c>
      <c r="F146" s="344"/>
      <c r="G146" s="557">
        <v>1662.15</v>
      </c>
    </row>
    <row r="147" spans="1:7" ht="24.95" customHeight="1" x14ac:dyDescent="0.25">
      <c r="A147" s="551" t="s">
        <v>31856</v>
      </c>
      <c r="B147" s="342" t="s">
        <v>31857</v>
      </c>
      <c r="C147" s="552" t="s">
        <v>158</v>
      </c>
      <c r="D147" s="553">
        <v>1792.44</v>
      </c>
      <c r="E147" s="553">
        <v>1792.44</v>
      </c>
      <c r="F147" s="344"/>
      <c r="G147" s="553">
        <v>1792.44</v>
      </c>
    </row>
    <row r="148" spans="1:7" ht="23.1" customHeight="1" x14ac:dyDescent="0.25">
      <c r="A148" s="551" t="s">
        <v>31858</v>
      </c>
      <c r="B148" s="551" t="s">
        <v>31859</v>
      </c>
      <c r="C148" s="552" t="s">
        <v>158</v>
      </c>
      <c r="D148" s="557">
        <v>480.77</v>
      </c>
      <c r="E148" s="557">
        <v>480.77</v>
      </c>
      <c r="F148" s="344"/>
      <c r="G148" s="557">
        <v>480.77</v>
      </c>
    </row>
    <row r="149" spans="1:7" ht="23.1" customHeight="1" x14ac:dyDescent="0.25">
      <c r="A149" s="551" t="s">
        <v>31860</v>
      </c>
      <c r="B149" s="551" t="s">
        <v>31861</v>
      </c>
      <c r="C149" s="552" t="s">
        <v>158</v>
      </c>
      <c r="D149" s="553">
        <v>820.28</v>
      </c>
      <c r="E149" s="553">
        <v>820.28</v>
      </c>
      <c r="F149" s="344"/>
      <c r="G149" s="553">
        <v>820.28</v>
      </c>
    </row>
    <row r="150" spans="1:7" ht="23.1" customHeight="1" x14ac:dyDescent="0.25">
      <c r="A150" s="551" t="s">
        <v>31862</v>
      </c>
      <c r="B150" s="551" t="s">
        <v>31863</v>
      </c>
      <c r="C150" s="552" t="s">
        <v>158</v>
      </c>
      <c r="D150" s="553">
        <v>1168.96</v>
      </c>
      <c r="E150" s="553">
        <v>1168.96</v>
      </c>
      <c r="F150" s="344"/>
      <c r="G150" s="553">
        <v>1168.96</v>
      </c>
    </row>
    <row r="151" spans="1:7" ht="23.1" customHeight="1" x14ac:dyDescent="0.25">
      <c r="A151" s="551" t="s">
        <v>31864</v>
      </c>
      <c r="B151" s="551" t="s">
        <v>31865</v>
      </c>
      <c r="C151" s="552" t="s">
        <v>158</v>
      </c>
      <c r="D151" s="553">
        <v>1300.52</v>
      </c>
      <c r="E151" s="553">
        <v>1300.52</v>
      </c>
      <c r="F151" s="344"/>
      <c r="G151" s="553">
        <v>1300.52</v>
      </c>
    </row>
    <row r="152" spans="1:7" ht="24.95" customHeight="1" x14ac:dyDescent="0.25">
      <c r="A152" s="551" t="s">
        <v>31866</v>
      </c>
      <c r="B152" s="342" t="s">
        <v>31867</v>
      </c>
      <c r="C152" s="552" t="s">
        <v>158</v>
      </c>
      <c r="D152" s="557">
        <v>2316.52</v>
      </c>
      <c r="E152" s="557">
        <v>2316.52</v>
      </c>
      <c r="F152" s="344"/>
      <c r="G152" s="557">
        <v>2316.52</v>
      </c>
    </row>
    <row r="153" spans="1:7" ht="24.95" customHeight="1" x14ac:dyDescent="0.25">
      <c r="A153" s="551" t="s">
        <v>31868</v>
      </c>
      <c r="B153" s="342" t="s">
        <v>31869</v>
      </c>
      <c r="C153" s="552" t="s">
        <v>158</v>
      </c>
      <c r="D153" s="557">
        <v>949.93</v>
      </c>
      <c r="E153" s="557">
        <v>949.93</v>
      </c>
      <c r="F153" s="344"/>
      <c r="G153" s="557">
        <v>949.93</v>
      </c>
    </row>
    <row r="154" spans="1:7" ht="24.95" customHeight="1" x14ac:dyDescent="0.25">
      <c r="A154" s="551" t="s">
        <v>31870</v>
      </c>
      <c r="B154" s="342" t="s">
        <v>31871</v>
      </c>
      <c r="C154" s="552" t="s">
        <v>159</v>
      </c>
      <c r="D154" s="553">
        <v>1667.98</v>
      </c>
      <c r="E154" s="553">
        <v>1667.98</v>
      </c>
      <c r="F154" s="344"/>
      <c r="G154" s="553">
        <v>1667.98</v>
      </c>
    </row>
    <row r="155" spans="1:7" ht="24.95" customHeight="1" x14ac:dyDescent="0.25">
      <c r="A155" s="551" t="s">
        <v>31872</v>
      </c>
      <c r="B155" s="342" t="s">
        <v>31873</v>
      </c>
      <c r="C155" s="552" t="s">
        <v>159</v>
      </c>
      <c r="D155" s="553">
        <v>2084.4</v>
      </c>
      <c r="E155" s="553">
        <v>2084.4</v>
      </c>
      <c r="F155" s="344"/>
      <c r="G155" s="553">
        <v>2084.4</v>
      </c>
    </row>
    <row r="156" spans="1:7" ht="24.95" customHeight="1" x14ac:dyDescent="0.25">
      <c r="A156" s="551" t="s">
        <v>31874</v>
      </c>
      <c r="B156" s="342" t="s">
        <v>31875</v>
      </c>
      <c r="C156" s="552" t="s">
        <v>158</v>
      </c>
      <c r="D156" s="553">
        <v>88.34</v>
      </c>
      <c r="E156" s="553">
        <v>88.34</v>
      </c>
      <c r="F156" s="344"/>
      <c r="G156" s="553">
        <v>88.34</v>
      </c>
    </row>
    <row r="157" spans="1:7" ht="23.1" customHeight="1" x14ac:dyDescent="0.25">
      <c r="A157" s="551" t="s">
        <v>31876</v>
      </c>
      <c r="B157" s="551" t="s">
        <v>31877</v>
      </c>
      <c r="C157" s="552" t="s">
        <v>158</v>
      </c>
      <c r="D157" s="557">
        <v>186.05</v>
      </c>
      <c r="E157" s="557">
        <v>186.05</v>
      </c>
      <c r="F157" s="344"/>
      <c r="G157" s="557">
        <v>186.05</v>
      </c>
    </row>
    <row r="158" spans="1:7" ht="12.6" customHeight="1" x14ac:dyDescent="0.2">
      <c r="A158" s="551" t="s">
        <v>31878</v>
      </c>
      <c r="B158" s="551" t="s">
        <v>31879</v>
      </c>
      <c r="C158" s="552" t="s">
        <v>31633</v>
      </c>
      <c r="D158" s="553">
        <v>3761.22</v>
      </c>
      <c r="E158" s="553">
        <v>3761.22</v>
      </c>
      <c r="F158" s="343"/>
      <c r="G158" s="553">
        <v>3761.22</v>
      </c>
    </row>
    <row r="159" spans="1:7" ht="12.6" customHeight="1" x14ac:dyDescent="0.2">
      <c r="A159" s="551" t="s">
        <v>31880</v>
      </c>
      <c r="B159" s="551" t="s">
        <v>31881</v>
      </c>
      <c r="C159" s="552" t="s">
        <v>4341</v>
      </c>
      <c r="D159" s="553">
        <v>461.72</v>
      </c>
      <c r="E159" s="553">
        <v>461.72</v>
      </c>
      <c r="F159" s="343"/>
      <c r="G159" s="553">
        <v>461.72</v>
      </c>
    </row>
    <row r="160" spans="1:7" ht="12.6" customHeight="1" x14ac:dyDescent="0.2">
      <c r="A160" s="551" t="s">
        <v>31882</v>
      </c>
      <c r="B160" s="551" t="s">
        <v>31883</v>
      </c>
      <c r="C160" s="552" t="s">
        <v>4341</v>
      </c>
      <c r="D160" s="557">
        <v>403.15</v>
      </c>
      <c r="E160" s="557">
        <v>403.15</v>
      </c>
      <c r="F160" s="343"/>
      <c r="G160" s="557">
        <v>403.15</v>
      </c>
    </row>
    <row r="161" spans="1:7" ht="12.6" customHeight="1" x14ac:dyDescent="0.2">
      <c r="A161" s="551" t="s">
        <v>31884</v>
      </c>
      <c r="B161" s="551" t="s">
        <v>31885</v>
      </c>
      <c r="C161" s="552" t="s">
        <v>4341</v>
      </c>
      <c r="D161" s="557">
        <v>320.70999999999998</v>
      </c>
      <c r="E161" s="557">
        <v>320.70999999999998</v>
      </c>
      <c r="F161" s="343"/>
      <c r="G161" s="557">
        <v>320.70999999999998</v>
      </c>
    </row>
    <row r="162" spans="1:7" ht="34.5" customHeight="1" x14ac:dyDescent="0.25">
      <c r="A162" s="554" t="s">
        <v>31886</v>
      </c>
      <c r="B162" s="551" t="s">
        <v>31887</v>
      </c>
      <c r="C162" s="555" t="s">
        <v>4341</v>
      </c>
      <c r="D162" s="556">
        <v>308.5</v>
      </c>
      <c r="E162" s="556">
        <v>308.5</v>
      </c>
      <c r="F162" s="342"/>
      <c r="G162" s="556">
        <v>308.5</v>
      </c>
    </row>
    <row r="163" spans="1:7" ht="12.6" customHeight="1" x14ac:dyDescent="0.2">
      <c r="A163" s="551" t="s">
        <v>31888</v>
      </c>
      <c r="B163" s="551" t="s">
        <v>31889</v>
      </c>
      <c r="C163" s="552" t="s">
        <v>226</v>
      </c>
      <c r="D163" s="557">
        <v>2498.9699999999998</v>
      </c>
      <c r="E163" s="557">
        <v>2498.9699999999998</v>
      </c>
      <c r="F163" s="343"/>
      <c r="G163" s="557">
        <v>2498.9699999999998</v>
      </c>
    </row>
    <row r="164" spans="1:7" ht="23.1" customHeight="1" x14ac:dyDescent="0.25">
      <c r="A164" s="551" t="s">
        <v>31890</v>
      </c>
      <c r="B164" s="551" t="s">
        <v>31891</v>
      </c>
      <c r="C164" s="552" t="s">
        <v>19518</v>
      </c>
      <c r="D164" s="557">
        <v>2954.76</v>
      </c>
      <c r="E164" s="557">
        <v>2954.76</v>
      </c>
      <c r="F164" s="344"/>
      <c r="G164" s="557">
        <v>2954.76</v>
      </c>
    </row>
    <row r="165" spans="1:7" ht="12.6" customHeight="1" x14ac:dyDescent="0.2">
      <c r="A165" s="551" t="s">
        <v>31892</v>
      </c>
      <c r="B165" s="551" t="s">
        <v>31893</v>
      </c>
      <c r="C165" s="552" t="s">
        <v>226</v>
      </c>
      <c r="D165" s="557">
        <v>296.7</v>
      </c>
      <c r="E165" s="557">
        <v>296.7</v>
      </c>
      <c r="F165" s="343"/>
      <c r="G165" s="557">
        <v>296.7</v>
      </c>
    </row>
    <row r="166" spans="1:7" ht="12.6" customHeight="1" x14ac:dyDescent="0.2">
      <c r="A166" s="551" t="s">
        <v>31894</v>
      </c>
      <c r="B166" s="551" t="s">
        <v>31895</v>
      </c>
      <c r="C166" s="552" t="s">
        <v>159</v>
      </c>
      <c r="D166" s="557">
        <v>2242.35</v>
      </c>
      <c r="E166" s="557">
        <v>2242.35</v>
      </c>
      <c r="F166" s="343"/>
      <c r="G166" s="557">
        <v>2242.35</v>
      </c>
    </row>
    <row r="167" spans="1:7" ht="12.6" customHeight="1" x14ac:dyDescent="0.2">
      <c r="A167" s="551" t="s">
        <v>31896</v>
      </c>
      <c r="B167" s="551" t="s">
        <v>31897</v>
      </c>
      <c r="C167" s="552" t="s">
        <v>226</v>
      </c>
      <c r="D167" s="553">
        <v>1790.72</v>
      </c>
      <c r="E167" s="553">
        <v>1283.8800000000001</v>
      </c>
      <c r="F167" s="343">
        <v>506.84</v>
      </c>
      <c r="G167" s="553">
        <v>1790.72</v>
      </c>
    </row>
    <row r="168" spans="1:7" ht="12.6" customHeight="1" x14ac:dyDescent="0.2">
      <c r="A168" s="551" t="s">
        <v>31898</v>
      </c>
      <c r="B168" s="551" t="s">
        <v>31899</v>
      </c>
      <c r="C168" s="552" t="s">
        <v>226</v>
      </c>
      <c r="D168" s="553">
        <v>1125.57</v>
      </c>
      <c r="E168" s="553">
        <v>1125.57</v>
      </c>
      <c r="F168" s="343"/>
      <c r="G168" s="553">
        <v>1125.57</v>
      </c>
    </row>
    <row r="169" spans="1:7" ht="12.6" customHeight="1" x14ac:dyDescent="0.2">
      <c r="A169" s="551" t="s">
        <v>31900</v>
      </c>
      <c r="B169" s="551" t="s">
        <v>31901</v>
      </c>
      <c r="C169" s="552" t="s">
        <v>226</v>
      </c>
      <c r="D169" s="557">
        <v>4479.57</v>
      </c>
      <c r="E169" s="557">
        <v>4479.57</v>
      </c>
      <c r="F169" s="343"/>
      <c r="G169" s="557">
        <v>4479.57</v>
      </c>
    </row>
    <row r="170" spans="1:7" ht="24.95" customHeight="1" x14ac:dyDescent="0.25">
      <c r="A170" s="551" t="s">
        <v>31902</v>
      </c>
      <c r="B170" s="342" t="s">
        <v>31903</v>
      </c>
      <c r="C170" s="552" t="s">
        <v>226</v>
      </c>
      <c r="D170" s="553">
        <v>4566.43</v>
      </c>
      <c r="E170" s="553">
        <v>4566.43</v>
      </c>
      <c r="F170" s="344"/>
      <c r="G170" s="553">
        <v>4566.43</v>
      </c>
    </row>
    <row r="171" spans="1:7" ht="24.95" customHeight="1" x14ac:dyDescent="0.25">
      <c r="A171" s="551" t="s">
        <v>31904</v>
      </c>
      <c r="B171" s="342" t="s">
        <v>31905</v>
      </c>
      <c r="C171" s="552" t="s">
        <v>226</v>
      </c>
      <c r="D171" s="553">
        <v>6302.03</v>
      </c>
      <c r="E171" s="553">
        <v>6302.03</v>
      </c>
      <c r="F171" s="557"/>
      <c r="G171" s="553">
        <v>6302.03</v>
      </c>
    </row>
    <row r="172" spans="1:7" ht="12.6" customHeight="1" x14ac:dyDescent="0.2">
      <c r="A172" s="551" t="s">
        <v>31906</v>
      </c>
      <c r="B172" s="551" t="s">
        <v>31907</v>
      </c>
      <c r="C172" s="552"/>
      <c r="D172" s="557"/>
      <c r="E172" s="557"/>
      <c r="F172" s="343"/>
      <c r="G172" s="557"/>
    </row>
    <row r="173" spans="1:7" ht="12.6" customHeight="1" x14ac:dyDescent="0.2">
      <c r="A173" s="551" t="s">
        <v>31908</v>
      </c>
      <c r="B173" s="551" t="s">
        <v>31909</v>
      </c>
      <c r="C173" s="552"/>
      <c r="D173" s="553"/>
      <c r="E173" s="553"/>
      <c r="F173" s="343"/>
      <c r="G173" s="553"/>
    </row>
    <row r="174" spans="1:7" ht="12.6" customHeight="1" x14ac:dyDescent="0.2">
      <c r="A174" s="551" t="s">
        <v>31910</v>
      </c>
      <c r="B174" s="551" t="s">
        <v>31911</v>
      </c>
      <c r="C174" s="552" t="s">
        <v>227</v>
      </c>
      <c r="D174" s="553">
        <v>535.76</v>
      </c>
      <c r="E174" s="553">
        <v>411</v>
      </c>
      <c r="F174" s="343">
        <v>124.76</v>
      </c>
      <c r="G174" s="553">
        <v>535.76</v>
      </c>
    </row>
    <row r="175" spans="1:7" ht="12.6" customHeight="1" x14ac:dyDescent="0.2">
      <c r="A175" s="551" t="s">
        <v>31912</v>
      </c>
      <c r="B175" s="551" t="s">
        <v>31913</v>
      </c>
      <c r="C175" s="552" t="s">
        <v>227</v>
      </c>
      <c r="D175" s="553">
        <v>964.94</v>
      </c>
      <c r="E175" s="553">
        <v>650.02</v>
      </c>
      <c r="F175" s="343">
        <v>314.92</v>
      </c>
      <c r="G175" s="553">
        <v>964.94</v>
      </c>
    </row>
    <row r="176" spans="1:7" ht="12.6" customHeight="1" x14ac:dyDescent="0.2">
      <c r="A176" s="547" t="s">
        <v>31914</v>
      </c>
      <c r="B176" s="548" t="s">
        <v>31915</v>
      </c>
      <c r="C176" s="550" t="s">
        <v>31916</v>
      </c>
      <c r="D176" s="550">
        <v>918.46</v>
      </c>
      <c r="E176" s="550">
        <v>918.46</v>
      </c>
      <c r="F176" s="550"/>
      <c r="G176" s="550">
        <v>918.46</v>
      </c>
    </row>
    <row r="177" spans="1:7" ht="12.6" customHeight="1" x14ac:dyDescent="0.2">
      <c r="A177" s="548" t="s">
        <v>31917</v>
      </c>
      <c r="B177" s="548" t="s">
        <v>31918</v>
      </c>
      <c r="C177" s="550" t="s">
        <v>227</v>
      </c>
      <c r="D177" s="550">
        <v>24.08</v>
      </c>
      <c r="E177" s="550">
        <v>17.2</v>
      </c>
      <c r="F177" s="550">
        <v>6.88</v>
      </c>
      <c r="G177" s="550">
        <v>24.08</v>
      </c>
    </row>
    <row r="178" spans="1:7" ht="12.6" customHeight="1" x14ac:dyDescent="0.25">
      <c r="A178" s="551" t="s">
        <v>31919</v>
      </c>
      <c r="B178" s="551" t="s">
        <v>31920</v>
      </c>
      <c r="C178" s="552"/>
      <c r="D178" s="557"/>
      <c r="E178" s="557"/>
      <c r="F178" s="557"/>
      <c r="G178" s="557"/>
    </row>
    <row r="179" spans="1:7" ht="12.6" customHeight="1" x14ac:dyDescent="0.25">
      <c r="A179" s="551" t="s">
        <v>31921</v>
      </c>
      <c r="B179" s="551" t="s">
        <v>31922</v>
      </c>
      <c r="C179" s="552" t="s">
        <v>31916</v>
      </c>
      <c r="D179" s="557">
        <v>805.98</v>
      </c>
      <c r="E179" s="557">
        <v>726.47</v>
      </c>
      <c r="F179" s="557">
        <v>79.510000000000005</v>
      </c>
      <c r="G179" s="557">
        <v>805.98</v>
      </c>
    </row>
    <row r="180" spans="1:7" ht="24.95" customHeight="1" x14ac:dyDescent="0.25">
      <c r="A180" s="551" t="s">
        <v>31923</v>
      </c>
      <c r="B180" s="342" t="s">
        <v>31924</v>
      </c>
      <c r="C180" s="552" t="s">
        <v>31916</v>
      </c>
      <c r="D180" s="557">
        <v>1246.8399999999999</v>
      </c>
      <c r="E180" s="557">
        <v>1113.52</v>
      </c>
      <c r="F180" s="344">
        <v>133.32</v>
      </c>
      <c r="G180" s="557">
        <v>1246.8399999999999</v>
      </c>
    </row>
    <row r="181" spans="1:7" ht="11.45" customHeight="1" x14ac:dyDescent="0.25">
      <c r="A181" s="543" t="s">
        <v>31925</v>
      </c>
      <c r="B181" s="544" t="s">
        <v>31926</v>
      </c>
      <c r="C181" s="544" t="s">
        <v>31916</v>
      </c>
      <c r="D181" s="543">
        <v>1215.74</v>
      </c>
      <c r="E181" s="545">
        <v>1082.42</v>
      </c>
      <c r="F181" s="546">
        <v>133.32</v>
      </c>
      <c r="G181" s="543">
        <v>1215.74</v>
      </c>
    </row>
    <row r="182" spans="1:7" ht="12.6" customHeight="1" x14ac:dyDescent="0.25">
      <c r="A182" s="551" t="s">
        <v>31927</v>
      </c>
      <c r="B182" s="551" t="s">
        <v>31928</v>
      </c>
      <c r="C182" s="552" t="s">
        <v>31916</v>
      </c>
      <c r="D182" s="557">
        <v>775.67</v>
      </c>
      <c r="E182" s="557">
        <v>696.16</v>
      </c>
      <c r="F182" s="557">
        <v>79.510000000000005</v>
      </c>
      <c r="G182" s="557">
        <v>775.67</v>
      </c>
    </row>
    <row r="183" spans="1:7" ht="12.6" customHeight="1" x14ac:dyDescent="0.2">
      <c r="A183" s="548" t="s">
        <v>31929</v>
      </c>
      <c r="B183" s="548" t="s">
        <v>31930</v>
      </c>
      <c r="C183" s="550" t="s">
        <v>31916</v>
      </c>
      <c r="D183" s="550">
        <v>688.85</v>
      </c>
      <c r="E183" s="550">
        <v>662.34</v>
      </c>
      <c r="F183" s="550">
        <v>26.51</v>
      </c>
      <c r="G183" s="550">
        <v>688.85</v>
      </c>
    </row>
    <row r="184" spans="1:7" ht="12.6" customHeight="1" x14ac:dyDescent="0.25">
      <c r="A184" s="551" t="s">
        <v>31931</v>
      </c>
      <c r="B184" s="551" t="s">
        <v>31932</v>
      </c>
      <c r="C184" s="552"/>
      <c r="D184" s="557"/>
      <c r="E184" s="557"/>
      <c r="F184" s="557"/>
      <c r="G184" s="557"/>
    </row>
    <row r="185" spans="1:7" ht="24.95" customHeight="1" x14ac:dyDescent="0.25">
      <c r="A185" s="551" t="s">
        <v>31933</v>
      </c>
      <c r="B185" s="342" t="s">
        <v>31934</v>
      </c>
      <c r="C185" s="552" t="s">
        <v>227</v>
      </c>
      <c r="D185" s="553">
        <v>2.5299999999999998</v>
      </c>
      <c r="E185" s="557">
        <v>0.57999999999999996</v>
      </c>
      <c r="F185" s="557">
        <v>1.95</v>
      </c>
      <c r="G185" s="553">
        <v>2.5299999999999998</v>
      </c>
    </row>
    <row r="186" spans="1:7" ht="34.5" customHeight="1" x14ac:dyDescent="0.25">
      <c r="A186" s="554" t="s">
        <v>31935</v>
      </c>
      <c r="B186" s="551" t="s">
        <v>31936</v>
      </c>
      <c r="C186" s="555" t="s">
        <v>227</v>
      </c>
      <c r="D186" s="556">
        <v>24.45</v>
      </c>
      <c r="E186" s="558">
        <v>5.23</v>
      </c>
      <c r="F186" s="558">
        <v>19.22</v>
      </c>
      <c r="G186" s="556">
        <v>24.45</v>
      </c>
    </row>
    <row r="187" spans="1:7" ht="12.6" customHeight="1" x14ac:dyDescent="0.25">
      <c r="A187" s="551" t="s">
        <v>31937</v>
      </c>
      <c r="B187" s="551" t="s">
        <v>31938</v>
      </c>
      <c r="C187" s="552" t="s">
        <v>227</v>
      </c>
      <c r="D187" s="557">
        <v>46.16</v>
      </c>
      <c r="E187" s="557">
        <v>17.52</v>
      </c>
      <c r="F187" s="557">
        <v>28.64</v>
      </c>
      <c r="G187" s="557">
        <v>46.16</v>
      </c>
    </row>
    <row r="188" spans="1:7" ht="12.6" customHeight="1" x14ac:dyDescent="0.25">
      <c r="A188" s="551" t="s">
        <v>31939</v>
      </c>
      <c r="B188" s="551" t="s">
        <v>31940</v>
      </c>
      <c r="C188" s="552" t="s">
        <v>227</v>
      </c>
      <c r="D188" s="557">
        <v>105.66</v>
      </c>
      <c r="E188" s="557">
        <v>53.74</v>
      </c>
      <c r="F188" s="557">
        <v>51.92</v>
      </c>
      <c r="G188" s="557">
        <v>105.66</v>
      </c>
    </row>
    <row r="189" spans="1:7" ht="12.6" customHeight="1" x14ac:dyDescent="0.2">
      <c r="A189" s="548" t="s">
        <v>31941</v>
      </c>
      <c r="B189" s="548" t="s">
        <v>31942</v>
      </c>
      <c r="C189" s="550" t="s">
        <v>227</v>
      </c>
      <c r="D189" s="550">
        <v>105.31</v>
      </c>
      <c r="E189" s="550">
        <v>53.74</v>
      </c>
      <c r="F189" s="550">
        <v>51.57</v>
      </c>
      <c r="G189" s="550">
        <v>105.31</v>
      </c>
    </row>
    <row r="190" spans="1:7" ht="12.6" customHeight="1" x14ac:dyDescent="0.25">
      <c r="A190" s="551" t="s">
        <v>31943</v>
      </c>
      <c r="B190" s="551" t="s">
        <v>31944</v>
      </c>
      <c r="C190" s="552" t="s">
        <v>31945</v>
      </c>
      <c r="D190" s="557">
        <v>43.83</v>
      </c>
      <c r="E190" s="557">
        <v>42.86</v>
      </c>
      <c r="F190" s="557">
        <v>0.97</v>
      </c>
      <c r="G190" s="557">
        <v>43.83</v>
      </c>
    </row>
    <row r="191" spans="1:7" ht="12.6" customHeight="1" x14ac:dyDescent="0.25">
      <c r="A191" s="551" t="s">
        <v>31946</v>
      </c>
      <c r="B191" s="551" t="s">
        <v>31947</v>
      </c>
      <c r="C191" s="552" t="s">
        <v>227</v>
      </c>
      <c r="D191" s="557">
        <v>17.53</v>
      </c>
      <c r="E191" s="557">
        <v>13.64</v>
      </c>
      <c r="F191" s="557">
        <v>3.89</v>
      </c>
      <c r="G191" s="557">
        <v>17.53</v>
      </c>
    </row>
    <row r="192" spans="1:7" ht="12.6" customHeight="1" x14ac:dyDescent="0.25">
      <c r="A192" s="551" t="s">
        <v>31948</v>
      </c>
      <c r="B192" s="551" t="s">
        <v>31949</v>
      </c>
      <c r="C192" s="552" t="s">
        <v>227</v>
      </c>
      <c r="D192" s="557">
        <v>126.22</v>
      </c>
      <c r="E192" s="557">
        <v>89.08</v>
      </c>
      <c r="F192" s="557">
        <v>37.14</v>
      </c>
      <c r="G192" s="557">
        <v>126.22</v>
      </c>
    </row>
    <row r="193" spans="1:9" ht="12.6" customHeight="1" x14ac:dyDescent="0.25">
      <c r="A193" s="551" t="s">
        <v>31950</v>
      </c>
      <c r="B193" s="551" t="s">
        <v>31951</v>
      </c>
      <c r="C193" s="552" t="s">
        <v>227</v>
      </c>
      <c r="D193" s="557">
        <v>137.94</v>
      </c>
      <c r="E193" s="557">
        <v>100.8</v>
      </c>
      <c r="F193" s="557">
        <v>37.14</v>
      </c>
      <c r="G193" s="557">
        <v>137.94</v>
      </c>
    </row>
    <row r="194" spans="1:9" ht="12.6" customHeight="1" x14ac:dyDescent="0.25">
      <c r="A194" s="551" t="s">
        <v>31952</v>
      </c>
      <c r="B194" s="551" t="s">
        <v>31953</v>
      </c>
      <c r="C194" s="552" t="s">
        <v>159</v>
      </c>
      <c r="D194" s="557">
        <v>106.31</v>
      </c>
      <c r="E194" s="557">
        <v>63.46</v>
      </c>
      <c r="F194" s="557">
        <v>42.85</v>
      </c>
      <c r="G194" s="557">
        <v>106.31</v>
      </c>
    </row>
    <row r="195" spans="1:9" ht="24.95" customHeight="1" x14ac:dyDescent="0.25">
      <c r="A195" s="551" t="s">
        <v>31954</v>
      </c>
      <c r="B195" s="342" t="s">
        <v>31955</v>
      </c>
      <c r="C195" s="552"/>
      <c r="D195" s="557"/>
      <c r="E195" s="557"/>
      <c r="F195" s="557"/>
      <c r="G195" s="557"/>
    </row>
    <row r="196" spans="1:9" ht="12.6" customHeight="1" x14ac:dyDescent="0.25">
      <c r="A196" s="551" t="s">
        <v>31956</v>
      </c>
      <c r="B196" s="551" t="s">
        <v>31957</v>
      </c>
      <c r="C196" s="552" t="s">
        <v>158</v>
      </c>
      <c r="D196" s="557">
        <v>11.89</v>
      </c>
      <c r="E196" s="557"/>
      <c r="F196" s="557">
        <v>11.89</v>
      </c>
      <c r="G196" s="557">
        <v>11.89</v>
      </c>
    </row>
    <row r="197" spans="1:9" ht="12.6" customHeight="1" x14ac:dyDescent="0.25">
      <c r="A197" s="551" t="s">
        <v>31958</v>
      </c>
      <c r="B197" s="551" t="s">
        <v>31959</v>
      </c>
      <c r="C197" s="552" t="s">
        <v>158</v>
      </c>
      <c r="D197" s="557">
        <v>30</v>
      </c>
      <c r="E197" s="557"/>
      <c r="F197" s="557">
        <v>30</v>
      </c>
      <c r="G197" s="557">
        <v>30</v>
      </c>
    </row>
    <row r="198" spans="1:9" ht="12.6" customHeight="1" x14ac:dyDescent="0.25">
      <c r="A198" s="551" t="s">
        <v>31960</v>
      </c>
      <c r="B198" s="551" t="s">
        <v>31961</v>
      </c>
      <c r="C198" s="552" t="s">
        <v>227</v>
      </c>
      <c r="D198" s="557">
        <v>11.89</v>
      </c>
      <c r="E198" s="557"/>
      <c r="F198" s="557">
        <v>11.89</v>
      </c>
      <c r="G198" s="557">
        <v>11.89</v>
      </c>
    </row>
    <row r="199" spans="1:9" ht="12.6" customHeight="1" x14ac:dyDescent="0.25">
      <c r="A199" s="551" t="s">
        <v>31962</v>
      </c>
      <c r="B199" s="551" t="s">
        <v>31963</v>
      </c>
      <c r="C199" s="552" t="s">
        <v>227</v>
      </c>
      <c r="D199" s="557">
        <v>30</v>
      </c>
      <c r="E199" s="557"/>
      <c r="F199" s="557">
        <v>30</v>
      </c>
      <c r="G199" s="557">
        <v>30</v>
      </c>
    </row>
    <row r="200" spans="1:9" ht="24.95" customHeight="1" x14ac:dyDescent="0.25">
      <c r="A200" s="551" t="s">
        <v>31964</v>
      </c>
      <c r="B200" s="342" t="s">
        <v>31965</v>
      </c>
      <c r="C200" s="552" t="s">
        <v>31916</v>
      </c>
      <c r="D200" s="557">
        <v>2153.7399999999998</v>
      </c>
      <c r="E200" s="557">
        <v>2153.7399999999998</v>
      </c>
      <c r="F200" s="557"/>
      <c r="G200" s="557">
        <v>2153.7399999999998</v>
      </c>
    </row>
    <row r="201" spans="1:9" ht="12.6" customHeight="1" x14ac:dyDescent="0.2">
      <c r="A201" s="548" t="s">
        <v>31966</v>
      </c>
      <c r="B201" s="548" t="s">
        <v>31967</v>
      </c>
      <c r="C201" s="550" t="s">
        <v>31968</v>
      </c>
      <c r="D201" s="550">
        <v>27.62</v>
      </c>
      <c r="E201" s="550">
        <v>22.95</v>
      </c>
      <c r="F201" s="550">
        <v>4.67</v>
      </c>
      <c r="G201" s="550">
        <v>27.62</v>
      </c>
    </row>
    <row r="202" spans="1:9" ht="23.1" customHeight="1" x14ac:dyDescent="0.25">
      <c r="A202" s="551" t="s">
        <v>31969</v>
      </c>
      <c r="B202" s="551" t="s">
        <v>31970</v>
      </c>
      <c r="C202" s="552" t="s">
        <v>31945</v>
      </c>
      <c r="D202" s="557">
        <v>14.68</v>
      </c>
      <c r="E202" s="344">
        <v>10.01</v>
      </c>
      <c r="F202" s="557">
        <v>4.67</v>
      </c>
      <c r="G202" s="557">
        <v>14.68</v>
      </c>
    </row>
    <row r="203" spans="1:9" ht="24.95" customHeight="1" x14ac:dyDescent="0.25">
      <c r="A203" s="551" t="s">
        <v>31971</v>
      </c>
      <c r="B203" s="342" t="s">
        <v>31972</v>
      </c>
      <c r="C203" s="552"/>
      <c r="D203" s="557"/>
      <c r="E203" s="344"/>
      <c r="F203" s="557"/>
      <c r="G203" s="557"/>
    </row>
    <row r="204" spans="1:9" ht="24.95" customHeight="1" x14ac:dyDescent="0.25">
      <c r="A204" s="551" t="s">
        <v>31973</v>
      </c>
      <c r="B204" s="342" t="s">
        <v>31974</v>
      </c>
      <c r="C204" s="552" t="s">
        <v>31916</v>
      </c>
      <c r="D204" s="557">
        <v>13005.95</v>
      </c>
      <c r="E204" s="344">
        <v>9672.35</v>
      </c>
      <c r="F204" s="557">
        <v>3333.6</v>
      </c>
      <c r="G204" s="557">
        <v>13005.95</v>
      </c>
    </row>
    <row r="205" spans="1:9" ht="24.95" customHeight="1" x14ac:dyDescent="0.25">
      <c r="A205" s="551" t="s">
        <v>31975</v>
      </c>
      <c r="B205" s="342" t="s">
        <v>31976</v>
      </c>
      <c r="C205" s="552" t="s">
        <v>31916</v>
      </c>
      <c r="D205" s="557">
        <v>22839.56</v>
      </c>
      <c r="E205" s="344">
        <v>19505.96</v>
      </c>
      <c r="F205" s="557">
        <v>3333.6</v>
      </c>
      <c r="G205" s="557">
        <v>22839.56</v>
      </c>
    </row>
    <row r="206" spans="1:9" ht="24.95" customHeight="1" x14ac:dyDescent="0.25">
      <c r="A206" s="551" t="s">
        <v>31977</v>
      </c>
      <c r="B206" s="342" t="s">
        <v>31978</v>
      </c>
      <c r="C206" s="552"/>
      <c r="D206" s="553"/>
      <c r="E206" s="553"/>
      <c r="F206" s="344"/>
      <c r="G206" s="553"/>
    </row>
    <row r="207" spans="1:9" ht="12.6" customHeight="1" x14ac:dyDescent="0.25">
      <c r="A207" s="1180" t="s">
        <v>31979</v>
      </c>
      <c r="B207" s="1180" t="s">
        <v>31980</v>
      </c>
      <c r="C207" s="1181" t="s">
        <v>227</v>
      </c>
      <c r="D207" s="1182">
        <v>893.56</v>
      </c>
      <c r="E207" s="1182">
        <v>804.11</v>
      </c>
      <c r="F207" s="1182">
        <v>89.45</v>
      </c>
      <c r="G207" s="1182">
        <v>893.56</v>
      </c>
      <c r="I207" s="1375" t="s">
        <v>44099</v>
      </c>
    </row>
    <row r="208" spans="1:9" ht="12.6" customHeight="1" x14ac:dyDescent="0.25">
      <c r="A208" s="551" t="s">
        <v>31981</v>
      </c>
      <c r="B208" s="551" t="s">
        <v>31982</v>
      </c>
      <c r="C208" s="552" t="s">
        <v>227</v>
      </c>
      <c r="D208" s="557">
        <v>325.05</v>
      </c>
      <c r="E208" s="557">
        <v>299.74</v>
      </c>
      <c r="F208" s="557">
        <v>25.31</v>
      </c>
      <c r="G208" s="557">
        <v>325.05</v>
      </c>
    </row>
    <row r="209" spans="1:7" ht="12.6" customHeight="1" x14ac:dyDescent="0.2">
      <c r="A209" s="548" t="s">
        <v>31983</v>
      </c>
      <c r="B209" s="548" t="s">
        <v>31984</v>
      </c>
      <c r="C209" s="550" t="s">
        <v>227</v>
      </c>
      <c r="D209" s="550">
        <v>178.78</v>
      </c>
      <c r="E209" s="550">
        <v>127.72</v>
      </c>
      <c r="F209" s="550">
        <v>51.06</v>
      </c>
      <c r="G209" s="550">
        <v>178.78</v>
      </c>
    </row>
    <row r="210" spans="1:7" ht="24.95" customHeight="1" x14ac:dyDescent="0.25">
      <c r="A210" s="551" t="s">
        <v>31985</v>
      </c>
      <c r="B210" s="342" t="s">
        <v>31986</v>
      </c>
      <c r="C210" s="552"/>
      <c r="D210" s="553"/>
      <c r="E210" s="553"/>
      <c r="F210" s="553"/>
      <c r="G210" s="553"/>
    </row>
    <row r="211" spans="1:7" ht="24.95" customHeight="1" x14ac:dyDescent="0.25">
      <c r="A211" s="551" t="s">
        <v>31987</v>
      </c>
      <c r="B211" s="342" t="s">
        <v>228</v>
      </c>
      <c r="C211" s="552" t="s">
        <v>227</v>
      </c>
      <c r="D211" s="553">
        <v>7.47</v>
      </c>
      <c r="E211" s="553">
        <v>2.6</v>
      </c>
      <c r="F211" s="553">
        <v>4.87</v>
      </c>
      <c r="G211" s="553">
        <v>7.47</v>
      </c>
    </row>
    <row r="212" spans="1:7" ht="12.6" customHeight="1" x14ac:dyDescent="0.2">
      <c r="A212" s="548" t="s">
        <v>31988</v>
      </c>
      <c r="B212" s="548" t="s">
        <v>31989</v>
      </c>
      <c r="C212" s="550" t="s">
        <v>227</v>
      </c>
      <c r="D212" s="550">
        <v>4.3</v>
      </c>
      <c r="E212" s="550">
        <v>4.1399999999999997</v>
      </c>
      <c r="F212" s="550">
        <v>0.16</v>
      </c>
      <c r="G212" s="550">
        <v>4.3</v>
      </c>
    </row>
    <row r="213" spans="1:7" ht="12.6" customHeight="1" x14ac:dyDescent="0.25">
      <c r="A213" s="551" t="s">
        <v>229</v>
      </c>
      <c r="B213" s="551" t="s">
        <v>31990</v>
      </c>
      <c r="C213" s="552" t="s">
        <v>227</v>
      </c>
      <c r="D213" s="557">
        <v>4.62</v>
      </c>
      <c r="E213" s="557">
        <v>4.46</v>
      </c>
      <c r="F213" s="557">
        <v>0.16</v>
      </c>
      <c r="G213" s="557">
        <v>4.62</v>
      </c>
    </row>
    <row r="214" spans="1:7" ht="12.6" customHeight="1" x14ac:dyDescent="0.25">
      <c r="A214" s="551" t="s">
        <v>31991</v>
      </c>
      <c r="B214" s="551" t="s">
        <v>31992</v>
      </c>
      <c r="C214" s="552" t="s">
        <v>159</v>
      </c>
      <c r="D214" s="557">
        <v>78.989999999999995</v>
      </c>
      <c r="E214" s="557">
        <v>70.23</v>
      </c>
      <c r="F214" s="557">
        <v>8.76</v>
      </c>
      <c r="G214" s="557">
        <v>78.989999999999995</v>
      </c>
    </row>
    <row r="215" spans="1:7" ht="12.6" customHeight="1" x14ac:dyDescent="0.25">
      <c r="A215" s="551" t="s">
        <v>31993</v>
      </c>
      <c r="B215" s="551" t="s">
        <v>31994</v>
      </c>
      <c r="C215" s="552" t="s">
        <v>159</v>
      </c>
      <c r="D215" s="557">
        <v>93.03</v>
      </c>
      <c r="E215" s="557">
        <v>82.71</v>
      </c>
      <c r="F215" s="557">
        <v>10.32</v>
      </c>
      <c r="G215" s="557">
        <v>93.03</v>
      </c>
    </row>
    <row r="216" spans="1:7" ht="12.6" customHeight="1" x14ac:dyDescent="0.2">
      <c r="A216" s="548" t="s">
        <v>31995</v>
      </c>
      <c r="B216" s="548" t="s">
        <v>31996</v>
      </c>
      <c r="C216" s="550"/>
      <c r="D216" s="550"/>
      <c r="E216" s="550"/>
      <c r="F216" s="550"/>
      <c r="G216" s="550"/>
    </row>
    <row r="217" spans="1:7" ht="24.95" customHeight="1" x14ac:dyDescent="0.25">
      <c r="A217" s="551" t="s">
        <v>31997</v>
      </c>
      <c r="B217" s="342" t="s">
        <v>31998</v>
      </c>
      <c r="C217" s="552" t="s">
        <v>227</v>
      </c>
      <c r="D217" s="557">
        <v>17.010000000000002</v>
      </c>
      <c r="E217" s="557">
        <v>11.4</v>
      </c>
      <c r="F217" s="557">
        <v>5.61</v>
      </c>
      <c r="G217" s="557">
        <v>17.010000000000002</v>
      </c>
    </row>
    <row r="218" spans="1:7" ht="34.5" customHeight="1" x14ac:dyDescent="0.25">
      <c r="A218" s="554" t="s">
        <v>31999</v>
      </c>
      <c r="B218" s="342" t="s">
        <v>32000</v>
      </c>
      <c r="C218" s="555" t="s">
        <v>158</v>
      </c>
      <c r="D218" s="558">
        <v>1.43</v>
      </c>
      <c r="E218" s="558">
        <v>1.04</v>
      </c>
      <c r="F218" s="558">
        <v>0.39</v>
      </c>
      <c r="G218" s="558">
        <v>1.43</v>
      </c>
    </row>
    <row r="219" spans="1:7" ht="34.5" customHeight="1" x14ac:dyDescent="0.25">
      <c r="A219" s="554" t="s">
        <v>32001</v>
      </c>
      <c r="B219" s="551" t="s">
        <v>32002</v>
      </c>
      <c r="C219" s="555" t="s">
        <v>158</v>
      </c>
      <c r="D219" s="558">
        <v>1.43</v>
      </c>
      <c r="E219" s="558">
        <v>1.04</v>
      </c>
      <c r="F219" s="558">
        <v>0.39</v>
      </c>
      <c r="G219" s="558">
        <v>1.43</v>
      </c>
    </row>
    <row r="220" spans="1:7" ht="12.6" customHeight="1" x14ac:dyDescent="0.25">
      <c r="A220" s="551" t="s">
        <v>32003</v>
      </c>
      <c r="B220" s="551" t="s">
        <v>32004</v>
      </c>
      <c r="C220" s="552" t="s">
        <v>227</v>
      </c>
      <c r="D220" s="557">
        <v>1.8</v>
      </c>
      <c r="E220" s="557">
        <v>1</v>
      </c>
      <c r="F220" s="557">
        <v>0.8</v>
      </c>
      <c r="G220" s="557">
        <v>1.8</v>
      </c>
    </row>
    <row r="221" spans="1:7" ht="12.6" customHeight="1" x14ac:dyDescent="0.25">
      <c r="A221" s="551" t="s">
        <v>32005</v>
      </c>
      <c r="B221" s="551" t="s">
        <v>32006</v>
      </c>
      <c r="C221" s="552"/>
      <c r="D221" s="557"/>
      <c r="E221" s="557"/>
      <c r="F221" s="557"/>
      <c r="G221" s="557"/>
    </row>
    <row r="222" spans="1:7" ht="11.45" customHeight="1" x14ac:dyDescent="0.25">
      <c r="A222" s="543" t="s">
        <v>32007</v>
      </c>
      <c r="B222" s="544" t="s">
        <v>32008</v>
      </c>
      <c r="C222" s="544"/>
      <c r="D222" s="543"/>
      <c r="E222" s="545"/>
      <c r="F222" s="546"/>
      <c r="G222" s="543"/>
    </row>
    <row r="223" spans="1:7" ht="12.6" customHeight="1" x14ac:dyDescent="0.25">
      <c r="A223" s="548" t="s">
        <v>32009</v>
      </c>
      <c r="B223" s="548" t="s">
        <v>32010</v>
      </c>
      <c r="C223" s="549" t="s">
        <v>159</v>
      </c>
      <c r="D223" s="549">
        <v>214.17</v>
      </c>
      <c r="E223" s="549"/>
      <c r="F223" s="549">
        <v>214.17</v>
      </c>
      <c r="G223" s="549">
        <v>214.17</v>
      </c>
    </row>
    <row r="224" spans="1:7" ht="12.6" customHeight="1" x14ac:dyDescent="0.25">
      <c r="A224" s="551" t="s">
        <v>32011</v>
      </c>
      <c r="B224" s="551" t="s">
        <v>32012</v>
      </c>
      <c r="C224" s="552" t="s">
        <v>159</v>
      </c>
      <c r="D224" s="557">
        <v>389.4</v>
      </c>
      <c r="E224" s="557"/>
      <c r="F224" s="557">
        <v>389.4</v>
      </c>
      <c r="G224" s="557">
        <v>389.4</v>
      </c>
    </row>
    <row r="225" spans="1:7" ht="12.6" customHeight="1" x14ac:dyDescent="0.25">
      <c r="A225" s="551" t="s">
        <v>32013</v>
      </c>
      <c r="B225" s="551" t="s">
        <v>32014</v>
      </c>
      <c r="C225" s="552" t="s">
        <v>227</v>
      </c>
      <c r="D225" s="557">
        <v>29.21</v>
      </c>
      <c r="E225" s="557"/>
      <c r="F225" s="557">
        <v>29.21</v>
      </c>
      <c r="G225" s="557">
        <v>29.21</v>
      </c>
    </row>
    <row r="226" spans="1:7" ht="12.6" customHeight="1" x14ac:dyDescent="0.25">
      <c r="A226" s="551" t="s">
        <v>32015</v>
      </c>
      <c r="B226" s="551" t="s">
        <v>32016</v>
      </c>
      <c r="C226" s="552" t="s">
        <v>159</v>
      </c>
      <c r="D226" s="557">
        <v>575.27</v>
      </c>
      <c r="E226" s="557">
        <v>458.45</v>
      </c>
      <c r="F226" s="557">
        <v>116.82</v>
      </c>
      <c r="G226" s="557">
        <v>575.27</v>
      </c>
    </row>
    <row r="227" spans="1:7" ht="12.6" customHeight="1" x14ac:dyDescent="0.25">
      <c r="A227" s="551" t="s">
        <v>32017</v>
      </c>
      <c r="B227" s="551" t="s">
        <v>32018</v>
      </c>
      <c r="C227" s="552" t="s">
        <v>159</v>
      </c>
      <c r="D227" s="557">
        <v>553.36</v>
      </c>
      <c r="E227" s="557">
        <v>436.54</v>
      </c>
      <c r="F227" s="557">
        <v>116.82</v>
      </c>
      <c r="G227" s="557">
        <v>553.36</v>
      </c>
    </row>
    <row r="228" spans="1:7" ht="12.6" customHeight="1" x14ac:dyDescent="0.2">
      <c r="A228" s="547" t="s">
        <v>32019</v>
      </c>
      <c r="B228" s="548" t="s">
        <v>32020</v>
      </c>
      <c r="C228" s="550" t="s">
        <v>159</v>
      </c>
      <c r="D228" s="550">
        <v>318.06</v>
      </c>
      <c r="E228" s="550">
        <v>240.18</v>
      </c>
      <c r="F228" s="550">
        <v>77.88</v>
      </c>
      <c r="G228" s="550">
        <v>318.06</v>
      </c>
    </row>
    <row r="229" spans="1:7" ht="12.6" customHeight="1" x14ac:dyDescent="0.2">
      <c r="A229" s="548" t="s">
        <v>32021</v>
      </c>
      <c r="B229" s="548" t="s">
        <v>32022</v>
      </c>
      <c r="C229" s="550" t="s">
        <v>159</v>
      </c>
      <c r="D229" s="550">
        <v>296.14999999999998</v>
      </c>
      <c r="E229" s="550">
        <v>218.27</v>
      </c>
      <c r="F229" s="550">
        <v>77.88</v>
      </c>
      <c r="G229" s="550">
        <v>296.14999999999998</v>
      </c>
    </row>
    <row r="230" spans="1:7" ht="12.6" customHeight="1" x14ac:dyDescent="0.2">
      <c r="A230" s="551" t="s">
        <v>32023</v>
      </c>
      <c r="B230" s="551" t="s">
        <v>32024</v>
      </c>
      <c r="C230" s="552" t="s">
        <v>227</v>
      </c>
      <c r="D230" s="557">
        <v>31.32</v>
      </c>
      <c r="E230" s="343">
        <v>23.53</v>
      </c>
      <c r="F230" s="557">
        <v>7.79</v>
      </c>
      <c r="G230" s="557">
        <v>31.32</v>
      </c>
    </row>
    <row r="231" spans="1:7" ht="12.6" customHeight="1" x14ac:dyDescent="0.2">
      <c r="A231" s="551" t="s">
        <v>32025</v>
      </c>
      <c r="B231" s="551" t="s">
        <v>32026</v>
      </c>
      <c r="C231" s="552" t="s">
        <v>227</v>
      </c>
      <c r="D231" s="557">
        <v>29.62</v>
      </c>
      <c r="E231" s="343">
        <v>21.83</v>
      </c>
      <c r="F231" s="557">
        <v>7.79</v>
      </c>
      <c r="G231" s="557">
        <v>29.62</v>
      </c>
    </row>
    <row r="232" spans="1:7" ht="12.6" customHeight="1" x14ac:dyDescent="0.2">
      <c r="A232" s="551" t="s">
        <v>32027</v>
      </c>
      <c r="B232" s="551" t="s">
        <v>32028</v>
      </c>
      <c r="C232" s="552" t="s">
        <v>159</v>
      </c>
      <c r="D232" s="557">
        <v>313.14</v>
      </c>
      <c r="E232" s="343">
        <v>235.26</v>
      </c>
      <c r="F232" s="557">
        <v>77.88</v>
      </c>
      <c r="G232" s="557">
        <v>313.14</v>
      </c>
    </row>
    <row r="233" spans="1:7" ht="34.5" customHeight="1" x14ac:dyDescent="0.25">
      <c r="A233" s="554" t="s">
        <v>32029</v>
      </c>
      <c r="B233" s="551" t="s">
        <v>32030</v>
      </c>
      <c r="C233" s="555" t="s">
        <v>159</v>
      </c>
      <c r="D233" s="558">
        <v>296.14999999999998</v>
      </c>
      <c r="E233" s="558">
        <v>218.27</v>
      </c>
      <c r="F233" s="558">
        <v>77.88</v>
      </c>
      <c r="G233" s="558">
        <v>296.14999999999998</v>
      </c>
    </row>
    <row r="234" spans="1:7" ht="24.95" customHeight="1" x14ac:dyDescent="0.25">
      <c r="A234" s="551" t="s">
        <v>32031</v>
      </c>
      <c r="B234" s="342" t="s">
        <v>32032</v>
      </c>
      <c r="C234" s="552"/>
      <c r="D234" s="557"/>
      <c r="E234" s="557"/>
      <c r="F234" s="557"/>
      <c r="G234" s="557"/>
    </row>
    <row r="235" spans="1:7" ht="34.5" customHeight="1" x14ac:dyDescent="0.25">
      <c r="A235" s="554" t="s">
        <v>32033</v>
      </c>
      <c r="B235" s="551" t="s">
        <v>32034</v>
      </c>
      <c r="C235" s="555" t="s">
        <v>159</v>
      </c>
      <c r="D235" s="558">
        <v>116.82</v>
      </c>
      <c r="E235" s="558"/>
      <c r="F235" s="558">
        <v>116.82</v>
      </c>
      <c r="G235" s="558">
        <v>116.82</v>
      </c>
    </row>
    <row r="236" spans="1:7" ht="24.95" customHeight="1" x14ac:dyDescent="0.25">
      <c r="A236" s="551" t="s">
        <v>32035</v>
      </c>
      <c r="B236" s="342" t="s">
        <v>32036</v>
      </c>
      <c r="C236" s="552" t="s">
        <v>159</v>
      </c>
      <c r="D236" s="557">
        <v>77.88</v>
      </c>
      <c r="E236" s="557"/>
      <c r="F236" s="557">
        <v>77.88</v>
      </c>
      <c r="G236" s="557">
        <v>77.88</v>
      </c>
    </row>
    <row r="237" spans="1:7" ht="34.5" customHeight="1" x14ac:dyDescent="0.25">
      <c r="A237" s="554" t="s">
        <v>32037</v>
      </c>
      <c r="B237" s="551" t="s">
        <v>32038</v>
      </c>
      <c r="C237" s="555"/>
      <c r="D237" s="558"/>
      <c r="E237" s="558"/>
      <c r="F237" s="558"/>
      <c r="G237" s="558"/>
    </row>
    <row r="238" spans="1:7" ht="24.95" customHeight="1" x14ac:dyDescent="0.25">
      <c r="A238" s="551" t="s">
        <v>32039</v>
      </c>
      <c r="B238" s="342" t="s">
        <v>32040</v>
      </c>
      <c r="C238" s="552" t="s">
        <v>227</v>
      </c>
      <c r="D238" s="557">
        <v>2.92</v>
      </c>
      <c r="E238" s="557"/>
      <c r="F238" s="557">
        <v>2.92</v>
      </c>
      <c r="G238" s="557">
        <v>2.92</v>
      </c>
    </row>
    <row r="239" spans="1:7" ht="34.5" customHeight="1" x14ac:dyDescent="0.25">
      <c r="A239" s="554" t="s">
        <v>32041</v>
      </c>
      <c r="B239" s="551" t="s">
        <v>32042</v>
      </c>
      <c r="C239" s="555" t="s">
        <v>227</v>
      </c>
      <c r="D239" s="558">
        <v>5.84</v>
      </c>
      <c r="E239" s="558"/>
      <c r="F239" s="558">
        <v>5.84</v>
      </c>
      <c r="G239" s="558">
        <v>5.84</v>
      </c>
    </row>
    <row r="240" spans="1:7" ht="24.95" customHeight="1" x14ac:dyDescent="0.25">
      <c r="A240" s="551" t="s">
        <v>32043</v>
      </c>
      <c r="B240" s="342" t="s">
        <v>32044</v>
      </c>
      <c r="C240" s="552" t="s">
        <v>227</v>
      </c>
      <c r="D240" s="557">
        <v>9.74</v>
      </c>
      <c r="E240" s="557"/>
      <c r="F240" s="557">
        <v>9.74</v>
      </c>
      <c r="G240" s="557">
        <v>9.74</v>
      </c>
    </row>
    <row r="241" spans="1:7" ht="12.6" customHeight="1" x14ac:dyDescent="0.2">
      <c r="A241" s="548" t="s">
        <v>32045</v>
      </c>
      <c r="B241" s="548" t="s">
        <v>32046</v>
      </c>
      <c r="C241" s="550"/>
      <c r="D241" s="550"/>
      <c r="E241" s="550"/>
      <c r="F241" s="550"/>
      <c r="G241" s="550"/>
    </row>
    <row r="242" spans="1:7" ht="12.6" customHeight="1" x14ac:dyDescent="0.2">
      <c r="A242" s="551" t="s">
        <v>32047</v>
      </c>
      <c r="B242" s="551" t="s">
        <v>32048</v>
      </c>
      <c r="C242" s="552" t="s">
        <v>227</v>
      </c>
      <c r="D242" s="557">
        <v>11.68</v>
      </c>
      <c r="E242" s="343"/>
      <c r="F242" s="557">
        <v>11.68</v>
      </c>
      <c r="G242" s="557">
        <v>11.68</v>
      </c>
    </row>
    <row r="243" spans="1:7" ht="24.95" customHeight="1" x14ac:dyDescent="0.25">
      <c r="A243" s="551" t="s">
        <v>32049</v>
      </c>
      <c r="B243" s="342" t="s">
        <v>32050</v>
      </c>
      <c r="C243" s="552" t="s">
        <v>227</v>
      </c>
      <c r="D243" s="557">
        <v>9.74</v>
      </c>
      <c r="E243" s="344"/>
      <c r="F243" s="557">
        <v>9.74</v>
      </c>
      <c r="G243" s="557">
        <v>9.74</v>
      </c>
    </row>
    <row r="244" spans="1:7" ht="12.6" customHeight="1" x14ac:dyDescent="0.2">
      <c r="A244" s="548" t="s">
        <v>32051</v>
      </c>
      <c r="B244" s="548" t="s">
        <v>32052</v>
      </c>
      <c r="C244" s="550" t="s">
        <v>158</v>
      </c>
      <c r="D244" s="550">
        <v>2.92</v>
      </c>
      <c r="E244" s="550"/>
      <c r="F244" s="550">
        <v>2.92</v>
      </c>
      <c r="G244" s="550">
        <v>2.92</v>
      </c>
    </row>
    <row r="245" spans="1:7" ht="12.6" customHeight="1" x14ac:dyDescent="0.2">
      <c r="A245" s="551" t="s">
        <v>32053</v>
      </c>
      <c r="B245" s="551" t="s">
        <v>32054</v>
      </c>
      <c r="C245" s="552"/>
      <c r="D245" s="557"/>
      <c r="E245" s="343"/>
      <c r="F245" s="557"/>
      <c r="G245" s="557"/>
    </row>
    <row r="246" spans="1:7" ht="12.6" customHeight="1" x14ac:dyDescent="0.2">
      <c r="A246" s="551" t="s">
        <v>32055</v>
      </c>
      <c r="B246" s="551" t="s">
        <v>32056</v>
      </c>
      <c r="C246" s="552" t="s">
        <v>227</v>
      </c>
      <c r="D246" s="557">
        <v>7.79</v>
      </c>
      <c r="E246" s="343"/>
      <c r="F246" s="557">
        <v>7.79</v>
      </c>
      <c r="G246" s="557">
        <v>7.79</v>
      </c>
    </row>
    <row r="247" spans="1:7" ht="12.6" customHeight="1" x14ac:dyDescent="0.2">
      <c r="A247" s="551" t="s">
        <v>32057</v>
      </c>
      <c r="B247" s="551" t="s">
        <v>32058</v>
      </c>
      <c r="C247" s="552"/>
      <c r="D247" s="557"/>
      <c r="E247" s="343"/>
      <c r="F247" s="557"/>
      <c r="G247" s="557"/>
    </row>
    <row r="248" spans="1:7" ht="12.6" customHeight="1" x14ac:dyDescent="0.2">
      <c r="A248" s="548" t="s">
        <v>32059</v>
      </c>
      <c r="B248" s="548" t="s">
        <v>32060</v>
      </c>
      <c r="C248" s="550" t="s">
        <v>227</v>
      </c>
      <c r="D248" s="550">
        <v>27.32</v>
      </c>
      <c r="E248" s="550">
        <v>17.579999999999998</v>
      </c>
      <c r="F248" s="550">
        <v>9.74</v>
      </c>
      <c r="G248" s="550">
        <v>27.32</v>
      </c>
    </row>
    <row r="249" spans="1:7" ht="12.6" customHeight="1" x14ac:dyDescent="0.2">
      <c r="A249" s="551" t="s">
        <v>32061</v>
      </c>
      <c r="B249" s="551" t="s">
        <v>32062</v>
      </c>
      <c r="C249" s="552" t="s">
        <v>227</v>
      </c>
      <c r="D249" s="557">
        <v>11.32</v>
      </c>
      <c r="E249" s="343">
        <v>1.58</v>
      </c>
      <c r="F249" s="557">
        <v>9.74</v>
      </c>
      <c r="G249" s="557">
        <v>11.32</v>
      </c>
    </row>
    <row r="250" spans="1:7" ht="23.1" customHeight="1" x14ac:dyDescent="0.25">
      <c r="A250" s="551" t="s">
        <v>32063</v>
      </c>
      <c r="B250" s="551" t="s">
        <v>32064</v>
      </c>
      <c r="C250" s="552"/>
      <c r="D250" s="557"/>
      <c r="E250" s="344"/>
      <c r="F250" s="557"/>
      <c r="G250" s="557"/>
    </row>
    <row r="251" spans="1:7" ht="24.95" customHeight="1" x14ac:dyDescent="0.25">
      <c r="A251" s="551" t="s">
        <v>32065</v>
      </c>
      <c r="B251" s="342" t="s">
        <v>32066</v>
      </c>
      <c r="C251" s="552" t="s">
        <v>227</v>
      </c>
      <c r="D251" s="557">
        <v>28.06</v>
      </c>
      <c r="E251" s="344">
        <v>24.17</v>
      </c>
      <c r="F251" s="557">
        <v>3.89</v>
      </c>
      <c r="G251" s="557">
        <v>28.06</v>
      </c>
    </row>
    <row r="252" spans="1:7" ht="12.6" customHeight="1" x14ac:dyDescent="0.2">
      <c r="A252" s="548" t="s">
        <v>32067</v>
      </c>
      <c r="B252" s="548" t="s">
        <v>32068</v>
      </c>
      <c r="C252" s="550" t="s">
        <v>227</v>
      </c>
      <c r="D252" s="550">
        <v>25.72</v>
      </c>
      <c r="E252" s="550">
        <v>21.83</v>
      </c>
      <c r="F252" s="550">
        <v>3.89</v>
      </c>
      <c r="G252" s="550">
        <v>25.72</v>
      </c>
    </row>
    <row r="253" spans="1:7" ht="12.6" customHeight="1" x14ac:dyDescent="0.2">
      <c r="A253" s="551" t="s">
        <v>32069</v>
      </c>
      <c r="B253" s="551" t="s">
        <v>32070</v>
      </c>
      <c r="C253" s="552" t="s">
        <v>227</v>
      </c>
      <c r="D253" s="557">
        <v>10.9</v>
      </c>
      <c r="E253" s="343">
        <v>9.5399999999999991</v>
      </c>
      <c r="F253" s="557">
        <v>1.36</v>
      </c>
      <c r="G253" s="557">
        <v>10.9</v>
      </c>
    </row>
    <row r="254" spans="1:7" ht="12.6" customHeight="1" x14ac:dyDescent="0.2">
      <c r="A254" s="548" t="s">
        <v>32071</v>
      </c>
      <c r="B254" s="548" t="s">
        <v>32072</v>
      </c>
      <c r="C254" s="550" t="s">
        <v>227</v>
      </c>
      <c r="D254" s="550">
        <v>8.23</v>
      </c>
      <c r="E254" s="550">
        <v>6.87</v>
      </c>
      <c r="F254" s="550">
        <v>1.36</v>
      </c>
      <c r="G254" s="550">
        <v>8.23</v>
      </c>
    </row>
    <row r="255" spans="1:7" ht="34.5" customHeight="1" x14ac:dyDescent="0.25">
      <c r="A255" s="554" t="s">
        <v>32073</v>
      </c>
      <c r="B255" s="342" t="s">
        <v>32074</v>
      </c>
      <c r="C255" s="555" t="s">
        <v>227</v>
      </c>
      <c r="D255" s="558">
        <v>13.29</v>
      </c>
      <c r="E255" s="558">
        <v>12.71</v>
      </c>
      <c r="F255" s="558">
        <v>0.57999999999999996</v>
      </c>
      <c r="G255" s="558">
        <v>13.29</v>
      </c>
    </row>
    <row r="256" spans="1:7" ht="34.5" customHeight="1" x14ac:dyDescent="0.25">
      <c r="A256" s="554" t="s">
        <v>32075</v>
      </c>
      <c r="B256" s="551" t="s">
        <v>32076</v>
      </c>
      <c r="C256" s="555"/>
      <c r="D256" s="558"/>
      <c r="E256" s="558"/>
      <c r="F256" s="558"/>
      <c r="G256" s="558"/>
    </row>
    <row r="257" spans="1:7" ht="12.6" customHeight="1" x14ac:dyDescent="0.2">
      <c r="A257" s="548" t="s">
        <v>32077</v>
      </c>
      <c r="B257" s="548" t="s">
        <v>32078</v>
      </c>
      <c r="C257" s="550" t="s">
        <v>227</v>
      </c>
      <c r="D257" s="550">
        <v>10.119999999999999</v>
      </c>
      <c r="E257" s="550"/>
      <c r="F257" s="550">
        <v>10.119999999999999</v>
      </c>
      <c r="G257" s="550">
        <v>10.119999999999999</v>
      </c>
    </row>
    <row r="258" spans="1:7" ht="34.5" customHeight="1" x14ac:dyDescent="0.25">
      <c r="A258" s="554" t="s">
        <v>32079</v>
      </c>
      <c r="B258" s="551" t="s">
        <v>32080</v>
      </c>
      <c r="C258" s="555" t="s">
        <v>227</v>
      </c>
      <c r="D258" s="558">
        <v>5.84</v>
      </c>
      <c r="E258" s="558"/>
      <c r="F258" s="558">
        <v>5.84</v>
      </c>
      <c r="G258" s="558">
        <v>5.84</v>
      </c>
    </row>
    <row r="259" spans="1:7" ht="11.45" customHeight="1" x14ac:dyDescent="0.25">
      <c r="A259" s="543" t="s">
        <v>32081</v>
      </c>
      <c r="B259" s="544" t="s">
        <v>32082</v>
      </c>
      <c r="C259" s="544" t="s">
        <v>227</v>
      </c>
      <c r="D259" s="543">
        <v>5.84</v>
      </c>
      <c r="E259" s="545"/>
      <c r="F259" s="546">
        <v>5.84</v>
      </c>
      <c r="G259" s="543">
        <v>5.84</v>
      </c>
    </row>
    <row r="260" spans="1:7" ht="24.95" customHeight="1" x14ac:dyDescent="0.25">
      <c r="A260" s="551" t="s">
        <v>32083</v>
      </c>
      <c r="B260" s="342" t="s">
        <v>32084</v>
      </c>
      <c r="C260" s="552" t="s">
        <v>227</v>
      </c>
      <c r="D260" s="557">
        <v>6.43</v>
      </c>
      <c r="E260" s="557"/>
      <c r="F260" s="557">
        <v>6.43</v>
      </c>
      <c r="G260" s="557">
        <v>6.43</v>
      </c>
    </row>
    <row r="261" spans="1:7" ht="24.95" customHeight="1" x14ac:dyDescent="0.25">
      <c r="A261" s="551" t="s">
        <v>32085</v>
      </c>
      <c r="B261" s="342" t="s">
        <v>32086</v>
      </c>
      <c r="C261" s="552"/>
      <c r="D261" s="557"/>
      <c r="E261" s="557"/>
      <c r="F261" s="557"/>
      <c r="G261" s="557"/>
    </row>
    <row r="262" spans="1:7" ht="24.95" customHeight="1" x14ac:dyDescent="0.25">
      <c r="A262" s="551" t="s">
        <v>32087</v>
      </c>
      <c r="B262" s="342" t="s">
        <v>32088</v>
      </c>
      <c r="C262" s="552" t="s">
        <v>227</v>
      </c>
      <c r="D262" s="557">
        <v>15.66</v>
      </c>
      <c r="E262" s="557"/>
      <c r="F262" s="557">
        <v>15.66</v>
      </c>
      <c r="G262" s="557">
        <v>15.66</v>
      </c>
    </row>
    <row r="263" spans="1:7" ht="24.95" customHeight="1" x14ac:dyDescent="0.25">
      <c r="A263" s="551" t="s">
        <v>32089</v>
      </c>
      <c r="B263" s="342" t="s">
        <v>32090</v>
      </c>
      <c r="C263" s="552" t="s">
        <v>227</v>
      </c>
      <c r="D263" s="557">
        <v>18.79</v>
      </c>
      <c r="E263" s="557"/>
      <c r="F263" s="557">
        <v>18.79</v>
      </c>
      <c r="G263" s="557">
        <v>18.79</v>
      </c>
    </row>
    <row r="264" spans="1:7" ht="12.6" customHeight="1" x14ac:dyDescent="0.2">
      <c r="A264" s="548" t="s">
        <v>32091</v>
      </c>
      <c r="B264" s="548" t="s">
        <v>32092</v>
      </c>
      <c r="C264" s="550" t="s">
        <v>158</v>
      </c>
      <c r="D264" s="550">
        <v>6.26</v>
      </c>
      <c r="E264" s="550"/>
      <c r="F264" s="550">
        <v>6.26</v>
      </c>
      <c r="G264" s="550">
        <v>6.26</v>
      </c>
    </row>
    <row r="265" spans="1:7" ht="24.95" customHeight="1" x14ac:dyDescent="0.25">
      <c r="A265" s="551" t="s">
        <v>32093</v>
      </c>
      <c r="B265" s="342" t="s">
        <v>32094</v>
      </c>
      <c r="C265" s="552"/>
      <c r="D265" s="557"/>
      <c r="E265" s="344"/>
      <c r="F265" s="557"/>
      <c r="G265" s="557"/>
    </row>
    <row r="266" spans="1:7" ht="24.95" customHeight="1" x14ac:dyDescent="0.25">
      <c r="A266" s="551" t="s">
        <v>32095</v>
      </c>
      <c r="B266" s="342" t="s">
        <v>32096</v>
      </c>
      <c r="C266" s="552" t="s">
        <v>158</v>
      </c>
      <c r="D266" s="557">
        <v>1.5</v>
      </c>
      <c r="E266" s="344">
        <v>0.08</v>
      </c>
      <c r="F266" s="557">
        <v>1.42</v>
      </c>
      <c r="G266" s="557">
        <v>1.5</v>
      </c>
    </row>
    <row r="267" spans="1:7" ht="12.6" customHeight="1" x14ac:dyDescent="0.2">
      <c r="A267" s="551" t="s">
        <v>32097</v>
      </c>
      <c r="B267" s="551" t="s">
        <v>32098</v>
      </c>
      <c r="C267" s="552" t="s">
        <v>158</v>
      </c>
      <c r="D267" s="557">
        <v>2.19</v>
      </c>
      <c r="E267" s="343">
        <v>0.77</v>
      </c>
      <c r="F267" s="557">
        <v>1.42</v>
      </c>
      <c r="G267" s="557">
        <v>2.19</v>
      </c>
    </row>
    <row r="268" spans="1:7" ht="23.1" customHeight="1" x14ac:dyDescent="0.25">
      <c r="A268" s="551" t="s">
        <v>32099</v>
      </c>
      <c r="B268" s="551" t="s">
        <v>32100</v>
      </c>
      <c r="C268" s="552" t="s">
        <v>227</v>
      </c>
      <c r="D268" s="557">
        <v>15.19</v>
      </c>
      <c r="E268" s="344">
        <v>3.83</v>
      </c>
      <c r="F268" s="557">
        <v>11.36</v>
      </c>
      <c r="G268" s="557">
        <v>15.19</v>
      </c>
    </row>
    <row r="269" spans="1:7" ht="12.6" customHeight="1" x14ac:dyDescent="0.2">
      <c r="A269" s="548" t="s">
        <v>32101</v>
      </c>
      <c r="B269" s="548" t="s">
        <v>32102</v>
      </c>
      <c r="C269" s="550" t="s">
        <v>227</v>
      </c>
      <c r="D269" s="550">
        <v>8.9</v>
      </c>
      <c r="E269" s="550">
        <v>0.38</v>
      </c>
      <c r="F269" s="550">
        <v>8.52</v>
      </c>
      <c r="G269" s="550">
        <v>8.9</v>
      </c>
    </row>
    <row r="270" spans="1:7" ht="12.6" customHeight="1" x14ac:dyDescent="0.2">
      <c r="A270" s="551" t="s">
        <v>32103</v>
      </c>
      <c r="B270" s="551" t="s">
        <v>32104</v>
      </c>
      <c r="C270" s="552" t="s">
        <v>227</v>
      </c>
      <c r="D270" s="557">
        <v>12.35</v>
      </c>
      <c r="E270" s="343">
        <v>3.83</v>
      </c>
      <c r="F270" s="557">
        <v>8.52</v>
      </c>
      <c r="G270" s="557">
        <v>12.35</v>
      </c>
    </row>
    <row r="271" spans="1:7" ht="24.95" customHeight="1" x14ac:dyDescent="0.25">
      <c r="A271" s="551" t="s">
        <v>32105</v>
      </c>
      <c r="B271" s="342" t="s">
        <v>32106</v>
      </c>
      <c r="C271" s="552" t="s">
        <v>227</v>
      </c>
      <c r="D271" s="557">
        <v>6.06</v>
      </c>
      <c r="E271" s="344">
        <v>0.38</v>
      </c>
      <c r="F271" s="557">
        <v>5.68</v>
      </c>
      <c r="G271" s="557">
        <v>6.06</v>
      </c>
    </row>
    <row r="272" spans="1:7" ht="12.6" customHeight="1" x14ac:dyDescent="0.2">
      <c r="A272" s="551" t="s">
        <v>32107</v>
      </c>
      <c r="B272" s="551" t="s">
        <v>32108</v>
      </c>
      <c r="C272" s="552"/>
      <c r="D272" s="557"/>
      <c r="E272" s="343"/>
      <c r="F272" s="557"/>
      <c r="G272" s="557"/>
    </row>
    <row r="273" spans="1:7" ht="12.6" customHeight="1" x14ac:dyDescent="0.2">
      <c r="A273" s="548" t="s">
        <v>32109</v>
      </c>
      <c r="B273" s="548" t="s">
        <v>32110</v>
      </c>
      <c r="C273" s="550" t="s">
        <v>227</v>
      </c>
      <c r="D273" s="550">
        <v>92.18</v>
      </c>
      <c r="E273" s="550">
        <v>92.18</v>
      </c>
      <c r="F273" s="550"/>
      <c r="G273" s="550">
        <v>92.18</v>
      </c>
    </row>
    <row r="274" spans="1:7" ht="12.6" customHeight="1" x14ac:dyDescent="0.25">
      <c r="A274" s="551" t="s">
        <v>32111</v>
      </c>
      <c r="B274" s="551" t="s">
        <v>32112</v>
      </c>
      <c r="C274" s="552" t="s">
        <v>226</v>
      </c>
      <c r="D274" s="557">
        <v>12.61</v>
      </c>
      <c r="E274" s="557">
        <v>3.98</v>
      </c>
      <c r="F274" s="557">
        <v>8.6300000000000008</v>
      </c>
      <c r="G274" s="557">
        <v>12.61</v>
      </c>
    </row>
    <row r="275" spans="1:7" ht="23.1" customHeight="1" x14ac:dyDescent="0.25">
      <c r="A275" s="551" t="s">
        <v>32113</v>
      </c>
      <c r="B275" s="551" t="s">
        <v>32114</v>
      </c>
      <c r="C275" s="552"/>
      <c r="D275" s="557"/>
      <c r="E275" s="557"/>
      <c r="F275" s="557"/>
      <c r="G275" s="557"/>
    </row>
    <row r="276" spans="1:7" ht="24.95" customHeight="1" x14ac:dyDescent="0.25">
      <c r="A276" s="551" t="s">
        <v>32115</v>
      </c>
      <c r="B276" s="342" t="s">
        <v>32116</v>
      </c>
      <c r="C276" s="552"/>
      <c r="D276" s="557"/>
      <c r="E276" s="557"/>
      <c r="F276" s="557"/>
      <c r="G276" s="557"/>
    </row>
    <row r="277" spans="1:7" ht="23.1" customHeight="1" x14ac:dyDescent="0.25">
      <c r="A277" s="551" t="s">
        <v>32117</v>
      </c>
      <c r="B277" s="551" t="s">
        <v>32118</v>
      </c>
      <c r="C277" s="552" t="s">
        <v>227</v>
      </c>
      <c r="D277" s="557">
        <v>35.54</v>
      </c>
      <c r="E277" s="557"/>
      <c r="F277" s="557">
        <v>35.54</v>
      </c>
      <c r="G277" s="557">
        <v>35.54</v>
      </c>
    </row>
    <row r="278" spans="1:7" ht="12.6" customHeight="1" x14ac:dyDescent="0.25">
      <c r="A278" s="551" t="s">
        <v>32119</v>
      </c>
      <c r="B278" s="551" t="s">
        <v>32120</v>
      </c>
      <c r="C278" s="552" t="s">
        <v>227</v>
      </c>
      <c r="D278" s="557">
        <v>30.8</v>
      </c>
      <c r="E278" s="557"/>
      <c r="F278" s="557">
        <v>30.8</v>
      </c>
      <c r="G278" s="557">
        <v>30.8</v>
      </c>
    </row>
    <row r="279" spans="1:7" ht="12.6" customHeight="1" x14ac:dyDescent="0.25">
      <c r="A279" s="551" t="s">
        <v>32121</v>
      </c>
      <c r="B279" s="551" t="s">
        <v>32122</v>
      </c>
      <c r="C279" s="552" t="s">
        <v>227</v>
      </c>
      <c r="D279" s="557">
        <v>18.95</v>
      </c>
      <c r="E279" s="557"/>
      <c r="F279" s="557">
        <v>18.95</v>
      </c>
      <c r="G279" s="557">
        <v>18.95</v>
      </c>
    </row>
    <row r="280" spans="1:7" ht="12.6" customHeight="1" x14ac:dyDescent="0.2">
      <c r="A280" s="548" t="s">
        <v>32123</v>
      </c>
      <c r="B280" s="548" t="s">
        <v>32124</v>
      </c>
      <c r="C280" s="550" t="s">
        <v>227</v>
      </c>
      <c r="D280" s="550">
        <v>3.35</v>
      </c>
      <c r="E280" s="550">
        <v>2.69</v>
      </c>
      <c r="F280" s="550">
        <v>0.66</v>
      </c>
      <c r="G280" s="550">
        <v>3.35</v>
      </c>
    </row>
    <row r="281" spans="1:7" ht="12.6" customHeight="1" x14ac:dyDescent="0.2">
      <c r="A281" s="551" t="s">
        <v>32125</v>
      </c>
      <c r="B281" s="551" t="s">
        <v>32126</v>
      </c>
      <c r="C281" s="552" t="s">
        <v>158</v>
      </c>
      <c r="D281" s="557">
        <v>4.0999999999999996</v>
      </c>
      <c r="E281" s="557"/>
      <c r="F281" s="343">
        <v>4.0999999999999996</v>
      </c>
      <c r="G281" s="557">
        <v>4.0999999999999996</v>
      </c>
    </row>
    <row r="282" spans="1:7" ht="12.6" customHeight="1" x14ac:dyDescent="0.25">
      <c r="A282" s="551" t="s">
        <v>32127</v>
      </c>
      <c r="B282" s="551" t="s">
        <v>32128</v>
      </c>
      <c r="C282" s="552" t="s">
        <v>158</v>
      </c>
      <c r="D282" s="557">
        <v>12.07</v>
      </c>
      <c r="E282" s="557"/>
      <c r="F282" s="557">
        <v>12.07</v>
      </c>
      <c r="G282" s="557">
        <v>12.07</v>
      </c>
    </row>
    <row r="283" spans="1:7" ht="12.6" customHeight="1" x14ac:dyDescent="0.2">
      <c r="A283" s="547" t="s">
        <v>32129</v>
      </c>
      <c r="B283" s="548" t="s">
        <v>32130</v>
      </c>
      <c r="C283" s="550"/>
      <c r="D283" s="550"/>
      <c r="E283" s="550"/>
      <c r="F283" s="550"/>
      <c r="G283" s="550"/>
    </row>
    <row r="284" spans="1:7" ht="12.6" customHeight="1" x14ac:dyDescent="0.2">
      <c r="A284" s="548" t="s">
        <v>32131</v>
      </c>
      <c r="B284" s="548" t="s">
        <v>32132</v>
      </c>
      <c r="C284" s="550" t="s">
        <v>158</v>
      </c>
      <c r="D284" s="550">
        <v>1.29</v>
      </c>
      <c r="E284" s="550"/>
      <c r="F284" s="550">
        <v>1.29</v>
      </c>
      <c r="G284" s="550">
        <v>1.29</v>
      </c>
    </row>
    <row r="285" spans="1:7" ht="12.6" customHeight="1" x14ac:dyDescent="0.2">
      <c r="A285" s="551" t="s">
        <v>32133</v>
      </c>
      <c r="B285" s="551" t="s">
        <v>32134</v>
      </c>
      <c r="C285" s="552" t="s">
        <v>158</v>
      </c>
      <c r="D285" s="557">
        <v>4.32</v>
      </c>
      <c r="E285" s="343"/>
      <c r="F285" s="557">
        <v>4.32</v>
      </c>
      <c r="G285" s="557">
        <v>4.32</v>
      </c>
    </row>
    <row r="286" spans="1:7" ht="24.95" customHeight="1" x14ac:dyDescent="0.25">
      <c r="A286" s="551" t="s">
        <v>32135</v>
      </c>
      <c r="B286" s="342" t="s">
        <v>32136</v>
      </c>
      <c r="C286" s="552" t="s">
        <v>227</v>
      </c>
      <c r="D286" s="557">
        <v>23.74</v>
      </c>
      <c r="E286" s="344"/>
      <c r="F286" s="557">
        <v>23.74</v>
      </c>
      <c r="G286" s="557">
        <v>23.74</v>
      </c>
    </row>
    <row r="287" spans="1:7" ht="23.1" customHeight="1" x14ac:dyDescent="0.25">
      <c r="A287" s="551" t="s">
        <v>32137</v>
      </c>
      <c r="B287" s="551" t="s">
        <v>32138</v>
      </c>
      <c r="C287" s="552" t="s">
        <v>227</v>
      </c>
      <c r="D287" s="557">
        <v>19.420000000000002</v>
      </c>
      <c r="E287" s="344"/>
      <c r="F287" s="557">
        <v>19.420000000000002</v>
      </c>
      <c r="G287" s="557">
        <v>19.420000000000002</v>
      </c>
    </row>
    <row r="288" spans="1:7" ht="12.6" customHeight="1" x14ac:dyDescent="0.25">
      <c r="A288" s="551" t="s">
        <v>32139</v>
      </c>
      <c r="B288" s="551" t="s">
        <v>32140</v>
      </c>
      <c r="C288" s="552" t="s">
        <v>227</v>
      </c>
      <c r="D288" s="557">
        <v>17.27</v>
      </c>
      <c r="E288" s="557"/>
      <c r="F288" s="557">
        <v>17.27</v>
      </c>
      <c r="G288" s="557">
        <v>17.27</v>
      </c>
    </row>
    <row r="289" spans="1:7" ht="24.95" customHeight="1" x14ac:dyDescent="0.25">
      <c r="A289" s="551" t="s">
        <v>32141</v>
      </c>
      <c r="B289" s="342" t="s">
        <v>32142</v>
      </c>
      <c r="C289" s="552" t="s">
        <v>227</v>
      </c>
      <c r="D289" s="557">
        <v>12.95</v>
      </c>
      <c r="E289" s="344"/>
      <c r="F289" s="557">
        <v>12.95</v>
      </c>
      <c r="G289" s="557">
        <v>12.95</v>
      </c>
    </row>
    <row r="290" spans="1:7" ht="12.6" customHeight="1" x14ac:dyDescent="0.2">
      <c r="A290" s="551" t="s">
        <v>32143</v>
      </c>
      <c r="B290" s="551" t="s">
        <v>32144</v>
      </c>
      <c r="C290" s="552" t="s">
        <v>6008</v>
      </c>
      <c r="D290" s="557">
        <v>2.33</v>
      </c>
      <c r="E290" s="343">
        <v>2.33</v>
      </c>
      <c r="F290" s="557"/>
      <c r="G290" s="557">
        <v>2.33</v>
      </c>
    </row>
    <row r="291" spans="1:7" ht="23.1" customHeight="1" x14ac:dyDescent="0.25">
      <c r="A291" s="548" t="s">
        <v>32145</v>
      </c>
      <c r="B291" s="548" t="s">
        <v>32146</v>
      </c>
      <c r="C291" s="549"/>
      <c r="D291" s="549"/>
      <c r="E291" s="549"/>
      <c r="F291" s="549"/>
      <c r="G291" s="549"/>
    </row>
    <row r="292" spans="1:7" ht="12.6" customHeight="1" x14ac:dyDescent="0.2">
      <c r="A292" s="551" t="s">
        <v>32147</v>
      </c>
      <c r="B292" s="551" t="s">
        <v>32148</v>
      </c>
      <c r="C292" s="552" t="s">
        <v>227</v>
      </c>
      <c r="D292" s="557">
        <v>15.58</v>
      </c>
      <c r="E292" s="343"/>
      <c r="F292" s="557">
        <v>15.58</v>
      </c>
      <c r="G292" s="557">
        <v>15.58</v>
      </c>
    </row>
    <row r="293" spans="1:7" ht="12.6" customHeight="1" x14ac:dyDescent="0.2">
      <c r="A293" s="551" t="s">
        <v>32149</v>
      </c>
      <c r="B293" s="551" t="s">
        <v>32150</v>
      </c>
      <c r="C293" s="552" t="s">
        <v>227</v>
      </c>
      <c r="D293" s="557">
        <v>7.79</v>
      </c>
      <c r="E293" s="343"/>
      <c r="F293" s="557">
        <v>7.79</v>
      </c>
      <c r="G293" s="557">
        <v>7.79</v>
      </c>
    </row>
    <row r="294" spans="1:7" ht="12.6" customHeight="1" x14ac:dyDescent="0.2">
      <c r="A294" s="551" t="s">
        <v>32151</v>
      </c>
      <c r="B294" s="551" t="s">
        <v>32152</v>
      </c>
      <c r="C294" s="552" t="s">
        <v>158</v>
      </c>
      <c r="D294" s="557">
        <v>5.84</v>
      </c>
      <c r="E294" s="343"/>
      <c r="F294" s="557">
        <v>5.84</v>
      </c>
      <c r="G294" s="557">
        <v>5.84</v>
      </c>
    </row>
    <row r="295" spans="1:7" ht="12.6" customHeight="1" x14ac:dyDescent="0.2">
      <c r="A295" s="551" t="s">
        <v>32153</v>
      </c>
      <c r="B295" s="551" t="s">
        <v>32154</v>
      </c>
      <c r="C295" s="552" t="s">
        <v>158</v>
      </c>
      <c r="D295" s="557">
        <v>9.74</v>
      </c>
      <c r="E295" s="343"/>
      <c r="F295" s="557">
        <v>9.74</v>
      </c>
      <c r="G295" s="557">
        <v>9.74</v>
      </c>
    </row>
    <row r="296" spans="1:7" ht="12.6" customHeight="1" x14ac:dyDescent="0.2">
      <c r="A296" s="551" t="s">
        <v>32155</v>
      </c>
      <c r="B296" s="551" t="s">
        <v>32156</v>
      </c>
      <c r="C296" s="552" t="s">
        <v>227</v>
      </c>
      <c r="D296" s="557">
        <v>11.85</v>
      </c>
      <c r="E296" s="343"/>
      <c r="F296" s="557">
        <v>11.85</v>
      </c>
      <c r="G296" s="557">
        <v>11.85</v>
      </c>
    </row>
    <row r="297" spans="1:7" ht="23.1" customHeight="1" x14ac:dyDescent="0.25">
      <c r="A297" s="551" t="s">
        <v>32157</v>
      </c>
      <c r="B297" s="551" t="s">
        <v>32158</v>
      </c>
      <c r="C297" s="552"/>
      <c r="D297" s="557"/>
      <c r="E297" s="344"/>
      <c r="F297" s="557"/>
      <c r="G297" s="557"/>
    </row>
    <row r="298" spans="1:7" ht="12.6" customHeight="1" x14ac:dyDescent="0.2">
      <c r="A298" s="551" t="s">
        <v>32159</v>
      </c>
      <c r="B298" s="551" t="s">
        <v>32160</v>
      </c>
      <c r="C298" s="552" t="s">
        <v>227</v>
      </c>
      <c r="D298" s="557">
        <v>41.65</v>
      </c>
      <c r="E298" s="557"/>
      <c r="F298" s="343">
        <v>41.65</v>
      </c>
      <c r="G298" s="557">
        <v>41.65</v>
      </c>
    </row>
    <row r="299" spans="1:7" ht="12.6" customHeight="1" x14ac:dyDescent="0.2">
      <c r="A299" s="548" t="s">
        <v>32161</v>
      </c>
      <c r="B299" s="548" t="s">
        <v>32162</v>
      </c>
      <c r="C299" s="550" t="s">
        <v>227</v>
      </c>
      <c r="D299" s="550">
        <v>25.31</v>
      </c>
      <c r="E299" s="550"/>
      <c r="F299" s="550">
        <v>25.31</v>
      </c>
      <c r="G299" s="550">
        <v>25.31</v>
      </c>
    </row>
    <row r="300" spans="1:7" ht="12.6" customHeight="1" x14ac:dyDescent="0.2">
      <c r="A300" s="551" t="s">
        <v>32163</v>
      </c>
      <c r="B300" s="551" t="s">
        <v>32164</v>
      </c>
      <c r="C300" s="552" t="s">
        <v>158</v>
      </c>
      <c r="D300" s="557">
        <v>17.52</v>
      </c>
      <c r="E300" s="343"/>
      <c r="F300" s="557">
        <v>17.52</v>
      </c>
      <c r="G300" s="557">
        <v>17.52</v>
      </c>
    </row>
    <row r="301" spans="1:7" ht="11.45" customHeight="1" x14ac:dyDescent="0.25">
      <c r="A301" s="543" t="s">
        <v>32165</v>
      </c>
      <c r="B301" s="544" t="s">
        <v>32166</v>
      </c>
      <c r="C301" s="544" t="s">
        <v>158</v>
      </c>
      <c r="D301" s="543">
        <v>19.47</v>
      </c>
      <c r="E301" s="545"/>
      <c r="F301" s="546">
        <v>19.47</v>
      </c>
      <c r="G301" s="543">
        <v>19.47</v>
      </c>
    </row>
    <row r="302" spans="1:7" ht="12.6" customHeight="1" x14ac:dyDescent="0.25">
      <c r="A302" s="551" t="s">
        <v>32167</v>
      </c>
      <c r="B302" s="551" t="s">
        <v>32168</v>
      </c>
      <c r="C302" s="552" t="s">
        <v>158</v>
      </c>
      <c r="D302" s="557">
        <v>15.58</v>
      </c>
      <c r="E302" s="344"/>
      <c r="F302" s="557">
        <v>15.58</v>
      </c>
      <c r="G302" s="557">
        <v>15.58</v>
      </c>
    </row>
    <row r="303" spans="1:7" ht="12.6" customHeight="1" x14ac:dyDescent="0.2">
      <c r="A303" s="551" t="s">
        <v>32169</v>
      </c>
      <c r="B303" s="551" t="s">
        <v>32170</v>
      </c>
      <c r="C303" s="552"/>
      <c r="D303" s="557"/>
      <c r="E303" s="343"/>
      <c r="F303" s="557"/>
      <c r="G303" s="557"/>
    </row>
    <row r="304" spans="1:7" ht="12.6" customHeight="1" x14ac:dyDescent="0.2">
      <c r="A304" s="551" t="s">
        <v>32171</v>
      </c>
      <c r="B304" s="551" t="s">
        <v>32172</v>
      </c>
      <c r="C304" s="552" t="s">
        <v>227</v>
      </c>
      <c r="D304" s="557">
        <v>54.6</v>
      </c>
      <c r="E304" s="343"/>
      <c r="F304" s="557">
        <v>54.6</v>
      </c>
      <c r="G304" s="557">
        <v>54.6</v>
      </c>
    </row>
    <row r="305" spans="1:7" ht="12.6" customHeight="1" x14ac:dyDescent="0.2">
      <c r="A305" s="551" t="s">
        <v>32173</v>
      </c>
      <c r="B305" s="551" t="s">
        <v>32174</v>
      </c>
      <c r="C305" s="552" t="s">
        <v>227</v>
      </c>
      <c r="D305" s="557">
        <v>11.68</v>
      </c>
      <c r="E305" s="343"/>
      <c r="F305" s="557">
        <v>11.68</v>
      </c>
      <c r="G305" s="557">
        <v>11.68</v>
      </c>
    </row>
    <row r="306" spans="1:7" ht="12.6" customHeight="1" x14ac:dyDescent="0.2">
      <c r="A306" s="548" t="s">
        <v>32175</v>
      </c>
      <c r="B306" s="548" t="s">
        <v>32176</v>
      </c>
      <c r="C306" s="550" t="s">
        <v>227</v>
      </c>
      <c r="D306" s="550">
        <v>15.1</v>
      </c>
      <c r="E306" s="550"/>
      <c r="F306" s="550">
        <v>15.1</v>
      </c>
      <c r="G306" s="550">
        <v>15.1</v>
      </c>
    </row>
    <row r="307" spans="1:7" ht="24.95" customHeight="1" x14ac:dyDescent="0.25">
      <c r="A307" s="551" t="s">
        <v>32177</v>
      </c>
      <c r="B307" s="342" t="s">
        <v>32178</v>
      </c>
      <c r="C307" s="552" t="s">
        <v>227</v>
      </c>
      <c r="D307" s="557">
        <v>25.89</v>
      </c>
      <c r="E307" s="344"/>
      <c r="F307" s="557">
        <v>25.89</v>
      </c>
      <c r="G307" s="557">
        <v>25.89</v>
      </c>
    </row>
    <row r="308" spans="1:7" ht="12.6" customHeight="1" x14ac:dyDescent="0.2">
      <c r="A308" s="551" t="s">
        <v>32179</v>
      </c>
      <c r="B308" s="551" t="s">
        <v>32180</v>
      </c>
      <c r="C308" s="552" t="s">
        <v>158</v>
      </c>
      <c r="D308" s="557">
        <v>12.95</v>
      </c>
      <c r="E308" s="343"/>
      <c r="F308" s="557">
        <v>12.95</v>
      </c>
      <c r="G308" s="557">
        <v>12.95</v>
      </c>
    </row>
    <row r="309" spans="1:7" ht="12.6" customHeight="1" x14ac:dyDescent="0.2">
      <c r="A309" s="551" t="s">
        <v>32181</v>
      </c>
      <c r="B309" s="551" t="s">
        <v>32182</v>
      </c>
      <c r="C309" s="552" t="s">
        <v>158</v>
      </c>
      <c r="D309" s="557">
        <v>2.92</v>
      </c>
      <c r="E309" s="343"/>
      <c r="F309" s="557">
        <v>2.92</v>
      </c>
      <c r="G309" s="557">
        <v>2.92</v>
      </c>
    </row>
    <row r="310" spans="1:7" ht="12.6" customHeight="1" x14ac:dyDescent="0.2">
      <c r="A310" s="551" t="s">
        <v>32183</v>
      </c>
      <c r="B310" s="551" t="s">
        <v>32184</v>
      </c>
      <c r="C310" s="552"/>
      <c r="D310" s="557"/>
      <c r="E310" s="343"/>
      <c r="F310" s="557"/>
      <c r="G310" s="557"/>
    </row>
    <row r="311" spans="1:7" ht="12.6" customHeight="1" x14ac:dyDescent="0.2">
      <c r="A311" s="551" t="s">
        <v>32185</v>
      </c>
      <c r="B311" s="551" t="s">
        <v>32186</v>
      </c>
      <c r="C311" s="552" t="s">
        <v>227</v>
      </c>
      <c r="D311" s="557">
        <v>54.6</v>
      </c>
      <c r="E311" s="343"/>
      <c r="F311" s="557">
        <v>54.6</v>
      </c>
      <c r="G311" s="557">
        <v>54.6</v>
      </c>
    </row>
    <row r="312" spans="1:7" ht="12.6" customHeight="1" x14ac:dyDescent="0.2">
      <c r="A312" s="548" t="s">
        <v>32187</v>
      </c>
      <c r="B312" s="548" t="s">
        <v>32188</v>
      </c>
      <c r="C312" s="550" t="s">
        <v>227</v>
      </c>
      <c r="D312" s="550">
        <v>4.32</v>
      </c>
      <c r="E312" s="550"/>
      <c r="F312" s="550">
        <v>4.32</v>
      </c>
      <c r="G312" s="550">
        <v>4.32</v>
      </c>
    </row>
    <row r="313" spans="1:7" ht="12.6" customHeight="1" x14ac:dyDescent="0.2">
      <c r="A313" s="551" t="s">
        <v>32189</v>
      </c>
      <c r="B313" s="551" t="s">
        <v>32190</v>
      </c>
      <c r="C313" s="552" t="s">
        <v>158</v>
      </c>
      <c r="D313" s="557">
        <v>4.01</v>
      </c>
      <c r="E313" s="343"/>
      <c r="F313" s="557">
        <v>4.01</v>
      </c>
      <c r="G313" s="557">
        <v>4.01</v>
      </c>
    </row>
    <row r="314" spans="1:7" ht="12.6" customHeight="1" x14ac:dyDescent="0.2">
      <c r="A314" s="551" t="s">
        <v>32191</v>
      </c>
      <c r="B314" s="551" t="s">
        <v>32192</v>
      </c>
      <c r="C314" s="552" t="s">
        <v>158</v>
      </c>
      <c r="D314" s="557">
        <v>0.97</v>
      </c>
      <c r="E314" s="343"/>
      <c r="F314" s="557">
        <v>0.97</v>
      </c>
      <c r="G314" s="557">
        <v>0.97</v>
      </c>
    </row>
    <row r="315" spans="1:7" ht="12.6" customHeight="1" x14ac:dyDescent="0.2">
      <c r="A315" s="551" t="s">
        <v>32193</v>
      </c>
      <c r="B315" s="551" t="s">
        <v>32194</v>
      </c>
      <c r="C315" s="552" t="s">
        <v>227</v>
      </c>
      <c r="D315" s="557">
        <v>47.49</v>
      </c>
      <c r="E315" s="343"/>
      <c r="F315" s="557">
        <v>47.49</v>
      </c>
      <c r="G315" s="557">
        <v>47.49</v>
      </c>
    </row>
    <row r="316" spans="1:7" ht="12.6" customHeight="1" x14ac:dyDescent="0.2">
      <c r="A316" s="551" t="s">
        <v>32195</v>
      </c>
      <c r="B316" s="551" t="s">
        <v>32196</v>
      </c>
      <c r="C316" s="552"/>
      <c r="D316" s="557"/>
      <c r="E316" s="343"/>
      <c r="F316" s="557"/>
      <c r="G316" s="557"/>
    </row>
    <row r="317" spans="1:7" ht="12.6" customHeight="1" x14ac:dyDescent="0.2">
      <c r="A317" s="551" t="s">
        <v>32197</v>
      </c>
      <c r="B317" s="551" t="s">
        <v>32198</v>
      </c>
      <c r="C317" s="552" t="s">
        <v>227</v>
      </c>
      <c r="D317" s="557">
        <v>12.08</v>
      </c>
      <c r="E317" s="343"/>
      <c r="F317" s="557">
        <v>12.08</v>
      </c>
      <c r="G317" s="557">
        <v>12.08</v>
      </c>
    </row>
    <row r="318" spans="1:7" ht="12.6" customHeight="1" x14ac:dyDescent="0.2">
      <c r="A318" s="551" t="s">
        <v>32199</v>
      </c>
      <c r="B318" s="551" t="s">
        <v>32200</v>
      </c>
      <c r="C318" s="552" t="s">
        <v>227</v>
      </c>
      <c r="D318" s="557">
        <v>6.47</v>
      </c>
      <c r="E318" s="343"/>
      <c r="F318" s="557">
        <v>6.47</v>
      </c>
      <c r="G318" s="557">
        <v>6.47</v>
      </c>
    </row>
    <row r="319" spans="1:7" ht="12.6" customHeight="1" x14ac:dyDescent="0.2">
      <c r="A319" s="548" t="s">
        <v>32201</v>
      </c>
      <c r="B319" s="548" t="s">
        <v>32202</v>
      </c>
      <c r="C319" s="550" t="s">
        <v>227</v>
      </c>
      <c r="D319" s="550">
        <v>4.87</v>
      </c>
      <c r="E319" s="550"/>
      <c r="F319" s="550">
        <v>4.87</v>
      </c>
      <c r="G319" s="550">
        <v>4.87</v>
      </c>
    </row>
    <row r="320" spans="1:7" ht="12.6" customHeight="1" x14ac:dyDescent="0.2">
      <c r="A320" s="551" t="s">
        <v>32203</v>
      </c>
      <c r="B320" s="551" t="s">
        <v>32204</v>
      </c>
      <c r="C320" s="552"/>
      <c r="D320" s="557"/>
      <c r="E320" s="343"/>
      <c r="F320" s="557"/>
      <c r="G320" s="557"/>
    </row>
    <row r="321" spans="1:7" ht="12.6" customHeight="1" x14ac:dyDescent="0.2">
      <c r="A321" s="551" t="s">
        <v>32205</v>
      </c>
      <c r="B321" s="551" t="s">
        <v>32206</v>
      </c>
      <c r="C321" s="552" t="s">
        <v>226</v>
      </c>
      <c r="D321" s="557">
        <v>21.59</v>
      </c>
      <c r="E321" s="343"/>
      <c r="F321" s="557">
        <v>21.59</v>
      </c>
      <c r="G321" s="557">
        <v>21.59</v>
      </c>
    </row>
    <row r="322" spans="1:7" ht="12.6" customHeight="1" x14ac:dyDescent="0.2">
      <c r="A322" s="551" t="s">
        <v>32207</v>
      </c>
      <c r="B322" s="551" t="s">
        <v>32208</v>
      </c>
      <c r="C322" s="552" t="s">
        <v>158</v>
      </c>
      <c r="D322" s="557">
        <v>1.66</v>
      </c>
      <c r="E322" s="343"/>
      <c r="F322" s="557">
        <v>1.66</v>
      </c>
      <c r="G322" s="557">
        <v>1.66</v>
      </c>
    </row>
    <row r="323" spans="1:7" ht="12.6" customHeight="1" x14ac:dyDescent="0.2">
      <c r="A323" s="551" t="s">
        <v>32209</v>
      </c>
      <c r="B323" s="551" t="s">
        <v>32210</v>
      </c>
      <c r="C323" s="552" t="s">
        <v>158</v>
      </c>
      <c r="D323" s="557">
        <v>12.95</v>
      </c>
      <c r="E323" s="343"/>
      <c r="F323" s="557">
        <v>12.95</v>
      </c>
      <c r="G323" s="557">
        <v>12.95</v>
      </c>
    </row>
    <row r="324" spans="1:7" ht="24.95" customHeight="1" x14ac:dyDescent="0.25">
      <c r="A324" s="551" t="s">
        <v>32211</v>
      </c>
      <c r="B324" s="342" t="s">
        <v>32212</v>
      </c>
      <c r="C324" s="552" t="s">
        <v>227</v>
      </c>
      <c r="D324" s="557">
        <v>5.84</v>
      </c>
      <c r="E324" s="344"/>
      <c r="F324" s="557">
        <v>5.84</v>
      </c>
      <c r="G324" s="557">
        <v>5.84</v>
      </c>
    </row>
    <row r="325" spans="1:7" ht="12.6" customHeight="1" x14ac:dyDescent="0.2">
      <c r="A325" s="548" t="s">
        <v>32213</v>
      </c>
      <c r="B325" s="548" t="s">
        <v>32214</v>
      </c>
      <c r="C325" s="550" t="s">
        <v>227</v>
      </c>
      <c r="D325" s="550">
        <v>19.420000000000002</v>
      </c>
      <c r="E325" s="550"/>
      <c r="F325" s="550">
        <v>19.420000000000002</v>
      </c>
      <c r="G325" s="550">
        <v>19.420000000000002</v>
      </c>
    </row>
    <row r="326" spans="1:7" ht="12.6" customHeight="1" x14ac:dyDescent="0.2">
      <c r="A326" s="551" t="s">
        <v>32215</v>
      </c>
      <c r="B326" s="551" t="s">
        <v>32216</v>
      </c>
      <c r="C326" s="552"/>
      <c r="D326" s="557"/>
      <c r="E326" s="343"/>
      <c r="F326" s="557"/>
      <c r="G326" s="557"/>
    </row>
    <row r="327" spans="1:7" ht="12.6" customHeight="1" x14ac:dyDescent="0.2">
      <c r="A327" s="551" t="s">
        <v>32217</v>
      </c>
      <c r="B327" s="551" t="s">
        <v>32218</v>
      </c>
      <c r="C327" s="552" t="s">
        <v>227</v>
      </c>
      <c r="D327" s="557">
        <v>30.21</v>
      </c>
      <c r="E327" s="343"/>
      <c r="F327" s="557">
        <v>30.21</v>
      </c>
      <c r="G327" s="557">
        <v>30.21</v>
      </c>
    </row>
    <row r="328" spans="1:7" ht="12.6" customHeight="1" x14ac:dyDescent="0.2">
      <c r="A328" s="551" t="s">
        <v>32219</v>
      </c>
      <c r="B328" s="551" t="s">
        <v>32220</v>
      </c>
      <c r="C328" s="552" t="s">
        <v>226</v>
      </c>
      <c r="D328" s="557">
        <v>25.31</v>
      </c>
      <c r="E328" s="343"/>
      <c r="F328" s="557">
        <v>25.31</v>
      </c>
      <c r="G328" s="557">
        <v>25.31</v>
      </c>
    </row>
    <row r="329" spans="1:7" ht="12.6" customHeight="1" x14ac:dyDescent="0.2">
      <c r="A329" s="548" t="s">
        <v>32221</v>
      </c>
      <c r="B329" s="548" t="s">
        <v>32222</v>
      </c>
      <c r="C329" s="550" t="s">
        <v>158</v>
      </c>
      <c r="D329" s="550">
        <v>10.36</v>
      </c>
      <c r="E329" s="550"/>
      <c r="F329" s="550">
        <v>10.36</v>
      </c>
      <c r="G329" s="550">
        <v>10.36</v>
      </c>
    </row>
    <row r="330" spans="1:7" ht="12.6" customHeight="1" x14ac:dyDescent="0.2">
      <c r="A330" s="551" t="s">
        <v>32223</v>
      </c>
      <c r="B330" s="551" t="s">
        <v>32224</v>
      </c>
      <c r="C330" s="552" t="s">
        <v>158</v>
      </c>
      <c r="D330" s="557">
        <v>7.11</v>
      </c>
      <c r="E330" s="343"/>
      <c r="F330" s="557">
        <v>7.11</v>
      </c>
      <c r="G330" s="557">
        <v>7.11</v>
      </c>
    </row>
    <row r="331" spans="1:7" ht="23.1" customHeight="1" x14ac:dyDescent="0.25">
      <c r="A331" s="551" t="s">
        <v>32225</v>
      </c>
      <c r="B331" s="551" t="s">
        <v>32226</v>
      </c>
      <c r="C331" s="552" t="s">
        <v>227</v>
      </c>
      <c r="D331" s="557">
        <v>30.21</v>
      </c>
      <c r="E331" s="344"/>
      <c r="F331" s="557">
        <v>30.21</v>
      </c>
      <c r="G331" s="557">
        <v>30.21</v>
      </c>
    </row>
    <row r="332" spans="1:7" ht="23.1" customHeight="1" x14ac:dyDescent="0.25">
      <c r="A332" s="551" t="s">
        <v>32227</v>
      </c>
      <c r="B332" s="551" t="s">
        <v>32228</v>
      </c>
      <c r="C332" s="552" t="s">
        <v>158</v>
      </c>
      <c r="D332" s="557">
        <v>34.53</v>
      </c>
      <c r="E332" s="344"/>
      <c r="F332" s="557">
        <v>34.53</v>
      </c>
      <c r="G332" s="557">
        <v>34.53</v>
      </c>
    </row>
    <row r="333" spans="1:7" ht="24.95" customHeight="1" x14ac:dyDescent="0.25">
      <c r="A333" s="551" t="s">
        <v>32229</v>
      </c>
      <c r="B333" s="342" t="s">
        <v>32230</v>
      </c>
      <c r="C333" s="552" t="s">
        <v>226</v>
      </c>
      <c r="D333" s="557">
        <v>25.31</v>
      </c>
      <c r="E333" s="344"/>
      <c r="F333" s="557">
        <v>25.31</v>
      </c>
      <c r="G333" s="557">
        <v>25.31</v>
      </c>
    </row>
    <row r="334" spans="1:7" ht="12.6" customHeight="1" x14ac:dyDescent="0.2">
      <c r="A334" s="551" t="s">
        <v>32231</v>
      </c>
      <c r="B334" s="551" t="s">
        <v>32232</v>
      </c>
      <c r="C334" s="552" t="s">
        <v>227</v>
      </c>
      <c r="D334" s="557">
        <v>4.0999999999999996</v>
      </c>
      <c r="E334" s="343"/>
      <c r="F334" s="557">
        <v>4.0999999999999996</v>
      </c>
      <c r="G334" s="557">
        <v>4.0999999999999996</v>
      </c>
    </row>
    <row r="335" spans="1:7" ht="12.6" customHeight="1" x14ac:dyDescent="0.2">
      <c r="A335" s="548" t="s">
        <v>32233</v>
      </c>
      <c r="B335" s="548" t="s">
        <v>32234</v>
      </c>
      <c r="C335" s="550"/>
      <c r="D335" s="550"/>
      <c r="E335" s="550"/>
      <c r="F335" s="550"/>
      <c r="G335" s="550"/>
    </row>
    <row r="336" spans="1:7" ht="12.6" customHeight="1" x14ac:dyDescent="0.2">
      <c r="A336" s="551" t="s">
        <v>32235</v>
      </c>
      <c r="B336" s="551" t="s">
        <v>32236</v>
      </c>
      <c r="C336" s="552" t="s">
        <v>226</v>
      </c>
      <c r="D336" s="557">
        <v>11.85</v>
      </c>
      <c r="E336" s="343"/>
      <c r="F336" s="557">
        <v>11.85</v>
      </c>
      <c r="G336" s="557">
        <v>11.85</v>
      </c>
    </row>
    <row r="337" spans="1:7" ht="12.6" customHeight="1" x14ac:dyDescent="0.2">
      <c r="A337" s="551" t="s">
        <v>32237</v>
      </c>
      <c r="B337" s="551" t="s">
        <v>32238</v>
      </c>
      <c r="C337" s="552" t="s">
        <v>226</v>
      </c>
      <c r="D337" s="557">
        <v>4.74</v>
      </c>
      <c r="E337" s="343"/>
      <c r="F337" s="557">
        <v>4.74</v>
      </c>
      <c r="G337" s="557">
        <v>4.74</v>
      </c>
    </row>
    <row r="338" spans="1:7" ht="23.1" customHeight="1" x14ac:dyDescent="0.25">
      <c r="A338" s="551" t="s">
        <v>32239</v>
      </c>
      <c r="B338" s="551" t="s">
        <v>32240</v>
      </c>
      <c r="C338" s="552" t="s">
        <v>226</v>
      </c>
      <c r="D338" s="557">
        <v>2.37</v>
      </c>
      <c r="E338" s="344"/>
      <c r="F338" s="557">
        <v>2.37</v>
      </c>
      <c r="G338" s="557">
        <v>2.37</v>
      </c>
    </row>
    <row r="339" spans="1:7" ht="12.6" customHeight="1" x14ac:dyDescent="0.2">
      <c r="A339" s="551" t="s">
        <v>32241</v>
      </c>
      <c r="B339" s="551" t="s">
        <v>32242</v>
      </c>
      <c r="C339" s="552" t="s">
        <v>226</v>
      </c>
      <c r="D339" s="557">
        <v>18.68</v>
      </c>
      <c r="E339" s="343"/>
      <c r="F339" s="557">
        <v>18.68</v>
      </c>
      <c r="G339" s="557">
        <v>18.68</v>
      </c>
    </row>
    <row r="340" spans="1:7" ht="12.6" customHeight="1" x14ac:dyDescent="0.2">
      <c r="A340" s="551" t="s">
        <v>32243</v>
      </c>
      <c r="B340" s="551" t="s">
        <v>32244</v>
      </c>
      <c r="C340" s="552"/>
      <c r="D340" s="557"/>
      <c r="E340" s="343"/>
      <c r="F340" s="557"/>
      <c r="G340" s="557"/>
    </row>
    <row r="341" spans="1:7" ht="12.6" customHeight="1" x14ac:dyDescent="0.2">
      <c r="A341" s="551" t="s">
        <v>32245</v>
      </c>
      <c r="B341" s="551" t="s">
        <v>32246</v>
      </c>
      <c r="C341" s="552" t="s">
        <v>226</v>
      </c>
      <c r="D341" s="557">
        <v>42.59</v>
      </c>
      <c r="E341" s="343"/>
      <c r="F341" s="557">
        <v>42.59</v>
      </c>
      <c r="G341" s="557">
        <v>42.59</v>
      </c>
    </row>
    <row r="342" spans="1:7" ht="23.1" customHeight="1" x14ac:dyDescent="0.25">
      <c r="A342" s="551" t="s">
        <v>32247</v>
      </c>
      <c r="B342" s="551" t="s">
        <v>32248</v>
      </c>
      <c r="C342" s="552" t="s">
        <v>227</v>
      </c>
      <c r="D342" s="557">
        <v>60.43</v>
      </c>
      <c r="E342" s="344"/>
      <c r="F342" s="557">
        <v>60.43</v>
      </c>
      <c r="G342" s="557">
        <v>60.43</v>
      </c>
    </row>
    <row r="343" spans="1:7" ht="12.6" customHeight="1" x14ac:dyDescent="0.2">
      <c r="A343" s="551" t="s">
        <v>32249</v>
      </c>
      <c r="B343" s="551" t="s">
        <v>32250</v>
      </c>
      <c r="C343" s="552" t="s">
        <v>226</v>
      </c>
      <c r="D343" s="557">
        <v>14.21</v>
      </c>
      <c r="E343" s="343"/>
      <c r="F343" s="557">
        <v>14.21</v>
      </c>
      <c r="G343" s="557">
        <v>14.21</v>
      </c>
    </row>
    <row r="344" spans="1:7" ht="12.6" customHeight="1" x14ac:dyDescent="0.2">
      <c r="A344" s="548" t="s">
        <v>32251</v>
      </c>
      <c r="B344" s="548" t="s">
        <v>32252</v>
      </c>
      <c r="C344" s="550" t="s">
        <v>226</v>
      </c>
      <c r="D344" s="550">
        <v>5.92</v>
      </c>
      <c r="E344" s="550"/>
      <c r="F344" s="550">
        <v>5.92</v>
      </c>
      <c r="G344" s="550">
        <v>5.92</v>
      </c>
    </row>
    <row r="345" spans="1:7" ht="12.6" customHeight="1" x14ac:dyDescent="0.2">
      <c r="A345" s="551" t="s">
        <v>32253</v>
      </c>
      <c r="B345" s="551" t="s">
        <v>32254</v>
      </c>
      <c r="C345" s="552" t="s">
        <v>226</v>
      </c>
      <c r="D345" s="557">
        <v>54.44</v>
      </c>
      <c r="E345" s="343"/>
      <c r="F345" s="557">
        <v>54.44</v>
      </c>
      <c r="G345" s="557">
        <v>54.44</v>
      </c>
    </row>
    <row r="346" spans="1:7" ht="12.6" customHeight="1" x14ac:dyDescent="0.2">
      <c r="A346" s="551" t="s">
        <v>32255</v>
      </c>
      <c r="B346" s="551" t="s">
        <v>32256</v>
      </c>
      <c r="C346" s="552" t="s">
        <v>226</v>
      </c>
      <c r="D346" s="557">
        <v>31.23</v>
      </c>
      <c r="E346" s="343"/>
      <c r="F346" s="557">
        <v>31.23</v>
      </c>
      <c r="G346" s="557">
        <v>31.23</v>
      </c>
    </row>
    <row r="347" spans="1:7" ht="12.6" customHeight="1" x14ac:dyDescent="0.2">
      <c r="A347" s="551" t="s">
        <v>32257</v>
      </c>
      <c r="B347" s="551" t="s">
        <v>32258</v>
      </c>
      <c r="C347" s="552" t="s">
        <v>226</v>
      </c>
      <c r="D347" s="557">
        <v>31.23</v>
      </c>
      <c r="E347" s="343"/>
      <c r="F347" s="557">
        <v>31.23</v>
      </c>
      <c r="G347" s="557">
        <v>31.23</v>
      </c>
    </row>
    <row r="348" spans="1:7" ht="12.6" customHeight="1" x14ac:dyDescent="0.2">
      <c r="A348" s="551" t="s">
        <v>32259</v>
      </c>
      <c r="B348" s="551" t="s">
        <v>32260</v>
      </c>
      <c r="C348" s="552" t="s">
        <v>226</v>
      </c>
      <c r="D348" s="557">
        <v>7.38</v>
      </c>
      <c r="E348" s="343"/>
      <c r="F348" s="557">
        <v>7.38</v>
      </c>
      <c r="G348" s="557">
        <v>7.38</v>
      </c>
    </row>
    <row r="349" spans="1:7" ht="12.6" customHeight="1" x14ac:dyDescent="0.2">
      <c r="A349" s="548" t="s">
        <v>32261</v>
      </c>
      <c r="B349" s="548" t="s">
        <v>32262</v>
      </c>
      <c r="C349" s="550" t="s">
        <v>226</v>
      </c>
      <c r="D349" s="550">
        <v>11.36</v>
      </c>
      <c r="E349" s="550"/>
      <c r="F349" s="550">
        <v>11.36</v>
      </c>
      <c r="G349" s="550">
        <v>11.36</v>
      </c>
    </row>
    <row r="350" spans="1:7" ht="12.6" customHeight="1" x14ac:dyDescent="0.2">
      <c r="A350" s="551" t="s">
        <v>32263</v>
      </c>
      <c r="B350" s="551" t="s">
        <v>32264</v>
      </c>
      <c r="C350" s="552" t="s">
        <v>226</v>
      </c>
      <c r="D350" s="557">
        <v>21.58</v>
      </c>
      <c r="E350" s="343"/>
      <c r="F350" s="557">
        <v>21.58</v>
      </c>
      <c r="G350" s="557">
        <v>21.58</v>
      </c>
    </row>
    <row r="351" spans="1:7" ht="12.6" customHeight="1" x14ac:dyDescent="0.2">
      <c r="A351" s="551" t="s">
        <v>32265</v>
      </c>
      <c r="B351" s="551" t="s">
        <v>32266</v>
      </c>
      <c r="C351" s="552"/>
      <c r="D351" s="557"/>
      <c r="E351" s="343"/>
      <c r="F351" s="557"/>
      <c r="G351" s="557"/>
    </row>
    <row r="352" spans="1:7" ht="11.45" customHeight="1" x14ac:dyDescent="0.25">
      <c r="A352" s="543" t="s">
        <v>32267</v>
      </c>
      <c r="B352" s="544" t="s">
        <v>32268</v>
      </c>
      <c r="C352" s="544" t="s">
        <v>226</v>
      </c>
      <c r="D352" s="543">
        <v>90.45</v>
      </c>
      <c r="E352" s="545"/>
      <c r="F352" s="546">
        <v>90.45</v>
      </c>
      <c r="G352" s="543">
        <v>90.45</v>
      </c>
    </row>
    <row r="353" spans="1:7" ht="12.6" customHeight="1" x14ac:dyDescent="0.25">
      <c r="A353" s="551" t="s">
        <v>32269</v>
      </c>
      <c r="B353" s="551" t="s">
        <v>32270</v>
      </c>
      <c r="C353" s="552" t="s">
        <v>226</v>
      </c>
      <c r="D353" s="557">
        <v>71.8</v>
      </c>
      <c r="E353" s="344"/>
      <c r="F353" s="557">
        <v>71.8</v>
      </c>
      <c r="G353" s="557">
        <v>71.8</v>
      </c>
    </row>
    <row r="354" spans="1:7" ht="12.6" customHeight="1" x14ac:dyDescent="0.2">
      <c r="A354" s="551" t="s">
        <v>32271</v>
      </c>
      <c r="B354" s="551" t="s">
        <v>32272</v>
      </c>
      <c r="C354" s="552"/>
      <c r="D354" s="557"/>
      <c r="E354" s="343"/>
      <c r="F354" s="557"/>
      <c r="G354" s="557"/>
    </row>
    <row r="355" spans="1:7" ht="12.6" customHeight="1" x14ac:dyDescent="0.2">
      <c r="A355" s="551" t="s">
        <v>32273</v>
      </c>
      <c r="B355" s="551" t="s">
        <v>32274</v>
      </c>
      <c r="C355" s="552" t="s">
        <v>227</v>
      </c>
      <c r="D355" s="557">
        <v>5.84</v>
      </c>
      <c r="E355" s="343"/>
      <c r="F355" s="557">
        <v>5.84</v>
      </c>
      <c r="G355" s="557">
        <v>5.84</v>
      </c>
    </row>
    <row r="356" spans="1:7" ht="12.6" customHeight="1" x14ac:dyDescent="0.2">
      <c r="A356" s="551" t="s">
        <v>32275</v>
      </c>
      <c r="B356" s="551" t="s">
        <v>32276</v>
      </c>
      <c r="C356" s="552" t="s">
        <v>227</v>
      </c>
      <c r="D356" s="557">
        <v>0.97</v>
      </c>
      <c r="E356" s="343"/>
      <c r="F356" s="557">
        <v>0.97</v>
      </c>
      <c r="G356" s="557">
        <v>0.97</v>
      </c>
    </row>
    <row r="357" spans="1:7" ht="12.6" customHeight="1" x14ac:dyDescent="0.2">
      <c r="A357" s="551" t="s">
        <v>32277</v>
      </c>
      <c r="B357" s="551" t="s">
        <v>32278</v>
      </c>
      <c r="C357" s="552"/>
      <c r="D357" s="557"/>
      <c r="E357" s="343"/>
      <c r="F357" s="557"/>
      <c r="G357" s="557"/>
    </row>
    <row r="358" spans="1:7" ht="12.6" customHeight="1" x14ac:dyDescent="0.2">
      <c r="A358" s="551" t="s">
        <v>32279</v>
      </c>
      <c r="B358" s="551" t="s">
        <v>32280</v>
      </c>
      <c r="C358" s="552" t="s">
        <v>227</v>
      </c>
      <c r="D358" s="557">
        <v>14.2</v>
      </c>
      <c r="E358" s="343"/>
      <c r="F358" s="557">
        <v>14.2</v>
      </c>
      <c r="G358" s="557">
        <v>14.2</v>
      </c>
    </row>
    <row r="359" spans="1:7" ht="12.6" customHeight="1" x14ac:dyDescent="0.2">
      <c r="A359" s="551" t="s">
        <v>32281</v>
      </c>
      <c r="B359" s="551" t="s">
        <v>32282</v>
      </c>
      <c r="C359" s="552" t="s">
        <v>227</v>
      </c>
      <c r="D359" s="557">
        <v>43.16</v>
      </c>
      <c r="E359" s="343"/>
      <c r="F359" s="557">
        <v>43.16</v>
      </c>
      <c r="G359" s="557">
        <v>43.16</v>
      </c>
    </row>
    <row r="360" spans="1:7" ht="12.6" customHeight="1" x14ac:dyDescent="0.2">
      <c r="A360" s="551" t="s">
        <v>32283</v>
      </c>
      <c r="B360" s="551" t="s">
        <v>32284</v>
      </c>
      <c r="C360" s="552"/>
      <c r="D360" s="557"/>
      <c r="E360" s="343"/>
      <c r="F360" s="557"/>
      <c r="G360" s="557"/>
    </row>
    <row r="361" spans="1:7" ht="12.6" customHeight="1" x14ac:dyDescent="0.2">
      <c r="A361" s="548" t="s">
        <v>32285</v>
      </c>
      <c r="B361" s="548" t="s">
        <v>32286</v>
      </c>
      <c r="C361" s="550" t="s">
        <v>226</v>
      </c>
      <c r="D361" s="550">
        <v>19.149999999999999</v>
      </c>
      <c r="E361" s="550"/>
      <c r="F361" s="550">
        <v>19.149999999999999</v>
      </c>
      <c r="G361" s="550">
        <v>19.149999999999999</v>
      </c>
    </row>
    <row r="362" spans="1:7" ht="12.6" customHeight="1" x14ac:dyDescent="0.2">
      <c r="A362" s="551" t="s">
        <v>32287</v>
      </c>
      <c r="B362" s="551" t="s">
        <v>32288</v>
      </c>
      <c r="C362" s="552" t="s">
        <v>226</v>
      </c>
      <c r="D362" s="557">
        <v>71.8</v>
      </c>
      <c r="E362" s="343"/>
      <c r="F362" s="557">
        <v>71.8</v>
      </c>
      <c r="G362" s="557">
        <v>71.8</v>
      </c>
    </row>
    <row r="363" spans="1:7" ht="12.6" customHeight="1" x14ac:dyDescent="0.2">
      <c r="A363" s="551" t="s">
        <v>32289</v>
      </c>
      <c r="B363" s="551" t="s">
        <v>32290</v>
      </c>
      <c r="C363" s="552" t="s">
        <v>226</v>
      </c>
      <c r="D363" s="557">
        <v>23.94</v>
      </c>
      <c r="E363" s="343"/>
      <c r="F363" s="557">
        <v>23.94</v>
      </c>
      <c r="G363" s="557">
        <v>23.94</v>
      </c>
    </row>
    <row r="364" spans="1:7" ht="12.6" customHeight="1" x14ac:dyDescent="0.2">
      <c r="A364" s="548" t="s">
        <v>32291</v>
      </c>
      <c r="B364" s="548" t="s">
        <v>32292</v>
      </c>
      <c r="C364" s="550" t="s">
        <v>158</v>
      </c>
      <c r="D364" s="550">
        <v>19.149999999999999</v>
      </c>
      <c r="E364" s="550"/>
      <c r="F364" s="550">
        <v>19.149999999999999</v>
      </c>
      <c r="G364" s="550">
        <v>19.149999999999999</v>
      </c>
    </row>
    <row r="365" spans="1:7" ht="12.6" customHeight="1" x14ac:dyDescent="0.2">
      <c r="A365" s="551" t="s">
        <v>32293</v>
      </c>
      <c r="B365" s="551" t="s">
        <v>32294</v>
      </c>
      <c r="C365" s="552" t="s">
        <v>226</v>
      </c>
      <c r="D365" s="557">
        <v>7.18</v>
      </c>
      <c r="E365" s="343"/>
      <c r="F365" s="557">
        <v>7.18</v>
      </c>
      <c r="G365" s="557">
        <v>7.18</v>
      </c>
    </row>
    <row r="366" spans="1:7" ht="12.6" customHeight="1" x14ac:dyDescent="0.2">
      <c r="A366" s="551" t="s">
        <v>32295</v>
      </c>
      <c r="B366" s="551" t="s">
        <v>32296</v>
      </c>
      <c r="C366" s="552" t="s">
        <v>226</v>
      </c>
      <c r="D366" s="557">
        <v>7.18</v>
      </c>
      <c r="E366" s="343"/>
      <c r="F366" s="557">
        <v>7.18</v>
      </c>
      <c r="G366" s="557">
        <v>7.18</v>
      </c>
    </row>
    <row r="367" spans="1:7" ht="12.6" customHeight="1" x14ac:dyDescent="0.2">
      <c r="A367" s="548" t="s">
        <v>32297</v>
      </c>
      <c r="B367" s="548" t="s">
        <v>32298</v>
      </c>
      <c r="C367" s="550" t="s">
        <v>226</v>
      </c>
      <c r="D367" s="550">
        <v>47.86</v>
      </c>
      <c r="E367" s="550"/>
      <c r="F367" s="550">
        <v>47.86</v>
      </c>
      <c r="G367" s="550">
        <v>47.86</v>
      </c>
    </row>
    <row r="368" spans="1:7" ht="23.1" customHeight="1" x14ac:dyDescent="0.25">
      <c r="A368" s="551" t="s">
        <v>32299</v>
      </c>
      <c r="B368" s="551" t="s">
        <v>32300</v>
      </c>
      <c r="C368" s="552" t="s">
        <v>226</v>
      </c>
      <c r="D368" s="557">
        <v>23.94</v>
      </c>
      <c r="E368" s="344"/>
      <c r="F368" s="557">
        <v>23.94</v>
      </c>
      <c r="G368" s="557">
        <v>23.94</v>
      </c>
    </row>
    <row r="369" spans="1:7" ht="12.6" customHeight="1" x14ac:dyDescent="0.2">
      <c r="A369" s="551" t="s">
        <v>32301</v>
      </c>
      <c r="B369" s="551" t="s">
        <v>32302</v>
      </c>
      <c r="C369" s="552" t="s">
        <v>226</v>
      </c>
      <c r="D369" s="557">
        <v>21.54</v>
      </c>
      <c r="E369" s="343"/>
      <c r="F369" s="557">
        <v>21.54</v>
      </c>
      <c r="G369" s="557">
        <v>21.54</v>
      </c>
    </row>
    <row r="370" spans="1:7" ht="12.6" customHeight="1" x14ac:dyDescent="0.2">
      <c r="A370" s="548" t="s">
        <v>32303</v>
      </c>
      <c r="B370" s="548" t="s">
        <v>32304</v>
      </c>
      <c r="C370" s="550" t="s">
        <v>226</v>
      </c>
      <c r="D370" s="550">
        <v>19.149999999999999</v>
      </c>
      <c r="E370" s="550"/>
      <c r="F370" s="550">
        <v>19.149999999999999</v>
      </c>
      <c r="G370" s="550">
        <v>19.149999999999999</v>
      </c>
    </row>
    <row r="371" spans="1:7" ht="23.1" customHeight="1" x14ac:dyDescent="0.25">
      <c r="A371" s="551" t="s">
        <v>32305</v>
      </c>
      <c r="B371" s="551" t="s">
        <v>32306</v>
      </c>
      <c r="C371" s="552" t="s">
        <v>226</v>
      </c>
      <c r="D371" s="557">
        <v>19.149999999999999</v>
      </c>
      <c r="E371" s="344"/>
      <c r="F371" s="557">
        <v>19.149999999999999</v>
      </c>
      <c r="G371" s="557">
        <v>19.149999999999999</v>
      </c>
    </row>
    <row r="372" spans="1:7" ht="23.1" customHeight="1" x14ac:dyDescent="0.25">
      <c r="A372" s="551" t="s">
        <v>32307</v>
      </c>
      <c r="B372" s="551" t="s">
        <v>32308</v>
      </c>
      <c r="C372" s="552" t="s">
        <v>226</v>
      </c>
      <c r="D372" s="557">
        <v>14.36</v>
      </c>
      <c r="E372" s="344"/>
      <c r="F372" s="557">
        <v>14.36</v>
      </c>
      <c r="G372" s="557">
        <v>14.36</v>
      </c>
    </row>
    <row r="373" spans="1:7" ht="12.6" customHeight="1" x14ac:dyDescent="0.2">
      <c r="A373" s="551" t="s">
        <v>32309</v>
      </c>
      <c r="B373" s="551" t="s">
        <v>32310</v>
      </c>
      <c r="C373" s="552"/>
      <c r="D373" s="557"/>
      <c r="E373" s="343"/>
      <c r="F373" s="557"/>
      <c r="G373" s="557"/>
    </row>
    <row r="374" spans="1:7" ht="12.6" customHeight="1" x14ac:dyDescent="0.2">
      <c r="A374" s="551" t="s">
        <v>32311</v>
      </c>
      <c r="B374" s="551" t="s">
        <v>32312</v>
      </c>
      <c r="C374" s="552" t="s">
        <v>226</v>
      </c>
      <c r="D374" s="557">
        <v>11.97</v>
      </c>
      <c r="E374" s="343"/>
      <c r="F374" s="557">
        <v>11.97</v>
      </c>
      <c r="G374" s="557">
        <v>11.97</v>
      </c>
    </row>
    <row r="375" spans="1:7" ht="12.6" customHeight="1" x14ac:dyDescent="0.2">
      <c r="A375" s="551" t="s">
        <v>32313</v>
      </c>
      <c r="B375" s="551" t="s">
        <v>32314</v>
      </c>
      <c r="C375" s="552" t="s">
        <v>158</v>
      </c>
      <c r="D375" s="557">
        <v>16.75</v>
      </c>
      <c r="E375" s="343"/>
      <c r="F375" s="557">
        <v>16.75</v>
      </c>
      <c r="G375" s="557">
        <v>16.75</v>
      </c>
    </row>
    <row r="376" spans="1:7" ht="12.6" customHeight="1" x14ac:dyDescent="0.2">
      <c r="A376" s="551" t="s">
        <v>32315</v>
      </c>
      <c r="B376" s="551" t="s">
        <v>32316</v>
      </c>
      <c r="C376" s="552" t="s">
        <v>226</v>
      </c>
      <c r="D376" s="557">
        <v>239.3</v>
      </c>
      <c r="E376" s="343"/>
      <c r="F376" s="557">
        <v>239.3</v>
      </c>
      <c r="G376" s="557">
        <v>239.3</v>
      </c>
    </row>
    <row r="377" spans="1:7" ht="12.6" customHeight="1" x14ac:dyDescent="0.2">
      <c r="A377" s="551" t="s">
        <v>32317</v>
      </c>
      <c r="B377" s="551" t="s">
        <v>32318</v>
      </c>
      <c r="C377" s="552" t="s">
        <v>226</v>
      </c>
      <c r="D377" s="557">
        <v>191.44</v>
      </c>
      <c r="E377" s="343"/>
      <c r="F377" s="557">
        <v>191.44</v>
      </c>
      <c r="G377" s="557">
        <v>191.44</v>
      </c>
    </row>
    <row r="378" spans="1:7" ht="12.6" customHeight="1" x14ac:dyDescent="0.2">
      <c r="A378" s="551" t="s">
        <v>32319</v>
      </c>
      <c r="B378" s="551" t="s">
        <v>32320</v>
      </c>
      <c r="C378" s="552" t="s">
        <v>226</v>
      </c>
      <c r="D378" s="557">
        <v>95.72</v>
      </c>
      <c r="E378" s="343"/>
      <c r="F378" s="557">
        <v>95.72</v>
      </c>
      <c r="G378" s="557">
        <v>95.72</v>
      </c>
    </row>
    <row r="379" spans="1:7" ht="12.6" customHeight="1" x14ac:dyDescent="0.2">
      <c r="A379" s="551" t="s">
        <v>32321</v>
      </c>
      <c r="B379" s="551" t="s">
        <v>32322</v>
      </c>
      <c r="C379" s="552" t="s">
        <v>226</v>
      </c>
      <c r="D379" s="557">
        <v>53.14</v>
      </c>
      <c r="E379" s="343"/>
      <c r="F379" s="557">
        <v>53.14</v>
      </c>
      <c r="G379" s="557">
        <v>53.14</v>
      </c>
    </row>
    <row r="380" spans="1:7" ht="12.6" customHeight="1" x14ac:dyDescent="0.2">
      <c r="A380" s="551" t="s">
        <v>32323</v>
      </c>
      <c r="B380" s="551" t="s">
        <v>32324</v>
      </c>
      <c r="C380" s="552" t="s">
        <v>226</v>
      </c>
      <c r="D380" s="557">
        <v>7.1</v>
      </c>
      <c r="E380" s="343"/>
      <c r="F380" s="557">
        <v>7.1</v>
      </c>
      <c r="G380" s="557">
        <v>7.1</v>
      </c>
    </row>
    <row r="381" spans="1:7" ht="12.6" customHeight="1" x14ac:dyDescent="0.2">
      <c r="A381" s="551" t="s">
        <v>32325</v>
      </c>
      <c r="B381" s="551" t="s">
        <v>32326</v>
      </c>
      <c r="C381" s="552" t="s">
        <v>226</v>
      </c>
      <c r="D381" s="557">
        <v>8.52</v>
      </c>
      <c r="E381" s="343"/>
      <c r="F381" s="557">
        <v>8.52</v>
      </c>
      <c r="G381" s="557">
        <v>8.52</v>
      </c>
    </row>
    <row r="382" spans="1:7" ht="12.6" customHeight="1" x14ac:dyDescent="0.2">
      <c r="A382" s="551" t="s">
        <v>32327</v>
      </c>
      <c r="B382" s="551" t="s">
        <v>32328</v>
      </c>
      <c r="C382" s="552" t="s">
        <v>226</v>
      </c>
      <c r="D382" s="557">
        <v>53.14</v>
      </c>
      <c r="E382" s="343"/>
      <c r="F382" s="557">
        <v>53.14</v>
      </c>
      <c r="G382" s="557">
        <v>53.14</v>
      </c>
    </row>
    <row r="383" spans="1:7" ht="12.6" customHeight="1" x14ac:dyDescent="0.2">
      <c r="A383" s="548" t="s">
        <v>32329</v>
      </c>
      <c r="B383" s="548" t="s">
        <v>32330</v>
      </c>
      <c r="C383" s="550" t="s">
        <v>158</v>
      </c>
      <c r="D383" s="550">
        <v>11.97</v>
      </c>
      <c r="E383" s="550"/>
      <c r="F383" s="550">
        <v>11.97</v>
      </c>
      <c r="G383" s="550">
        <v>11.97</v>
      </c>
    </row>
    <row r="384" spans="1:7" ht="12.6" customHeight="1" x14ac:dyDescent="0.2">
      <c r="A384" s="551" t="s">
        <v>32331</v>
      </c>
      <c r="B384" s="551" t="s">
        <v>32332</v>
      </c>
      <c r="C384" s="552" t="s">
        <v>226</v>
      </c>
      <c r="D384" s="557">
        <v>23.94</v>
      </c>
      <c r="E384" s="343"/>
      <c r="F384" s="557">
        <v>23.94</v>
      </c>
      <c r="G384" s="557">
        <v>23.94</v>
      </c>
    </row>
    <row r="385" spans="1:7" ht="12.6" customHeight="1" x14ac:dyDescent="0.2">
      <c r="A385" s="551" t="s">
        <v>32333</v>
      </c>
      <c r="B385" s="551" t="s">
        <v>32334</v>
      </c>
      <c r="C385" s="552" t="s">
        <v>226</v>
      </c>
      <c r="D385" s="557">
        <v>19.149999999999999</v>
      </c>
      <c r="E385" s="343"/>
      <c r="F385" s="557">
        <v>19.149999999999999</v>
      </c>
      <c r="G385" s="557">
        <v>19.149999999999999</v>
      </c>
    </row>
    <row r="386" spans="1:7" ht="23.1" customHeight="1" x14ac:dyDescent="0.25">
      <c r="A386" s="551" t="s">
        <v>32335</v>
      </c>
      <c r="B386" s="551" t="s">
        <v>32336</v>
      </c>
      <c r="C386" s="552" t="s">
        <v>226</v>
      </c>
      <c r="D386" s="557">
        <v>28.71</v>
      </c>
      <c r="E386" s="344"/>
      <c r="F386" s="557">
        <v>28.71</v>
      </c>
      <c r="G386" s="557">
        <v>28.71</v>
      </c>
    </row>
    <row r="387" spans="1:7" ht="23.1" customHeight="1" x14ac:dyDescent="0.25">
      <c r="A387" s="551" t="s">
        <v>32337</v>
      </c>
      <c r="B387" s="551" t="s">
        <v>32338</v>
      </c>
      <c r="C387" s="552" t="s">
        <v>226</v>
      </c>
      <c r="D387" s="557">
        <v>23.94</v>
      </c>
      <c r="E387" s="344"/>
      <c r="F387" s="557">
        <v>23.94</v>
      </c>
      <c r="G387" s="557">
        <v>23.94</v>
      </c>
    </row>
    <row r="388" spans="1:7" ht="12.6" customHeight="1" x14ac:dyDescent="0.2">
      <c r="A388" s="551" t="s">
        <v>32339</v>
      </c>
      <c r="B388" s="551" t="s">
        <v>32340</v>
      </c>
      <c r="C388" s="552" t="s">
        <v>226</v>
      </c>
      <c r="D388" s="557">
        <v>47.86</v>
      </c>
      <c r="E388" s="343"/>
      <c r="F388" s="557">
        <v>47.86</v>
      </c>
      <c r="G388" s="557">
        <v>47.86</v>
      </c>
    </row>
    <row r="389" spans="1:7" ht="12.6" customHeight="1" x14ac:dyDescent="0.2">
      <c r="A389" s="551" t="s">
        <v>32341</v>
      </c>
      <c r="B389" s="551" t="s">
        <v>32342</v>
      </c>
      <c r="C389" s="552" t="s">
        <v>226</v>
      </c>
      <c r="D389" s="557">
        <v>71.8</v>
      </c>
      <c r="E389" s="343"/>
      <c r="F389" s="557">
        <v>71.8</v>
      </c>
      <c r="G389" s="557">
        <v>71.8</v>
      </c>
    </row>
    <row r="390" spans="1:7" ht="12.6" customHeight="1" x14ac:dyDescent="0.2">
      <c r="A390" s="551" t="s">
        <v>32343</v>
      </c>
      <c r="B390" s="551" t="s">
        <v>32344</v>
      </c>
      <c r="C390" s="552" t="s">
        <v>226</v>
      </c>
      <c r="D390" s="557">
        <v>134.66</v>
      </c>
      <c r="E390" s="343"/>
      <c r="F390" s="557">
        <v>134.66</v>
      </c>
      <c r="G390" s="557">
        <v>134.66</v>
      </c>
    </row>
    <row r="391" spans="1:7" ht="12.6" customHeight="1" x14ac:dyDescent="0.2">
      <c r="A391" s="551" t="s">
        <v>32345</v>
      </c>
      <c r="B391" s="551" t="s">
        <v>32346</v>
      </c>
      <c r="C391" s="552" t="s">
        <v>226</v>
      </c>
      <c r="D391" s="557">
        <v>35.89</v>
      </c>
      <c r="E391" s="343"/>
      <c r="F391" s="557">
        <v>35.89</v>
      </c>
      <c r="G391" s="557">
        <v>35.89</v>
      </c>
    </row>
    <row r="392" spans="1:7" ht="12.6" customHeight="1" x14ac:dyDescent="0.2">
      <c r="A392" s="551" t="s">
        <v>32347</v>
      </c>
      <c r="B392" s="551" t="s">
        <v>32348</v>
      </c>
      <c r="C392" s="552" t="s">
        <v>226</v>
      </c>
      <c r="D392" s="557">
        <v>9.74</v>
      </c>
      <c r="E392" s="343"/>
      <c r="F392" s="557">
        <v>9.74</v>
      </c>
      <c r="G392" s="557">
        <v>9.74</v>
      </c>
    </row>
    <row r="393" spans="1:7" ht="12.6" customHeight="1" x14ac:dyDescent="0.2">
      <c r="A393" s="551" t="s">
        <v>32349</v>
      </c>
      <c r="B393" s="551" t="s">
        <v>32350</v>
      </c>
      <c r="C393" s="552" t="s">
        <v>226</v>
      </c>
      <c r="D393" s="557">
        <v>19.07</v>
      </c>
      <c r="E393" s="343"/>
      <c r="F393" s="557">
        <v>19.07</v>
      </c>
      <c r="G393" s="557">
        <v>19.07</v>
      </c>
    </row>
    <row r="394" spans="1:7" ht="12.6" customHeight="1" x14ac:dyDescent="0.2">
      <c r="A394" s="551" t="s">
        <v>32351</v>
      </c>
      <c r="B394" s="551" t="s">
        <v>32352</v>
      </c>
      <c r="C394" s="552" t="s">
        <v>158</v>
      </c>
      <c r="D394" s="557">
        <v>5.75</v>
      </c>
      <c r="E394" s="343"/>
      <c r="F394" s="557">
        <v>5.75</v>
      </c>
      <c r="G394" s="557">
        <v>5.75</v>
      </c>
    </row>
    <row r="395" spans="1:7" ht="12.6" customHeight="1" x14ac:dyDescent="0.2">
      <c r="A395" s="551" t="s">
        <v>32353</v>
      </c>
      <c r="B395" s="551" t="s">
        <v>32354</v>
      </c>
      <c r="C395" s="552" t="s">
        <v>158</v>
      </c>
      <c r="D395" s="557">
        <v>2.87</v>
      </c>
      <c r="E395" s="343"/>
      <c r="F395" s="557">
        <v>2.87</v>
      </c>
      <c r="G395" s="557">
        <v>2.87</v>
      </c>
    </row>
    <row r="396" spans="1:7" ht="12.6" customHeight="1" x14ac:dyDescent="0.2">
      <c r="A396" s="551" t="s">
        <v>32355</v>
      </c>
      <c r="B396" s="551" t="s">
        <v>32356</v>
      </c>
      <c r="C396" s="552" t="s">
        <v>158</v>
      </c>
      <c r="D396" s="557">
        <v>4.79</v>
      </c>
      <c r="E396" s="343"/>
      <c r="F396" s="557">
        <v>4.79</v>
      </c>
      <c r="G396" s="557">
        <v>4.79</v>
      </c>
    </row>
    <row r="397" spans="1:7" ht="12.6" customHeight="1" x14ac:dyDescent="0.2">
      <c r="A397" s="551" t="s">
        <v>32357</v>
      </c>
      <c r="B397" s="551" t="s">
        <v>32358</v>
      </c>
      <c r="C397" s="552" t="s">
        <v>158</v>
      </c>
      <c r="D397" s="557">
        <v>2.39</v>
      </c>
      <c r="E397" s="343"/>
      <c r="F397" s="557">
        <v>2.39</v>
      </c>
      <c r="G397" s="557">
        <v>2.39</v>
      </c>
    </row>
    <row r="398" spans="1:7" ht="23.1" customHeight="1" x14ac:dyDescent="0.25">
      <c r="A398" s="551" t="s">
        <v>32359</v>
      </c>
      <c r="B398" s="551" t="s">
        <v>32360</v>
      </c>
      <c r="C398" s="552" t="s">
        <v>158</v>
      </c>
      <c r="D398" s="557">
        <v>33.67</v>
      </c>
      <c r="E398" s="344"/>
      <c r="F398" s="557">
        <v>33.67</v>
      </c>
      <c r="G398" s="557">
        <v>33.67</v>
      </c>
    </row>
    <row r="399" spans="1:7" ht="12.6" customHeight="1" x14ac:dyDescent="0.2">
      <c r="A399" s="551" t="s">
        <v>32361</v>
      </c>
      <c r="B399" s="551" t="s">
        <v>32362</v>
      </c>
      <c r="C399" s="552" t="s">
        <v>158</v>
      </c>
      <c r="D399" s="557">
        <v>9.57</v>
      </c>
      <c r="E399" s="343"/>
      <c r="F399" s="557">
        <v>9.57</v>
      </c>
      <c r="G399" s="557">
        <v>9.57</v>
      </c>
    </row>
    <row r="400" spans="1:7" ht="23.1" customHeight="1" x14ac:dyDescent="0.25">
      <c r="A400" s="551" t="s">
        <v>32363</v>
      </c>
      <c r="B400" s="551" t="s">
        <v>32364</v>
      </c>
      <c r="C400" s="552" t="s">
        <v>226</v>
      </c>
      <c r="D400" s="557">
        <v>47.86</v>
      </c>
      <c r="E400" s="344"/>
      <c r="F400" s="557">
        <v>47.86</v>
      </c>
      <c r="G400" s="557">
        <v>47.86</v>
      </c>
    </row>
    <row r="401" spans="1:7" ht="12.6" customHeight="1" x14ac:dyDescent="0.2">
      <c r="A401" s="551" t="s">
        <v>32365</v>
      </c>
      <c r="B401" s="551" t="s">
        <v>32366</v>
      </c>
      <c r="C401" s="552" t="s">
        <v>226</v>
      </c>
      <c r="D401" s="557">
        <v>9.57</v>
      </c>
      <c r="E401" s="343"/>
      <c r="F401" s="557">
        <v>9.57</v>
      </c>
      <c r="G401" s="557">
        <v>9.57</v>
      </c>
    </row>
    <row r="402" spans="1:7" ht="11.45" customHeight="1" x14ac:dyDescent="0.25">
      <c r="A402" s="543" t="s">
        <v>32367</v>
      </c>
      <c r="B402" s="544" t="s">
        <v>32368</v>
      </c>
      <c r="C402" s="544" t="s">
        <v>226</v>
      </c>
      <c r="D402" s="543">
        <v>71.8</v>
      </c>
      <c r="E402" s="545"/>
      <c r="F402" s="546">
        <v>71.8</v>
      </c>
      <c r="G402" s="543">
        <v>71.8</v>
      </c>
    </row>
    <row r="403" spans="1:7" ht="23.1" customHeight="1" x14ac:dyDescent="0.25">
      <c r="A403" s="551" t="s">
        <v>32369</v>
      </c>
      <c r="B403" s="551" t="s">
        <v>32370</v>
      </c>
      <c r="C403" s="552" t="s">
        <v>226</v>
      </c>
      <c r="D403" s="557">
        <v>101</v>
      </c>
      <c r="E403" s="344"/>
      <c r="F403" s="557">
        <v>101</v>
      </c>
      <c r="G403" s="557">
        <v>101</v>
      </c>
    </row>
    <row r="404" spans="1:7" ht="12.6" customHeight="1" x14ac:dyDescent="0.2">
      <c r="A404" s="551" t="s">
        <v>32371</v>
      </c>
      <c r="B404" s="551" t="s">
        <v>32372</v>
      </c>
      <c r="C404" s="552"/>
      <c r="D404" s="557"/>
      <c r="E404" s="343"/>
      <c r="F404" s="557"/>
      <c r="G404" s="557"/>
    </row>
    <row r="405" spans="1:7" ht="12.6" customHeight="1" x14ac:dyDescent="0.2">
      <c r="A405" s="551" t="s">
        <v>32373</v>
      </c>
      <c r="B405" s="551" t="s">
        <v>32374</v>
      </c>
      <c r="C405" s="552" t="s">
        <v>226</v>
      </c>
      <c r="D405" s="557">
        <v>197.01</v>
      </c>
      <c r="E405" s="343"/>
      <c r="F405" s="557">
        <v>197.01</v>
      </c>
      <c r="G405" s="557">
        <v>197.01</v>
      </c>
    </row>
    <row r="406" spans="1:7" ht="12.6" customHeight="1" x14ac:dyDescent="0.2">
      <c r="A406" s="551" t="s">
        <v>32375</v>
      </c>
      <c r="B406" s="551" t="s">
        <v>32376</v>
      </c>
      <c r="C406" s="552" t="s">
        <v>226</v>
      </c>
      <c r="D406" s="557">
        <v>47.86</v>
      </c>
      <c r="E406" s="343"/>
      <c r="F406" s="557">
        <v>47.86</v>
      </c>
      <c r="G406" s="557">
        <v>47.86</v>
      </c>
    </row>
    <row r="407" spans="1:7" ht="12.6" customHeight="1" x14ac:dyDescent="0.2">
      <c r="A407" s="551" t="s">
        <v>32377</v>
      </c>
      <c r="B407" s="551" t="s">
        <v>32378</v>
      </c>
      <c r="C407" s="552" t="s">
        <v>226</v>
      </c>
      <c r="D407" s="557">
        <v>11.97</v>
      </c>
      <c r="E407" s="343"/>
      <c r="F407" s="557">
        <v>11.97</v>
      </c>
      <c r="G407" s="557">
        <v>11.97</v>
      </c>
    </row>
    <row r="408" spans="1:7" ht="12.6" customHeight="1" x14ac:dyDescent="0.2">
      <c r="A408" s="551" t="s">
        <v>32379</v>
      </c>
      <c r="B408" s="551" t="s">
        <v>32380</v>
      </c>
      <c r="C408" s="552" t="s">
        <v>227</v>
      </c>
      <c r="D408" s="557">
        <v>47.86</v>
      </c>
      <c r="E408" s="343"/>
      <c r="F408" s="557">
        <v>47.86</v>
      </c>
      <c r="G408" s="557">
        <v>47.86</v>
      </c>
    </row>
    <row r="409" spans="1:7" ht="12.6" customHeight="1" x14ac:dyDescent="0.2">
      <c r="A409" s="551" t="s">
        <v>32381</v>
      </c>
      <c r="B409" s="551" t="s">
        <v>32382</v>
      </c>
      <c r="C409" s="552" t="s">
        <v>226</v>
      </c>
      <c r="D409" s="557">
        <v>9.57</v>
      </c>
      <c r="E409" s="343"/>
      <c r="F409" s="557">
        <v>9.57</v>
      </c>
      <c r="G409" s="557">
        <v>9.57</v>
      </c>
    </row>
    <row r="410" spans="1:7" ht="12.6" customHeight="1" x14ac:dyDescent="0.2">
      <c r="A410" s="551" t="s">
        <v>32383</v>
      </c>
      <c r="B410" s="551" t="s">
        <v>32384</v>
      </c>
      <c r="C410" s="552" t="s">
        <v>226</v>
      </c>
      <c r="D410" s="557">
        <v>19.149999999999999</v>
      </c>
      <c r="E410" s="343"/>
      <c r="F410" s="557">
        <v>19.149999999999999</v>
      </c>
      <c r="G410" s="557">
        <v>19.149999999999999</v>
      </c>
    </row>
    <row r="411" spans="1:7" ht="12.6" customHeight="1" x14ac:dyDescent="0.2">
      <c r="A411" s="551" t="s">
        <v>32385</v>
      </c>
      <c r="B411" s="551" t="s">
        <v>32386</v>
      </c>
      <c r="C411" s="552" t="s">
        <v>226</v>
      </c>
      <c r="D411" s="557">
        <v>4.79</v>
      </c>
      <c r="E411" s="343"/>
      <c r="F411" s="557">
        <v>4.79</v>
      </c>
      <c r="G411" s="557">
        <v>4.79</v>
      </c>
    </row>
    <row r="412" spans="1:7" ht="12.6" customHeight="1" x14ac:dyDescent="0.2">
      <c r="A412" s="551" t="s">
        <v>32387</v>
      </c>
      <c r="B412" s="551" t="s">
        <v>32388</v>
      </c>
      <c r="C412" s="552" t="s">
        <v>226</v>
      </c>
      <c r="D412" s="557">
        <v>7.18</v>
      </c>
      <c r="E412" s="343"/>
      <c r="F412" s="557">
        <v>7.18</v>
      </c>
      <c r="G412" s="557">
        <v>7.18</v>
      </c>
    </row>
    <row r="413" spans="1:7" ht="12.6" customHeight="1" x14ac:dyDescent="0.2">
      <c r="A413" s="551" t="s">
        <v>32389</v>
      </c>
      <c r="B413" s="551" t="s">
        <v>32390</v>
      </c>
      <c r="C413" s="552" t="s">
        <v>226</v>
      </c>
      <c r="D413" s="557">
        <v>11.97</v>
      </c>
      <c r="E413" s="343"/>
      <c r="F413" s="557">
        <v>11.97</v>
      </c>
      <c r="G413" s="557">
        <v>11.97</v>
      </c>
    </row>
    <row r="414" spans="1:7" ht="12.6" customHeight="1" x14ac:dyDescent="0.2">
      <c r="A414" s="551" t="s">
        <v>32391</v>
      </c>
      <c r="B414" s="551" t="s">
        <v>32392</v>
      </c>
      <c r="C414" s="552" t="s">
        <v>226</v>
      </c>
      <c r="D414" s="557">
        <v>11.97</v>
      </c>
      <c r="E414" s="343"/>
      <c r="F414" s="557">
        <v>11.97</v>
      </c>
      <c r="G414" s="557">
        <v>11.97</v>
      </c>
    </row>
    <row r="415" spans="1:7" ht="12.6" customHeight="1" x14ac:dyDescent="0.2">
      <c r="A415" s="548" t="s">
        <v>32393</v>
      </c>
      <c r="B415" s="548" t="s">
        <v>32394</v>
      </c>
      <c r="C415" s="550"/>
      <c r="D415" s="550"/>
      <c r="E415" s="550"/>
      <c r="F415" s="550"/>
      <c r="G415" s="550"/>
    </row>
    <row r="416" spans="1:7" ht="12.6" customHeight="1" x14ac:dyDescent="0.2">
      <c r="A416" s="551" t="s">
        <v>32395</v>
      </c>
      <c r="B416" s="551" t="s">
        <v>32396</v>
      </c>
      <c r="C416" s="552" t="s">
        <v>226</v>
      </c>
      <c r="D416" s="557">
        <v>33.67</v>
      </c>
      <c r="E416" s="343"/>
      <c r="F416" s="557">
        <v>33.67</v>
      </c>
      <c r="G416" s="557">
        <v>33.67</v>
      </c>
    </row>
    <row r="417" spans="1:7" ht="12.6" customHeight="1" x14ac:dyDescent="0.2">
      <c r="A417" s="551" t="s">
        <v>32397</v>
      </c>
      <c r="B417" s="551" t="s">
        <v>32398</v>
      </c>
      <c r="C417" s="552" t="s">
        <v>226</v>
      </c>
      <c r="D417" s="557">
        <v>3.89</v>
      </c>
      <c r="E417" s="343"/>
      <c r="F417" s="557">
        <v>3.89</v>
      </c>
      <c r="G417" s="557">
        <v>3.89</v>
      </c>
    </row>
    <row r="418" spans="1:7" ht="12.6" customHeight="1" x14ac:dyDescent="0.2">
      <c r="A418" s="551" t="s">
        <v>32399</v>
      </c>
      <c r="B418" s="551" t="s">
        <v>32400</v>
      </c>
      <c r="C418" s="552" t="s">
        <v>226</v>
      </c>
      <c r="D418" s="557">
        <v>47.86</v>
      </c>
      <c r="E418" s="343"/>
      <c r="F418" s="557">
        <v>47.86</v>
      </c>
      <c r="G418" s="557">
        <v>47.86</v>
      </c>
    </row>
    <row r="419" spans="1:7" ht="12.6" customHeight="1" x14ac:dyDescent="0.2">
      <c r="A419" s="551" t="s">
        <v>32401</v>
      </c>
      <c r="B419" s="551" t="s">
        <v>32402</v>
      </c>
      <c r="C419" s="552" t="s">
        <v>226</v>
      </c>
      <c r="D419" s="557">
        <v>23.94</v>
      </c>
      <c r="E419" s="343"/>
      <c r="F419" s="557">
        <v>23.94</v>
      </c>
      <c r="G419" s="557">
        <v>23.94</v>
      </c>
    </row>
    <row r="420" spans="1:7" ht="12.6" customHeight="1" x14ac:dyDescent="0.2">
      <c r="A420" s="551" t="s">
        <v>32403</v>
      </c>
      <c r="B420" s="551" t="s">
        <v>32404</v>
      </c>
      <c r="C420" s="552" t="s">
        <v>226</v>
      </c>
      <c r="D420" s="557">
        <v>19.47</v>
      </c>
      <c r="E420" s="343"/>
      <c r="F420" s="557">
        <v>19.47</v>
      </c>
      <c r="G420" s="557">
        <v>19.47</v>
      </c>
    </row>
    <row r="421" spans="1:7" ht="12.6" customHeight="1" x14ac:dyDescent="0.2">
      <c r="A421" s="551" t="s">
        <v>32405</v>
      </c>
      <c r="B421" s="551" t="s">
        <v>32406</v>
      </c>
      <c r="C421" s="552" t="s">
        <v>226</v>
      </c>
      <c r="D421" s="557">
        <v>67.33</v>
      </c>
      <c r="E421" s="343"/>
      <c r="F421" s="557">
        <v>67.33</v>
      </c>
      <c r="G421" s="557">
        <v>67.33</v>
      </c>
    </row>
    <row r="422" spans="1:7" ht="12.6" customHeight="1" x14ac:dyDescent="0.2">
      <c r="A422" s="551" t="s">
        <v>32407</v>
      </c>
      <c r="B422" s="551" t="s">
        <v>32408</v>
      </c>
      <c r="C422" s="552"/>
      <c r="D422" s="557"/>
      <c r="E422" s="343"/>
      <c r="F422" s="557"/>
      <c r="G422" s="557"/>
    </row>
    <row r="423" spans="1:7" ht="12.6" customHeight="1" x14ac:dyDescent="0.2">
      <c r="A423" s="551" t="s">
        <v>32409</v>
      </c>
      <c r="B423" s="551" t="s">
        <v>32410</v>
      </c>
      <c r="C423" s="552" t="s">
        <v>16628</v>
      </c>
      <c r="D423" s="557">
        <v>0.78</v>
      </c>
      <c r="E423" s="343"/>
      <c r="F423" s="557">
        <v>0.78</v>
      </c>
      <c r="G423" s="557">
        <v>0.78</v>
      </c>
    </row>
    <row r="424" spans="1:7" ht="12.6" customHeight="1" x14ac:dyDescent="0.2">
      <c r="A424" s="551" t="s">
        <v>32411</v>
      </c>
      <c r="B424" s="551" t="s">
        <v>32412</v>
      </c>
      <c r="C424" s="552" t="s">
        <v>226</v>
      </c>
      <c r="D424" s="557">
        <v>71.8</v>
      </c>
      <c r="E424" s="343"/>
      <c r="F424" s="557">
        <v>71.8</v>
      </c>
      <c r="G424" s="557">
        <v>71.8</v>
      </c>
    </row>
    <row r="425" spans="1:7" ht="12.6" customHeight="1" x14ac:dyDescent="0.2">
      <c r="A425" s="551" t="s">
        <v>32413</v>
      </c>
      <c r="B425" s="551" t="s">
        <v>32414</v>
      </c>
      <c r="C425" s="552" t="s">
        <v>226</v>
      </c>
      <c r="D425" s="557">
        <v>95.72</v>
      </c>
      <c r="E425" s="343"/>
      <c r="F425" s="557">
        <v>95.72</v>
      </c>
      <c r="G425" s="557">
        <v>95.72</v>
      </c>
    </row>
    <row r="426" spans="1:7" ht="12.6" customHeight="1" x14ac:dyDescent="0.2">
      <c r="A426" s="548" t="s">
        <v>32415</v>
      </c>
      <c r="B426" s="548" t="s">
        <v>32416</v>
      </c>
      <c r="C426" s="550" t="s">
        <v>158</v>
      </c>
      <c r="D426" s="550">
        <v>19.149999999999999</v>
      </c>
      <c r="E426" s="550"/>
      <c r="F426" s="550">
        <v>19.149999999999999</v>
      </c>
      <c r="G426" s="550">
        <v>19.149999999999999</v>
      </c>
    </row>
    <row r="427" spans="1:7" ht="24.95" customHeight="1" x14ac:dyDescent="0.25">
      <c r="A427" s="551" t="s">
        <v>32417</v>
      </c>
      <c r="B427" s="342" t="s">
        <v>32418</v>
      </c>
      <c r="C427" s="552" t="s">
        <v>227</v>
      </c>
      <c r="D427" s="557">
        <v>47.86</v>
      </c>
      <c r="E427" s="344"/>
      <c r="F427" s="557">
        <v>47.86</v>
      </c>
      <c r="G427" s="557">
        <v>47.86</v>
      </c>
    </row>
    <row r="428" spans="1:7" ht="12.6" customHeight="1" x14ac:dyDescent="0.2">
      <c r="A428" s="551" t="s">
        <v>32419</v>
      </c>
      <c r="B428" s="551" t="s">
        <v>32420</v>
      </c>
      <c r="C428" s="552" t="s">
        <v>226</v>
      </c>
      <c r="D428" s="557">
        <v>266.94</v>
      </c>
      <c r="E428" s="343">
        <v>132.28</v>
      </c>
      <c r="F428" s="557">
        <v>134.66</v>
      </c>
      <c r="G428" s="557">
        <v>266.94</v>
      </c>
    </row>
    <row r="429" spans="1:7" ht="12.6" customHeight="1" x14ac:dyDescent="0.2">
      <c r="A429" s="551" t="s">
        <v>32421</v>
      </c>
      <c r="B429" s="551" t="s">
        <v>32422</v>
      </c>
      <c r="C429" s="552" t="s">
        <v>226</v>
      </c>
      <c r="D429" s="557">
        <v>266.94</v>
      </c>
      <c r="E429" s="343">
        <v>132.28</v>
      </c>
      <c r="F429" s="557">
        <v>134.66</v>
      </c>
      <c r="G429" s="557">
        <v>266.94</v>
      </c>
    </row>
    <row r="430" spans="1:7" ht="12.6" customHeight="1" x14ac:dyDescent="0.2">
      <c r="A430" s="551" t="s">
        <v>32423</v>
      </c>
      <c r="B430" s="551" t="s">
        <v>32424</v>
      </c>
      <c r="C430" s="552" t="s">
        <v>226</v>
      </c>
      <c r="D430" s="557">
        <v>150.81</v>
      </c>
      <c r="E430" s="343"/>
      <c r="F430" s="557">
        <v>150.81</v>
      </c>
      <c r="G430" s="557">
        <v>150.81</v>
      </c>
    </row>
    <row r="431" spans="1:7" ht="12.6" customHeight="1" x14ac:dyDescent="0.2">
      <c r="A431" s="551" t="s">
        <v>32425</v>
      </c>
      <c r="B431" s="551" t="s">
        <v>32426</v>
      </c>
      <c r="C431" s="552" t="s">
        <v>227</v>
      </c>
      <c r="D431" s="557">
        <v>95.72</v>
      </c>
      <c r="E431" s="343"/>
      <c r="F431" s="557">
        <v>95.72</v>
      </c>
      <c r="G431" s="557">
        <v>95.72</v>
      </c>
    </row>
    <row r="432" spans="1:7" ht="12.6" customHeight="1" x14ac:dyDescent="0.2">
      <c r="A432" s="551" t="s">
        <v>32427</v>
      </c>
      <c r="B432" s="551" t="s">
        <v>32428</v>
      </c>
      <c r="C432" s="552" t="s">
        <v>226</v>
      </c>
      <c r="D432" s="557">
        <v>16.84</v>
      </c>
      <c r="E432" s="343"/>
      <c r="F432" s="557">
        <v>16.84</v>
      </c>
      <c r="G432" s="557">
        <v>16.84</v>
      </c>
    </row>
    <row r="433" spans="1:7" ht="12.6" customHeight="1" x14ac:dyDescent="0.2">
      <c r="A433" s="548" t="s">
        <v>32429</v>
      </c>
      <c r="B433" s="548" t="s">
        <v>32430</v>
      </c>
      <c r="C433" s="550" t="s">
        <v>226</v>
      </c>
      <c r="D433" s="550">
        <v>95.72</v>
      </c>
      <c r="E433" s="550"/>
      <c r="F433" s="550">
        <v>95.72</v>
      </c>
      <c r="G433" s="550">
        <v>95.72</v>
      </c>
    </row>
    <row r="434" spans="1:7" ht="12.6" customHeight="1" x14ac:dyDescent="0.2">
      <c r="A434" s="551" t="s">
        <v>32431</v>
      </c>
      <c r="B434" s="551" t="s">
        <v>32432</v>
      </c>
      <c r="C434" s="552" t="s">
        <v>226</v>
      </c>
      <c r="D434" s="557">
        <v>22.71</v>
      </c>
      <c r="E434" s="343"/>
      <c r="F434" s="557">
        <v>22.71</v>
      </c>
      <c r="G434" s="557">
        <v>22.71</v>
      </c>
    </row>
    <row r="435" spans="1:7" ht="12.6" customHeight="1" x14ac:dyDescent="0.2">
      <c r="A435" s="551" t="s">
        <v>32433</v>
      </c>
      <c r="B435" s="551" t="s">
        <v>32434</v>
      </c>
      <c r="C435" s="552" t="s">
        <v>226</v>
      </c>
      <c r="D435" s="557">
        <v>3.89</v>
      </c>
      <c r="E435" s="343"/>
      <c r="F435" s="557">
        <v>3.89</v>
      </c>
      <c r="G435" s="557">
        <v>3.89</v>
      </c>
    </row>
    <row r="436" spans="1:7" ht="23.1" customHeight="1" x14ac:dyDescent="0.25">
      <c r="A436" s="551" t="s">
        <v>32435</v>
      </c>
      <c r="B436" s="551" t="s">
        <v>32436</v>
      </c>
      <c r="C436" s="552" t="s">
        <v>226</v>
      </c>
      <c r="D436" s="557">
        <v>3.89</v>
      </c>
      <c r="E436" s="344"/>
      <c r="F436" s="557">
        <v>3.89</v>
      </c>
      <c r="G436" s="557">
        <v>3.89</v>
      </c>
    </row>
    <row r="437" spans="1:7" ht="12.6" customHeight="1" x14ac:dyDescent="0.2">
      <c r="A437" s="551" t="s">
        <v>32437</v>
      </c>
      <c r="B437" s="551" t="s">
        <v>32438</v>
      </c>
      <c r="C437" s="552" t="s">
        <v>226</v>
      </c>
      <c r="D437" s="557">
        <v>31.15</v>
      </c>
      <c r="E437" s="343"/>
      <c r="F437" s="557">
        <v>31.15</v>
      </c>
      <c r="G437" s="557">
        <v>31.15</v>
      </c>
    </row>
    <row r="438" spans="1:7" ht="12.6" customHeight="1" x14ac:dyDescent="0.2">
      <c r="A438" s="551" t="s">
        <v>32439</v>
      </c>
      <c r="B438" s="551" t="s">
        <v>32440</v>
      </c>
      <c r="C438" s="552"/>
      <c r="D438" s="557"/>
      <c r="E438" s="343"/>
      <c r="F438" s="557"/>
      <c r="G438" s="557"/>
    </row>
    <row r="439" spans="1:7" ht="12.6" customHeight="1" x14ac:dyDescent="0.25">
      <c r="A439" s="551" t="s">
        <v>32441</v>
      </c>
      <c r="B439" s="551" t="s">
        <v>32442</v>
      </c>
      <c r="C439" s="552" t="s">
        <v>226</v>
      </c>
      <c r="D439" s="557">
        <v>4.87</v>
      </c>
      <c r="E439" s="557"/>
      <c r="F439" s="557">
        <v>4.87</v>
      </c>
      <c r="G439" s="557">
        <v>4.87</v>
      </c>
    </row>
    <row r="440" spans="1:7" ht="12.6" customHeight="1" x14ac:dyDescent="0.25">
      <c r="A440" s="551" t="s">
        <v>32443</v>
      </c>
      <c r="B440" s="551" t="s">
        <v>32444</v>
      </c>
      <c r="C440" s="552" t="s">
        <v>226</v>
      </c>
      <c r="D440" s="557">
        <v>331.67</v>
      </c>
      <c r="E440" s="557"/>
      <c r="F440" s="557">
        <v>331.67</v>
      </c>
      <c r="G440" s="557">
        <v>331.67</v>
      </c>
    </row>
    <row r="441" spans="1:7" ht="12.6" customHeight="1" x14ac:dyDescent="0.2">
      <c r="A441" s="551" t="s">
        <v>32445</v>
      </c>
      <c r="B441" s="551" t="s">
        <v>32446</v>
      </c>
      <c r="C441" s="552" t="s">
        <v>226</v>
      </c>
      <c r="D441" s="557">
        <v>31.11</v>
      </c>
      <c r="E441" s="343"/>
      <c r="F441" s="557">
        <v>31.11</v>
      </c>
      <c r="G441" s="557">
        <v>31.11</v>
      </c>
    </row>
    <row r="442" spans="1:7" ht="12.6" customHeight="1" x14ac:dyDescent="0.2">
      <c r="A442" s="551" t="s">
        <v>32447</v>
      </c>
      <c r="B442" s="551" t="s">
        <v>32448</v>
      </c>
      <c r="C442" s="552" t="s">
        <v>226</v>
      </c>
      <c r="D442" s="557">
        <v>647.42999999999995</v>
      </c>
      <c r="E442" s="343">
        <v>264.55</v>
      </c>
      <c r="F442" s="557">
        <v>382.88</v>
      </c>
      <c r="G442" s="557">
        <v>647.42999999999995</v>
      </c>
    </row>
    <row r="443" spans="1:7" ht="12.6" customHeight="1" x14ac:dyDescent="0.2">
      <c r="A443" s="551" t="s">
        <v>32449</v>
      </c>
      <c r="B443" s="551" t="s">
        <v>32450</v>
      </c>
      <c r="C443" s="552" t="s">
        <v>158</v>
      </c>
      <c r="D443" s="557">
        <v>23.94</v>
      </c>
      <c r="E443" s="343"/>
      <c r="F443" s="557">
        <v>23.94</v>
      </c>
      <c r="G443" s="557">
        <v>23.94</v>
      </c>
    </row>
    <row r="444" spans="1:7" ht="12.6" customHeight="1" x14ac:dyDescent="0.2">
      <c r="A444" s="551" t="s">
        <v>32451</v>
      </c>
      <c r="B444" s="551" t="s">
        <v>32452</v>
      </c>
      <c r="C444" s="552" t="s">
        <v>158</v>
      </c>
      <c r="D444" s="557">
        <v>11.97</v>
      </c>
      <c r="E444" s="343"/>
      <c r="F444" s="557">
        <v>11.97</v>
      </c>
      <c r="G444" s="557">
        <v>11.97</v>
      </c>
    </row>
    <row r="445" spans="1:7" ht="12.6" customHeight="1" x14ac:dyDescent="0.2">
      <c r="A445" s="551" t="s">
        <v>32453</v>
      </c>
      <c r="B445" s="551" t="s">
        <v>32454</v>
      </c>
      <c r="C445" s="552" t="s">
        <v>158</v>
      </c>
      <c r="D445" s="557">
        <v>47.86</v>
      </c>
      <c r="E445" s="343"/>
      <c r="F445" s="557">
        <v>47.86</v>
      </c>
      <c r="G445" s="557">
        <v>47.86</v>
      </c>
    </row>
    <row r="446" spans="1:7" ht="12.6" customHeight="1" x14ac:dyDescent="0.2">
      <c r="A446" s="551" t="s">
        <v>32455</v>
      </c>
      <c r="B446" s="551" t="s">
        <v>32456</v>
      </c>
      <c r="C446" s="552" t="s">
        <v>158</v>
      </c>
      <c r="D446" s="557">
        <v>23.94</v>
      </c>
      <c r="E446" s="343"/>
      <c r="F446" s="557">
        <v>23.94</v>
      </c>
      <c r="G446" s="557">
        <v>23.94</v>
      </c>
    </row>
    <row r="447" spans="1:7" ht="12.6" customHeight="1" x14ac:dyDescent="0.2">
      <c r="A447" s="551" t="s">
        <v>32457</v>
      </c>
      <c r="B447" s="551" t="s">
        <v>32458</v>
      </c>
      <c r="C447" s="552" t="s">
        <v>158</v>
      </c>
      <c r="D447" s="557">
        <v>9.57</v>
      </c>
      <c r="E447" s="343"/>
      <c r="F447" s="557">
        <v>9.57</v>
      </c>
      <c r="G447" s="557">
        <v>9.57</v>
      </c>
    </row>
    <row r="448" spans="1:7" ht="23.1" customHeight="1" x14ac:dyDescent="0.25">
      <c r="A448" s="551" t="s">
        <v>32459</v>
      </c>
      <c r="B448" s="551" t="s">
        <v>32460</v>
      </c>
      <c r="C448" s="552"/>
      <c r="D448" s="557"/>
      <c r="E448" s="344"/>
      <c r="F448" s="557"/>
      <c r="G448" s="557"/>
    </row>
    <row r="449" spans="1:7" ht="12.6" customHeight="1" x14ac:dyDescent="0.2">
      <c r="A449" s="548" t="s">
        <v>32461</v>
      </c>
      <c r="B449" s="548" t="s">
        <v>32462</v>
      </c>
      <c r="C449" s="550" t="s">
        <v>158</v>
      </c>
      <c r="D449" s="550">
        <v>4.4800000000000004</v>
      </c>
      <c r="E449" s="550"/>
      <c r="F449" s="550">
        <v>4.4800000000000004</v>
      </c>
      <c r="G449" s="550">
        <v>4.4800000000000004</v>
      </c>
    </row>
    <row r="450" spans="1:7" ht="12.6" customHeight="1" x14ac:dyDescent="0.2">
      <c r="A450" s="551" t="s">
        <v>32463</v>
      </c>
      <c r="B450" s="551" t="s">
        <v>32464</v>
      </c>
      <c r="C450" s="552" t="s">
        <v>158</v>
      </c>
      <c r="D450" s="557">
        <v>2.92</v>
      </c>
      <c r="E450" s="343"/>
      <c r="F450" s="557">
        <v>2.92</v>
      </c>
      <c r="G450" s="557">
        <v>2.92</v>
      </c>
    </row>
    <row r="451" spans="1:7" ht="12.6" customHeight="1" x14ac:dyDescent="0.2">
      <c r="A451" s="551" t="s">
        <v>32465</v>
      </c>
      <c r="B451" s="551" t="s">
        <v>32466</v>
      </c>
      <c r="C451" s="552" t="s">
        <v>158</v>
      </c>
      <c r="D451" s="557">
        <v>7.79</v>
      </c>
      <c r="E451" s="343"/>
      <c r="F451" s="557">
        <v>7.79</v>
      </c>
      <c r="G451" s="557">
        <v>7.79</v>
      </c>
    </row>
    <row r="452" spans="1:7" ht="12.6" customHeight="1" x14ac:dyDescent="0.2">
      <c r="A452" s="551" t="s">
        <v>32467</v>
      </c>
      <c r="B452" s="551" t="s">
        <v>32468</v>
      </c>
      <c r="C452" s="552" t="s">
        <v>226</v>
      </c>
      <c r="D452" s="557">
        <v>85.17</v>
      </c>
      <c r="E452" s="343"/>
      <c r="F452" s="557">
        <v>85.17</v>
      </c>
      <c r="G452" s="557">
        <v>85.17</v>
      </c>
    </row>
    <row r="453" spans="1:7" ht="24.95" customHeight="1" x14ac:dyDescent="0.25">
      <c r="A453" s="551" t="s">
        <v>32469</v>
      </c>
      <c r="B453" s="342" t="s">
        <v>32470</v>
      </c>
      <c r="C453" s="552" t="s">
        <v>226</v>
      </c>
      <c r="D453" s="557">
        <v>143.58000000000001</v>
      </c>
      <c r="E453" s="557"/>
      <c r="F453" s="557">
        <v>143.58000000000001</v>
      </c>
      <c r="G453" s="557">
        <v>143.58000000000001</v>
      </c>
    </row>
    <row r="454" spans="1:7" ht="11.45" customHeight="1" x14ac:dyDescent="0.25">
      <c r="A454" s="543" t="s">
        <v>32471</v>
      </c>
      <c r="B454" s="544" t="s">
        <v>32472</v>
      </c>
      <c r="C454" s="544"/>
      <c r="D454" s="543"/>
      <c r="E454" s="545"/>
      <c r="F454" s="546"/>
      <c r="G454" s="543"/>
    </row>
    <row r="455" spans="1:7" ht="24.95" customHeight="1" x14ac:dyDescent="0.25">
      <c r="A455" s="551" t="s">
        <v>32473</v>
      </c>
      <c r="B455" s="342" t="s">
        <v>32474</v>
      </c>
      <c r="C455" s="552" t="s">
        <v>226</v>
      </c>
      <c r="D455" s="557">
        <v>13.47</v>
      </c>
      <c r="E455" s="344"/>
      <c r="F455" s="557">
        <v>13.47</v>
      </c>
      <c r="G455" s="557">
        <v>13.47</v>
      </c>
    </row>
    <row r="456" spans="1:7" ht="23.1" customHeight="1" x14ac:dyDescent="0.25">
      <c r="A456" s="551" t="s">
        <v>32475</v>
      </c>
      <c r="B456" s="551" t="s">
        <v>32476</v>
      </c>
      <c r="C456" s="552"/>
      <c r="D456" s="557"/>
      <c r="E456" s="344"/>
      <c r="F456" s="557"/>
      <c r="G456" s="557"/>
    </row>
    <row r="457" spans="1:7" ht="24.95" customHeight="1" x14ac:dyDescent="0.25">
      <c r="A457" s="551" t="s">
        <v>32477</v>
      </c>
      <c r="B457" s="342" t="s">
        <v>32478</v>
      </c>
      <c r="C457" s="552" t="s">
        <v>226</v>
      </c>
      <c r="D457" s="557">
        <v>21.7</v>
      </c>
      <c r="E457" s="344"/>
      <c r="F457" s="557">
        <v>21.7</v>
      </c>
      <c r="G457" s="557">
        <v>21.7</v>
      </c>
    </row>
    <row r="458" spans="1:7" ht="23.1" customHeight="1" x14ac:dyDescent="0.25">
      <c r="A458" s="551" t="s">
        <v>32479</v>
      </c>
      <c r="B458" s="551" t="s">
        <v>32480</v>
      </c>
      <c r="C458" s="552"/>
      <c r="D458" s="557"/>
      <c r="E458" s="344"/>
      <c r="F458" s="557"/>
      <c r="G458" s="557"/>
    </row>
    <row r="459" spans="1:7" ht="12.6" customHeight="1" x14ac:dyDescent="0.2">
      <c r="A459" s="551" t="s">
        <v>32481</v>
      </c>
      <c r="B459" s="551" t="s">
        <v>32482</v>
      </c>
      <c r="C459" s="552" t="s">
        <v>158</v>
      </c>
      <c r="D459" s="557">
        <v>8.69</v>
      </c>
      <c r="E459" s="343">
        <v>0.9</v>
      </c>
      <c r="F459" s="557">
        <v>7.79</v>
      </c>
      <c r="G459" s="557">
        <v>8.69</v>
      </c>
    </row>
    <row r="460" spans="1:7" ht="12.6" customHeight="1" x14ac:dyDescent="0.2">
      <c r="A460" s="548" t="s">
        <v>32483</v>
      </c>
      <c r="B460" s="548" t="s">
        <v>32484</v>
      </c>
      <c r="C460" s="550" t="s">
        <v>158</v>
      </c>
      <c r="D460" s="550">
        <v>3.89</v>
      </c>
      <c r="E460" s="550"/>
      <c r="F460" s="550">
        <v>3.89</v>
      </c>
      <c r="G460" s="550">
        <v>3.89</v>
      </c>
    </row>
    <row r="461" spans="1:7" ht="12.6" customHeight="1" x14ac:dyDescent="0.2">
      <c r="A461" s="551" t="s">
        <v>32485</v>
      </c>
      <c r="B461" s="551" t="s">
        <v>32486</v>
      </c>
      <c r="C461" s="552" t="s">
        <v>158</v>
      </c>
      <c r="D461" s="557">
        <v>7.79</v>
      </c>
      <c r="E461" s="343"/>
      <c r="F461" s="557">
        <v>7.79</v>
      </c>
      <c r="G461" s="557">
        <v>7.79</v>
      </c>
    </row>
    <row r="462" spans="1:7" ht="12.6" customHeight="1" x14ac:dyDescent="0.2">
      <c r="A462" s="551" t="s">
        <v>32487</v>
      </c>
      <c r="B462" s="551" t="s">
        <v>32488</v>
      </c>
      <c r="C462" s="552" t="s">
        <v>227</v>
      </c>
      <c r="D462" s="557">
        <v>18.850000000000001</v>
      </c>
      <c r="E462" s="343">
        <v>7.17</v>
      </c>
      <c r="F462" s="557">
        <v>11.68</v>
      </c>
      <c r="G462" s="557">
        <v>18.850000000000001</v>
      </c>
    </row>
    <row r="463" spans="1:7" ht="23.1" customHeight="1" x14ac:dyDescent="0.25">
      <c r="A463" s="551" t="s">
        <v>32489</v>
      </c>
      <c r="B463" s="551" t="s">
        <v>32490</v>
      </c>
      <c r="C463" s="552" t="s">
        <v>227</v>
      </c>
      <c r="D463" s="557">
        <v>11.68</v>
      </c>
      <c r="E463" s="344"/>
      <c r="F463" s="557">
        <v>11.68</v>
      </c>
      <c r="G463" s="557">
        <v>11.68</v>
      </c>
    </row>
    <row r="464" spans="1:7" ht="12.6" customHeight="1" x14ac:dyDescent="0.2">
      <c r="A464" s="551" t="s">
        <v>32491</v>
      </c>
      <c r="B464" s="551" t="s">
        <v>32492</v>
      </c>
      <c r="C464" s="552"/>
      <c r="D464" s="557"/>
      <c r="E464" s="343"/>
      <c r="F464" s="557"/>
      <c r="G464" s="557"/>
    </row>
    <row r="465" spans="1:7" ht="12.6" customHeight="1" x14ac:dyDescent="0.2">
      <c r="A465" s="551" t="s">
        <v>32493</v>
      </c>
      <c r="B465" s="551" t="s">
        <v>32494</v>
      </c>
      <c r="C465" s="552" t="s">
        <v>227</v>
      </c>
      <c r="D465" s="557">
        <v>61.45</v>
      </c>
      <c r="E465" s="343">
        <v>44.18</v>
      </c>
      <c r="F465" s="557">
        <v>17.27</v>
      </c>
      <c r="G465" s="557">
        <v>61.45</v>
      </c>
    </row>
    <row r="466" spans="1:7" ht="12.6" customHeight="1" x14ac:dyDescent="0.2">
      <c r="A466" s="548" t="s">
        <v>32495</v>
      </c>
      <c r="B466" s="548" t="s">
        <v>32496</v>
      </c>
      <c r="C466" s="550"/>
      <c r="D466" s="550"/>
      <c r="E466" s="550"/>
      <c r="F466" s="550"/>
      <c r="G466" s="550"/>
    </row>
    <row r="467" spans="1:7" ht="12.6" customHeight="1" x14ac:dyDescent="0.2">
      <c r="A467" s="551" t="s">
        <v>32497</v>
      </c>
      <c r="B467" s="551" t="s">
        <v>32498</v>
      </c>
      <c r="C467" s="552"/>
      <c r="D467" s="557"/>
      <c r="E467" s="343"/>
      <c r="F467" s="557"/>
      <c r="G467" s="557"/>
    </row>
    <row r="468" spans="1:7" ht="12.6" customHeight="1" x14ac:dyDescent="0.2">
      <c r="A468" s="548" t="s">
        <v>32499</v>
      </c>
      <c r="B468" s="548" t="s">
        <v>32500</v>
      </c>
      <c r="C468" s="550" t="s">
        <v>159</v>
      </c>
      <c r="D468" s="550">
        <v>135.19999999999999</v>
      </c>
      <c r="E468" s="550">
        <v>30.06</v>
      </c>
      <c r="F468" s="550">
        <v>105.14</v>
      </c>
      <c r="G468" s="550">
        <v>135.19999999999999</v>
      </c>
    </row>
    <row r="469" spans="1:7" ht="12.6" customHeight="1" x14ac:dyDescent="0.2">
      <c r="A469" s="551" t="s">
        <v>32501</v>
      </c>
      <c r="B469" s="551" t="s">
        <v>32502</v>
      </c>
      <c r="C469" s="552"/>
      <c r="D469" s="557"/>
      <c r="E469" s="343"/>
      <c r="F469" s="557"/>
      <c r="G469" s="557"/>
    </row>
    <row r="470" spans="1:7" ht="12.6" customHeight="1" x14ac:dyDescent="0.2">
      <c r="A470" s="548" t="s">
        <v>32503</v>
      </c>
      <c r="B470" s="548" t="s">
        <v>32504</v>
      </c>
      <c r="C470" s="550" t="s">
        <v>159</v>
      </c>
      <c r="D470" s="550">
        <v>102.59</v>
      </c>
      <c r="E470" s="550">
        <v>90.91</v>
      </c>
      <c r="F470" s="550">
        <v>11.68</v>
      </c>
      <c r="G470" s="550">
        <v>102.59</v>
      </c>
    </row>
    <row r="471" spans="1:7" ht="24.95" customHeight="1" x14ac:dyDescent="0.25">
      <c r="A471" s="551" t="s">
        <v>32505</v>
      </c>
      <c r="B471" s="342" t="s">
        <v>32506</v>
      </c>
      <c r="C471" s="552" t="s">
        <v>159</v>
      </c>
      <c r="D471" s="557">
        <v>118.72</v>
      </c>
      <c r="E471" s="557">
        <v>107.04</v>
      </c>
      <c r="F471" s="557">
        <v>11.68</v>
      </c>
      <c r="G471" s="557">
        <v>118.72</v>
      </c>
    </row>
    <row r="472" spans="1:7" ht="12.6" customHeight="1" x14ac:dyDescent="0.2">
      <c r="A472" s="551" t="s">
        <v>32507</v>
      </c>
      <c r="B472" s="551" t="s">
        <v>32508</v>
      </c>
      <c r="C472" s="552" t="s">
        <v>159</v>
      </c>
      <c r="D472" s="557">
        <v>127.88</v>
      </c>
      <c r="E472" s="343">
        <v>116.2</v>
      </c>
      <c r="F472" s="557">
        <v>11.68</v>
      </c>
      <c r="G472" s="557">
        <v>127.88</v>
      </c>
    </row>
    <row r="473" spans="1:7" ht="23.1" customHeight="1" x14ac:dyDescent="0.25">
      <c r="A473" s="551" t="s">
        <v>32509</v>
      </c>
      <c r="B473" s="551" t="s">
        <v>32510</v>
      </c>
      <c r="C473" s="552" t="s">
        <v>159</v>
      </c>
      <c r="D473" s="557">
        <v>123.16</v>
      </c>
      <c r="E473" s="344">
        <v>111.48</v>
      </c>
      <c r="F473" s="557">
        <v>11.68</v>
      </c>
      <c r="G473" s="557">
        <v>123.16</v>
      </c>
    </row>
    <row r="474" spans="1:7" ht="34.5" customHeight="1" x14ac:dyDescent="0.25">
      <c r="A474" s="554" t="s">
        <v>32511</v>
      </c>
      <c r="B474" s="551" t="s">
        <v>32512</v>
      </c>
      <c r="C474" s="555"/>
      <c r="D474" s="558"/>
      <c r="E474" s="558"/>
      <c r="F474" s="558"/>
      <c r="G474" s="558"/>
    </row>
    <row r="475" spans="1:7" ht="24.95" customHeight="1" x14ac:dyDescent="0.25">
      <c r="A475" s="551" t="s">
        <v>32513</v>
      </c>
      <c r="B475" s="342" t="s">
        <v>32514</v>
      </c>
      <c r="C475" s="552" t="s">
        <v>159</v>
      </c>
      <c r="D475" s="557">
        <v>21.94</v>
      </c>
      <c r="E475" s="344">
        <v>21.94</v>
      </c>
      <c r="F475" s="557"/>
      <c r="G475" s="557">
        <v>21.94</v>
      </c>
    </row>
    <row r="476" spans="1:7" ht="12.6" customHeight="1" x14ac:dyDescent="0.2">
      <c r="A476" s="548" t="s">
        <v>32515</v>
      </c>
      <c r="B476" s="548" t="s">
        <v>32516</v>
      </c>
      <c r="C476" s="550" t="s">
        <v>159</v>
      </c>
      <c r="D476" s="550">
        <v>41.14</v>
      </c>
      <c r="E476" s="550">
        <v>41.14</v>
      </c>
      <c r="F476" s="550"/>
      <c r="G476" s="550">
        <v>41.14</v>
      </c>
    </row>
    <row r="477" spans="1:7" ht="12.6" customHeight="1" x14ac:dyDescent="0.25">
      <c r="A477" s="551" t="s">
        <v>32517</v>
      </c>
      <c r="B477" s="551" t="s">
        <v>32518</v>
      </c>
      <c r="C477" s="552" t="s">
        <v>159</v>
      </c>
      <c r="D477" s="557">
        <v>51.08</v>
      </c>
      <c r="E477" s="557">
        <v>51.08</v>
      </c>
      <c r="F477" s="557"/>
      <c r="G477" s="557">
        <v>51.08</v>
      </c>
    </row>
    <row r="478" spans="1:7" ht="12.6" customHeight="1" x14ac:dyDescent="0.2">
      <c r="A478" s="547" t="s">
        <v>32519</v>
      </c>
      <c r="B478" s="548" t="s">
        <v>32520</v>
      </c>
      <c r="C478" s="550" t="s">
        <v>159</v>
      </c>
      <c r="D478" s="550">
        <v>58.09</v>
      </c>
      <c r="E478" s="550">
        <v>58.09</v>
      </c>
      <c r="F478" s="550"/>
      <c r="G478" s="550">
        <v>58.09</v>
      </c>
    </row>
    <row r="479" spans="1:7" ht="12.6" customHeight="1" x14ac:dyDescent="0.2">
      <c r="A479" s="548" t="s">
        <v>32521</v>
      </c>
      <c r="B479" s="548" t="s">
        <v>32522</v>
      </c>
      <c r="C479" s="550" t="s">
        <v>16557</v>
      </c>
      <c r="D479" s="550">
        <v>2.91</v>
      </c>
      <c r="E479" s="550">
        <v>2.91</v>
      </c>
      <c r="F479" s="550"/>
      <c r="G479" s="550">
        <v>2.91</v>
      </c>
    </row>
    <row r="480" spans="1:7" ht="24.95" customHeight="1" x14ac:dyDescent="0.25">
      <c r="A480" s="551" t="s">
        <v>32523</v>
      </c>
      <c r="B480" s="342" t="s">
        <v>32524</v>
      </c>
      <c r="C480" s="552" t="s">
        <v>159</v>
      </c>
      <c r="D480" s="557">
        <v>17.5</v>
      </c>
      <c r="E480" s="557">
        <v>17.5</v>
      </c>
      <c r="F480" s="557"/>
      <c r="G480" s="557">
        <v>17.5</v>
      </c>
    </row>
    <row r="481" spans="1:7" ht="12.6" customHeight="1" x14ac:dyDescent="0.2">
      <c r="A481" s="548" t="s">
        <v>32525</v>
      </c>
      <c r="B481" s="548" t="s">
        <v>32526</v>
      </c>
      <c r="C481" s="550"/>
      <c r="D481" s="550"/>
      <c r="E481" s="550"/>
      <c r="F481" s="550"/>
      <c r="G481" s="550"/>
    </row>
    <row r="482" spans="1:7" ht="34.5" customHeight="1" x14ac:dyDescent="0.25">
      <c r="A482" s="554" t="s">
        <v>32527</v>
      </c>
      <c r="B482" s="551" t="s">
        <v>32528</v>
      </c>
      <c r="C482" s="555" t="s">
        <v>17105</v>
      </c>
      <c r="D482" s="558">
        <v>37.229999999999997</v>
      </c>
      <c r="E482" s="558">
        <v>37.229999999999997</v>
      </c>
      <c r="F482" s="558"/>
      <c r="G482" s="558">
        <v>37.229999999999997</v>
      </c>
    </row>
    <row r="483" spans="1:7" ht="34.5" customHeight="1" x14ac:dyDescent="0.25">
      <c r="A483" s="554" t="s">
        <v>32529</v>
      </c>
      <c r="B483" s="551" t="s">
        <v>32530</v>
      </c>
      <c r="C483" s="555" t="s">
        <v>159</v>
      </c>
      <c r="D483" s="558">
        <v>28.52</v>
      </c>
      <c r="E483" s="558">
        <v>28.52</v>
      </c>
      <c r="F483" s="558"/>
      <c r="G483" s="558">
        <v>28.52</v>
      </c>
    </row>
    <row r="484" spans="1:7" ht="34.5" customHeight="1" x14ac:dyDescent="0.25">
      <c r="A484" s="554" t="s">
        <v>32531</v>
      </c>
      <c r="B484" s="551" t="s">
        <v>32532</v>
      </c>
      <c r="C484" s="555" t="s">
        <v>17105</v>
      </c>
      <c r="D484" s="558">
        <v>1103.7</v>
      </c>
      <c r="E484" s="558">
        <v>1103.7</v>
      </c>
      <c r="F484" s="558"/>
      <c r="G484" s="558">
        <v>1103.7</v>
      </c>
    </row>
    <row r="485" spans="1:7" ht="23.1" customHeight="1" x14ac:dyDescent="0.25">
      <c r="A485" s="551" t="s">
        <v>32533</v>
      </c>
      <c r="B485" s="551" t="s">
        <v>32534</v>
      </c>
      <c r="C485" s="552"/>
      <c r="D485" s="557"/>
      <c r="E485" s="557"/>
      <c r="F485" s="557"/>
      <c r="G485" s="557"/>
    </row>
    <row r="486" spans="1:7" ht="12.6" customHeight="1" x14ac:dyDescent="0.2">
      <c r="A486" s="548" t="s">
        <v>31565</v>
      </c>
      <c r="B486" s="548" t="s">
        <v>32535</v>
      </c>
      <c r="C486" s="550" t="s">
        <v>159</v>
      </c>
      <c r="D486" s="550">
        <v>5.38</v>
      </c>
      <c r="E486" s="550">
        <v>5.38</v>
      </c>
      <c r="F486" s="550"/>
      <c r="G486" s="550">
        <v>5.38</v>
      </c>
    </row>
    <row r="487" spans="1:7" ht="23.1" customHeight="1" x14ac:dyDescent="0.25">
      <c r="A487" s="551" t="s">
        <v>32536</v>
      </c>
      <c r="B487" s="551" t="s">
        <v>32537</v>
      </c>
      <c r="C487" s="552" t="s">
        <v>159</v>
      </c>
      <c r="D487" s="557">
        <v>8.5299999999999994</v>
      </c>
      <c r="E487" s="557">
        <v>8.5299999999999994</v>
      </c>
      <c r="F487" s="344"/>
      <c r="G487" s="557">
        <v>8.5299999999999994</v>
      </c>
    </row>
    <row r="488" spans="1:7" ht="23.1" customHeight="1" x14ac:dyDescent="0.25">
      <c r="A488" s="551" t="s">
        <v>230</v>
      </c>
      <c r="B488" s="551" t="s">
        <v>32538</v>
      </c>
      <c r="C488" s="552" t="s">
        <v>159</v>
      </c>
      <c r="D488" s="557">
        <v>12.74</v>
      </c>
      <c r="E488" s="557">
        <v>12.74</v>
      </c>
      <c r="F488" s="344"/>
      <c r="G488" s="557">
        <v>12.74</v>
      </c>
    </row>
    <row r="489" spans="1:7" ht="23.1" customHeight="1" x14ac:dyDescent="0.25">
      <c r="A489" s="551" t="s">
        <v>231</v>
      </c>
      <c r="B489" s="551" t="s">
        <v>32539</v>
      </c>
      <c r="C489" s="552" t="s">
        <v>159</v>
      </c>
      <c r="D489" s="557">
        <v>14.07</v>
      </c>
      <c r="E489" s="557">
        <v>14.07</v>
      </c>
      <c r="F489" s="344"/>
      <c r="G489" s="557">
        <v>14.07</v>
      </c>
    </row>
    <row r="490" spans="1:7" ht="11.45" customHeight="1" x14ac:dyDescent="0.25">
      <c r="A490" s="543" t="s">
        <v>31566</v>
      </c>
      <c r="B490" s="544" t="s">
        <v>32540</v>
      </c>
      <c r="C490" s="544" t="s">
        <v>159</v>
      </c>
      <c r="D490" s="543">
        <v>18.809999999999999</v>
      </c>
      <c r="E490" s="545">
        <v>18.809999999999999</v>
      </c>
      <c r="F490" s="546"/>
      <c r="G490" s="543">
        <v>18.809999999999999</v>
      </c>
    </row>
    <row r="491" spans="1:7" ht="23.1" customHeight="1" x14ac:dyDescent="0.25">
      <c r="A491" s="551" t="s">
        <v>232</v>
      </c>
      <c r="B491" s="551" t="s">
        <v>32541</v>
      </c>
      <c r="C491" s="552" t="s">
        <v>159</v>
      </c>
      <c r="D491" s="557">
        <v>28.19</v>
      </c>
      <c r="E491" s="557">
        <v>28.19</v>
      </c>
      <c r="F491" s="344"/>
      <c r="G491" s="557">
        <v>28.19</v>
      </c>
    </row>
    <row r="492" spans="1:7" ht="12.6" customHeight="1" x14ac:dyDescent="0.2">
      <c r="A492" s="551" t="s">
        <v>233</v>
      </c>
      <c r="B492" s="551" t="s">
        <v>32542</v>
      </c>
      <c r="C492" s="552" t="s">
        <v>159</v>
      </c>
      <c r="D492" s="557">
        <v>37.549999999999997</v>
      </c>
      <c r="E492" s="557">
        <v>37.549999999999997</v>
      </c>
      <c r="F492" s="343"/>
      <c r="G492" s="557">
        <v>37.549999999999997</v>
      </c>
    </row>
    <row r="493" spans="1:7" ht="24.95" customHeight="1" x14ac:dyDescent="0.25">
      <c r="A493" s="551" t="s">
        <v>234</v>
      </c>
      <c r="B493" s="342" t="s">
        <v>32543</v>
      </c>
      <c r="C493" s="552" t="s">
        <v>16557</v>
      </c>
      <c r="D493" s="557">
        <v>1.81</v>
      </c>
      <c r="E493" s="557">
        <v>1.81</v>
      </c>
      <c r="F493" s="344"/>
      <c r="G493" s="557">
        <v>1.81</v>
      </c>
    </row>
    <row r="494" spans="1:7" ht="12.6" customHeight="1" x14ac:dyDescent="0.2">
      <c r="A494" s="548" t="s">
        <v>32544</v>
      </c>
      <c r="B494" s="548" t="s">
        <v>32545</v>
      </c>
      <c r="C494" s="550" t="s">
        <v>159</v>
      </c>
      <c r="D494" s="550">
        <v>14.67</v>
      </c>
      <c r="E494" s="550">
        <v>14.67</v>
      </c>
      <c r="F494" s="550"/>
      <c r="G494" s="550">
        <v>14.67</v>
      </c>
    </row>
    <row r="495" spans="1:7" ht="12.6" customHeight="1" x14ac:dyDescent="0.2">
      <c r="A495" s="551" t="s">
        <v>32546</v>
      </c>
      <c r="B495" s="551" t="s">
        <v>32547</v>
      </c>
      <c r="C495" s="552" t="s">
        <v>159</v>
      </c>
      <c r="D495" s="557">
        <v>20.239999999999998</v>
      </c>
      <c r="E495" s="557">
        <v>20.239999999999998</v>
      </c>
      <c r="F495" s="343"/>
      <c r="G495" s="557">
        <v>20.239999999999998</v>
      </c>
    </row>
    <row r="496" spans="1:7" ht="12.6" customHeight="1" x14ac:dyDescent="0.2">
      <c r="A496" s="1160" t="s">
        <v>32548</v>
      </c>
      <c r="B496" s="1160" t="s">
        <v>32549</v>
      </c>
      <c r="C496" s="1161" t="s">
        <v>159</v>
      </c>
      <c r="D496" s="1162">
        <v>21.12</v>
      </c>
      <c r="E496" s="1162">
        <v>21.12</v>
      </c>
      <c r="F496" s="1163"/>
      <c r="G496" s="1162">
        <v>21.12</v>
      </c>
    </row>
    <row r="497" spans="1:14" ht="24.95" customHeight="1" x14ac:dyDescent="0.25">
      <c r="A497" s="551" t="s">
        <v>32550</v>
      </c>
      <c r="B497" s="342" t="s">
        <v>32551</v>
      </c>
      <c r="C497" s="552" t="s">
        <v>159</v>
      </c>
      <c r="D497" s="557">
        <v>27</v>
      </c>
      <c r="E497" s="557">
        <v>27</v>
      </c>
      <c r="F497" s="344"/>
      <c r="G497" s="557">
        <v>27</v>
      </c>
    </row>
    <row r="498" spans="1:14" ht="12.6" customHeight="1" x14ac:dyDescent="0.2">
      <c r="A498" s="548" t="s">
        <v>32552</v>
      </c>
      <c r="B498" s="548" t="s">
        <v>32553</v>
      </c>
      <c r="C498" s="550" t="s">
        <v>159</v>
      </c>
      <c r="D498" s="550">
        <v>40.47</v>
      </c>
      <c r="E498" s="550">
        <v>40.47</v>
      </c>
      <c r="F498" s="550"/>
      <c r="G498" s="550">
        <v>40.47</v>
      </c>
    </row>
    <row r="499" spans="1:14" ht="12.6" customHeight="1" x14ac:dyDescent="0.2">
      <c r="A499" s="1160" t="s">
        <v>32554</v>
      </c>
      <c r="B499" s="1160" t="s">
        <v>32555</v>
      </c>
      <c r="C499" s="1161" t="s">
        <v>159</v>
      </c>
      <c r="D499" s="1162">
        <v>53.95</v>
      </c>
      <c r="E499" s="1162">
        <v>53.95</v>
      </c>
      <c r="F499" s="1163"/>
      <c r="G499" s="1162">
        <v>53.95</v>
      </c>
    </row>
    <row r="500" spans="1:14" ht="12.6" customHeight="1" x14ac:dyDescent="0.2">
      <c r="A500" s="551" t="s">
        <v>32556</v>
      </c>
      <c r="B500" s="551" t="s">
        <v>32557</v>
      </c>
      <c r="C500" s="552" t="s">
        <v>16557</v>
      </c>
      <c r="D500" s="557">
        <v>2.62</v>
      </c>
      <c r="E500" s="557">
        <v>2.62</v>
      </c>
      <c r="F500" s="343"/>
      <c r="G500" s="557">
        <v>2.62</v>
      </c>
    </row>
    <row r="501" spans="1:14" ht="24.95" customHeight="1" x14ac:dyDescent="0.25">
      <c r="A501" s="551" t="s">
        <v>32558</v>
      </c>
      <c r="B501" s="342" t="s">
        <v>32559</v>
      </c>
      <c r="C501" s="552"/>
      <c r="D501" s="557"/>
      <c r="E501" s="557"/>
      <c r="F501" s="344"/>
      <c r="G501" s="557"/>
      <c r="I501" s="956"/>
    </row>
    <row r="502" spans="1:14" ht="24.95" customHeight="1" x14ac:dyDescent="0.25">
      <c r="A502" s="551" t="s">
        <v>32560</v>
      </c>
      <c r="B502" s="342" t="s">
        <v>32561</v>
      </c>
      <c r="C502" s="552"/>
      <c r="D502" s="557"/>
      <c r="E502" s="557"/>
      <c r="F502" s="344"/>
      <c r="G502" s="557"/>
      <c r="I502" s="956"/>
    </row>
    <row r="503" spans="1:14" ht="24.95" customHeight="1" x14ac:dyDescent="0.25">
      <c r="A503" s="1160" t="s">
        <v>32562</v>
      </c>
      <c r="B503" s="1164" t="s">
        <v>32563</v>
      </c>
      <c r="C503" s="1161" t="s">
        <v>159</v>
      </c>
      <c r="D503" s="1162">
        <v>48.68</v>
      </c>
      <c r="E503" s="1162"/>
      <c r="F503" s="1165">
        <v>48.68</v>
      </c>
      <c r="G503" s="1162">
        <v>48.68</v>
      </c>
      <c r="H503" s="341" t="s">
        <v>31564</v>
      </c>
      <c r="I503" s="956"/>
      <c r="K503" s="956"/>
      <c r="N503" s="956"/>
    </row>
    <row r="504" spans="1:14" ht="24.95" customHeight="1" x14ac:dyDescent="0.25">
      <c r="A504" s="551" t="s">
        <v>32564</v>
      </c>
      <c r="B504" s="342" t="s">
        <v>32565</v>
      </c>
      <c r="C504" s="552" t="s">
        <v>159</v>
      </c>
      <c r="D504" s="557">
        <v>60.75</v>
      </c>
      <c r="E504" s="557"/>
      <c r="F504" s="344">
        <v>60.75</v>
      </c>
      <c r="G504" s="557">
        <v>60.75</v>
      </c>
    </row>
    <row r="505" spans="1:14" ht="24.95" customHeight="1" x14ac:dyDescent="0.25">
      <c r="A505" s="551" t="s">
        <v>32566</v>
      </c>
      <c r="B505" s="342" t="s">
        <v>32567</v>
      </c>
      <c r="C505" s="552"/>
      <c r="D505" s="557"/>
      <c r="E505" s="557"/>
      <c r="F505" s="344"/>
      <c r="G505" s="557"/>
    </row>
    <row r="506" spans="1:14" ht="24.95" customHeight="1" x14ac:dyDescent="0.25">
      <c r="A506" s="551" t="s">
        <v>32568</v>
      </c>
      <c r="B506" s="342" t="s">
        <v>32569</v>
      </c>
      <c r="C506" s="552" t="s">
        <v>159</v>
      </c>
      <c r="D506" s="557">
        <v>58.41</v>
      </c>
      <c r="E506" s="557"/>
      <c r="F506" s="344">
        <v>58.41</v>
      </c>
      <c r="G506" s="557">
        <v>58.41</v>
      </c>
    </row>
    <row r="507" spans="1:14" ht="12.6" customHeight="1" x14ac:dyDescent="0.2">
      <c r="A507" s="551" t="s">
        <v>32570</v>
      </c>
      <c r="B507" s="551" t="s">
        <v>32571</v>
      </c>
      <c r="C507" s="552" t="s">
        <v>159</v>
      </c>
      <c r="D507" s="557">
        <v>75.540000000000006</v>
      </c>
      <c r="E507" s="557"/>
      <c r="F507" s="343">
        <v>75.540000000000006</v>
      </c>
      <c r="G507" s="557">
        <v>75.540000000000006</v>
      </c>
    </row>
    <row r="508" spans="1:14" ht="24.95" customHeight="1" x14ac:dyDescent="0.25">
      <c r="A508" s="551" t="s">
        <v>32572</v>
      </c>
      <c r="B508" s="342" t="s">
        <v>32573</v>
      </c>
      <c r="C508" s="552"/>
      <c r="D508" s="557"/>
      <c r="E508" s="557"/>
      <c r="F508" s="344"/>
      <c r="G508" s="557"/>
    </row>
    <row r="509" spans="1:14" ht="24.95" customHeight="1" x14ac:dyDescent="0.25">
      <c r="A509" s="551" t="s">
        <v>32574</v>
      </c>
      <c r="B509" s="342" t="s">
        <v>32575</v>
      </c>
      <c r="C509" s="552" t="s">
        <v>159</v>
      </c>
      <c r="D509" s="557">
        <v>8.3699999999999992</v>
      </c>
      <c r="E509" s="557"/>
      <c r="F509" s="344">
        <v>8.3699999999999992</v>
      </c>
      <c r="G509" s="557">
        <v>8.3699999999999992</v>
      </c>
    </row>
    <row r="510" spans="1:14" ht="24.95" customHeight="1" x14ac:dyDescent="0.25">
      <c r="A510" s="551" t="s">
        <v>32576</v>
      </c>
      <c r="B510" s="342" t="s">
        <v>32577</v>
      </c>
      <c r="C510" s="552" t="s">
        <v>159</v>
      </c>
      <c r="D510" s="557">
        <v>18.16</v>
      </c>
      <c r="E510" s="557"/>
      <c r="F510" s="344">
        <v>18.16</v>
      </c>
      <c r="G510" s="557">
        <v>18.16</v>
      </c>
    </row>
    <row r="511" spans="1:14" ht="24.95" customHeight="1" x14ac:dyDescent="0.25">
      <c r="A511" s="551" t="s">
        <v>32578</v>
      </c>
      <c r="B511" s="342" t="s">
        <v>32579</v>
      </c>
      <c r="C511" s="552" t="s">
        <v>159</v>
      </c>
      <c r="D511" s="557">
        <v>83.6</v>
      </c>
      <c r="E511" s="557">
        <v>18.18</v>
      </c>
      <c r="F511" s="344">
        <v>65.42</v>
      </c>
      <c r="G511" s="557">
        <v>83.6</v>
      </c>
    </row>
    <row r="512" spans="1:14" ht="24.95" customHeight="1" x14ac:dyDescent="0.25">
      <c r="A512" s="551" t="s">
        <v>32580</v>
      </c>
      <c r="B512" s="342" t="s">
        <v>32581</v>
      </c>
      <c r="C512" s="552"/>
      <c r="D512" s="557"/>
      <c r="E512" s="557"/>
      <c r="F512" s="344"/>
      <c r="G512" s="557"/>
    </row>
    <row r="513" spans="1:7" ht="23.1" customHeight="1" x14ac:dyDescent="0.25">
      <c r="A513" s="551" t="s">
        <v>32582</v>
      </c>
      <c r="B513" s="551" t="s">
        <v>32583</v>
      </c>
      <c r="C513" s="552" t="s">
        <v>159</v>
      </c>
      <c r="D513" s="557">
        <v>60.14</v>
      </c>
      <c r="E513" s="557"/>
      <c r="F513" s="344">
        <v>60.14</v>
      </c>
      <c r="G513" s="557">
        <v>60.14</v>
      </c>
    </row>
    <row r="514" spans="1:7" ht="12.6" customHeight="1" x14ac:dyDescent="0.2">
      <c r="A514" s="547" t="s">
        <v>32584</v>
      </c>
      <c r="B514" s="548" t="s">
        <v>32585</v>
      </c>
      <c r="C514" s="550"/>
      <c r="D514" s="550"/>
      <c r="E514" s="550"/>
      <c r="F514" s="550"/>
      <c r="G514" s="550"/>
    </row>
    <row r="515" spans="1:7" ht="12.6" customHeight="1" x14ac:dyDescent="0.2">
      <c r="A515" s="548" t="s">
        <v>32586</v>
      </c>
      <c r="B515" s="548" t="s">
        <v>32587</v>
      </c>
      <c r="C515" s="550" t="s">
        <v>159</v>
      </c>
      <c r="D515" s="550">
        <v>11.68</v>
      </c>
      <c r="E515" s="550"/>
      <c r="F515" s="550">
        <v>11.68</v>
      </c>
      <c r="G515" s="550">
        <v>11.68</v>
      </c>
    </row>
    <row r="516" spans="1:7" ht="12.6" customHeight="1" x14ac:dyDescent="0.2">
      <c r="A516" s="551" t="s">
        <v>32588</v>
      </c>
      <c r="B516" s="551" t="s">
        <v>32589</v>
      </c>
      <c r="C516" s="552"/>
      <c r="D516" s="557"/>
      <c r="E516" s="343"/>
      <c r="F516" s="557"/>
      <c r="G516" s="557"/>
    </row>
    <row r="517" spans="1:7" ht="12.6" customHeight="1" x14ac:dyDescent="0.2">
      <c r="A517" s="551" t="s">
        <v>32590</v>
      </c>
      <c r="B517" s="551" t="s">
        <v>32591</v>
      </c>
      <c r="C517" s="552"/>
      <c r="D517" s="557"/>
      <c r="E517" s="343"/>
      <c r="F517" s="557"/>
      <c r="G517" s="557"/>
    </row>
    <row r="518" spans="1:7" ht="12.6" customHeight="1" x14ac:dyDescent="0.2">
      <c r="A518" s="548" t="s">
        <v>32592</v>
      </c>
      <c r="B518" s="548" t="s">
        <v>235</v>
      </c>
      <c r="C518" s="550" t="s">
        <v>159</v>
      </c>
      <c r="D518" s="550">
        <v>16.77</v>
      </c>
      <c r="E518" s="550">
        <v>16.5</v>
      </c>
      <c r="F518" s="550">
        <v>0.27</v>
      </c>
      <c r="G518" s="550">
        <v>16.77</v>
      </c>
    </row>
    <row r="519" spans="1:7" ht="23.1" customHeight="1" x14ac:dyDescent="0.25">
      <c r="A519" s="551" t="s">
        <v>32593</v>
      </c>
      <c r="B519" s="551" t="s">
        <v>32594</v>
      </c>
      <c r="C519" s="552" t="s">
        <v>159</v>
      </c>
      <c r="D519" s="557">
        <v>17.2</v>
      </c>
      <c r="E519" s="344">
        <v>16.93</v>
      </c>
      <c r="F519" s="557">
        <v>0.27</v>
      </c>
      <c r="G519" s="557">
        <v>17.2</v>
      </c>
    </row>
    <row r="520" spans="1:7" ht="23.1" customHeight="1" x14ac:dyDescent="0.25">
      <c r="A520" s="551" t="s">
        <v>236</v>
      </c>
      <c r="B520" s="551" t="s">
        <v>32595</v>
      </c>
      <c r="C520" s="552" t="s">
        <v>159</v>
      </c>
      <c r="D520" s="557">
        <v>28.47</v>
      </c>
      <c r="E520" s="344">
        <v>27.56</v>
      </c>
      <c r="F520" s="557">
        <v>0.91</v>
      </c>
      <c r="G520" s="557">
        <v>28.47</v>
      </c>
    </row>
    <row r="521" spans="1:7" ht="12.6" customHeight="1" x14ac:dyDescent="0.2">
      <c r="A521" s="548" t="s">
        <v>237</v>
      </c>
      <c r="B521" s="548" t="s">
        <v>238</v>
      </c>
      <c r="C521" s="550" t="s">
        <v>159</v>
      </c>
      <c r="D521" s="550">
        <v>15.24</v>
      </c>
      <c r="E521" s="550">
        <v>15.24</v>
      </c>
      <c r="F521" s="550"/>
      <c r="G521" s="550">
        <v>15.24</v>
      </c>
    </row>
    <row r="522" spans="1:7" ht="12.6" customHeight="1" x14ac:dyDescent="0.2">
      <c r="A522" s="551" t="s">
        <v>32596</v>
      </c>
      <c r="B522" s="551" t="s">
        <v>32597</v>
      </c>
      <c r="C522" s="552"/>
      <c r="D522" s="557"/>
      <c r="E522" s="343"/>
      <c r="F522" s="557"/>
      <c r="G522" s="557"/>
    </row>
    <row r="523" spans="1:7" ht="12.6" customHeight="1" x14ac:dyDescent="0.2">
      <c r="A523" s="551" t="s">
        <v>32598</v>
      </c>
      <c r="B523" s="551" t="s">
        <v>32599</v>
      </c>
      <c r="C523" s="552" t="s">
        <v>159</v>
      </c>
      <c r="D523" s="557">
        <v>11.44</v>
      </c>
      <c r="E523" s="343">
        <v>10.19</v>
      </c>
      <c r="F523" s="557">
        <v>1.25</v>
      </c>
      <c r="G523" s="557">
        <v>11.44</v>
      </c>
    </row>
    <row r="524" spans="1:7" ht="12.6" customHeight="1" x14ac:dyDescent="0.25">
      <c r="A524" s="551" t="s">
        <v>32600</v>
      </c>
      <c r="B524" s="551" t="s">
        <v>32601</v>
      </c>
      <c r="C524" s="552" t="s">
        <v>159</v>
      </c>
      <c r="D524" s="557">
        <v>12.9</v>
      </c>
      <c r="E524" s="557">
        <v>11.49</v>
      </c>
      <c r="F524" s="557">
        <v>1.41</v>
      </c>
      <c r="G524" s="557">
        <v>12.9</v>
      </c>
    </row>
    <row r="525" spans="1:7" ht="12.6" customHeight="1" x14ac:dyDescent="0.2">
      <c r="A525" s="548" t="s">
        <v>32602</v>
      </c>
      <c r="B525" s="548" t="s">
        <v>32603</v>
      </c>
      <c r="C525" s="550" t="s">
        <v>159</v>
      </c>
      <c r="D525" s="550">
        <v>21.64</v>
      </c>
      <c r="E525" s="550">
        <v>20.83</v>
      </c>
      <c r="F525" s="550">
        <v>0.81</v>
      </c>
      <c r="G525" s="550">
        <v>21.64</v>
      </c>
    </row>
    <row r="526" spans="1:7" ht="12.6" customHeight="1" x14ac:dyDescent="0.2">
      <c r="A526" s="551" t="s">
        <v>32604</v>
      </c>
      <c r="B526" s="551" t="s">
        <v>32605</v>
      </c>
      <c r="C526" s="552" t="s">
        <v>159</v>
      </c>
      <c r="D526" s="557">
        <v>22.82</v>
      </c>
      <c r="E526" s="343">
        <v>22.05</v>
      </c>
      <c r="F526" s="557">
        <v>0.77</v>
      </c>
      <c r="G526" s="557">
        <v>22.82</v>
      </c>
    </row>
    <row r="527" spans="1:7" ht="12.6" customHeight="1" x14ac:dyDescent="0.2">
      <c r="A527" s="548" t="s">
        <v>32606</v>
      </c>
      <c r="B527" s="548" t="s">
        <v>32607</v>
      </c>
      <c r="C527" s="550"/>
      <c r="D527" s="550"/>
      <c r="E527" s="550"/>
      <c r="F527" s="550"/>
      <c r="G527" s="550"/>
    </row>
    <row r="528" spans="1:7" ht="12.6" customHeight="1" x14ac:dyDescent="0.2">
      <c r="A528" s="551" t="s">
        <v>32608</v>
      </c>
      <c r="B528" s="551" t="s">
        <v>32609</v>
      </c>
      <c r="C528" s="552" t="s">
        <v>159</v>
      </c>
      <c r="D528" s="557">
        <v>41.21</v>
      </c>
      <c r="E528" s="343">
        <v>39.39</v>
      </c>
      <c r="F528" s="557">
        <v>1.82</v>
      </c>
      <c r="G528" s="557">
        <v>41.21</v>
      </c>
    </row>
    <row r="529" spans="1:7" ht="12.6" customHeight="1" x14ac:dyDescent="0.2">
      <c r="A529" s="547" t="s">
        <v>32610</v>
      </c>
      <c r="B529" s="548" t="s">
        <v>32611</v>
      </c>
      <c r="C529" s="550" t="s">
        <v>159</v>
      </c>
      <c r="D529" s="550">
        <v>35.1</v>
      </c>
      <c r="E529" s="550">
        <v>33.64</v>
      </c>
      <c r="F529" s="550">
        <v>1.46</v>
      </c>
      <c r="G529" s="550">
        <v>35.1</v>
      </c>
    </row>
    <row r="530" spans="1:7" ht="11.45" customHeight="1" x14ac:dyDescent="0.25">
      <c r="A530" s="543" t="s">
        <v>32612</v>
      </c>
      <c r="B530" s="544" t="s">
        <v>32613</v>
      </c>
      <c r="C530" s="544"/>
      <c r="D530" s="543"/>
      <c r="E530" s="545"/>
      <c r="F530" s="546"/>
      <c r="G530" s="543"/>
    </row>
    <row r="531" spans="1:7" ht="23.1" customHeight="1" x14ac:dyDescent="0.25">
      <c r="A531" s="548" t="s">
        <v>32614</v>
      </c>
      <c r="B531" s="548" t="s">
        <v>32615</v>
      </c>
      <c r="C531" s="549" t="s">
        <v>159</v>
      </c>
      <c r="D531" s="549">
        <v>270.61</v>
      </c>
      <c r="E531" s="549">
        <v>270.61</v>
      </c>
      <c r="F531" s="549"/>
      <c r="G531" s="549">
        <v>270.61</v>
      </c>
    </row>
    <row r="532" spans="1:7" ht="12.6" customHeight="1" x14ac:dyDescent="0.25">
      <c r="A532" s="551" t="s">
        <v>32616</v>
      </c>
      <c r="B532" s="551" t="s">
        <v>32617</v>
      </c>
      <c r="C532" s="552"/>
      <c r="D532" s="557"/>
      <c r="E532" s="557"/>
      <c r="F532" s="557"/>
      <c r="G532" s="557"/>
    </row>
    <row r="533" spans="1:7" ht="23.1" customHeight="1" x14ac:dyDescent="0.25">
      <c r="A533" s="551" t="s">
        <v>32618</v>
      </c>
      <c r="B533" s="551" t="s">
        <v>239</v>
      </c>
      <c r="C533" s="552" t="s">
        <v>159</v>
      </c>
      <c r="D533" s="557">
        <v>6.96</v>
      </c>
      <c r="E533" s="557">
        <v>6.85</v>
      </c>
      <c r="F533" s="557">
        <v>0.11</v>
      </c>
      <c r="G533" s="557">
        <v>6.96</v>
      </c>
    </row>
    <row r="534" spans="1:7" ht="23.1" customHeight="1" x14ac:dyDescent="0.25">
      <c r="A534" s="551" t="s">
        <v>32619</v>
      </c>
      <c r="B534" s="551" t="s">
        <v>32620</v>
      </c>
      <c r="C534" s="552"/>
      <c r="D534" s="557"/>
      <c r="E534" s="557"/>
      <c r="F534" s="557"/>
      <c r="G534" s="557"/>
    </row>
    <row r="535" spans="1:7" ht="12.6" customHeight="1" x14ac:dyDescent="0.2">
      <c r="A535" s="551" t="s">
        <v>32621</v>
      </c>
      <c r="B535" s="551" t="s">
        <v>32622</v>
      </c>
      <c r="C535" s="552" t="s">
        <v>159</v>
      </c>
      <c r="D535" s="557">
        <v>6.64</v>
      </c>
      <c r="E535" s="557">
        <v>3.92</v>
      </c>
      <c r="F535" s="343">
        <v>2.72</v>
      </c>
      <c r="G535" s="557">
        <v>6.64</v>
      </c>
    </row>
    <row r="536" spans="1:7" ht="12.6" customHeight="1" x14ac:dyDescent="0.2">
      <c r="A536" s="548" t="s">
        <v>32623</v>
      </c>
      <c r="B536" s="548" t="s">
        <v>32624</v>
      </c>
      <c r="C536" s="550" t="s">
        <v>159</v>
      </c>
      <c r="D536" s="550">
        <v>24.22</v>
      </c>
      <c r="E536" s="550">
        <v>21.72</v>
      </c>
      <c r="F536" s="550">
        <v>2.5</v>
      </c>
      <c r="G536" s="550">
        <v>24.22</v>
      </c>
    </row>
    <row r="537" spans="1:7" ht="23.1" customHeight="1" x14ac:dyDescent="0.25">
      <c r="A537" s="551" t="s">
        <v>32625</v>
      </c>
      <c r="B537" s="551" t="s">
        <v>32626</v>
      </c>
      <c r="C537" s="552"/>
      <c r="D537" s="557"/>
      <c r="E537" s="557"/>
      <c r="F537" s="557"/>
      <c r="G537" s="557"/>
    </row>
    <row r="538" spans="1:7" ht="23.1" customHeight="1" x14ac:dyDescent="0.25">
      <c r="A538" s="551" t="s">
        <v>240</v>
      </c>
      <c r="B538" s="551" t="s">
        <v>32627</v>
      </c>
      <c r="C538" s="552" t="s">
        <v>159</v>
      </c>
      <c r="D538" s="557">
        <v>18.940000000000001</v>
      </c>
      <c r="E538" s="557">
        <v>18.53</v>
      </c>
      <c r="F538" s="557">
        <v>0.41</v>
      </c>
      <c r="G538" s="557">
        <v>18.940000000000001</v>
      </c>
    </row>
    <row r="539" spans="1:7" ht="23.1" customHeight="1" x14ac:dyDescent="0.25">
      <c r="A539" s="551" t="s">
        <v>32628</v>
      </c>
      <c r="B539" s="551" t="s">
        <v>32629</v>
      </c>
      <c r="C539" s="552" t="s">
        <v>159</v>
      </c>
      <c r="D539" s="557">
        <v>13.48</v>
      </c>
      <c r="E539" s="557">
        <v>13.19</v>
      </c>
      <c r="F539" s="557">
        <v>0.28999999999999998</v>
      </c>
      <c r="G539" s="557">
        <v>13.48</v>
      </c>
    </row>
    <row r="540" spans="1:7" ht="24.95" customHeight="1" x14ac:dyDescent="0.25">
      <c r="A540" s="551" t="s">
        <v>241</v>
      </c>
      <c r="B540" s="342" t="s">
        <v>32630</v>
      </c>
      <c r="C540" s="552" t="s">
        <v>159</v>
      </c>
      <c r="D540" s="557">
        <v>13.52</v>
      </c>
      <c r="E540" s="557">
        <v>13.39</v>
      </c>
      <c r="F540" s="557">
        <v>0.13</v>
      </c>
      <c r="G540" s="557">
        <v>13.52</v>
      </c>
    </row>
    <row r="541" spans="1:7" ht="12.6" customHeight="1" x14ac:dyDescent="0.2">
      <c r="A541" s="548" t="s">
        <v>242</v>
      </c>
      <c r="B541" s="548" t="s">
        <v>32631</v>
      </c>
      <c r="C541" s="550" t="s">
        <v>159</v>
      </c>
      <c r="D541" s="550">
        <v>21.62</v>
      </c>
      <c r="E541" s="550">
        <v>21.23</v>
      </c>
      <c r="F541" s="550">
        <v>0.39</v>
      </c>
      <c r="G541" s="550">
        <v>21.62</v>
      </c>
    </row>
    <row r="542" spans="1:7" ht="12.6" customHeight="1" x14ac:dyDescent="0.25">
      <c r="A542" s="551" t="s">
        <v>32632</v>
      </c>
      <c r="B542" s="551" t="s">
        <v>32633</v>
      </c>
      <c r="C542" s="552"/>
      <c r="D542" s="557"/>
      <c r="E542" s="557"/>
      <c r="F542" s="557"/>
      <c r="G542" s="557"/>
    </row>
    <row r="543" spans="1:7" ht="12.6" customHeight="1" x14ac:dyDescent="0.25">
      <c r="A543" s="551" t="s">
        <v>32634</v>
      </c>
      <c r="B543" s="551" t="s">
        <v>32635</v>
      </c>
      <c r="C543" s="552"/>
      <c r="D543" s="557"/>
      <c r="E543" s="557"/>
      <c r="F543" s="557"/>
      <c r="G543" s="557"/>
    </row>
    <row r="544" spans="1:7" ht="12.6" customHeight="1" x14ac:dyDescent="0.2">
      <c r="A544" s="548" t="s">
        <v>32636</v>
      </c>
      <c r="B544" s="548" t="s">
        <v>32637</v>
      </c>
      <c r="C544" s="550" t="s">
        <v>227</v>
      </c>
      <c r="D544" s="550">
        <v>95.81</v>
      </c>
      <c r="E544" s="550">
        <v>38.4</v>
      </c>
      <c r="F544" s="550">
        <v>57.41</v>
      </c>
      <c r="G544" s="550">
        <v>95.81</v>
      </c>
    </row>
    <row r="545" spans="1:7" ht="24.95" customHeight="1" x14ac:dyDescent="0.25">
      <c r="A545" s="551" t="s">
        <v>32638</v>
      </c>
      <c r="B545" s="342" t="s">
        <v>32639</v>
      </c>
      <c r="C545" s="552" t="s">
        <v>227</v>
      </c>
      <c r="D545" s="557">
        <v>54.57</v>
      </c>
      <c r="E545" s="557">
        <v>20.04</v>
      </c>
      <c r="F545" s="344">
        <v>34.53</v>
      </c>
      <c r="G545" s="557">
        <v>54.57</v>
      </c>
    </row>
    <row r="546" spans="1:7" ht="12.6" customHeight="1" x14ac:dyDescent="0.2">
      <c r="A546" s="548" t="s">
        <v>32640</v>
      </c>
      <c r="B546" s="548" t="s">
        <v>32641</v>
      </c>
      <c r="C546" s="550" t="s">
        <v>227</v>
      </c>
      <c r="D546" s="550">
        <v>22.04</v>
      </c>
      <c r="E546" s="550">
        <v>13.69</v>
      </c>
      <c r="F546" s="550">
        <v>8.35</v>
      </c>
      <c r="G546" s="550">
        <v>22.04</v>
      </c>
    </row>
    <row r="547" spans="1:7" ht="12.6" customHeight="1" x14ac:dyDescent="0.25">
      <c r="A547" s="551" t="s">
        <v>32642</v>
      </c>
      <c r="B547" s="551" t="s">
        <v>32643</v>
      </c>
      <c r="C547" s="552" t="s">
        <v>227</v>
      </c>
      <c r="D547" s="557">
        <v>116.91</v>
      </c>
      <c r="E547" s="557">
        <v>50.1</v>
      </c>
      <c r="F547" s="557">
        <v>66.81</v>
      </c>
      <c r="G547" s="557">
        <v>116.91</v>
      </c>
    </row>
    <row r="548" spans="1:7" ht="12.6" customHeight="1" x14ac:dyDescent="0.2">
      <c r="A548" s="548" t="s">
        <v>32644</v>
      </c>
      <c r="B548" s="548" t="s">
        <v>32645</v>
      </c>
      <c r="C548" s="550" t="s">
        <v>227</v>
      </c>
      <c r="D548" s="550">
        <v>301.52</v>
      </c>
      <c r="E548" s="550">
        <v>301.52</v>
      </c>
      <c r="F548" s="550"/>
      <c r="G548" s="550">
        <v>301.52</v>
      </c>
    </row>
    <row r="549" spans="1:7" ht="12.6" customHeight="1" x14ac:dyDescent="0.25">
      <c r="A549" s="551" t="s">
        <v>32646</v>
      </c>
      <c r="B549" s="551" t="s">
        <v>32647</v>
      </c>
      <c r="C549" s="552" t="s">
        <v>227</v>
      </c>
      <c r="D549" s="557">
        <v>316.95</v>
      </c>
      <c r="E549" s="557">
        <v>316.95</v>
      </c>
      <c r="F549" s="557"/>
      <c r="G549" s="557">
        <v>316.95</v>
      </c>
    </row>
    <row r="550" spans="1:7" ht="24.95" customHeight="1" x14ac:dyDescent="0.25">
      <c r="A550" s="551" t="s">
        <v>32648</v>
      </c>
      <c r="B550" s="342" t="s">
        <v>32649</v>
      </c>
      <c r="C550" s="552" t="s">
        <v>227</v>
      </c>
      <c r="D550" s="557">
        <v>341.2</v>
      </c>
      <c r="E550" s="557">
        <v>341.2</v>
      </c>
      <c r="F550" s="557"/>
      <c r="G550" s="557">
        <v>341.2</v>
      </c>
    </row>
    <row r="551" spans="1:7" ht="12.6" customHeight="1" x14ac:dyDescent="0.2">
      <c r="A551" s="548" t="s">
        <v>32650</v>
      </c>
      <c r="B551" s="548" t="s">
        <v>2853</v>
      </c>
      <c r="C551" s="550"/>
      <c r="D551" s="550"/>
      <c r="E551" s="550"/>
      <c r="F551" s="550"/>
      <c r="G551" s="550"/>
    </row>
    <row r="552" spans="1:7" ht="24.95" customHeight="1" x14ac:dyDescent="0.25">
      <c r="A552" s="551" t="s">
        <v>32651</v>
      </c>
      <c r="B552" s="342" t="s">
        <v>32652</v>
      </c>
      <c r="C552" s="552" t="s">
        <v>159</v>
      </c>
      <c r="D552" s="557">
        <v>51.91</v>
      </c>
      <c r="E552" s="557">
        <v>20.59</v>
      </c>
      <c r="F552" s="557">
        <v>31.32</v>
      </c>
      <c r="G552" s="557">
        <v>51.91</v>
      </c>
    </row>
    <row r="553" spans="1:7" ht="24.95" customHeight="1" x14ac:dyDescent="0.25">
      <c r="A553" s="551" t="s">
        <v>32653</v>
      </c>
      <c r="B553" s="342" t="s">
        <v>32654</v>
      </c>
      <c r="C553" s="552" t="s">
        <v>6008</v>
      </c>
      <c r="D553" s="557">
        <v>12.19</v>
      </c>
      <c r="E553" s="557">
        <v>10.039999999999999</v>
      </c>
      <c r="F553" s="557">
        <v>2.15</v>
      </c>
      <c r="G553" s="557">
        <v>12.19</v>
      </c>
    </row>
    <row r="554" spans="1:7" ht="24.95" customHeight="1" x14ac:dyDescent="0.25">
      <c r="A554" s="551" t="s">
        <v>32655</v>
      </c>
      <c r="B554" s="342" t="s">
        <v>32656</v>
      </c>
      <c r="C554" s="552" t="s">
        <v>32657</v>
      </c>
      <c r="D554" s="557">
        <v>8.81</v>
      </c>
      <c r="E554" s="557">
        <v>6.86</v>
      </c>
      <c r="F554" s="557">
        <v>1.95</v>
      </c>
      <c r="G554" s="557">
        <v>8.81</v>
      </c>
    </row>
    <row r="555" spans="1:7" ht="24.95" customHeight="1" x14ac:dyDescent="0.25">
      <c r="A555" s="551" t="s">
        <v>32658</v>
      </c>
      <c r="B555" s="342" t="s">
        <v>32659</v>
      </c>
      <c r="C555" s="552" t="s">
        <v>159</v>
      </c>
      <c r="D555" s="557">
        <v>14.81</v>
      </c>
      <c r="E555" s="557"/>
      <c r="F555" s="557">
        <v>14.81</v>
      </c>
      <c r="G555" s="557">
        <v>14.81</v>
      </c>
    </row>
    <row r="556" spans="1:7" ht="12.6" customHeight="1" x14ac:dyDescent="0.2">
      <c r="A556" s="547" t="s">
        <v>32660</v>
      </c>
      <c r="B556" s="548" t="s">
        <v>32661</v>
      </c>
      <c r="C556" s="550"/>
      <c r="D556" s="550"/>
      <c r="E556" s="550"/>
      <c r="F556" s="550"/>
      <c r="G556" s="550"/>
    </row>
    <row r="557" spans="1:7" ht="12.6" customHeight="1" x14ac:dyDescent="0.2">
      <c r="A557" s="548" t="s">
        <v>32662</v>
      </c>
      <c r="B557" s="548" t="s">
        <v>32663</v>
      </c>
      <c r="C557" s="550" t="s">
        <v>159</v>
      </c>
      <c r="D557" s="550">
        <v>8.6300000000000008</v>
      </c>
      <c r="E557" s="550"/>
      <c r="F557" s="550">
        <v>8.6300000000000008</v>
      </c>
      <c r="G557" s="550">
        <v>8.6300000000000008</v>
      </c>
    </row>
    <row r="558" spans="1:7" ht="12.6" customHeight="1" x14ac:dyDescent="0.25">
      <c r="A558" s="551" t="s">
        <v>32664</v>
      </c>
      <c r="B558" s="551" t="s">
        <v>32665</v>
      </c>
      <c r="C558" s="552"/>
      <c r="D558" s="557"/>
      <c r="E558" s="557"/>
      <c r="F558" s="557"/>
      <c r="G558" s="557"/>
    </row>
    <row r="559" spans="1:7" ht="12.6" customHeight="1" x14ac:dyDescent="0.25">
      <c r="A559" s="551" t="s">
        <v>32666</v>
      </c>
      <c r="B559" s="551" t="s">
        <v>32667</v>
      </c>
      <c r="C559" s="552" t="s">
        <v>227</v>
      </c>
      <c r="D559" s="557">
        <v>29.08</v>
      </c>
      <c r="E559" s="557">
        <v>28.35</v>
      </c>
      <c r="F559" s="557">
        <v>0.73</v>
      </c>
      <c r="G559" s="557">
        <v>29.08</v>
      </c>
    </row>
    <row r="560" spans="1:7" ht="12.6" customHeight="1" x14ac:dyDescent="0.25">
      <c r="A560" s="551" t="s">
        <v>32668</v>
      </c>
      <c r="B560" s="551" t="s">
        <v>32669</v>
      </c>
      <c r="C560" s="552" t="s">
        <v>159</v>
      </c>
      <c r="D560" s="557">
        <v>141.66</v>
      </c>
      <c r="E560" s="557">
        <v>120.07</v>
      </c>
      <c r="F560" s="557">
        <v>21.59</v>
      </c>
      <c r="G560" s="557">
        <v>141.66</v>
      </c>
    </row>
    <row r="561" spans="1:7" ht="12.6" customHeight="1" x14ac:dyDescent="0.25">
      <c r="A561" s="551" t="s">
        <v>32670</v>
      </c>
      <c r="B561" s="551" t="s">
        <v>32671</v>
      </c>
      <c r="C561" s="552" t="s">
        <v>159</v>
      </c>
      <c r="D561" s="557">
        <v>166.71</v>
      </c>
      <c r="E561" s="557">
        <v>153.76</v>
      </c>
      <c r="F561" s="557">
        <v>12.95</v>
      </c>
      <c r="G561" s="557">
        <v>166.71</v>
      </c>
    </row>
    <row r="562" spans="1:7" ht="12.6" customHeight="1" x14ac:dyDescent="0.2">
      <c r="A562" s="551" t="s">
        <v>21618</v>
      </c>
      <c r="B562" s="551" t="s">
        <v>32672</v>
      </c>
      <c r="C562" s="552" t="s">
        <v>227</v>
      </c>
      <c r="D562" s="557">
        <v>18.62</v>
      </c>
      <c r="E562" s="557">
        <v>5.67</v>
      </c>
      <c r="F562" s="343">
        <v>12.95</v>
      </c>
      <c r="G562" s="557">
        <v>18.62</v>
      </c>
    </row>
    <row r="563" spans="1:7" ht="12.6" customHeight="1" x14ac:dyDescent="0.2">
      <c r="A563" s="551" t="s">
        <v>32673</v>
      </c>
      <c r="B563" s="551" t="s">
        <v>32674</v>
      </c>
      <c r="C563" s="552" t="s">
        <v>227</v>
      </c>
      <c r="D563" s="557">
        <v>21.31</v>
      </c>
      <c r="E563" s="557">
        <v>8.36</v>
      </c>
      <c r="F563" s="343">
        <v>12.95</v>
      </c>
      <c r="G563" s="557">
        <v>21.31</v>
      </c>
    </row>
    <row r="564" spans="1:7" ht="12.6" customHeight="1" x14ac:dyDescent="0.2">
      <c r="A564" s="551" t="s">
        <v>32675</v>
      </c>
      <c r="B564" s="551" t="s">
        <v>32676</v>
      </c>
      <c r="C564" s="552" t="s">
        <v>227</v>
      </c>
      <c r="D564" s="557">
        <v>29.42</v>
      </c>
      <c r="E564" s="557">
        <v>16.47</v>
      </c>
      <c r="F564" s="343">
        <v>12.95</v>
      </c>
      <c r="G564" s="557">
        <v>29.42</v>
      </c>
    </row>
    <row r="565" spans="1:7" ht="12.6" customHeight="1" x14ac:dyDescent="0.2">
      <c r="A565" s="548" t="s">
        <v>32677</v>
      </c>
      <c r="B565" s="548" t="s">
        <v>32678</v>
      </c>
      <c r="C565" s="550"/>
      <c r="D565" s="550"/>
      <c r="E565" s="550"/>
      <c r="F565" s="550"/>
      <c r="G565" s="550"/>
    </row>
    <row r="566" spans="1:7" ht="12.6" customHeight="1" x14ac:dyDescent="0.25">
      <c r="A566" s="551" t="s">
        <v>32679</v>
      </c>
      <c r="B566" s="551" t="s">
        <v>32680</v>
      </c>
      <c r="C566" s="552" t="s">
        <v>158</v>
      </c>
      <c r="D566" s="557">
        <v>27.72</v>
      </c>
      <c r="E566" s="557">
        <v>12.62</v>
      </c>
      <c r="F566" s="557">
        <v>15.1</v>
      </c>
      <c r="G566" s="557">
        <v>27.72</v>
      </c>
    </row>
    <row r="567" spans="1:7" ht="12.6" customHeight="1" x14ac:dyDescent="0.25">
      <c r="A567" s="551" t="s">
        <v>32681</v>
      </c>
      <c r="B567" s="551" t="s">
        <v>32682</v>
      </c>
      <c r="C567" s="552" t="s">
        <v>158</v>
      </c>
      <c r="D567" s="557">
        <v>35.119999999999997</v>
      </c>
      <c r="E567" s="557">
        <v>17.850000000000001</v>
      </c>
      <c r="F567" s="557">
        <v>17.27</v>
      </c>
      <c r="G567" s="557">
        <v>35.119999999999997</v>
      </c>
    </row>
    <row r="568" spans="1:7" ht="12.6" customHeight="1" x14ac:dyDescent="0.25">
      <c r="A568" s="551" t="s">
        <v>32683</v>
      </c>
      <c r="B568" s="551" t="s">
        <v>32684</v>
      </c>
      <c r="C568" s="552" t="s">
        <v>158</v>
      </c>
      <c r="D568" s="557">
        <v>39.020000000000003</v>
      </c>
      <c r="E568" s="557">
        <v>17.43</v>
      </c>
      <c r="F568" s="557">
        <v>21.59</v>
      </c>
      <c r="G568" s="557">
        <v>39.020000000000003</v>
      </c>
    </row>
    <row r="569" spans="1:7" ht="12.6" customHeight="1" x14ac:dyDescent="0.2">
      <c r="A569" s="551" t="s">
        <v>32685</v>
      </c>
      <c r="B569" s="551" t="s">
        <v>32686</v>
      </c>
      <c r="C569" s="552"/>
      <c r="D569" s="557"/>
      <c r="E569" s="343"/>
      <c r="F569" s="557"/>
      <c r="G569" s="557"/>
    </row>
    <row r="570" spans="1:7" ht="12.6" customHeight="1" x14ac:dyDescent="0.2">
      <c r="A570" s="548" t="s">
        <v>32687</v>
      </c>
      <c r="B570" s="548" t="s">
        <v>32688</v>
      </c>
      <c r="C570" s="550" t="s">
        <v>31633</v>
      </c>
      <c r="D570" s="550">
        <v>12253.23</v>
      </c>
      <c r="E570" s="550">
        <v>12253.23</v>
      </c>
      <c r="F570" s="550"/>
      <c r="G570" s="550">
        <v>12253.23</v>
      </c>
    </row>
    <row r="571" spans="1:7" ht="12.6" customHeight="1" x14ac:dyDescent="0.2">
      <c r="A571" s="551" t="s">
        <v>32689</v>
      </c>
      <c r="B571" s="551" t="s">
        <v>32690</v>
      </c>
      <c r="C571" s="552" t="s">
        <v>32691</v>
      </c>
      <c r="D571" s="557">
        <v>700.86</v>
      </c>
      <c r="E571" s="343">
        <v>700.86</v>
      </c>
      <c r="F571" s="557"/>
      <c r="G571" s="557">
        <v>700.86</v>
      </c>
    </row>
    <row r="572" spans="1:7" ht="12.6" customHeight="1" x14ac:dyDescent="0.2">
      <c r="A572" s="548" t="s">
        <v>32692</v>
      </c>
      <c r="B572" s="548" t="s">
        <v>32693</v>
      </c>
      <c r="C572" s="550" t="s">
        <v>226</v>
      </c>
      <c r="D572" s="550">
        <v>397.73</v>
      </c>
      <c r="E572" s="550">
        <v>397.73</v>
      </c>
      <c r="F572" s="550"/>
      <c r="G572" s="550">
        <v>397.73</v>
      </c>
    </row>
    <row r="573" spans="1:7" ht="12.6" customHeight="1" x14ac:dyDescent="0.25">
      <c r="A573" s="551" t="s">
        <v>32694</v>
      </c>
      <c r="B573" s="551" t="s">
        <v>32695</v>
      </c>
      <c r="C573" s="552" t="s">
        <v>32696</v>
      </c>
      <c r="D573" s="557">
        <v>6.75</v>
      </c>
      <c r="E573" s="557">
        <v>2.86</v>
      </c>
      <c r="F573" s="557">
        <v>3.89</v>
      </c>
      <c r="G573" s="557">
        <v>6.75</v>
      </c>
    </row>
    <row r="574" spans="1:7" ht="12.6" customHeight="1" x14ac:dyDescent="0.25">
      <c r="A574" s="551" t="s">
        <v>32697</v>
      </c>
      <c r="B574" s="551" t="s">
        <v>32698</v>
      </c>
      <c r="C574" s="552"/>
      <c r="D574" s="557"/>
      <c r="E574" s="557"/>
      <c r="F574" s="557"/>
      <c r="G574" s="557"/>
    </row>
    <row r="575" spans="1:7" ht="11.45" customHeight="1" x14ac:dyDescent="0.25">
      <c r="A575" s="543" t="s">
        <v>32699</v>
      </c>
      <c r="B575" s="544" t="s">
        <v>32700</v>
      </c>
      <c r="C575" s="544" t="s">
        <v>159</v>
      </c>
      <c r="D575" s="543">
        <v>265.29000000000002</v>
      </c>
      <c r="E575" s="545">
        <v>135.81</v>
      </c>
      <c r="F575" s="546">
        <v>129.47999999999999</v>
      </c>
      <c r="G575" s="543">
        <v>265.29000000000002</v>
      </c>
    </row>
    <row r="576" spans="1:7" ht="12.6" customHeight="1" x14ac:dyDescent="0.25">
      <c r="A576" s="551" t="s">
        <v>32701</v>
      </c>
      <c r="B576" s="551" t="s">
        <v>32702</v>
      </c>
      <c r="C576" s="552" t="s">
        <v>159</v>
      </c>
      <c r="D576" s="557">
        <v>517.9</v>
      </c>
      <c r="E576" s="557">
        <v>267.38</v>
      </c>
      <c r="F576" s="557">
        <v>250.52</v>
      </c>
      <c r="G576" s="557">
        <v>517.9</v>
      </c>
    </row>
    <row r="577" spans="1:7" ht="24.95" customHeight="1" x14ac:dyDescent="0.25">
      <c r="A577" s="551" t="s">
        <v>32703</v>
      </c>
      <c r="B577" s="342" t="s">
        <v>32704</v>
      </c>
      <c r="C577" s="552" t="s">
        <v>159</v>
      </c>
      <c r="D577" s="557">
        <v>903.06</v>
      </c>
      <c r="E577" s="557">
        <v>786.57</v>
      </c>
      <c r="F577" s="557">
        <v>116.49</v>
      </c>
      <c r="G577" s="557">
        <v>903.06</v>
      </c>
    </row>
    <row r="578" spans="1:7" ht="24.95" customHeight="1" x14ac:dyDescent="0.25">
      <c r="A578" s="551" t="s">
        <v>32705</v>
      </c>
      <c r="B578" s="342" t="s">
        <v>32706</v>
      </c>
      <c r="C578" s="552" t="s">
        <v>159</v>
      </c>
      <c r="D578" s="557">
        <v>740.39</v>
      </c>
      <c r="E578" s="557">
        <v>597.32000000000005</v>
      </c>
      <c r="F578" s="557">
        <v>143.07</v>
      </c>
      <c r="G578" s="557">
        <v>740.39</v>
      </c>
    </row>
    <row r="579" spans="1:7" ht="24.95" customHeight="1" x14ac:dyDescent="0.25">
      <c r="A579" s="551" t="s">
        <v>32707</v>
      </c>
      <c r="B579" s="342" t="s">
        <v>150</v>
      </c>
      <c r="C579" s="552"/>
      <c r="D579" s="557"/>
      <c r="E579" s="557"/>
      <c r="F579" s="557"/>
      <c r="G579" s="557"/>
    </row>
    <row r="580" spans="1:7" ht="12.6" customHeight="1" x14ac:dyDescent="0.2">
      <c r="A580" s="548" t="s">
        <v>32708</v>
      </c>
      <c r="B580" s="548" t="s">
        <v>32709</v>
      </c>
      <c r="C580" s="550"/>
      <c r="D580" s="550"/>
      <c r="E580" s="550"/>
      <c r="F580" s="550"/>
      <c r="G580" s="550"/>
    </row>
    <row r="581" spans="1:7" ht="12.6" customHeight="1" x14ac:dyDescent="0.25">
      <c r="A581" s="551" t="s">
        <v>32710</v>
      </c>
      <c r="B581" s="551" t="s">
        <v>32711</v>
      </c>
      <c r="C581" s="552" t="s">
        <v>227</v>
      </c>
      <c r="D581" s="557">
        <v>99.99</v>
      </c>
      <c r="E581" s="557">
        <v>43.88</v>
      </c>
      <c r="F581" s="557">
        <v>56.11</v>
      </c>
      <c r="G581" s="557">
        <v>99.99</v>
      </c>
    </row>
    <row r="582" spans="1:7" ht="12.6" customHeight="1" x14ac:dyDescent="0.25">
      <c r="A582" s="551" t="s">
        <v>32712</v>
      </c>
      <c r="B582" s="551" t="s">
        <v>32713</v>
      </c>
      <c r="C582" s="552" t="s">
        <v>227</v>
      </c>
      <c r="D582" s="557">
        <v>246.64</v>
      </c>
      <c r="E582" s="557">
        <v>181.89</v>
      </c>
      <c r="F582" s="557">
        <v>64.75</v>
      </c>
      <c r="G582" s="557">
        <v>246.64</v>
      </c>
    </row>
    <row r="583" spans="1:7" ht="12.6" customHeight="1" x14ac:dyDescent="0.25">
      <c r="A583" s="551" t="s">
        <v>32714</v>
      </c>
      <c r="B583" s="551" t="s">
        <v>32715</v>
      </c>
      <c r="C583" s="552" t="s">
        <v>227</v>
      </c>
      <c r="D583" s="557">
        <v>119.54</v>
      </c>
      <c r="E583" s="557">
        <v>67.75</v>
      </c>
      <c r="F583" s="557">
        <v>51.79</v>
      </c>
      <c r="G583" s="557">
        <v>119.54</v>
      </c>
    </row>
    <row r="584" spans="1:7" ht="12.6" customHeight="1" x14ac:dyDescent="0.2">
      <c r="A584" s="548" t="s">
        <v>32716</v>
      </c>
      <c r="B584" s="548" t="s">
        <v>32717</v>
      </c>
      <c r="C584" s="550" t="s">
        <v>227</v>
      </c>
      <c r="D584" s="550">
        <v>6.65</v>
      </c>
      <c r="E584" s="550"/>
      <c r="F584" s="550">
        <v>6.65</v>
      </c>
      <c r="G584" s="550">
        <v>6.65</v>
      </c>
    </row>
    <row r="585" spans="1:7" ht="24.95" customHeight="1" x14ac:dyDescent="0.25">
      <c r="A585" s="551" t="s">
        <v>32718</v>
      </c>
      <c r="B585" s="342" t="s">
        <v>32719</v>
      </c>
      <c r="C585" s="552" t="s">
        <v>227</v>
      </c>
      <c r="D585" s="553">
        <v>7.9</v>
      </c>
      <c r="E585" s="553"/>
      <c r="F585" s="344">
        <v>7.9</v>
      </c>
      <c r="G585" s="553">
        <v>7.9</v>
      </c>
    </row>
    <row r="586" spans="1:7" ht="34.5" customHeight="1" x14ac:dyDescent="0.25">
      <c r="A586" s="554" t="s">
        <v>32720</v>
      </c>
      <c r="B586" s="551" t="s">
        <v>32721</v>
      </c>
      <c r="C586" s="555"/>
      <c r="D586" s="558"/>
      <c r="E586" s="558"/>
      <c r="F586" s="342"/>
      <c r="G586" s="558"/>
    </row>
    <row r="587" spans="1:7" ht="12.6" customHeight="1" x14ac:dyDescent="0.2">
      <c r="A587" s="551" t="s">
        <v>32722</v>
      </c>
      <c r="B587" s="551" t="s">
        <v>243</v>
      </c>
      <c r="C587" s="552" t="s">
        <v>227</v>
      </c>
      <c r="D587" s="557">
        <v>190.69</v>
      </c>
      <c r="E587" s="557">
        <v>130.26</v>
      </c>
      <c r="F587" s="343">
        <v>60.43</v>
      </c>
      <c r="G587" s="557">
        <v>190.69</v>
      </c>
    </row>
    <row r="588" spans="1:7" ht="23.1" customHeight="1" x14ac:dyDescent="0.25">
      <c r="A588" s="551" t="s">
        <v>32723</v>
      </c>
      <c r="B588" s="551" t="s">
        <v>32724</v>
      </c>
      <c r="C588" s="552" t="s">
        <v>227</v>
      </c>
      <c r="D588" s="557">
        <v>200.71</v>
      </c>
      <c r="E588" s="557">
        <v>140.28</v>
      </c>
      <c r="F588" s="557">
        <v>60.43</v>
      </c>
      <c r="G588" s="557">
        <v>200.71</v>
      </c>
    </row>
    <row r="589" spans="1:7" ht="12.6" customHeight="1" x14ac:dyDescent="0.2">
      <c r="A589" s="548" t="s">
        <v>32725</v>
      </c>
      <c r="B589" s="548" t="s">
        <v>32726</v>
      </c>
      <c r="C589" s="550" t="s">
        <v>227</v>
      </c>
      <c r="D589" s="550">
        <v>231.15</v>
      </c>
      <c r="E589" s="550">
        <v>123.24</v>
      </c>
      <c r="F589" s="550">
        <v>107.91</v>
      </c>
      <c r="G589" s="550">
        <v>231.15</v>
      </c>
    </row>
    <row r="590" spans="1:7" ht="12.6" customHeight="1" x14ac:dyDescent="0.25">
      <c r="A590" s="551" t="s">
        <v>32727</v>
      </c>
      <c r="B590" s="551" t="s">
        <v>32728</v>
      </c>
      <c r="C590" s="552" t="s">
        <v>227</v>
      </c>
      <c r="D590" s="557">
        <v>149.1</v>
      </c>
      <c r="E590" s="557">
        <v>90.84</v>
      </c>
      <c r="F590" s="557">
        <v>58.26</v>
      </c>
      <c r="G590" s="557">
        <v>149.1</v>
      </c>
    </row>
    <row r="591" spans="1:7" ht="12.6" customHeight="1" x14ac:dyDescent="0.25">
      <c r="A591" s="551" t="s">
        <v>32729</v>
      </c>
      <c r="B591" s="551" t="s">
        <v>32730</v>
      </c>
      <c r="C591" s="552" t="s">
        <v>227</v>
      </c>
      <c r="D591" s="557">
        <v>93.1</v>
      </c>
      <c r="E591" s="557">
        <v>45.62</v>
      </c>
      <c r="F591" s="557">
        <v>47.48</v>
      </c>
      <c r="G591" s="557">
        <v>93.1</v>
      </c>
    </row>
    <row r="592" spans="1:7" ht="34.5" customHeight="1" x14ac:dyDescent="0.25">
      <c r="A592" s="554" t="s">
        <v>32731</v>
      </c>
      <c r="B592" s="342" t="s">
        <v>32732</v>
      </c>
      <c r="C592" s="555" t="s">
        <v>227</v>
      </c>
      <c r="D592" s="558">
        <v>203.78</v>
      </c>
      <c r="E592" s="558">
        <v>109.35</v>
      </c>
      <c r="F592" s="558">
        <v>94.43</v>
      </c>
      <c r="G592" s="558">
        <v>203.78</v>
      </c>
    </row>
    <row r="593" spans="1:7" ht="34.5" customHeight="1" x14ac:dyDescent="0.25">
      <c r="A593" s="554" t="s">
        <v>32733</v>
      </c>
      <c r="B593" s="342" t="s">
        <v>32734</v>
      </c>
      <c r="C593" s="555" t="s">
        <v>227</v>
      </c>
      <c r="D593" s="558">
        <v>140.81</v>
      </c>
      <c r="E593" s="558">
        <v>103.65</v>
      </c>
      <c r="F593" s="558">
        <v>37.159999999999997</v>
      </c>
      <c r="G593" s="558">
        <v>140.81</v>
      </c>
    </row>
    <row r="594" spans="1:7" ht="12.6" customHeight="1" x14ac:dyDescent="0.2">
      <c r="A594" s="547" t="s">
        <v>32735</v>
      </c>
      <c r="B594" s="548" t="s">
        <v>32736</v>
      </c>
      <c r="C594" s="550" t="s">
        <v>227</v>
      </c>
      <c r="D594" s="550">
        <v>169.92</v>
      </c>
      <c r="E594" s="550">
        <v>103.65</v>
      </c>
      <c r="F594" s="550">
        <v>66.27</v>
      </c>
      <c r="G594" s="550">
        <v>169.92</v>
      </c>
    </row>
    <row r="595" spans="1:7" ht="12.6" customHeight="1" x14ac:dyDescent="0.2">
      <c r="A595" s="548" t="s">
        <v>32737</v>
      </c>
      <c r="B595" s="548" t="s">
        <v>32738</v>
      </c>
      <c r="C595" s="550" t="s">
        <v>227</v>
      </c>
      <c r="D595" s="550">
        <v>180.22</v>
      </c>
      <c r="E595" s="550">
        <v>66.47</v>
      </c>
      <c r="F595" s="550">
        <v>113.75</v>
      </c>
      <c r="G595" s="550">
        <v>180.22</v>
      </c>
    </row>
    <row r="596" spans="1:7" ht="12.6" customHeight="1" x14ac:dyDescent="0.25">
      <c r="A596" s="551" t="s">
        <v>32739</v>
      </c>
      <c r="B596" s="551" t="s">
        <v>32740</v>
      </c>
      <c r="C596" s="552"/>
      <c r="D596" s="557"/>
      <c r="E596" s="557"/>
      <c r="F596" s="557"/>
      <c r="G596" s="557"/>
    </row>
    <row r="597" spans="1:7" ht="12.6" customHeight="1" x14ac:dyDescent="0.25">
      <c r="A597" s="551" t="s">
        <v>32741</v>
      </c>
      <c r="B597" s="551" t="s">
        <v>32742</v>
      </c>
      <c r="C597" s="552" t="s">
        <v>158</v>
      </c>
      <c r="D597" s="557">
        <v>99.2</v>
      </c>
      <c r="E597" s="557">
        <v>88.96</v>
      </c>
      <c r="F597" s="557">
        <v>10.24</v>
      </c>
      <c r="G597" s="557">
        <v>99.2</v>
      </c>
    </row>
    <row r="598" spans="1:7" ht="12.6" customHeight="1" x14ac:dyDescent="0.25">
      <c r="A598" s="551" t="s">
        <v>32743</v>
      </c>
      <c r="B598" s="551" t="s">
        <v>32744</v>
      </c>
      <c r="C598" s="552" t="s">
        <v>158</v>
      </c>
      <c r="D598" s="557">
        <v>149.22</v>
      </c>
      <c r="E598" s="557">
        <v>138.97999999999999</v>
      </c>
      <c r="F598" s="557">
        <v>10.24</v>
      </c>
      <c r="G598" s="557">
        <v>149.22</v>
      </c>
    </row>
    <row r="599" spans="1:7" ht="23.1" customHeight="1" x14ac:dyDescent="0.25">
      <c r="A599" s="551" t="s">
        <v>32745</v>
      </c>
      <c r="B599" s="551" t="s">
        <v>32746</v>
      </c>
      <c r="C599" s="552" t="s">
        <v>158</v>
      </c>
      <c r="D599" s="557">
        <v>177.88</v>
      </c>
      <c r="E599" s="344">
        <v>167.64</v>
      </c>
      <c r="F599" s="557">
        <v>10.24</v>
      </c>
      <c r="G599" s="557">
        <v>177.88</v>
      </c>
    </row>
    <row r="600" spans="1:7" ht="23.1" customHeight="1" x14ac:dyDescent="0.25">
      <c r="A600" s="551" t="s">
        <v>32747</v>
      </c>
      <c r="B600" s="551" t="s">
        <v>32748</v>
      </c>
      <c r="C600" s="552" t="s">
        <v>158</v>
      </c>
      <c r="D600" s="557">
        <v>205.41</v>
      </c>
      <c r="E600" s="344">
        <v>195.17</v>
      </c>
      <c r="F600" s="557">
        <v>10.24</v>
      </c>
      <c r="G600" s="557">
        <v>205.41</v>
      </c>
    </row>
    <row r="601" spans="1:7" ht="12.6" customHeight="1" x14ac:dyDescent="0.2">
      <c r="A601" s="548" t="s">
        <v>32749</v>
      </c>
      <c r="B601" s="548" t="s">
        <v>32750</v>
      </c>
      <c r="C601" s="550" t="s">
        <v>158</v>
      </c>
      <c r="D601" s="550">
        <v>225.3</v>
      </c>
      <c r="E601" s="550">
        <v>215.06</v>
      </c>
      <c r="F601" s="550">
        <v>10.24</v>
      </c>
      <c r="G601" s="550">
        <v>225.3</v>
      </c>
    </row>
    <row r="602" spans="1:7" ht="12.6" customHeight="1" x14ac:dyDescent="0.25">
      <c r="A602" s="551" t="s">
        <v>32751</v>
      </c>
      <c r="B602" s="551" t="s">
        <v>32752</v>
      </c>
      <c r="C602" s="552" t="s">
        <v>158</v>
      </c>
      <c r="D602" s="557">
        <v>206.46</v>
      </c>
      <c r="E602" s="557">
        <v>196.22</v>
      </c>
      <c r="F602" s="557">
        <v>10.24</v>
      </c>
      <c r="G602" s="557">
        <v>206.46</v>
      </c>
    </row>
    <row r="603" spans="1:7" ht="12.6" customHeight="1" x14ac:dyDescent="0.25">
      <c r="A603" s="551" t="s">
        <v>32753</v>
      </c>
      <c r="B603" s="551" t="s">
        <v>32754</v>
      </c>
      <c r="C603" s="552"/>
      <c r="D603" s="557"/>
      <c r="E603" s="557"/>
      <c r="F603" s="557"/>
      <c r="G603" s="557"/>
    </row>
    <row r="604" spans="1:7" ht="12.6" customHeight="1" x14ac:dyDescent="0.25">
      <c r="A604" s="551" t="s">
        <v>32755</v>
      </c>
      <c r="B604" s="551" t="s">
        <v>32756</v>
      </c>
      <c r="C604" s="552" t="s">
        <v>159</v>
      </c>
      <c r="D604" s="557">
        <v>463.15</v>
      </c>
      <c r="E604" s="557">
        <v>387.61</v>
      </c>
      <c r="F604" s="557">
        <v>75.540000000000006</v>
      </c>
      <c r="G604" s="557">
        <v>463.15</v>
      </c>
    </row>
    <row r="605" spans="1:7" ht="12.6" customHeight="1" x14ac:dyDescent="0.25">
      <c r="A605" s="551" t="s">
        <v>32757</v>
      </c>
      <c r="B605" s="551" t="s">
        <v>32758</v>
      </c>
      <c r="C605" s="552"/>
      <c r="D605" s="557"/>
      <c r="E605" s="557"/>
      <c r="F605" s="557"/>
      <c r="G605" s="557"/>
    </row>
    <row r="606" spans="1:7" ht="12.6" customHeight="1" x14ac:dyDescent="0.25">
      <c r="A606" s="551" t="s">
        <v>32759</v>
      </c>
      <c r="B606" s="551" t="s">
        <v>32760</v>
      </c>
      <c r="C606" s="552"/>
      <c r="D606" s="557"/>
      <c r="E606" s="557"/>
      <c r="F606" s="557"/>
      <c r="G606" s="557"/>
    </row>
    <row r="607" spans="1:7" ht="12.6" customHeight="1" x14ac:dyDescent="0.25">
      <c r="A607" s="551" t="s">
        <v>32761</v>
      </c>
      <c r="B607" s="551" t="s">
        <v>32762</v>
      </c>
      <c r="C607" s="552" t="s">
        <v>6008</v>
      </c>
      <c r="D607" s="557">
        <v>13.39</v>
      </c>
      <c r="E607" s="557">
        <v>10.88</v>
      </c>
      <c r="F607" s="557">
        <v>2.5099999999999998</v>
      </c>
      <c r="G607" s="557">
        <v>13.39</v>
      </c>
    </row>
    <row r="608" spans="1:7" ht="24.95" customHeight="1" x14ac:dyDescent="0.25">
      <c r="A608" s="551" t="s">
        <v>32763</v>
      </c>
      <c r="B608" s="342" t="s">
        <v>32764</v>
      </c>
      <c r="C608" s="552" t="s">
        <v>6008</v>
      </c>
      <c r="D608" s="557">
        <v>11.28</v>
      </c>
      <c r="E608" s="557">
        <v>8.77</v>
      </c>
      <c r="F608" s="557">
        <v>2.5099999999999998</v>
      </c>
      <c r="G608" s="557">
        <v>11.28</v>
      </c>
    </row>
    <row r="609" spans="1:7" ht="24.95" customHeight="1" x14ac:dyDescent="0.25">
      <c r="A609" s="551" t="s">
        <v>32765</v>
      </c>
      <c r="B609" s="342" t="s">
        <v>32766</v>
      </c>
      <c r="C609" s="552" t="s">
        <v>6008</v>
      </c>
      <c r="D609" s="557">
        <v>12.51</v>
      </c>
      <c r="E609" s="557">
        <v>10</v>
      </c>
      <c r="F609" s="557">
        <v>2.5099999999999998</v>
      </c>
      <c r="G609" s="557">
        <v>12.51</v>
      </c>
    </row>
    <row r="610" spans="1:7" ht="24.95" customHeight="1" x14ac:dyDescent="0.25">
      <c r="A610" s="551" t="s">
        <v>32767</v>
      </c>
      <c r="B610" s="342" t="s">
        <v>32768</v>
      </c>
      <c r="C610" s="552"/>
      <c r="D610" s="557"/>
      <c r="E610" s="557"/>
      <c r="F610" s="557"/>
      <c r="G610" s="557"/>
    </row>
    <row r="611" spans="1:7" ht="12.6" customHeight="1" x14ac:dyDescent="0.2">
      <c r="A611" s="548" t="s">
        <v>32769</v>
      </c>
      <c r="B611" s="548" t="s">
        <v>32770</v>
      </c>
      <c r="C611" s="550" t="s">
        <v>6008</v>
      </c>
      <c r="D611" s="550">
        <v>14.41</v>
      </c>
      <c r="E611" s="550">
        <v>13.16</v>
      </c>
      <c r="F611" s="550">
        <v>1.25</v>
      </c>
      <c r="G611" s="550">
        <v>14.41</v>
      </c>
    </row>
    <row r="612" spans="1:7" ht="12.6" customHeight="1" x14ac:dyDescent="0.25">
      <c r="A612" s="551" t="s">
        <v>32771</v>
      </c>
      <c r="B612" s="551" t="s">
        <v>32772</v>
      </c>
      <c r="C612" s="552"/>
      <c r="D612" s="557"/>
      <c r="E612" s="557"/>
      <c r="F612" s="557"/>
      <c r="G612" s="557"/>
    </row>
    <row r="613" spans="1:7" ht="12.6" customHeight="1" x14ac:dyDescent="0.25">
      <c r="A613" s="551" t="s">
        <v>32773</v>
      </c>
      <c r="B613" s="551" t="s">
        <v>32774</v>
      </c>
      <c r="C613" s="552"/>
      <c r="D613" s="557"/>
      <c r="E613" s="557"/>
      <c r="F613" s="557"/>
      <c r="G613" s="557"/>
    </row>
    <row r="614" spans="1:7" ht="12.6" customHeight="1" x14ac:dyDescent="0.25">
      <c r="A614" s="1180" t="s">
        <v>32775</v>
      </c>
      <c r="B614" s="1180" t="s">
        <v>244</v>
      </c>
      <c r="C614" s="1181" t="s">
        <v>159</v>
      </c>
      <c r="D614" s="1182">
        <v>437.97</v>
      </c>
      <c r="E614" s="1182">
        <v>437.97</v>
      </c>
      <c r="F614" s="1182"/>
      <c r="G614" s="1182">
        <v>437.97</v>
      </c>
    </row>
    <row r="615" spans="1:7" ht="12.6" customHeight="1" x14ac:dyDescent="0.25">
      <c r="A615" s="551" t="s">
        <v>32776</v>
      </c>
      <c r="B615" s="551" t="s">
        <v>32777</v>
      </c>
      <c r="C615" s="552" t="s">
        <v>159</v>
      </c>
      <c r="D615" s="557">
        <v>458.31</v>
      </c>
      <c r="E615" s="557">
        <v>458.31</v>
      </c>
      <c r="F615" s="557"/>
      <c r="G615" s="557">
        <v>458.31</v>
      </c>
    </row>
    <row r="616" spans="1:7" ht="12.6" customHeight="1" x14ac:dyDescent="0.25">
      <c r="A616" s="551" t="s">
        <v>32778</v>
      </c>
      <c r="B616" s="551" t="s">
        <v>32779</v>
      </c>
      <c r="C616" s="552" t="s">
        <v>159</v>
      </c>
      <c r="D616" s="557">
        <v>479.61</v>
      </c>
      <c r="E616" s="557">
        <v>479.61</v>
      </c>
      <c r="F616" s="557"/>
      <c r="G616" s="557">
        <v>479.61</v>
      </c>
    </row>
    <row r="617" spans="1:7" ht="11.45" customHeight="1" x14ac:dyDescent="0.25">
      <c r="A617" s="543" t="s">
        <v>32780</v>
      </c>
      <c r="B617" s="544" t="s">
        <v>32781</v>
      </c>
      <c r="C617" s="544" t="s">
        <v>159</v>
      </c>
      <c r="D617" s="543">
        <v>501.9</v>
      </c>
      <c r="E617" s="545">
        <v>501.9</v>
      </c>
      <c r="F617" s="546"/>
      <c r="G617" s="543">
        <v>501.9</v>
      </c>
    </row>
    <row r="618" spans="1:7" ht="12.6" customHeight="1" x14ac:dyDescent="0.25">
      <c r="A618" s="551" t="s">
        <v>32782</v>
      </c>
      <c r="B618" s="551" t="s">
        <v>32783</v>
      </c>
      <c r="C618" s="552" t="s">
        <v>159</v>
      </c>
      <c r="D618" s="557">
        <v>525.22</v>
      </c>
      <c r="E618" s="557">
        <v>525.22</v>
      </c>
      <c r="F618" s="557"/>
      <c r="G618" s="557">
        <v>525.22</v>
      </c>
    </row>
    <row r="619" spans="1:7" ht="12.6" customHeight="1" x14ac:dyDescent="0.2">
      <c r="A619" s="548" t="s">
        <v>32784</v>
      </c>
      <c r="B619" s="548" t="s">
        <v>32785</v>
      </c>
      <c r="C619" s="550" t="s">
        <v>159</v>
      </c>
      <c r="D619" s="550">
        <v>491.21</v>
      </c>
      <c r="E619" s="550">
        <v>491.21</v>
      </c>
      <c r="F619" s="550"/>
      <c r="G619" s="550">
        <v>491.21</v>
      </c>
    </row>
    <row r="620" spans="1:7" ht="24.95" customHeight="1" x14ac:dyDescent="0.25">
      <c r="A620" s="551" t="s">
        <v>32786</v>
      </c>
      <c r="B620" s="342" t="s">
        <v>32787</v>
      </c>
      <c r="C620" s="552" t="s">
        <v>159</v>
      </c>
      <c r="D620" s="557">
        <v>511.35</v>
      </c>
      <c r="E620" s="557">
        <v>511.35</v>
      </c>
      <c r="F620" s="557"/>
      <c r="G620" s="557">
        <v>511.35</v>
      </c>
    </row>
    <row r="621" spans="1:7" ht="12.6" customHeight="1" x14ac:dyDescent="0.2">
      <c r="A621" s="559" t="s">
        <v>32788</v>
      </c>
      <c r="B621" s="548" t="s">
        <v>32789</v>
      </c>
      <c r="C621" s="550" t="s">
        <v>159</v>
      </c>
      <c r="D621" s="550">
        <v>532.73</v>
      </c>
      <c r="E621" s="550">
        <v>532.73</v>
      </c>
      <c r="F621" s="550"/>
      <c r="G621" s="550">
        <v>532.73</v>
      </c>
    </row>
    <row r="622" spans="1:7" ht="12.6" customHeight="1" x14ac:dyDescent="0.2">
      <c r="A622" s="548" t="s">
        <v>32790</v>
      </c>
      <c r="B622" s="548" t="s">
        <v>32791</v>
      </c>
      <c r="C622" s="550" t="s">
        <v>159</v>
      </c>
      <c r="D622" s="550">
        <v>555.09</v>
      </c>
      <c r="E622" s="550">
        <v>555.09</v>
      </c>
      <c r="F622" s="550"/>
      <c r="G622" s="550">
        <v>555.09</v>
      </c>
    </row>
    <row r="623" spans="1:7" ht="12.6" customHeight="1" x14ac:dyDescent="0.25">
      <c r="A623" s="551" t="s">
        <v>32792</v>
      </c>
      <c r="B623" s="551" t="s">
        <v>32793</v>
      </c>
      <c r="C623" s="552" t="s">
        <v>159</v>
      </c>
      <c r="D623" s="557">
        <v>578.82000000000005</v>
      </c>
      <c r="E623" s="557">
        <v>578.82000000000005</v>
      </c>
      <c r="F623" s="557"/>
      <c r="G623" s="557">
        <v>578.82000000000005</v>
      </c>
    </row>
    <row r="624" spans="1:7" ht="12.6" customHeight="1" x14ac:dyDescent="0.25">
      <c r="A624" s="551" t="s">
        <v>32794</v>
      </c>
      <c r="B624" s="551" t="s">
        <v>32795</v>
      </c>
      <c r="C624" s="552" t="s">
        <v>159</v>
      </c>
      <c r="D624" s="557">
        <v>569.11</v>
      </c>
      <c r="E624" s="557">
        <v>569.11</v>
      </c>
      <c r="F624" s="557"/>
      <c r="G624" s="557">
        <v>569.11</v>
      </c>
    </row>
    <row r="625" spans="1:7" ht="12.6" customHeight="1" x14ac:dyDescent="0.25">
      <c r="A625" s="551" t="s">
        <v>32796</v>
      </c>
      <c r="B625" s="551" t="s">
        <v>32797</v>
      </c>
      <c r="C625" s="552" t="s">
        <v>159</v>
      </c>
      <c r="D625" s="557">
        <v>561.76</v>
      </c>
      <c r="E625" s="557">
        <v>561.76</v>
      </c>
      <c r="F625" s="557"/>
      <c r="G625" s="557">
        <v>561.76</v>
      </c>
    </row>
    <row r="626" spans="1:7" ht="12.6" customHeight="1" x14ac:dyDescent="0.2">
      <c r="A626" s="548" t="s">
        <v>32798</v>
      </c>
      <c r="B626" s="548" t="s">
        <v>32799</v>
      </c>
      <c r="C626" s="550"/>
      <c r="D626" s="550"/>
      <c r="E626" s="550"/>
      <c r="F626" s="550"/>
      <c r="G626" s="550"/>
    </row>
    <row r="627" spans="1:7" ht="12.6" customHeight="1" x14ac:dyDescent="0.25">
      <c r="A627" s="551" t="s">
        <v>32800</v>
      </c>
      <c r="B627" s="551" t="s">
        <v>32801</v>
      </c>
      <c r="C627" s="552" t="s">
        <v>159</v>
      </c>
      <c r="D627" s="557">
        <v>471.45</v>
      </c>
      <c r="E627" s="557">
        <v>471.45</v>
      </c>
      <c r="F627" s="557"/>
      <c r="G627" s="557">
        <v>471.45</v>
      </c>
    </row>
    <row r="628" spans="1:7" ht="12.6" customHeight="1" x14ac:dyDescent="0.2">
      <c r="A628" s="559" t="s">
        <v>32802</v>
      </c>
      <c r="B628" s="548" t="s">
        <v>32803</v>
      </c>
      <c r="C628" s="550" t="s">
        <v>159</v>
      </c>
      <c r="D628" s="550">
        <v>498.75</v>
      </c>
      <c r="E628" s="550">
        <v>498.75</v>
      </c>
      <c r="F628" s="550"/>
      <c r="G628" s="550">
        <v>498.75</v>
      </c>
    </row>
    <row r="629" spans="1:7" ht="12.6" customHeight="1" x14ac:dyDescent="0.2">
      <c r="A629" s="548" t="s">
        <v>32804</v>
      </c>
      <c r="B629" s="548" t="s">
        <v>32805</v>
      </c>
      <c r="C629" s="550" t="s">
        <v>159</v>
      </c>
      <c r="D629" s="550">
        <v>472.11</v>
      </c>
      <c r="E629" s="550">
        <v>472.11</v>
      </c>
      <c r="F629" s="550"/>
      <c r="G629" s="550">
        <v>472.11</v>
      </c>
    </row>
    <row r="630" spans="1:7" ht="12.6" customHeight="1" x14ac:dyDescent="0.2">
      <c r="A630" s="551" t="s">
        <v>32806</v>
      </c>
      <c r="B630" s="551" t="s">
        <v>32807</v>
      </c>
      <c r="C630" s="552"/>
      <c r="D630" s="557"/>
      <c r="E630" s="557"/>
      <c r="F630" s="343"/>
      <c r="G630" s="557"/>
    </row>
    <row r="631" spans="1:7" ht="12.6" customHeight="1" x14ac:dyDescent="0.2">
      <c r="A631" s="551" t="s">
        <v>32808</v>
      </c>
      <c r="B631" s="551" t="s">
        <v>32809</v>
      </c>
      <c r="C631" s="552" t="s">
        <v>159</v>
      </c>
      <c r="D631" s="557">
        <v>492.89</v>
      </c>
      <c r="E631" s="557">
        <v>376.07</v>
      </c>
      <c r="F631" s="343">
        <v>116.82</v>
      </c>
      <c r="G631" s="557">
        <v>492.89</v>
      </c>
    </row>
    <row r="632" spans="1:7" ht="12.6" customHeight="1" x14ac:dyDescent="0.2">
      <c r="A632" s="551" t="s">
        <v>32810</v>
      </c>
      <c r="B632" s="551" t="s">
        <v>32811</v>
      </c>
      <c r="C632" s="552"/>
      <c r="D632" s="557"/>
      <c r="E632" s="557"/>
      <c r="F632" s="343"/>
      <c r="G632" s="557"/>
    </row>
    <row r="633" spans="1:7" ht="12.6" customHeight="1" x14ac:dyDescent="0.2">
      <c r="A633" s="551" t="s">
        <v>32812</v>
      </c>
      <c r="B633" s="551" t="s">
        <v>32813</v>
      </c>
      <c r="C633" s="552" t="s">
        <v>159</v>
      </c>
      <c r="D633" s="557">
        <v>347.5</v>
      </c>
      <c r="E633" s="557">
        <v>298.82</v>
      </c>
      <c r="F633" s="343">
        <v>48.68</v>
      </c>
      <c r="G633" s="557">
        <v>347.5</v>
      </c>
    </row>
    <row r="634" spans="1:7" ht="12.6" customHeight="1" x14ac:dyDescent="0.2">
      <c r="A634" s="551" t="s">
        <v>32814</v>
      </c>
      <c r="B634" s="551" t="s">
        <v>32815</v>
      </c>
      <c r="C634" s="552" t="s">
        <v>159</v>
      </c>
      <c r="D634" s="557">
        <v>379.5</v>
      </c>
      <c r="E634" s="557">
        <v>330.82</v>
      </c>
      <c r="F634" s="343">
        <v>48.68</v>
      </c>
      <c r="G634" s="557">
        <v>379.5</v>
      </c>
    </row>
    <row r="635" spans="1:7" ht="12.6" customHeight="1" x14ac:dyDescent="0.2">
      <c r="A635" s="551" t="s">
        <v>32816</v>
      </c>
      <c r="B635" s="551" t="s">
        <v>32817</v>
      </c>
      <c r="C635" s="552" t="s">
        <v>159</v>
      </c>
      <c r="D635" s="557">
        <v>446.88</v>
      </c>
      <c r="E635" s="557">
        <v>398.2</v>
      </c>
      <c r="F635" s="343">
        <v>48.68</v>
      </c>
      <c r="G635" s="557">
        <v>446.88</v>
      </c>
    </row>
    <row r="636" spans="1:7" ht="12.6" customHeight="1" x14ac:dyDescent="0.2">
      <c r="A636" s="551" t="s">
        <v>32818</v>
      </c>
      <c r="B636" s="551" t="s">
        <v>32819</v>
      </c>
      <c r="C636" s="552"/>
      <c r="D636" s="557"/>
      <c r="E636" s="557"/>
      <c r="F636" s="343"/>
      <c r="G636" s="557"/>
    </row>
    <row r="637" spans="1:7" ht="12.6" customHeight="1" x14ac:dyDescent="0.2">
      <c r="A637" s="551" t="s">
        <v>32820</v>
      </c>
      <c r="B637" s="551" t="s">
        <v>32821</v>
      </c>
      <c r="C637" s="552" t="s">
        <v>159</v>
      </c>
      <c r="D637" s="557">
        <v>126.98</v>
      </c>
      <c r="E637" s="557">
        <v>78.3</v>
      </c>
      <c r="F637" s="343">
        <v>48.68</v>
      </c>
      <c r="G637" s="557">
        <v>126.98</v>
      </c>
    </row>
    <row r="638" spans="1:7" ht="12.6" customHeight="1" x14ac:dyDescent="0.2">
      <c r="A638" s="551" t="s">
        <v>32822</v>
      </c>
      <c r="B638" s="551" t="s">
        <v>32823</v>
      </c>
      <c r="C638" s="552" t="s">
        <v>159</v>
      </c>
      <c r="D638" s="557">
        <v>4034.7</v>
      </c>
      <c r="E638" s="557">
        <v>3980.1</v>
      </c>
      <c r="F638" s="343">
        <v>54.6</v>
      </c>
      <c r="G638" s="557">
        <v>4034.7</v>
      </c>
    </row>
    <row r="639" spans="1:7" ht="12.6" customHeight="1" x14ac:dyDescent="0.2">
      <c r="A639" s="551" t="s">
        <v>32824</v>
      </c>
      <c r="B639" s="551" t="s">
        <v>32825</v>
      </c>
      <c r="C639" s="552" t="s">
        <v>159</v>
      </c>
      <c r="D639" s="557">
        <v>403.73</v>
      </c>
      <c r="E639" s="557">
        <v>349.13</v>
      </c>
      <c r="F639" s="343">
        <v>54.6</v>
      </c>
      <c r="G639" s="557">
        <v>403.73</v>
      </c>
    </row>
    <row r="640" spans="1:7" ht="24.95" customHeight="1" x14ac:dyDescent="0.25">
      <c r="A640" s="551" t="s">
        <v>32826</v>
      </c>
      <c r="B640" s="342" t="s">
        <v>32827</v>
      </c>
      <c r="C640" s="552" t="s">
        <v>159</v>
      </c>
      <c r="D640" s="557">
        <v>703.47</v>
      </c>
      <c r="E640" s="557">
        <v>344.57</v>
      </c>
      <c r="F640" s="344">
        <v>358.9</v>
      </c>
      <c r="G640" s="557">
        <v>703.47</v>
      </c>
    </row>
    <row r="641" spans="1:7" ht="12.6" customHeight="1" x14ac:dyDescent="0.2">
      <c r="A641" s="551" t="s">
        <v>32828</v>
      </c>
      <c r="B641" s="551" t="s">
        <v>32829</v>
      </c>
      <c r="C641" s="552" t="s">
        <v>159</v>
      </c>
      <c r="D641" s="557">
        <v>3007.56</v>
      </c>
      <c r="E641" s="557">
        <v>2350.7600000000002</v>
      </c>
      <c r="F641" s="343">
        <v>656.8</v>
      </c>
      <c r="G641" s="557">
        <v>3007.56</v>
      </c>
    </row>
    <row r="642" spans="1:7" ht="12.6" customHeight="1" x14ac:dyDescent="0.2">
      <c r="A642" s="548" t="s">
        <v>32830</v>
      </c>
      <c r="B642" s="548" t="s">
        <v>32831</v>
      </c>
      <c r="C642" s="550"/>
      <c r="D642" s="550"/>
      <c r="E642" s="550"/>
      <c r="F642" s="550"/>
      <c r="G642" s="550"/>
    </row>
    <row r="643" spans="1:7" ht="12.6" customHeight="1" x14ac:dyDescent="0.2">
      <c r="A643" s="551" t="s">
        <v>32832</v>
      </c>
      <c r="B643" s="551" t="s">
        <v>32833</v>
      </c>
      <c r="C643" s="552" t="s">
        <v>159</v>
      </c>
      <c r="D643" s="557">
        <v>563.71</v>
      </c>
      <c r="E643" s="557">
        <v>515.03</v>
      </c>
      <c r="F643" s="343">
        <v>48.68</v>
      </c>
      <c r="G643" s="557">
        <v>563.71</v>
      </c>
    </row>
    <row r="644" spans="1:7" ht="12.6" customHeight="1" x14ac:dyDescent="0.2">
      <c r="A644" s="551" t="s">
        <v>32834</v>
      </c>
      <c r="B644" s="551" t="s">
        <v>32835</v>
      </c>
      <c r="C644" s="552"/>
      <c r="D644" s="557"/>
      <c r="E644" s="557"/>
      <c r="F644" s="343"/>
      <c r="G644" s="557"/>
    </row>
    <row r="645" spans="1:7" ht="12.6" customHeight="1" x14ac:dyDescent="0.2">
      <c r="A645" s="551" t="s">
        <v>32836</v>
      </c>
      <c r="B645" s="551" t="s">
        <v>32837</v>
      </c>
      <c r="C645" s="552" t="s">
        <v>159</v>
      </c>
      <c r="D645" s="557">
        <v>82.1</v>
      </c>
      <c r="E645" s="557"/>
      <c r="F645" s="343">
        <v>82.1</v>
      </c>
      <c r="G645" s="557">
        <v>82.1</v>
      </c>
    </row>
    <row r="646" spans="1:7" ht="23.1" customHeight="1" x14ac:dyDescent="0.25">
      <c r="A646" s="548" t="s">
        <v>32838</v>
      </c>
      <c r="B646" s="548" t="s">
        <v>32839</v>
      </c>
      <c r="C646" s="549" t="s">
        <v>159</v>
      </c>
      <c r="D646" s="549">
        <v>164.2</v>
      </c>
      <c r="E646" s="549"/>
      <c r="F646" s="549">
        <v>164.2</v>
      </c>
      <c r="G646" s="549">
        <v>164.2</v>
      </c>
    </row>
    <row r="647" spans="1:7" ht="12.6" customHeight="1" x14ac:dyDescent="0.25">
      <c r="A647" s="551" t="s">
        <v>32840</v>
      </c>
      <c r="B647" s="551" t="s">
        <v>32841</v>
      </c>
      <c r="C647" s="552" t="s">
        <v>159</v>
      </c>
      <c r="D647" s="557">
        <v>113.42</v>
      </c>
      <c r="E647" s="557"/>
      <c r="F647" s="557">
        <v>113.42</v>
      </c>
      <c r="G647" s="557">
        <v>113.42</v>
      </c>
    </row>
    <row r="648" spans="1:7" ht="12.6" customHeight="1" x14ac:dyDescent="0.25">
      <c r="A648" s="551" t="s">
        <v>32842</v>
      </c>
      <c r="B648" s="551" t="s">
        <v>32843</v>
      </c>
      <c r="C648" s="552" t="s">
        <v>159</v>
      </c>
      <c r="D648" s="557">
        <v>112.56</v>
      </c>
      <c r="E648" s="557">
        <v>49.93</v>
      </c>
      <c r="F648" s="557">
        <v>62.63</v>
      </c>
      <c r="G648" s="557">
        <v>112.56</v>
      </c>
    </row>
    <row r="649" spans="1:7" ht="23.1" customHeight="1" x14ac:dyDescent="0.25">
      <c r="A649" s="548" t="s">
        <v>32844</v>
      </c>
      <c r="B649" s="548" t="s">
        <v>32845</v>
      </c>
      <c r="C649" s="549" t="s">
        <v>227</v>
      </c>
      <c r="D649" s="549">
        <v>16.02</v>
      </c>
      <c r="E649" s="549">
        <v>16.02</v>
      </c>
      <c r="F649" s="549"/>
      <c r="G649" s="549">
        <v>16.02</v>
      </c>
    </row>
    <row r="650" spans="1:7" ht="23.1" customHeight="1" x14ac:dyDescent="0.25">
      <c r="A650" s="551" t="s">
        <v>32846</v>
      </c>
      <c r="B650" s="551" t="s">
        <v>32847</v>
      </c>
      <c r="C650" s="552"/>
      <c r="D650" s="557"/>
      <c r="E650" s="557"/>
      <c r="F650" s="557"/>
      <c r="G650" s="557"/>
    </row>
    <row r="651" spans="1:7" ht="23.1" customHeight="1" x14ac:dyDescent="0.25">
      <c r="A651" s="551" t="s">
        <v>32848</v>
      </c>
      <c r="B651" s="551" t="s">
        <v>32849</v>
      </c>
      <c r="C651" s="552" t="s">
        <v>159</v>
      </c>
      <c r="D651" s="557">
        <v>233.55</v>
      </c>
      <c r="E651" s="557">
        <v>165.4</v>
      </c>
      <c r="F651" s="557">
        <v>68.150000000000006</v>
      </c>
      <c r="G651" s="557">
        <v>233.55</v>
      </c>
    </row>
    <row r="652" spans="1:7" ht="23.1" customHeight="1" x14ac:dyDescent="0.25">
      <c r="A652" s="551" t="s">
        <v>32850</v>
      </c>
      <c r="B652" s="551" t="s">
        <v>245</v>
      </c>
      <c r="C652" s="552" t="s">
        <v>159</v>
      </c>
      <c r="D652" s="557">
        <v>173.29</v>
      </c>
      <c r="E652" s="557">
        <v>144.08000000000001</v>
      </c>
      <c r="F652" s="557">
        <v>29.21</v>
      </c>
      <c r="G652" s="557">
        <v>173.29</v>
      </c>
    </row>
    <row r="653" spans="1:7" ht="12.6" customHeight="1" x14ac:dyDescent="0.2">
      <c r="A653" s="548" t="s">
        <v>32851</v>
      </c>
      <c r="B653" s="548" t="s">
        <v>32852</v>
      </c>
      <c r="C653" s="550" t="s">
        <v>227</v>
      </c>
      <c r="D653" s="550">
        <v>3.69</v>
      </c>
      <c r="E653" s="550">
        <v>3.11</v>
      </c>
      <c r="F653" s="550">
        <v>0.57999999999999996</v>
      </c>
      <c r="G653" s="550">
        <v>3.69</v>
      </c>
    </row>
    <row r="654" spans="1:7" ht="12.6" customHeight="1" x14ac:dyDescent="0.25">
      <c r="A654" s="551" t="s">
        <v>32853</v>
      </c>
      <c r="B654" s="551" t="s">
        <v>32854</v>
      </c>
      <c r="C654" s="552" t="s">
        <v>159</v>
      </c>
      <c r="D654" s="557">
        <v>867.44</v>
      </c>
      <c r="E654" s="557">
        <v>777.71</v>
      </c>
      <c r="F654" s="557">
        <v>89.73</v>
      </c>
      <c r="G654" s="557">
        <v>867.44</v>
      </c>
    </row>
    <row r="655" spans="1:7" ht="12.6" customHeight="1" x14ac:dyDescent="0.25">
      <c r="A655" s="551" t="s">
        <v>32855</v>
      </c>
      <c r="B655" s="551" t="s">
        <v>32856</v>
      </c>
      <c r="C655" s="552" t="s">
        <v>159</v>
      </c>
      <c r="D655" s="553">
        <v>353.94</v>
      </c>
      <c r="E655" s="553">
        <v>315</v>
      </c>
      <c r="F655" s="557">
        <v>38.94</v>
      </c>
      <c r="G655" s="553">
        <v>353.94</v>
      </c>
    </row>
    <row r="656" spans="1:7" ht="12.6" customHeight="1" x14ac:dyDescent="0.25">
      <c r="A656" s="551" t="s">
        <v>32857</v>
      </c>
      <c r="B656" s="551" t="s">
        <v>32858</v>
      </c>
      <c r="C656" s="552" t="s">
        <v>159</v>
      </c>
      <c r="D656" s="557">
        <v>38.94</v>
      </c>
      <c r="E656" s="557"/>
      <c r="F656" s="557">
        <v>38.94</v>
      </c>
      <c r="G656" s="557">
        <v>38.94</v>
      </c>
    </row>
    <row r="657" spans="1:7" ht="24.95" customHeight="1" x14ac:dyDescent="0.25">
      <c r="A657" s="551" t="s">
        <v>32859</v>
      </c>
      <c r="B657" s="342" t="s">
        <v>32860</v>
      </c>
      <c r="C657" s="552" t="s">
        <v>159</v>
      </c>
      <c r="D657" s="557">
        <v>195.98</v>
      </c>
      <c r="E657" s="557">
        <v>176.51</v>
      </c>
      <c r="F657" s="557">
        <v>19.47</v>
      </c>
      <c r="G657" s="557">
        <v>195.98</v>
      </c>
    </row>
    <row r="658" spans="1:7" ht="12.6" customHeight="1" x14ac:dyDescent="0.25">
      <c r="A658" s="551" t="s">
        <v>32861</v>
      </c>
      <c r="B658" s="551" t="s">
        <v>32862</v>
      </c>
      <c r="C658" s="552" t="s">
        <v>159</v>
      </c>
      <c r="D658" s="553">
        <v>205.14</v>
      </c>
      <c r="E658" s="553">
        <v>146.72999999999999</v>
      </c>
      <c r="F658" s="557">
        <v>58.41</v>
      </c>
      <c r="G658" s="553">
        <v>205.14</v>
      </c>
    </row>
    <row r="659" spans="1:7" ht="12.6" customHeight="1" x14ac:dyDescent="0.2">
      <c r="A659" s="548" t="s">
        <v>32863</v>
      </c>
      <c r="B659" s="548" t="s">
        <v>32864</v>
      </c>
      <c r="C659" s="550" t="s">
        <v>159</v>
      </c>
      <c r="D659" s="550">
        <v>257.24</v>
      </c>
      <c r="E659" s="550">
        <v>165.4</v>
      </c>
      <c r="F659" s="550">
        <v>91.84</v>
      </c>
      <c r="G659" s="550">
        <v>257.24</v>
      </c>
    </row>
    <row r="660" spans="1:7" ht="24.95" customHeight="1" x14ac:dyDescent="0.25">
      <c r="A660" s="551" t="s">
        <v>32865</v>
      </c>
      <c r="B660" s="342" t="s">
        <v>32866</v>
      </c>
      <c r="C660" s="552" t="s">
        <v>159</v>
      </c>
      <c r="D660" s="557">
        <v>181.99</v>
      </c>
      <c r="E660" s="557">
        <v>181.8</v>
      </c>
      <c r="F660" s="557">
        <v>0.19</v>
      </c>
      <c r="G660" s="557">
        <v>181.99</v>
      </c>
    </row>
    <row r="661" spans="1:7" ht="12.6" customHeight="1" x14ac:dyDescent="0.2">
      <c r="A661" s="548" t="s">
        <v>32867</v>
      </c>
      <c r="B661" s="548" t="s">
        <v>32868</v>
      </c>
      <c r="C661" s="550" t="s">
        <v>159</v>
      </c>
      <c r="D661" s="550">
        <v>359.12</v>
      </c>
      <c r="E661" s="550">
        <v>343.54</v>
      </c>
      <c r="F661" s="550">
        <v>15.58</v>
      </c>
      <c r="G661" s="550">
        <v>359.12</v>
      </c>
    </row>
    <row r="662" spans="1:7" ht="24.95" customHeight="1" x14ac:dyDescent="0.25">
      <c r="A662" s="551" t="s">
        <v>32869</v>
      </c>
      <c r="B662" s="342" t="s">
        <v>32870</v>
      </c>
      <c r="C662" s="552" t="s">
        <v>159</v>
      </c>
      <c r="D662" s="557">
        <v>1165.01</v>
      </c>
      <c r="E662" s="344">
        <v>1149.43</v>
      </c>
      <c r="F662" s="557">
        <v>15.58</v>
      </c>
      <c r="G662" s="557">
        <v>1165.01</v>
      </c>
    </row>
    <row r="663" spans="1:7" ht="12.6" customHeight="1" x14ac:dyDescent="0.2">
      <c r="A663" s="551" t="s">
        <v>32871</v>
      </c>
      <c r="B663" s="551" t="s">
        <v>32872</v>
      </c>
      <c r="C663" s="552"/>
      <c r="D663" s="557"/>
      <c r="E663" s="343"/>
      <c r="F663" s="557"/>
      <c r="G663" s="557"/>
    </row>
    <row r="664" spans="1:7" ht="12.6" customHeight="1" x14ac:dyDescent="0.2">
      <c r="A664" s="551" t="s">
        <v>32873</v>
      </c>
      <c r="B664" s="551" t="s">
        <v>32874</v>
      </c>
      <c r="C664" s="552" t="s">
        <v>227</v>
      </c>
      <c r="D664" s="557">
        <v>6.56</v>
      </c>
      <c r="E664" s="343">
        <v>1.69</v>
      </c>
      <c r="F664" s="557">
        <v>4.87</v>
      </c>
      <c r="G664" s="557">
        <v>6.56</v>
      </c>
    </row>
    <row r="665" spans="1:7" ht="11.45" customHeight="1" x14ac:dyDescent="0.25">
      <c r="A665" s="543" t="s">
        <v>32875</v>
      </c>
      <c r="B665" s="544" t="s">
        <v>32876</v>
      </c>
      <c r="C665" s="544" t="s">
        <v>158</v>
      </c>
      <c r="D665" s="543">
        <v>19.420000000000002</v>
      </c>
      <c r="E665" s="545">
        <v>19.420000000000002</v>
      </c>
      <c r="F665" s="546"/>
      <c r="G665" s="543">
        <v>19.420000000000002</v>
      </c>
    </row>
    <row r="666" spans="1:7" ht="23.1" customHeight="1" x14ac:dyDescent="0.25">
      <c r="A666" s="551" t="s">
        <v>32877</v>
      </c>
      <c r="B666" s="551" t="s">
        <v>32878</v>
      </c>
      <c r="C666" s="552" t="s">
        <v>227</v>
      </c>
      <c r="D666" s="557">
        <v>8.85</v>
      </c>
      <c r="E666" s="557">
        <v>3.98</v>
      </c>
      <c r="F666" s="557">
        <v>4.87</v>
      </c>
      <c r="G666" s="557">
        <v>8.85</v>
      </c>
    </row>
    <row r="667" spans="1:7" ht="12.6" customHeight="1" x14ac:dyDescent="0.2">
      <c r="A667" s="551" t="s">
        <v>32879</v>
      </c>
      <c r="B667" s="551" t="s">
        <v>32880</v>
      </c>
      <c r="C667" s="552" t="s">
        <v>159</v>
      </c>
      <c r="D667" s="557">
        <v>10833.41</v>
      </c>
      <c r="E667" s="557">
        <v>9142.69</v>
      </c>
      <c r="F667" s="343">
        <v>1690.72</v>
      </c>
      <c r="G667" s="557">
        <v>10833.41</v>
      </c>
    </row>
    <row r="668" spans="1:7" ht="12.6" customHeight="1" x14ac:dyDescent="0.2">
      <c r="A668" s="548" t="s">
        <v>32881</v>
      </c>
      <c r="B668" s="548" t="s">
        <v>32882</v>
      </c>
      <c r="C668" s="550" t="s">
        <v>158</v>
      </c>
      <c r="D668" s="550">
        <v>320.33</v>
      </c>
      <c r="E668" s="550">
        <v>190.85</v>
      </c>
      <c r="F668" s="550">
        <v>129.47999999999999</v>
      </c>
      <c r="G668" s="550">
        <v>320.33</v>
      </c>
    </row>
    <row r="669" spans="1:7" ht="12.6" customHeight="1" x14ac:dyDescent="0.25">
      <c r="A669" s="551" t="s">
        <v>32883</v>
      </c>
      <c r="B669" s="551" t="s">
        <v>32884</v>
      </c>
      <c r="C669" s="552"/>
      <c r="D669" s="557"/>
      <c r="E669" s="557"/>
      <c r="F669" s="557"/>
      <c r="G669" s="557"/>
    </row>
    <row r="670" spans="1:7" ht="12.6" customHeight="1" x14ac:dyDescent="0.25">
      <c r="A670" s="551" t="s">
        <v>32885</v>
      </c>
      <c r="B670" s="551" t="s">
        <v>32886</v>
      </c>
      <c r="C670" s="552"/>
      <c r="D670" s="557"/>
      <c r="E670" s="557"/>
      <c r="F670" s="557"/>
      <c r="G670" s="557"/>
    </row>
    <row r="671" spans="1:7" ht="12.6" customHeight="1" x14ac:dyDescent="0.25">
      <c r="A671" s="551" t="s">
        <v>32887</v>
      </c>
      <c r="B671" s="551" t="s">
        <v>32888</v>
      </c>
      <c r="C671" s="552" t="s">
        <v>158</v>
      </c>
      <c r="D671" s="557">
        <v>63.43</v>
      </c>
      <c r="E671" s="557">
        <v>18</v>
      </c>
      <c r="F671" s="557">
        <v>45.43</v>
      </c>
      <c r="G671" s="557">
        <v>63.43</v>
      </c>
    </row>
    <row r="672" spans="1:7" ht="23.1" customHeight="1" x14ac:dyDescent="0.25">
      <c r="A672" s="551" t="s">
        <v>32889</v>
      </c>
      <c r="B672" s="551" t="s">
        <v>32890</v>
      </c>
      <c r="C672" s="552" t="s">
        <v>158</v>
      </c>
      <c r="D672" s="557">
        <v>75.31</v>
      </c>
      <c r="E672" s="557">
        <v>28.06</v>
      </c>
      <c r="F672" s="557">
        <v>47.25</v>
      </c>
      <c r="G672" s="557">
        <v>75.31</v>
      </c>
    </row>
    <row r="673" spans="1:7" ht="12.6" customHeight="1" x14ac:dyDescent="0.25">
      <c r="A673" s="551" t="s">
        <v>32891</v>
      </c>
      <c r="B673" s="551" t="s">
        <v>32892</v>
      </c>
      <c r="C673" s="552" t="s">
        <v>158</v>
      </c>
      <c r="D673" s="557">
        <v>115.76</v>
      </c>
      <c r="E673" s="557">
        <v>40.54</v>
      </c>
      <c r="F673" s="557">
        <v>75.22</v>
      </c>
      <c r="G673" s="557">
        <v>115.76</v>
      </c>
    </row>
    <row r="674" spans="1:7" ht="23.1" customHeight="1" x14ac:dyDescent="0.25">
      <c r="A674" s="551" t="s">
        <v>32893</v>
      </c>
      <c r="B674" s="551" t="s">
        <v>32894</v>
      </c>
      <c r="C674" s="552"/>
      <c r="D674" s="557"/>
      <c r="E674" s="344"/>
      <c r="F674" s="557"/>
      <c r="G674" s="557"/>
    </row>
    <row r="675" spans="1:7" ht="12.6" customHeight="1" x14ac:dyDescent="0.25">
      <c r="A675" s="551" t="s">
        <v>32895</v>
      </c>
      <c r="B675" s="551" t="s">
        <v>32896</v>
      </c>
      <c r="C675" s="552" t="s">
        <v>31633</v>
      </c>
      <c r="D675" s="557">
        <v>23333.33</v>
      </c>
      <c r="E675" s="557">
        <v>23333.33</v>
      </c>
      <c r="F675" s="557"/>
      <c r="G675" s="557">
        <v>23333.33</v>
      </c>
    </row>
    <row r="676" spans="1:7" ht="12.6" customHeight="1" x14ac:dyDescent="0.25">
      <c r="A676" s="551" t="s">
        <v>32897</v>
      </c>
      <c r="B676" s="551" t="s">
        <v>32898</v>
      </c>
      <c r="C676" s="552" t="s">
        <v>158</v>
      </c>
      <c r="D676" s="557">
        <v>151.51</v>
      </c>
      <c r="E676" s="557">
        <v>149.56</v>
      </c>
      <c r="F676" s="557">
        <v>1.95</v>
      </c>
      <c r="G676" s="557">
        <v>151.51</v>
      </c>
    </row>
    <row r="677" spans="1:7" ht="12.6" customHeight="1" x14ac:dyDescent="0.25">
      <c r="A677" s="551" t="s">
        <v>32899</v>
      </c>
      <c r="B677" s="551" t="s">
        <v>32900</v>
      </c>
      <c r="C677" s="552" t="s">
        <v>158</v>
      </c>
      <c r="D677" s="557">
        <v>163</v>
      </c>
      <c r="E677" s="557">
        <v>161.05000000000001</v>
      </c>
      <c r="F677" s="557">
        <v>1.95</v>
      </c>
      <c r="G677" s="557">
        <v>163</v>
      </c>
    </row>
    <row r="678" spans="1:7" ht="12.6" customHeight="1" x14ac:dyDescent="0.25">
      <c r="A678" s="551" t="s">
        <v>32901</v>
      </c>
      <c r="B678" s="551" t="s">
        <v>32902</v>
      </c>
      <c r="C678" s="552" t="s">
        <v>158</v>
      </c>
      <c r="D678" s="557">
        <v>197.14</v>
      </c>
      <c r="E678" s="557">
        <v>195.19</v>
      </c>
      <c r="F678" s="557">
        <v>1.95</v>
      </c>
      <c r="G678" s="557">
        <v>197.14</v>
      </c>
    </row>
    <row r="679" spans="1:7" ht="12.6" customHeight="1" x14ac:dyDescent="0.25">
      <c r="A679" s="551" t="s">
        <v>32903</v>
      </c>
      <c r="B679" s="551" t="s">
        <v>32904</v>
      </c>
      <c r="C679" s="552" t="s">
        <v>158</v>
      </c>
      <c r="D679" s="557">
        <v>222.77</v>
      </c>
      <c r="E679" s="557">
        <v>220.82</v>
      </c>
      <c r="F679" s="557">
        <v>1.95</v>
      </c>
      <c r="G679" s="557">
        <v>222.77</v>
      </c>
    </row>
    <row r="680" spans="1:7" ht="12.6" customHeight="1" x14ac:dyDescent="0.25">
      <c r="A680" s="551" t="s">
        <v>32905</v>
      </c>
      <c r="B680" s="551" t="s">
        <v>32906</v>
      </c>
      <c r="C680" s="552" t="s">
        <v>158</v>
      </c>
      <c r="D680" s="553">
        <v>260.68</v>
      </c>
      <c r="E680" s="553">
        <v>258.73</v>
      </c>
      <c r="F680" s="557">
        <v>1.95</v>
      </c>
      <c r="G680" s="553">
        <v>260.68</v>
      </c>
    </row>
    <row r="681" spans="1:7" ht="12.6" customHeight="1" x14ac:dyDescent="0.2">
      <c r="A681" s="548" t="s">
        <v>32907</v>
      </c>
      <c r="B681" s="548" t="s">
        <v>32908</v>
      </c>
      <c r="C681" s="550"/>
      <c r="D681" s="550"/>
      <c r="E681" s="550"/>
      <c r="F681" s="550"/>
      <c r="G681" s="550"/>
    </row>
    <row r="682" spans="1:7" ht="12.6" customHeight="1" x14ac:dyDescent="0.25">
      <c r="A682" s="551" t="s">
        <v>32909</v>
      </c>
      <c r="B682" s="551" t="s">
        <v>32910</v>
      </c>
      <c r="C682" s="552" t="s">
        <v>31633</v>
      </c>
      <c r="D682" s="557">
        <v>2049.9899999999998</v>
      </c>
      <c r="E682" s="557">
        <v>2049.9899999999998</v>
      </c>
      <c r="F682" s="557"/>
      <c r="G682" s="557">
        <v>2049.9899999999998</v>
      </c>
    </row>
    <row r="683" spans="1:7" ht="23.1" customHeight="1" x14ac:dyDescent="0.25">
      <c r="A683" s="551" t="s">
        <v>32911</v>
      </c>
      <c r="B683" s="551" t="s">
        <v>32912</v>
      </c>
      <c r="C683" s="552" t="s">
        <v>158</v>
      </c>
      <c r="D683" s="557">
        <v>52.15</v>
      </c>
      <c r="E683" s="557">
        <v>37.76</v>
      </c>
      <c r="F683" s="344">
        <v>14.39</v>
      </c>
      <c r="G683" s="557">
        <v>52.15</v>
      </c>
    </row>
    <row r="684" spans="1:7" ht="12.6" customHeight="1" x14ac:dyDescent="0.25">
      <c r="A684" s="551" t="s">
        <v>32913</v>
      </c>
      <c r="B684" s="551" t="s">
        <v>32914</v>
      </c>
      <c r="C684" s="552" t="s">
        <v>158</v>
      </c>
      <c r="D684" s="557">
        <v>72.25</v>
      </c>
      <c r="E684" s="557">
        <v>51.45</v>
      </c>
      <c r="F684" s="557">
        <v>20.8</v>
      </c>
      <c r="G684" s="557">
        <v>72.25</v>
      </c>
    </row>
    <row r="685" spans="1:7" ht="23.1" customHeight="1" x14ac:dyDescent="0.25">
      <c r="A685" s="551" t="s">
        <v>32915</v>
      </c>
      <c r="B685" s="551" t="s">
        <v>32916</v>
      </c>
      <c r="C685" s="552" t="s">
        <v>158</v>
      </c>
      <c r="D685" s="553">
        <v>97.8</v>
      </c>
      <c r="E685" s="553">
        <v>69.31</v>
      </c>
      <c r="F685" s="553">
        <v>28.49</v>
      </c>
      <c r="G685" s="553">
        <v>97.8</v>
      </c>
    </row>
    <row r="686" spans="1:7" ht="23.1" customHeight="1" x14ac:dyDescent="0.25">
      <c r="A686" s="551" t="s">
        <v>32917</v>
      </c>
      <c r="B686" s="551" t="s">
        <v>32918</v>
      </c>
      <c r="C686" s="552" t="s">
        <v>158</v>
      </c>
      <c r="D686" s="557">
        <v>126.62</v>
      </c>
      <c r="E686" s="557">
        <v>88.93</v>
      </c>
      <c r="F686" s="557">
        <v>37.69</v>
      </c>
      <c r="G686" s="557">
        <v>126.62</v>
      </c>
    </row>
    <row r="687" spans="1:7" ht="12.6" customHeight="1" x14ac:dyDescent="0.2">
      <c r="A687" s="559" t="s">
        <v>32919</v>
      </c>
      <c r="B687" s="548" t="s">
        <v>32920</v>
      </c>
      <c r="C687" s="550"/>
      <c r="D687" s="550"/>
      <c r="E687" s="550"/>
      <c r="F687" s="550"/>
      <c r="G687" s="550"/>
    </row>
    <row r="688" spans="1:7" ht="12.6" customHeight="1" x14ac:dyDescent="0.2">
      <c r="A688" s="548" t="s">
        <v>32921</v>
      </c>
      <c r="B688" s="548" t="s">
        <v>32922</v>
      </c>
      <c r="C688" s="550" t="s">
        <v>31633</v>
      </c>
      <c r="D688" s="550">
        <v>2296.73</v>
      </c>
      <c r="E688" s="550">
        <v>2296.73</v>
      </c>
      <c r="F688" s="550"/>
      <c r="G688" s="550">
        <v>2296.73</v>
      </c>
    </row>
    <row r="689" spans="1:7" ht="12.6" customHeight="1" x14ac:dyDescent="0.25">
      <c r="A689" s="551" t="s">
        <v>32923</v>
      </c>
      <c r="B689" s="551" t="s">
        <v>32924</v>
      </c>
      <c r="C689" s="552" t="s">
        <v>158</v>
      </c>
      <c r="D689" s="557">
        <v>73.75</v>
      </c>
      <c r="E689" s="557">
        <v>61.63</v>
      </c>
      <c r="F689" s="557">
        <v>12.12</v>
      </c>
      <c r="G689" s="557">
        <v>73.75</v>
      </c>
    </row>
    <row r="690" spans="1:7" ht="12.6" customHeight="1" x14ac:dyDescent="0.25">
      <c r="A690" s="551" t="s">
        <v>32925</v>
      </c>
      <c r="B690" s="551" t="s">
        <v>32926</v>
      </c>
      <c r="C690" s="552" t="s">
        <v>158</v>
      </c>
      <c r="D690" s="557">
        <v>95.67</v>
      </c>
      <c r="E690" s="557">
        <v>78.180000000000007</v>
      </c>
      <c r="F690" s="557">
        <v>17.489999999999998</v>
      </c>
      <c r="G690" s="557">
        <v>95.67</v>
      </c>
    </row>
    <row r="691" spans="1:7" ht="12.6" customHeight="1" x14ac:dyDescent="0.25">
      <c r="A691" s="551" t="s">
        <v>32927</v>
      </c>
      <c r="B691" s="551" t="s">
        <v>32928</v>
      </c>
      <c r="C691" s="552" t="s">
        <v>158</v>
      </c>
      <c r="D691" s="557">
        <v>125.48</v>
      </c>
      <c r="E691" s="557">
        <v>101.65</v>
      </c>
      <c r="F691" s="557">
        <v>23.83</v>
      </c>
      <c r="G691" s="557">
        <v>125.48</v>
      </c>
    </row>
    <row r="692" spans="1:7" ht="12.6" customHeight="1" x14ac:dyDescent="0.2">
      <c r="A692" s="548" t="s">
        <v>32929</v>
      </c>
      <c r="B692" s="548" t="s">
        <v>32930</v>
      </c>
      <c r="C692" s="550" t="s">
        <v>158</v>
      </c>
      <c r="D692" s="550">
        <v>190.84</v>
      </c>
      <c r="E692" s="550">
        <v>159.75</v>
      </c>
      <c r="F692" s="550">
        <v>31.09</v>
      </c>
      <c r="G692" s="550">
        <v>190.84</v>
      </c>
    </row>
    <row r="693" spans="1:7" ht="24.95" customHeight="1" x14ac:dyDescent="0.25">
      <c r="A693" s="551" t="s">
        <v>32931</v>
      </c>
      <c r="B693" s="342" t="s">
        <v>32932</v>
      </c>
      <c r="C693" s="552"/>
      <c r="D693" s="553"/>
      <c r="E693" s="553"/>
      <c r="F693" s="344"/>
      <c r="G693" s="553"/>
    </row>
    <row r="694" spans="1:7" ht="12.6" customHeight="1" x14ac:dyDescent="0.25">
      <c r="A694" s="551" t="s">
        <v>32933</v>
      </c>
      <c r="B694" s="551" t="s">
        <v>32934</v>
      </c>
      <c r="C694" s="552" t="s">
        <v>31633</v>
      </c>
      <c r="D694" s="557">
        <v>18879.87</v>
      </c>
      <c r="E694" s="557">
        <v>18879.87</v>
      </c>
      <c r="F694" s="557"/>
      <c r="G694" s="557">
        <v>18879.87</v>
      </c>
    </row>
    <row r="695" spans="1:7" ht="12.6" customHeight="1" x14ac:dyDescent="0.25">
      <c r="A695" s="551" t="s">
        <v>32935</v>
      </c>
      <c r="B695" s="551" t="s">
        <v>32936</v>
      </c>
      <c r="C695" s="552" t="s">
        <v>158</v>
      </c>
      <c r="D695" s="557">
        <v>207.58</v>
      </c>
      <c r="E695" s="557">
        <v>198.76</v>
      </c>
      <c r="F695" s="557">
        <v>8.82</v>
      </c>
      <c r="G695" s="557">
        <v>207.58</v>
      </c>
    </row>
    <row r="696" spans="1:7" ht="12.6" customHeight="1" x14ac:dyDescent="0.25">
      <c r="A696" s="551" t="s">
        <v>32937</v>
      </c>
      <c r="B696" s="551" t="s">
        <v>32938</v>
      </c>
      <c r="C696" s="552" t="s">
        <v>158</v>
      </c>
      <c r="D696" s="557">
        <v>203.52</v>
      </c>
      <c r="E696" s="557">
        <v>192.47</v>
      </c>
      <c r="F696" s="557">
        <v>11.05</v>
      </c>
      <c r="G696" s="557">
        <v>203.52</v>
      </c>
    </row>
    <row r="697" spans="1:7" ht="12.6" customHeight="1" x14ac:dyDescent="0.25">
      <c r="A697" s="551" t="s">
        <v>32939</v>
      </c>
      <c r="B697" s="551" t="s">
        <v>32940</v>
      </c>
      <c r="C697" s="552" t="s">
        <v>158</v>
      </c>
      <c r="D697" s="557">
        <v>262.01</v>
      </c>
      <c r="E697" s="557">
        <v>245.29</v>
      </c>
      <c r="F697" s="557">
        <v>16.72</v>
      </c>
      <c r="G697" s="557">
        <v>262.01</v>
      </c>
    </row>
    <row r="698" spans="1:7" ht="12.6" customHeight="1" x14ac:dyDescent="0.25">
      <c r="A698" s="551" t="s">
        <v>32941</v>
      </c>
      <c r="B698" s="551" t="s">
        <v>32942</v>
      </c>
      <c r="C698" s="552" t="s">
        <v>158</v>
      </c>
      <c r="D698" s="557">
        <v>305.39</v>
      </c>
      <c r="E698" s="557">
        <v>281.99</v>
      </c>
      <c r="F698" s="557">
        <v>23.4</v>
      </c>
      <c r="G698" s="557">
        <v>305.39</v>
      </c>
    </row>
    <row r="699" spans="1:7" ht="12.6" customHeight="1" x14ac:dyDescent="0.25">
      <c r="A699" s="551" t="s">
        <v>32943</v>
      </c>
      <c r="B699" s="551" t="s">
        <v>32944</v>
      </c>
      <c r="C699" s="552" t="s">
        <v>158</v>
      </c>
      <c r="D699" s="557">
        <v>381.88</v>
      </c>
      <c r="E699" s="557">
        <v>346.13</v>
      </c>
      <c r="F699" s="557">
        <v>35.75</v>
      </c>
      <c r="G699" s="557">
        <v>381.88</v>
      </c>
    </row>
    <row r="700" spans="1:7" ht="12.6" customHeight="1" x14ac:dyDescent="0.2">
      <c r="A700" s="548" t="s">
        <v>32945</v>
      </c>
      <c r="B700" s="548" t="s">
        <v>32946</v>
      </c>
      <c r="C700" s="550" t="s">
        <v>158</v>
      </c>
      <c r="D700" s="550">
        <v>446.75</v>
      </c>
      <c r="E700" s="550">
        <v>404.82</v>
      </c>
      <c r="F700" s="550">
        <v>41.93</v>
      </c>
      <c r="G700" s="550">
        <v>446.75</v>
      </c>
    </row>
    <row r="701" spans="1:7" ht="24.95" customHeight="1" x14ac:dyDescent="0.25">
      <c r="A701" s="551" t="s">
        <v>32947</v>
      </c>
      <c r="B701" s="342" t="s">
        <v>32948</v>
      </c>
      <c r="C701" s="552" t="s">
        <v>158</v>
      </c>
      <c r="D701" s="553">
        <v>534.69000000000005</v>
      </c>
      <c r="E701" s="553">
        <v>485.11</v>
      </c>
      <c r="F701" s="344">
        <v>49.58</v>
      </c>
      <c r="G701" s="553">
        <v>534.69000000000005</v>
      </c>
    </row>
    <row r="702" spans="1:7" ht="12.6" customHeight="1" x14ac:dyDescent="0.25">
      <c r="A702" s="551" t="s">
        <v>32949</v>
      </c>
      <c r="B702" s="551" t="s">
        <v>32950</v>
      </c>
      <c r="C702" s="552" t="s">
        <v>158</v>
      </c>
      <c r="D702" s="557">
        <v>613.91</v>
      </c>
      <c r="E702" s="557">
        <v>571.98</v>
      </c>
      <c r="F702" s="557">
        <v>41.93</v>
      </c>
      <c r="G702" s="557">
        <v>613.91</v>
      </c>
    </row>
    <row r="703" spans="1:7" ht="12.6" customHeight="1" x14ac:dyDescent="0.25">
      <c r="A703" s="551" t="s">
        <v>32951</v>
      </c>
      <c r="B703" s="551" t="s">
        <v>32952</v>
      </c>
      <c r="C703" s="552" t="s">
        <v>158</v>
      </c>
      <c r="D703" s="557">
        <v>266.82</v>
      </c>
      <c r="E703" s="557">
        <v>266.82</v>
      </c>
      <c r="F703" s="557"/>
      <c r="G703" s="557">
        <v>266.82</v>
      </c>
    </row>
    <row r="704" spans="1:7" ht="12.6" customHeight="1" x14ac:dyDescent="0.25">
      <c r="A704" s="551" t="s">
        <v>32953</v>
      </c>
      <c r="B704" s="551" t="s">
        <v>32954</v>
      </c>
      <c r="C704" s="552" t="s">
        <v>158</v>
      </c>
      <c r="D704" s="557">
        <v>438.34</v>
      </c>
      <c r="E704" s="557">
        <v>438.34</v>
      </c>
      <c r="F704" s="557"/>
      <c r="G704" s="557">
        <v>438.34</v>
      </c>
    </row>
    <row r="705" spans="1:7" ht="12.6" customHeight="1" x14ac:dyDescent="0.25">
      <c r="A705" s="551" t="s">
        <v>32955</v>
      </c>
      <c r="B705" s="551" t="s">
        <v>32956</v>
      </c>
      <c r="C705" s="552" t="s">
        <v>31633</v>
      </c>
      <c r="D705" s="557">
        <v>18879.87</v>
      </c>
      <c r="E705" s="557">
        <v>18879.87</v>
      </c>
      <c r="F705" s="557"/>
      <c r="G705" s="557">
        <v>18879.87</v>
      </c>
    </row>
    <row r="706" spans="1:7" ht="12.6" customHeight="1" x14ac:dyDescent="0.2">
      <c r="A706" s="548" t="s">
        <v>32957</v>
      </c>
      <c r="B706" s="548" t="s">
        <v>32958</v>
      </c>
      <c r="C706" s="550" t="s">
        <v>158</v>
      </c>
      <c r="D706" s="550">
        <v>874.31</v>
      </c>
      <c r="E706" s="550">
        <v>874.31</v>
      </c>
      <c r="F706" s="550"/>
      <c r="G706" s="550">
        <v>874.31</v>
      </c>
    </row>
    <row r="707" spans="1:7" ht="24.95" customHeight="1" x14ac:dyDescent="0.25">
      <c r="A707" s="551" t="s">
        <v>32959</v>
      </c>
      <c r="B707" s="342" t="s">
        <v>32960</v>
      </c>
      <c r="C707" s="552" t="s">
        <v>158</v>
      </c>
      <c r="D707" s="553">
        <v>1191.6400000000001</v>
      </c>
      <c r="E707" s="553">
        <v>1191.6400000000001</v>
      </c>
      <c r="F707" s="344"/>
      <c r="G707" s="553">
        <v>1191.6400000000001</v>
      </c>
    </row>
    <row r="708" spans="1:7" ht="12.6" customHeight="1" x14ac:dyDescent="0.25">
      <c r="A708" s="551" t="s">
        <v>32961</v>
      </c>
      <c r="B708" s="551" t="s">
        <v>32962</v>
      </c>
      <c r="C708" s="552" t="s">
        <v>158</v>
      </c>
      <c r="D708" s="557">
        <v>1439.39</v>
      </c>
      <c r="E708" s="557">
        <v>1439.39</v>
      </c>
      <c r="F708" s="557"/>
      <c r="G708" s="557">
        <v>1439.39</v>
      </c>
    </row>
    <row r="709" spans="1:7" ht="12.6" customHeight="1" x14ac:dyDescent="0.25">
      <c r="A709" s="551" t="s">
        <v>32963</v>
      </c>
      <c r="B709" s="551" t="s">
        <v>32964</v>
      </c>
      <c r="C709" s="552" t="s">
        <v>158</v>
      </c>
      <c r="D709" s="557">
        <v>582.71</v>
      </c>
      <c r="E709" s="557">
        <v>582.71</v>
      </c>
      <c r="F709" s="557"/>
      <c r="G709" s="557">
        <v>582.71</v>
      </c>
    </row>
    <row r="710" spans="1:7" ht="12.6" customHeight="1" x14ac:dyDescent="0.25">
      <c r="A710" s="551" t="s">
        <v>32965</v>
      </c>
      <c r="B710" s="551" t="s">
        <v>32966</v>
      </c>
      <c r="C710" s="552" t="s">
        <v>158</v>
      </c>
      <c r="D710" s="557">
        <v>676.36</v>
      </c>
      <c r="E710" s="557">
        <v>676.36</v>
      </c>
      <c r="F710" s="557"/>
      <c r="G710" s="557">
        <v>676.36</v>
      </c>
    </row>
    <row r="711" spans="1:7" ht="12.6" customHeight="1" x14ac:dyDescent="0.25">
      <c r="A711" s="551" t="s">
        <v>32967</v>
      </c>
      <c r="B711" s="551" t="s">
        <v>32968</v>
      </c>
      <c r="C711" s="552" t="s">
        <v>159</v>
      </c>
      <c r="D711" s="557">
        <v>424.85</v>
      </c>
      <c r="E711" s="557">
        <v>424.85</v>
      </c>
      <c r="F711" s="557"/>
      <c r="G711" s="557">
        <v>424.85</v>
      </c>
    </row>
    <row r="712" spans="1:7" ht="12.6" customHeight="1" x14ac:dyDescent="0.2">
      <c r="A712" s="548" t="s">
        <v>32969</v>
      </c>
      <c r="B712" s="548" t="s">
        <v>32970</v>
      </c>
      <c r="C712" s="550"/>
      <c r="D712" s="550"/>
      <c r="E712" s="550"/>
      <c r="F712" s="550"/>
      <c r="G712" s="550"/>
    </row>
    <row r="713" spans="1:7" ht="11.45" customHeight="1" x14ac:dyDescent="0.25">
      <c r="A713" s="543" t="s">
        <v>32971</v>
      </c>
      <c r="B713" s="544" t="s">
        <v>32972</v>
      </c>
      <c r="C713" s="544" t="s">
        <v>31633</v>
      </c>
      <c r="D713" s="543">
        <v>1859.08</v>
      </c>
      <c r="E713" s="545">
        <v>1859.08</v>
      </c>
      <c r="F713" s="546"/>
      <c r="G713" s="543">
        <v>1859.08</v>
      </c>
    </row>
    <row r="714" spans="1:7" ht="24.95" customHeight="1" x14ac:dyDescent="0.25">
      <c r="A714" s="551" t="s">
        <v>32973</v>
      </c>
      <c r="B714" s="342" t="s">
        <v>32974</v>
      </c>
      <c r="C714" s="552" t="s">
        <v>158</v>
      </c>
      <c r="D714" s="553">
        <v>30.92</v>
      </c>
      <c r="E714" s="553">
        <v>30.92</v>
      </c>
      <c r="F714" s="344"/>
      <c r="G714" s="553">
        <v>30.92</v>
      </c>
    </row>
    <row r="715" spans="1:7" ht="12.6" customHeight="1" x14ac:dyDescent="0.25">
      <c r="A715" s="551" t="s">
        <v>32975</v>
      </c>
      <c r="B715" s="551" t="s">
        <v>32976</v>
      </c>
      <c r="C715" s="552" t="s">
        <v>158</v>
      </c>
      <c r="D715" s="557">
        <v>36.15</v>
      </c>
      <c r="E715" s="557">
        <v>36.15</v>
      </c>
      <c r="F715" s="557"/>
      <c r="G715" s="557">
        <v>36.15</v>
      </c>
    </row>
    <row r="716" spans="1:7" ht="12.6" customHeight="1" x14ac:dyDescent="0.25">
      <c r="A716" s="551" t="s">
        <v>32977</v>
      </c>
      <c r="B716" s="551" t="s">
        <v>32978</v>
      </c>
      <c r="C716" s="552" t="s">
        <v>158</v>
      </c>
      <c r="D716" s="557">
        <v>55.26</v>
      </c>
      <c r="E716" s="557">
        <v>55.26</v>
      </c>
      <c r="F716" s="557"/>
      <c r="G716" s="557">
        <v>55.26</v>
      </c>
    </row>
    <row r="717" spans="1:7" ht="12.6" customHeight="1" x14ac:dyDescent="0.25">
      <c r="A717" s="551" t="s">
        <v>32979</v>
      </c>
      <c r="B717" s="551" t="s">
        <v>32980</v>
      </c>
      <c r="C717" s="552" t="s">
        <v>159</v>
      </c>
      <c r="D717" s="557">
        <v>478.6</v>
      </c>
      <c r="E717" s="557"/>
      <c r="F717" s="557">
        <v>478.6</v>
      </c>
      <c r="G717" s="557">
        <v>478.6</v>
      </c>
    </row>
    <row r="718" spans="1:7" ht="12.6" customHeight="1" x14ac:dyDescent="0.25">
      <c r="A718" s="551" t="s">
        <v>32981</v>
      </c>
      <c r="B718" s="551" t="s">
        <v>32982</v>
      </c>
      <c r="C718" s="552"/>
      <c r="D718" s="557"/>
      <c r="E718" s="557"/>
      <c r="F718" s="557"/>
      <c r="G718" s="557"/>
    </row>
    <row r="719" spans="1:7" ht="12.6" customHeight="1" x14ac:dyDescent="0.25">
      <c r="A719" s="551" t="s">
        <v>32983</v>
      </c>
      <c r="B719" s="551" t="s">
        <v>32984</v>
      </c>
      <c r="C719" s="552" t="s">
        <v>31633</v>
      </c>
      <c r="D719" s="557">
        <v>28447.63</v>
      </c>
      <c r="E719" s="557">
        <v>28447.63</v>
      </c>
      <c r="F719" s="557"/>
      <c r="G719" s="557">
        <v>28447.63</v>
      </c>
    </row>
    <row r="720" spans="1:7" ht="12.6" customHeight="1" x14ac:dyDescent="0.25">
      <c r="A720" s="551" t="s">
        <v>32985</v>
      </c>
      <c r="B720" s="551" t="s">
        <v>32986</v>
      </c>
      <c r="C720" s="552" t="s">
        <v>158</v>
      </c>
      <c r="D720" s="557">
        <v>40.090000000000003</v>
      </c>
      <c r="E720" s="557">
        <v>34.9</v>
      </c>
      <c r="F720" s="557">
        <v>5.19</v>
      </c>
      <c r="G720" s="557">
        <v>40.090000000000003</v>
      </c>
    </row>
    <row r="721" spans="1:7" ht="12.6" customHeight="1" x14ac:dyDescent="0.25">
      <c r="A721" s="551" t="s">
        <v>32987</v>
      </c>
      <c r="B721" s="551" t="s">
        <v>32988</v>
      </c>
      <c r="C721" s="552" t="s">
        <v>158</v>
      </c>
      <c r="D721" s="557">
        <v>49.71</v>
      </c>
      <c r="E721" s="557">
        <v>44.52</v>
      </c>
      <c r="F721" s="557">
        <v>5.19</v>
      </c>
      <c r="G721" s="557">
        <v>49.71</v>
      </c>
    </row>
    <row r="722" spans="1:7" ht="12.6" customHeight="1" x14ac:dyDescent="0.25">
      <c r="A722" s="551" t="s">
        <v>32989</v>
      </c>
      <c r="B722" s="551" t="s">
        <v>32990</v>
      </c>
      <c r="C722" s="552" t="s">
        <v>158</v>
      </c>
      <c r="D722" s="557">
        <v>64.95</v>
      </c>
      <c r="E722" s="557">
        <v>59.76</v>
      </c>
      <c r="F722" s="557">
        <v>5.19</v>
      </c>
      <c r="G722" s="557">
        <v>64.95</v>
      </c>
    </row>
    <row r="723" spans="1:7" ht="12.6" customHeight="1" x14ac:dyDescent="0.2">
      <c r="A723" s="551" t="s">
        <v>32991</v>
      </c>
      <c r="B723" s="551" t="s">
        <v>32992</v>
      </c>
      <c r="C723" s="552" t="s">
        <v>158</v>
      </c>
      <c r="D723" s="557">
        <v>74.19</v>
      </c>
      <c r="E723" s="557">
        <v>69</v>
      </c>
      <c r="F723" s="343">
        <v>5.19</v>
      </c>
      <c r="G723" s="557">
        <v>74.19</v>
      </c>
    </row>
    <row r="724" spans="1:7" ht="12.6" customHeight="1" x14ac:dyDescent="0.2">
      <c r="A724" s="551" t="s">
        <v>32993</v>
      </c>
      <c r="B724" s="551" t="s">
        <v>32994</v>
      </c>
      <c r="C724" s="552" t="s">
        <v>158</v>
      </c>
      <c r="D724" s="557">
        <v>80.680000000000007</v>
      </c>
      <c r="E724" s="557">
        <v>75.489999999999995</v>
      </c>
      <c r="F724" s="343">
        <v>5.19</v>
      </c>
      <c r="G724" s="557">
        <v>80.680000000000007</v>
      </c>
    </row>
    <row r="725" spans="1:7" ht="24.95" customHeight="1" x14ac:dyDescent="0.25">
      <c r="A725" s="551" t="s">
        <v>32995</v>
      </c>
      <c r="B725" s="342" t="s">
        <v>32996</v>
      </c>
      <c r="C725" s="552" t="s">
        <v>158</v>
      </c>
      <c r="D725" s="553">
        <v>98.63</v>
      </c>
      <c r="E725" s="553">
        <v>93.44</v>
      </c>
      <c r="F725" s="344">
        <v>5.19</v>
      </c>
      <c r="G725" s="553">
        <v>98.63</v>
      </c>
    </row>
    <row r="726" spans="1:7" ht="12.6" customHeight="1" x14ac:dyDescent="0.2">
      <c r="A726" s="551" t="s">
        <v>32997</v>
      </c>
      <c r="B726" s="551" t="s">
        <v>32998</v>
      </c>
      <c r="C726" s="552" t="s">
        <v>158</v>
      </c>
      <c r="D726" s="557">
        <v>119.33</v>
      </c>
      <c r="E726" s="557">
        <v>114.14</v>
      </c>
      <c r="F726" s="343">
        <v>5.19</v>
      </c>
      <c r="G726" s="557">
        <v>119.33</v>
      </c>
    </row>
    <row r="727" spans="1:7" ht="12.6" customHeight="1" x14ac:dyDescent="0.2">
      <c r="A727" s="551" t="s">
        <v>32999</v>
      </c>
      <c r="B727" s="551" t="s">
        <v>33000</v>
      </c>
      <c r="C727" s="552" t="s">
        <v>158</v>
      </c>
      <c r="D727" s="553">
        <v>147.15</v>
      </c>
      <c r="E727" s="553">
        <v>141.96</v>
      </c>
      <c r="F727" s="343">
        <v>5.19</v>
      </c>
      <c r="G727" s="553">
        <v>147.15</v>
      </c>
    </row>
    <row r="728" spans="1:7" ht="12.6" customHeight="1" x14ac:dyDescent="0.2">
      <c r="A728" s="551" t="s">
        <v>33001</v>
      </c>
      <c r="B728" s="551" t="s">
        <v>33002</v>
      </c>
      <c r="C728" s="552"/>
      <c r="D728" s="553"/>
      <c r="E728" s="553"/>
      <c r="F728" s="343"/>
      <c r="G728" s="553"/>
    </row>
    <row r="729" spans="1:7" ht="24.95" customHeight="1" x14ac:dyDescent="0.25">
      <c r="A729" s="551" t="s">
        <v>33003</v>
      </c>
      <c r="B729" s="342" t="s">
        <v>33004</v>
      </c>
      <c r="C729" s="552" t="s">
        <v>31633</v>
      </c>
      <c r="D729" s="557">
        <v>18974.23</v>
      </c>
      <c r="E729" s="557">
        <v>18974.23</v>
      </c>
      <c r="F729" s="344"/>
      <c r="G729" s="557">
        <v>18974.23</v>
      </c>
    </row>
    <row r="730" spans="1:7" ht="24.95" customHeight="1" x14ac:dyDescent="0.25">
      <c r="A730" s="551" t="s">
        <v>33005</v>
      </c>
      <c r="B730" s="342" t="s">
        <v>33006</v>
      </c>
      <c r="C730" s="552" t="s">
        <v>158</v>
      </c>
      <c r="D730" s="557">
        <v>275.89999999999998</v>
      </c>
      <c r="E730" s="557">
        <v>252.5</v>
      </c>
      <c r="F730" s="344">
        <v>23.4</v>
      </c>
      <c r="G730" s="557">
        <v>275.89999999999998</v>
      </c>
    </row>
    <row r="731" spans="1:7" ht="23.1" customHeight="1" x14ac:dyDescent="0.25">
      <c r="A731" s="551" t="s">
        <v>33007</v>
      </c>
      <c r="B731" s="551" t="s">
        <v>33008</v>
      </c>
      <c r="C731" s="552" t="s">
        <v>158</v>
      </c>
      <c r="D731" s="557">
        <v>346.65</v>
      </c>
      <c r="E731" s="557">
        <v>310.89999999999998</v>
      </c>
      <c r="F731" s="344">
        <v>35.75</v>
      </c>
      <c r="G731" s="557">
        <v>346.65</v>
      </c>
    </row>
    <row r="732" spans="1:7" ht="12.6" customHeight="1" x14ac:dyDescent="0.2">
      <c r="A732" s="548" t="s">
        <v>33009</v>
      </c>
      <c r="B732" s="548" t="s">
        <v>33010</v>
      </c>
      <c r="C732" s="550" t="s">
        <v>158</v>
      </c>
      <c r="D732" s="550">
        <v>426.61</v>
      </c>
      <c r="E732" s="550">
        <v>384.68</v>
      </c>
      <c r="F732" s="550">
        <v>41.93</v>
      </c>
      <c r="G732" s="550">
        <v>426.61</v>
      </c>
    </row>
    <row r="733" spans="1:7" ht="24.95" customHeight="1" x14ac:dyDescent="0.25">
      <c r="A733" s="551" t="s">
        <v>33011</v>
      </c>
      <c r="B733" s="342" t="s">
        <v>33012</v>
      </c>
      <c r="C733" s="552"/>
      <c r="D733" s="553"/>
      <c r="E733" s="553"/>
      <c r="F733" s="344"/>
      <c r="G733" s="553"/>
    </row>
    <row r="734" spans="1:7" ht="12.6" customHeight="1" x14ac:dyDescent="0.2">
      <c r="A734" s="551" t="s">
        <v>33013</v>
      </c>
      <c r="B734" s="551" t="s">
        <v>33014</v>
      </c>
      <c r="C734" s="552"/>
      <c r="D734" s="557"/>
      <c r="E734" s="557"/>
      <c r="F734" s="343"/>
      <c r="G734" s="557"/>
    </row>
    <row r="735" spans="1:7" ht="12.6" customHeight="1" x14ac:dyDescent="0.2">
      <c r="A735" s="551" t="s">
        <v>33015</v>
      </c>
      <c r="B735" s="551" t="s">
        <v>33016</v>
      </c>
      <c r="C735" s="552" t="s">
        <v>227</v>
      </c>
      <c r="D735" s="557">
        <v>170.15</v>
      </c>
      <c r="E735" s="557">
        <v>138.74</v>
      </c>
      <c r="F735" s="343">
        <v>31.41</v>
      </c>
      <c r="G735" s="557">
        <v>170.15</v>
      </c>
    </row>
    <row r="736" spans="1:7" ht="12.6" customHeight="1" x14ac:dyDescent="0.2">
      <c r="A736" s="551" t="s">
        <v>33017</v>
      </c>
      <c r="B736" s="551" t="s">
        <v>33018</v>
      </c>
      <c r="C736" s="552" t="s">
        <v>227</v>
      </c>
      <c r="D736" s="557">
        <v>176.58</v>
      </c>
      <c r="E736" s="557">
        <v>142.03</v>
      </c>
      <c r="F736" s="343">
        <v>34.549999999999997</v>
      </c>
      <c r="G736" s="557">
        <v>176.58</v>
      </c>
    </row>
    <row r="737" spans="1:7" ht="12.6" customHeight="1" x14ac:dyDescent="0.2">
      <c r="A737" s="551" t="s">
        <v>33019</v>
      </c>
      <c r="B737" s="551" t="s">
        <v>33020</v>
      </c>
      <c r="C737" s="552" t="s">
        <v>227</v>
      </c>
      <c r="D737" s="557">
        <v>210.95</v>
      </c>
      <c r="E737" s="343">
        <v>173.28</v>
      </c>
      <c r="F737" s="557">
        <v>37.67</v>
      </c>
      <c r="G737" s="557">
        <v>210.95</v>
      </c>
    </row>
    <row r="738" spans="1:7" ht="12.6" customHeight="1" x14ac:dyDescent="0.2">
      <c r="A738" s="548" t="s">
        <v>33021</v>
      </c>
      <c r="B738" s="548" t="s">
        <v>33022</v>
      </c>
      <c r="C738" s="550" t="s">
        <v>227</v>
      </c>
      <c r="D738" s="550">
        <v>217.91</v>
      </c>
      <c r="E738" s="550">
        <v>177.1</v>
      </c>
      <c r="F738" s="550">
        <v>40.81</v>
      </c>
      <c r="G738" s="550">
        <v>217.91</v>
      </c>
    </row>
    <row r="739" spans="1:7" ht="24.95" customHeight="1" x14ac:dyDescent="0.25">
      <c r="A739" s="551" t="s">
        <v>33023</v>
      </c>
      <c r="B739" s="342" t="s">
        <v>33024</v>
      </c>
      <c r="C739" s="552" t="s">
        <v>227</v>
      </c>
      <c r="D739" s="553">
        <v>295.26</v>
      </c>
      <c r="E739" s="553">
        <v>250.45</v>
      </c>
      <c r="F739" s="344">
        <v>44.81</v>
      </c>
      <c r="G739" s="553">
        <v>295.26</v>
      </c>
    </row>
    <row r="740" spans="1:7" ht="12.6" customHeight="1" x14ac:dyDescent="0.25">
      <c r="A740" s="551" t="s">
        <v>33025</v>
      </c>
      <c r="B740" s="551" t="s">
        <v>33026</v>
      </c>
      <c r="C740" s="552" t="s">
        <v>227</v>
      </c>
      <c r="D740" s="557">
        <v>176.01</v>
      </c>
      <c r="E740" s="557">
        <v>141.46</v>
      </c>
      <c r="F740" s="557">
        <v>34.549999999999997</v>
      </c>
      <c r="G740" s="557">
        <v>176.01</v>
      </c>
    </row>
    <row r="741" spans="1:7" ht="12.6" customHeight="1" x14ac:dyDescent="0.25">
      <c r="A741" s="551" t="s">
        <v>33027</v>
      </c>
      <c r="B741" s="551" t="s">
        <v>33028</v>
      </c>
      <c r="C741" s="552" t="s">
        <v>227</v>
      </c>
      <c r="D741" s="557">
        <v>200.56</v>
      </c>
      <c r="E741" s="557">
        <v>166.01</v>
      </c>
      <c r="F741" s="557">
        <v>34.549999999999997</v>
      </c>
      <c r="G741" s="557">
        <v>200.56</v>
      </c>
    </row>
    <row r="742" spans="1:7" ht="12.6" customHeight="1" x14ac:dyDescent="0.25">
      <c r="A742" s="551" t="s">
        <v>33029</v>
      </c>
      <c r="B742" s="551" t="s">
        <v>33030</v>
      </c>
      <c r="C742" s="552" t="s">
        <v>227</v>
      </c>
      <c r="D742" s="557">
        <v>228.62</v>
      </c>
      <c r="E742" s="557">
        <v>190.95</v>
      </c>
      <c r="F742" s="557">
        <v>37.67</v>
      </c>
      <c r="G742" s="557">
        <v>228.62</v>
      </c>
    </row>
    <row r="743" spans="1:7" ht="12.6" customHeight="1" x14ac:dyDescent="0.25">
      <c r="A743" s="551" t="s">
        <v>33031</v>
      </c>
      <c r="B743" s="551" t="s">
        <v>33032</v>
      </c>
      <c r="C743" s="552" t="s">
        <v>227</v>
      </c>
      <c r="D743" s="557">
        <v>268.67</v>
      </c>
      <c r="E743" s="557">
        <v>227.86</v>
      </c>
      <c r="F743" s="557">
        <v>40.81</v>
      </c>
      <c r="G743" s="557">
        <v>268.67</v>
      </c>
    </row>
    <row r="744" spans="1:7" ht="12.6" customHeight="1" x14ac:dyDescent="0.25">
      <c r="A744" s="551" t="s">
        <v>33033</v>
      </c>
      <c r="B744" s="551" t="s">
        <v>33034</v>
      </c>
      <c r="C744" s="552" t="s">
        <v>227</v>
      </c>
      <c r="D744" s="557">
        <v>345.78</v>
      </c>
      <c r="E744" s="557">
        <v>300.97000000000003</v>
      </c>
      <c r="F744" s="557">
        <v>44.81</v>
      </c>
      <c r="G744" s="557">
        <v>345.78</v>
      </c>
    </row>
    <row r="745" spans="1:7" ht="12.6" customHeight="1" x14ac:dyDescent="0.25">
      <c r="A745" s="551" t="s">
        <v>33035</v>
      </c>
      <c r="B745" s="551" t="s">
        <v>33036</v>
      </c>
      <c r="C745" s="552"/>
      <c r="D745" s="557"/>
      <c r="E745" s="557"/>
      <c r="F745" s="557"/>
      <c r="G745" s="557"/>
    </row>
    <row r="746" spans="1:7" ht="12.6" customHeight="1" x14ac:dyDescent="0.25">
      <c r="A746" s="551" t="s">
        <v>33037</v>
      </c>
      <c r="B746" s="551" t="s">
        <v>33038</v>
      </c>
      <c r="C746" s="552" t="s">
        <v>227</v>
      </c>
      <c r="D746" s="557">
        <v>197.38</v>
      </c>
      <c r="E746" s="557">
        <v>162.83000000000001</v>
      </c>
      <c r="F746" s="557">
        <v>34.549999999999997</v>
      </c>
      <c r="G746" s="557">
        <v>197.38</v>
      </c>
    </row>
    <row r="747" spans="1:7" ht="12.6" customHeight="1" x14ac:dyDescent="0.25">
      <c r="A747" s="551" t="s">
        <v>33039</v>
      </c>
      <c r="B747" s="551" t="s">
        <v>33040</v>
      </c>
      <c r="C747" s="552" t="s">
        <v>227</v>
      </c>
      <c r="D747" s="557">
        <v>204.36</v>
      </c>
      <c r="E747" s="557">
        <v>166.69</v>
      </c>
      <c r="F747" s="557">
        <v>37.67</v>
      </c>
      <c r="G747" s="557">
        <v>204.36</v>
      </c>
    </row>
    <row r="748" spans="1:7" ht="12.6" customHeight="1" x14ac:dyDescent="0.2">
      <c r="A748" s="548" t="s">
        <v>33041</v>
      </c>
      <c r="B748" s="548" t="s">
        <v>33042</v>
      </c>
      <c r="C748" s="550" t="s">
        <v>227</v>
      </c>
      <c r="D748" s="550">
        <v>218.62</v>
      </c>
      <c r="E748" s="550">
        <v>177.81</v>
      </c>
      <c r="F748" s="550">
        <v>40.81</v>
      </c>
      <c r="G748" s="550">
        <v>218.62</v>
      </c>
    </row>
    <row r="749" spans="1:7" ht="24.95" customHeight="1" x14ac:dyDescent="0.25">
      <c r="A749" s="551" t="s">
        <v>33043</v>
      </c>
      <c r="B749" s="342" t="s">
        <v>33044</v>
      </c>
      <c r="C749" s="552" t="s">
        <v>227</v>
      </c>
      <c r="D749" s="553">
        <v>237.03</v>
      </c>
      <c r="E749" s="553">
        <v>192.22</v>
      </c>
      <c r="F749" s="344">
        <v>44.81</v>
      </c>
      <c r="G749" s="553">
        <v>237.03</v>
      </c>
    </row>
    <row r="750" spans="1:7" ht="12.6" customHeight="1" x14ac:dyDescent="0.25">
      <c r="A750" s="551" t="s">
        <v>33045</v>
      </c>
      <c r="B750" s="551" t="s">
        <v>33046</v>
      </c>
      <c r="C750" s="552"/>
      <c r="D750" s="557"/>
      <c r="E750" s="557"/>
      <c r="F750" s="557"/>
      <c r="G750" s="557"/>
    </row>
    <row r="751" spans="1:7" ht="12.6" customHeight="1" x14ac:dyDescent="0.25">
      <c r="A751" s="551" t="s">
        <v>33047</v>
      </c>
      <c r="B751" s="551" t="s">
        <v>33048</v>
      </c>
      <c r="C751" s="552" t="s">
        <v>227</v>
      </c>
      <c r="D751" s="557">
        <v>187.87</v>
      </c>
      <c r="E751" s="557">
        <v>177.34</v>
      </c>
      <c r="F751" s="557">
        <v>10.53</v>
      </c>
      <c r="G751" s="557">
        <v>187.87</v>
      </c>
    </row>
    <row r="752" spans="1:7" ht="12.6" customHeight="1" x14ac:dyDescent="0.25">
      <c r="A752" s="551" t="s">
        <v>33049</v>
      </c>
      <c r="B752" s="551" t="s">
        <v>33050</v>
      </c>
      <c r="C752" s="552" t="s">
        <v>227</v>
      </c>
      <c r="D752" s="557">
        <v>199.36</v>
      </c>
      <c r="E752" s="557">
        <v>188.29</v>
      </c>
      <c r="F752" s="557">
        <v>11.07</v>
      </c>
      <c r="G752" s="557">
        <v>199.36</v>
      </c>
    </row>
    <row r="753" spans="1:7" ht="12.6" customHeight="1" x14ac:dyDescent="0.2">
      <c r="A753" s="559" t="s">
        <v>33051</v>
      </c>
      <c r="B753" s="548" t="s">
        <v>33052</v>
      </c>
      <c r="C753" s="550" t="s">
        <v>227</v>
      </c>
      <c r="D753" s="550">
        <v>219.61</v>
      </c>
      <c r="E753" s="550">
        <v>207.99</v>
      </c>
      <c r="F753" s="550">
        <v>11.62</v>
      </c>
      <c r="G753" s="550">
        <v>219.61</v>
      </c>
    </row>
    <row r="754" spans="1:7" ht="12.6" customHeight="1" x14ac:dyDescent="0.2">
      <c r="A754" s="548" t="s">
        <v>33053</v>
      </c>
      <c r="B754" s="548" t="s">
        <v>33054</v>
      </c>
      <c r="C754" s="550" t="s">
        <v>227</v>
      </c>
      <c r="D754" s="550">
        <v>277.11</v>
      </c>
      <c r="E754" s="550">
        <v>265.27999999999997</v>
      </c>
      <c r="F754" s="550">
        <v>11.83</v>
      </c>
      <c r="G754" s="550">
        <v>277.11</v>
      </c>
    </row>
    <row r="755" spans="1:7" ht="24.95" customHeight="1" x14ac:dyDescent="0.25">
      <c r="A755" s="551" t="s">
        <v>33055</v>
      </c>
      <c r="B755" s="342" t="s">
        <v>33056</v>
      </c>
      <c r="C755" s="552" t="s">
        <v>227</v>
      </c>
      <c r="D755" s="557">
        <v>174.97</v>
      </c>
      <c r="E755" s="557">
        <v>164.44</v>
      </c>
      <c r="F755" s="557">
        <v>10.53</v>
      </c>
      <c r="G755" s="557">
        <v>174.97</v>
      </c>
    </row>
    <row r="756" spans="1:7" ht="24.95" customHeight="1" x14ac:dyDescent="0.25">
      <c r="A756" s="551" t="s">
        <v>33057</v>
      </c>
      <c r="B756" s="342" t="s">
        <v>33058</v>
      </c>
      <c r="C756" s="552" t="s">
        <v>227</v>
      </c>
      <c r="D756" s="557">
        <v>201.5</v>
      </c>
      <c r="E756" s="557">
        <v>190.43</v>
      </c>
      <c r="F756" s="557">
        <v>11.07</v>
      </c>
      <c r="G756" s="557">
        <v>201.5</v>
      </c>
    </row>
    <row r="757" spans="1:7" ht="24.95" customHeight="1" x14ac:dyDescent="0.25">
      <c r="A757" s="551" t="s">
        <v>33059</v>
      </c>
      <c r="B757" s="342" t="s">
        <v>33060</v>
      </c>
      <c r="C757" s="552"/>
      <c r="D757" s="557"/>
      <c r="E757" s="557"/>
      <c r="F757" s="557"/>
      <c r="G757" s="557"/>
    </row>
    <row r="758" spans="1:7" ht="24.95" customHeight="1" x14ac:dyDescent="0.25">
      <c r="A758" s="551" t="s">
        <v>33061</v>
      </c>
      <c r="B758" s="342" t="s">
        <v>33062</v>
      </c>
      <c r="C758" s="552"/>
      <c r="D758" s="557"/>
      <c r="E758" s="557"/>
      <c r="F758" s="557"/>
      <c r="G758" s="557"/>
    </row>
    <row r="759" spans="1:7" ht="11.45" customHeight="1" x14ac:dyDescent="0.25">
      <c r="A759" s="543" t="s">
        <v>33063</v>
      </c>
      <c r="B759" s="544" t="s">
        <v>33064</v>
      </c>
      <c r="C759" s="544" t="s">
        <v>159</v>
      </c>
      <c r="D759" s="543">
        <v>885.85</v>
      </c>
      <c r="E759" s="545">
        <v>528.24</v>
      </c>
      <c r="F759" s="546">
        <v>357.61</v>
      </c>
      <c r="G759" s="543">
        <v>885.85</v>
      </c>
    </row>
    <row r="760" spans="1:7" ht="24.95" customHeight="1" x14ac:dyDescent="0.25">
      <c r="A760" s="551" t="s">
        <v>33065</v>
      </c>
      <c r="B760" s="342" t="s">
        <v>33066</v>
      </c>
      <c r="C760" s="552" t="s">
        <v>227</v>
      </c>
      <c r="D760" s="557">
        <v>94.87</v>
      </c>
      <c r="E760" s="557">
        <v>60.55</v>
      </c>
      <c r="F760" s="557">
        <v>34.32</v>
      </c>
      <c r="G760" s="557">
        <v>94.87</v>
      </c>
    </row>
    <row r="761" spans="1:7" ht="24.95" customHeight="1" x14ac:dyDescent="0.25">
      <c r="A761" s="551" t="s">
        <v>33067</v>
      </c>
      <c r="B761" s="342" t="s">
        <v>33068</v>
      </c>
      <c r="C761" s="552" t="s">
        <v>227</v>
      </c>
      <c r="D761" s="557">
        <v>116.56</v>
      </c>
      <c r="E761" s="557">
        <v>81.459999999999994</v>
      </c>
      <c r="F761" s="557">
        <v>35.1</v>
      </c>
      <c r="G761" s="557">
        <v>116.56</v>
      </c>
    </row>
    <row r="762" spans="1:7" ht="24.95" customHeight="1" x14ac:dyDescent="0.25">
      <c r="A762" s="551" t="s">
        <v>33069</v>
      </c>
      <c r="B762" s="342" t="s">
        <v>33070</v>
      </c>
      <c r="C762" s="552"/>
      <c r="D762" s="557"/>
      <c r="E762" s="557"/>
      <c r="F762" s="557"/>
      <c r="G762" s="557"/>
    </row>
    <row r="763" spans="1:7" ht="24.95" customHeight="1" x14ac:dyDescent="0.25">
      <c r="A763" s="551" t="s">
        <v>33071</v>
      </c>
      <c r="B763" s="342" t="s">
        <v>33072</v>
      </c>
      <c r="C763" s="552" t="s">
        <v>227</v>
      </c>
      <c r="D763" s="557">
        <v>76.53</v>
      </c>
      <c r="E763" s="557">
        <v>32.369999999999997</v>
      </c>
      <c r="F763" s="557">
        <v>44.16</v>
      </c>
      <c r="G763" s="557">
        <v>76.53</v>
      </c>
    </row>
    <row r="764" spans="1:7" ht="24.95" customHeight="1" x14ac:dyDescent="0.25">
      <c r="A764" s="551" t="s">
        <v>33073</v>
      </c>
      <c r="B764" s="342" t="s">
        <v>33074</v>
      </c>
      <c r="C764" s="552" t="s">
        <v>227</v>
      </c>
      <c r="D764" s="557">
        <v>114.83</v>
      </c>
      <c r="E764" s="557">
        <v>44.94</v>
      </c>
      <c r="F764" s="557">
        <v>69.89</v>
      </c>
      <c r="G764" s="557">
        <v>114.83</v>
      </c>
    </row>
    <row r="765" spans="1:7" ht="24.95" customHeight="1" x14ac:dyDescent="0.25">
      <c r="A765" s="551" t="s">
        <v>33075</v>
      </c>
      <c r="B765" s="342" t="s">
        <v>33076</v>
      </c>
      <c r="C765" s="552" t="s">
        <v>227</v>
      </c>
      <c r="D765" s="557">
        <v>212.11</v>
      </c>
      <c r="E765" s="557">
        <v>98.71</v>
      </c>
      <c r="F765" s="557">
        <v>113.4</v>
      </c>
      <c r="G765" s="557">
        <v>212.11</v>
      </c>
    </row>
    <row r="766" spans="1:7" ht="12.6" customHeight="1" x14ac:dyDescent="0.2">
      <c r="A766" s="548" t="s">
        <v>33077</v>
      </c>
      <c r="B766" s="548" t="s">
        <v>33078</v>
      </c>
      <c r="C766" s="550" t="s">
        <v>227</v>
      </c>
      <c r="D766" s="550">
        <v>282.72000000000003</v>
      </c>
      <c r="E766" s="550">
        <v>142.87</v>
      </c>
      <c r="F766" s="550">
        <v>139.85</v>
      </c>
      <c r="G766" s="550">
        <v>282.72000000000003</v>
      </c>
    </row>
    <row r="767" spans="1:7" ht="24.95" customHeight="1" x14ac:dyDescent="0.25">
      <c r="A767" s="551" t="s">
        <v>33079</v>
      </c>
      <c r="B767" s="342" t="s">
        <v>33080</v>
      </c>
      <c r="C767" s="552" t="s">
        <v>227</v>
      </c>
      <c r="D767" s="557">
        <v>220.69</v>
      </c>
      <c r="E767" s="557">
        <v>150.80000000000001</v>
      </c>
      <c r="F767" s="557">
        <v>69.89</v>
      </c>
      <c r="G767" s="557">
        <v>220.69</v>
      </c>
    </row>
    <row r="768" spans="1:7" ht="24.95" customHeight="1" x14ac:dyDescent="0.25">
      <c r="A768" s="551" t="s">
        <v>33081</v>
      </c>
      <c r="B768" s="342" t="s">
        <v>33082</v>
      </c>
      <c r="C768" s="552" t="s">
        <v>227</v>
      </c>
      <c r="D768" s="557">
        <v>455.43</v>
      </c>
      <c r="E768" s="557">
        <v>342.03</v>
      </c>
      <c r="F768" s="557">
        <v>113.4</v>
      </c>
      <c r="G768" s="557">
        <v>455.43</v>
      </c>
    </row>
    <row r="769" spans="1:7" ht="24.95" customHeight="1" x14ac:dyDescent="0.25">
      <c r="A769" s="551" t="s">
        <v>33083</v>
      </c>
      <c r="B769" s="342" t="s">
        <v>33084</v>
      </c>
      <c r="C769" s="552"/>
      <c r="D769" s="557"/>
      <c r="E769" s="557"/>
      <c r="F769" s="557"/>
      <c r="G769" s="557"/>
    </row>
    <row r="770" spans="1:7" ht="24.95" customHeight="1" x14ac:dyDescent="0.25">
      <c r="A770" s="551" t="s">
        <v>33085</v>
      </c>
      <c r="B770" s="342" t="s">
        <v>33086</v>
      </c>
      <c r="C770" s="552" t="s">
        <v>227</v>
      </c>
      <c r="D770" s="557">
        <v>183.33</v>
      </c>
      <c r="E770" s="557">
        <v>121.05</v>
      </c>
      <c r="F770" s="557">
        <v>62.28</v>
      </c>
      <c r="G770" s="557">
        <v>183.33</v>
      </c>
    </row>
    <row r="771" spans="1:7" ht="12.6" customHeight="1" x14ac:dyDescent="0.2">
      <c r="A771" s="548" t="s">
        <v>33087</v>
      </c>
      <c r="B771" s="548" t="s">
        <v>33088</v>
      </c>
      <c r="C771" s="550" t="s">
        <v>227</v>
      </c>
      <c r="D771" s="550">
        <v>345.87</v>
      </c>
      <c r="E771" s="550">
        <v>228.4</v>
      </c>
      <c r="F771" s="550">
        <v>117.47</v>
      </c>
      <c r="G771" s="550">
        <v>345.87</v>
      </c>
    </row>
    <row r="772" spans="1:7" ht="12.6" customHeight="1" x14ac:dyDescent="0.25">
      <c r="A772" s="551" t="s">
        <v>33089</v>
      </c>
      <c r="B772" s="551" t="s">
        <v>33090</v>
      </c>
      <c r="C772" s="552" t="s">
        <v>227</v>
      </c>
      <c r="D772" s="557">
        <v>637.29999999999995</v>
      </c>
      <c r="E772" s="557">
        <v>473</v>
      </c>
      <c r="F772" s="557">
        <v>164.3</v>
      </c>
      <c r="G772" s="557">
        <v>637.29999999999995</v>
      </c>
    </row>
    <row r="773" spans="1:7" ht="12.6" customHeight="1" x14ac:dyDescent="0.25">
      <c r="A773" s="551" t="s">
        <v>33091</v>
      </c>
      <c r="B773" s="551" t="s">
        <v>33092</v>
      </c>
      <c r="C773" s="552"/>
      <c r="D773" s="557"/>
      <c r="E773" s="557"/>
      <c r="F773" s="557"/>
      <c r="G773" s="557"/>
    </row>
    <row r="774" spans="1:7" ht="12.6" customHeight="1" x14ac:dyDescent="0.25">
      <c r="A774" s="551" t="s">
        <v>33093</v>
      </c>
      <c r="B774" s="551" t="s">
        <v>33094</v>
      </c>
      <c r="C774" s="552" t="s">
        <v>227</v>
      </c>
      <c r="D774" s="557">
        <v>68.8</v>
      </c>
      <c r="E774" s="557">
        <v>37.18</v>
      </c>
      <c r="F774" s="557">
        <v>31.62</v>
      </c>
      <c r="G774" s="557">
        <v>68.8</v>
      </c>
    </row>
    <row r="775" spans="1:7" ht="12.6" customHeight="1" x14ac:dyDescent="0.25">
      <c r="A775" s="551" t="s">
        <v>33095</v>
      </c>
      <c r="B775" s="551" t="s">
        <v>33096</v>
      </c>
      <c r="C775" s="552" t="s">
        <v>227</v>
      </c>
      <c r="D775" s="557">
        <v>81.739999999999995</v>
      </c>
      <c r="E775" s="557">
        <v>47.42</v>
      </c>
      <c r="F775" s="557">
        <v>34.32</v>
      </c>
      <c r="G775" s="557">
        <v>81.739999999999995</v>
      </c>
    </row>
    <row r="776" spans="1:7" ht="12.6" customHeight="1" x14ac:dyDescent="0.25">
      <c r="A776" s="551" t="s">
        <v>33097</v>
      </c>
      <c r="B776" s="551" t="s">
        <v>33098</v>
      </c>
      <c r="C776" s="552" t="s">
        <v>227</v>
      </c>
      <c r="D776" s="557">
        <v>92.68</v>
      </c>
      <c r="E776" s="557">
        <v>55.85</v>
      </c>
      <c r="F776" s="557">
        <v>36.83</v>
      </c>
      <c r="G776" s="557">
        <v>92.68</v>
      </c>
    </row>
    <row r="777" spans="1:7" ht="12.6" customHeight="1" x14ac:dyDescent="0.25">
      <c r="A777" s="551" t="s">
        <v>33099</v>
      </c>
      <c r="B777" s="551" t="s">
        <v>33100</v>
      </c>
      <c r="C777" s="552"/>
      <c r="D777" s="557"/>
      <c r="E777" s="557"/>
      <c r="F777" s="557"/>
      <c r="G777" s="557"/>
    </row>
    <row r="778" spans="1:7" ht="12.6" customHeight="1" x14ac:dyDescent="0.2">
      <c r="A778" s="559" t="s">
        <v>33101</v>
      </c>
      <c r="B778" s="548" t="s">
        <v>33102</v>
      </c>
      <c r="C778" s="550" t="s">
        <v>227</v>
      </c>
      <c r="D778" s="550">
        <v>80.81</v>
      </c>
      <c r="E778" s="550">
        <v>46.49</v>
      </c>
      <c r="F778" s="550">
        <v>34.32</v>
      </c>
      <c r="G778" s="550">
        <v>80.81</v>
      </c>
    </row>
    <row r="779" spans="1:7" ht="12.6" customHeight="1" x14ac:dyDescent="0.2">
      <c r="A779" s="548" t="s">
        <v>33103</v>
      </c>
      <c r="B779" s="548" t="s">
        <v>33104</v>
      </c>
      <c r="C779" s="550" t="s">
        <v>227</v>
      </c>
      <c r="D779" s="550">
        <v>93.98</v>
      </c>
      <c r="E779" s="550">
        <v>57.15</v>
      </c>
      <c r="F779" s="550">
        <v>36.83</v>
      </c>
      <c r="G779" s="550">
        <v>93.98</v>
      </c>
    </row>
    <row r="780" spans="1:7" ht="12.6" customHeight="1" x14ac:dyDescent="0.25">
      <c r="A780" s="551" t="s">
        <v>33105</v>
      </c>
      <c r="B780" s="551" t="s">
        <v>33106</v>
      </c>
      <c r="C780" s="552"/>
      <c r="D780" s="557"/>
      <c r="E780" s="557"/>
      <c r="F780" s="557"/>
      <c r="G780" s="557"/>
    </row>
    <row r="781" spans="1:7" ht="24.95" customHeight="1" x14ac:dyDescent="0.25">
      <c r="A781" s="551" t="s">
        <v>33107</v>
      </c>
      <c r="B781" s="342" t="s">
        <v>33108</v>
      </c>
      <c r="C781" s="552" t="s">
        <v>227</v>
      </c>
      <c r="D781" s="557">
        <v>70.69</v>
      </c>
      <c r="E781" s="557">
        <v>39.07</v>
      </c>
      <c r="F781" s="557">
        <v>31.62</v>
      </c>
      <c r="G781" s="557">
        <v>70.69</v>
      </c>
    </row>
    <row r="782" spans="1:7" ht="24.95" customHeight="1" x14ac:dyDescent="0.25">
      <c r="A782" s="551" t="s">
        <v>33109</v>
      </c>
      <c r="B782" s="342" t="s">
        <v>33110</v>
      </c>
      <c r="C782" s="552" t="s">
        <v>227</v>
      </c>
      <c r="D782" s="557">
        <v>82.72</v>
      </c>
      <c r="E782" s="557">
        <v>48.4</v>
      </c>
      <c r="F782" s="557">
        <v>34.32</v>
      </c>
      <c r="G782" s="557">
        <v>82.72</v>
      </c>
    </row>
    <row r="783" spans="1:7" ht="12.6" customHeight="1" x14ac:dyDescent="0.2">
      <c r="A783" s="548" t="s">
        <v>33111</v>
      </c>
      <c r="B783" s="548" t="s">
        <v>33112</v>
      </c>
      <c r="C783" s="550" t="s">
        <v>227</v>
      </c>
      <c r="D783" s="550">
        <v>98.29</v>
      </c>
      <c r="E783" s="550">
        <v>63.19</v>
      </c>
      <c r="F783" s="550">
        <v>35.1</v>
      </c>
      <c r="G783" s="550">
        <v>98.29</v>
      </c>
    </row>
    <row r="784" spans="1:7" ht="12.6" customHeight="1" x14ac:dyDescent="0.25">
      <c r="A784" s="551" t="s">
        <v>33113</v>
      </c>
      <c r="B784" s="551" t="s">
        <v>33114</v>
      </c>
      <c r="C784" s="552"/>
      <c r="D784" s="557"/>
      <c r="E784" s="557"/>
      <c r="F784" s="557"/>
      <c r="G784" s="557"/>
    </row>
    <row r="785" spans="1:7" ht="12.6" customHeight="1" x14ac:dyDescent="0.25">
      <c r="A785" s="551" t="s">
        <v>33115</v>
      </c>
      <c r="B785" s="551" t="s">
        <v>33116</v>
      </c>
      <c r="C785" s="552" t="s">
        <v>227</v>
      </c>
      <c r="D785" s="557">
        <v>94.57</v>
      </c>
      <c r="E785" s="557">
        <v>55.93</v>
      </c>
      <c r="F785" s="557">
        <v>38.64</v>
      </c>
      <c r="G785" s="557">
        <v>94.57</v>
      </c>
    </row>
    <row r="786" spans="1:7" ht="12.6" customHeight="1" x14ac:dyDescent="0.25">
      <c r="A786" s="551" t="s">
        <v>33117</v>
      </c>
      <c r="B786" s="551" t="s">
        <v>33118</v>
      </c>
      <c r="C786" s="552" t="s">
        <v>227</v>
      </c>
      <c r="D786" s="557">
        <v>115.52</v>
      </c>
      <c r="E786" s="557">
        <v>75.91</v>
      </c>
      <c r="F786" s="557">
        <v>39.61</v>
      </c>
      <c r="G786" s="557">
        <v>115.52</v>
      </c>
    </row>
    <row r="787" spans="1:7" ht="12.6" customHeight="1" x14ac:dyDescent="0.25">
      <c r="A787" s="551" t="s">
        <v>33119</v>
      </c>
      <c r="B787" s="551" t="s">
        <v>33120</v>
      </c>
      <c r="C787" s="552" t="s">
        <v>227</v>
      </c>
      <c r="D787" s="557">
        <v>112.54</v>
      </c>
      <c r="E787" s="557">
        <v>61.39</v>
      </c>
      <c r="F787" s="557">
        <v>51.15</v>
      </c>
      <c r="G787" s="557">
        <v>112.54</v>
      </c>
    </row>
    <row r="788" spans="1:7" ht="12.6" customHeight="1" x14ac:dyDescent="0.25">
      <c r="A788" s="551" t="s">
        <v>33121</v>
      </c>
      <c r="B788" s="551" t="s">
        <v>33122</v>
      </c>
      <c r="C788" s="552" t="s">
        <v>227</v>
      </c>
      <c r="D788" s="557">
        <v>137.19</v>
      </c>
      <c r="E788" s="557">
        <v>82.67</v>
      </c>
      <c r="F788" s="557">
        <v>54.52</v>
      </c>
      <c r="G788" s="557">
        <v>137.19</v>
      </c>
    </row>
    <row r="789" spans="1:7" ht="12.6" customHeight="1" x14ac:dyDescent="0.25">
      <c r="A789" s="551" t="s">
        <v>33123</v>
      </c>
      <c r="B789" s="551" t="s">
        <v>33124</v>
      </c>
      <c r="C789" s="552"/>
      <c r="D789" s="557"/>
      <c r="E789" s="557"/>
      <c r="F789" s="557"/>
      <c r="G789" s="557"/>
    </row>
    <row r="790" spans="1:7" ht="12.6" customHeight="1" x14ac:dyDescent="0.2">
      <c r="A790" s="548" t="s">
        <v>33125</v>
      </c>
      <c r="B790" s="548" t="s">
        <v>33126</v>
      </c>
      <c r="C790" s="550" t="s">
        <v>227</v>
      </c>
      <c r="D790" s="550">
        <v>112.28</v>
      </c>
      <c r="E790" s="550">
        <v>97.3</v>
      </c>
      <c r="F790" s="550">
        <v>14.98</v>
      </c>
      <c r="G790" s="550">
        <v>112.28</v>
      </c>
    </row>
    <row r="791" spans="1:7" ht="12.6" customHeight="1" x14ac:dyDescent="0.25">
      <c r="A791" s="551" t="s">
        <v>33127</v>
      </c>
      <c r="B791" s="551" t="s">
        <v>33128</v>
      </c>
      <c r="C791" s="552" t="s">
        <v>227</v>
      </c>
      <c r="D791" s="557">
        <v>125.95</v>
      </c>
      <c r="E791" s="557">
        <v>110.58</v>
      </c>
      <c r="F791" s="557">
        <v>15.37</v>
      </c>
      <c r="G791" s="557">
        <v>125.95</v>
      </c>
    </row>
    <row r="792" spans="1:7" ht="12.6" customHeight="1" x14ac:dyDescent="0.25">
      <c r="A792" s="551" t="s">
        <v>33129</v>
      </c>
      <c r="B792" s="551" t="s">
        <v>33130</v>
      </c>
      <c r="C792" s="552" t="s">
        <v>227</v>
      </c>
      <c r="D792" s="557">
        <v>155.82</v>
      </c>
      <c r="E792" s="557">
        <v>140.26</v>
      </c>
      <c r="F792" s="557">
        <v>15.56</v>
      </c>
      <c r="G792" s="557">
        <v>155.82</v>
      </c>
    </row>
    <row r="793" spans="1:7" ht="12.6" customHeight="1" x14ac:dyDescent="0.25">
      <c r="A793" s="551" t="s">
        <v>33131</v>
      </c>
      <c r="B793" s="551" t="s">
        <v>33132</v>
      </c>
      <c r="C793" s="552" t="s">
        <v>227</v>
      </c>
      <c r="D793" s="557">
        <v>203.85</v>
      </c>
      <c r="E793" s="557">
        <v>187.7</v>
      </c>
      <c r="F793" s="557">
        <v>16.149999999999999</v>
      </c>
      <c r="G793" s="557">
        <v>203.85</v>
      </c>
    </row>
    <row r="794" spans="1:7" ht="12.6" customHeight="1" x14ac:dyDescent="0.2">
      <c r="A794" s="548" t="s">
        <v>33133</v>
      </c>
      <c r="B794" s="548" t="s">
        <v>33134</v>
      </c>
      <c r="C794" s="550"/>
      <c r="D794" s="550"/>
      <c r="E794" s="550"/>
      <c r="F794" s="550"/>
      <c r="G794" s="550"/>
    </row>
    <row r="795" spans="1:7" ht="12.6" customHeight="1" x14ac:dyDescent="0.25">
      <c r="A795" s="551" t="s">
        <v>33135</v>
      </c>
      <c r="B795" s="551" t="s">
        <v>33136</v>
      </c>
      <c r="C795" s="552" t="s">
        <v>159</v>
      </c>
      <c r="D795" s="557">
        <v>1799.56</v>
      </c>
      <c r="E795" s="557">
        <v>983.35</v>
      </c>
      <c r="F795" s="557">
        <v>816.21</v>
      </c>
      <c r="G795" s="557">
        <v>1799.56</v>
      </c>
    </row>
    <row r="796" spans="1:7" ht="12.6" customHeight="1" x14ac:dyDescent="0.25">
      <c r="A796" s="551" t="s">
        <v>33137</v>
      </c>
      <c r="B796" s="551" t="s">
        <v>33138</v>
      </c>
      <c r="C796" s="552" t="s">
        <v>158</v>
      </c>
      <c r="D796" s="557">
        <v>11.04</v>
      </c>
      <c r="E796" s="557">
        <v>3.66</v>
      </c>
      <c r="F796" s="557">
        <v>7.38</v>
      </c>
      <c r="G796" s="557">
        <v>11.04</v>
      </c>
    </row>
    <row r="797" spans="1:7" ht="12.6" customHeight="1" x14ac:dyDescent="0.25">
      <c r="A797" s="551" t="s">
        <v>33139</v>
      </c>
      <c r="B797" s="551" t="s">
        <v>33140</v>
      </c>
      <c r="C797" s="552"/>
      <c r="D797" s="557"/>
      <c r="E797" s="557"/>
      <c r="F797" s="557"/>
      <c r="G797" s="557"/>
    </row>
    <row r="798" spans="1:7" ht="12.6" customHeight="1" x14ac:dyDescent="0.2">
      <c r="A798" s="548" t="s">
        <v>33141</v>
      </c>
      <c r="B798" s="548" t="s">
        <v>33142</v>
      </c>
      <c r="C798" s="550" t="s">
        <v>227</v>
      </c>
      <c r="D798" s="550">
        <v>224.76</v>
      </c>
      <c r="E798" s="550">
        <v>147.12</v>
      </c>
      <c r="F798" s="550">
        <v>77.64</v>
      </c>
      <c r="G798" s="550">
        <v>224.76</v>
      </c>
    </row>
    <row r="799" spans="1:7" ht="12.6" customHeight="1" x14ac:dyDescent="0.25">
      <c r="A799" s="551" t="s">
        <v>33143</v>
      </c>
      <c r="B799" s="551" t="s">
        <v>33144</v>
      </c>
      <c r="C799" s="552" t="s">
        <v>227</v>
      </c>
      <c r="D799" s="557">
        <v>196.57</v>
      </c>
      <c r="E799" s="557">
        <v>132.13</v>
      </c>
      <c r="F799" s="557">
        <v>64.44</v>
      </c>
      <c r="G799" s="557">
        <v>196.57</v>
      </c>
    </row>
    <row r="800" spans="1:7" ht="12.6" customHeight="1" x14ac:dyDescent="0.25">
      <c r="A800" s="551" t="s">
        <v>33145</v>
      </c>
      <c r="B800" s="551" t="s">
        <v>33146</v>
      </c>
      <c r="C800" s="552" t="s">
        <v>227</v>
      </c>
      <c r="D800" s="557">
        <v>214.67</v>
      </c>
      <c r="E800" s="557">
        <v>150.22999999999999</v>
      </c>
      <c r="F800" s="557">
        <v>64.44</v>
      </c>
      <c r="G800" s="557">
        <v>214.67</v>
      </c>
    </row>
    <row r="801" spans="1:7" ht="12.6" customHeight="1" x14ac:dyDescent="0.2">
      <c r="A801" s="548" t="s">
        <v>33147</v>
      </c>
      <c r="B801" s="548" t="s">
        <v>33148</v>
      </c>
      <c r="C801" s="550" t="s">
        <v>227</v>
      </c>
      <c r="D801" s="550">
        <v>1821.62</v>
      </c>
      <c r="E801" s="550">
        <v>1646.84</v>
      </c>
      <c r="F801" s="550">
        <v>174.78</v>
      </c>
      <c r="G801" s="550">
        <v>1821.62</v>
      </c>
    </row>
    <row r="802" spans="1:7" ht="23.1" customHeight="1" x14ac:dyDescent="0.25">
      <c r="A802" s="551" t="s">
        <v>33149</v>
      </c>
      <c r="B802" s="551" t="s">
        <v>33150</v>
      </c>
      <c r="C802" s="552" t="s">
        <v>227</v>
      </c>
      <c r="D802" s="557">
        <v>1262.5</v>
      </c>
      <c r="E802" s="557">
        <v>1146.45</v>
      </c>
      <c r="F802" s="557">
        <v>116.05</v>
      </c>
      <c r="G802" s="557">
        <v>1262.5</v>
      </c>
    </row>
    <row r="803" spans="1:7" ht="11.45" customHeight="1" x14ac:dyDescent="0.25">
      <c r="A803" s="543" t="s">
        <v>33151</v>
      </c>
      <c r="B803" s="544" t="s">
        <v>33152</v>
      </c>
      <c r="C803" s="544"/>
      <c r="D803" s="543"/>
      <c r="E803" s="545"/>
      <c r="F803" s="546"/>
      <c r="G803" s="543"/>
    </row>
    <row r="804" spans="1:7" ht="23.1" customHeight="1" x14ac:dyDescent="0.25">
      <c r="A804" s="551" t="s">
        <v>33153</v>
      </c>
      <c r="B804" s="551" t="s">
        <v>33154</v>
      </c>
      <c r="C804" s="552" t="s">
        <v>227</v>
      </c>
      <c r="D804" s="557">
        <v>1036.6600000000001</v>
      </c>
      <c r="E804" s="557">
        <v>961.5</v>
      </c>
      <c r="F804" s="557">
        <v>75.16</v>
      </c>
      <c r="G804" s="557">
        <v>1036.6600000000001</v>
      </c>
    </row>
    <row r="805" spans="1:7" ht="23.1" customHeight="1" x14ac:dyDescent="0.25">
      <c r="A805" s="551" t="s">
        <v>33155</v>
      </c>
      <c r="B805" s="551" t="s">
        <v>33156</v>
      </c>
      <c r="C805" s="552" t="s">
        <v>227</v>
      </c>
      <c r="D805" s="557">
        <v>241.62</v>
      </c>
      <c r="E805" s="557">
        <v>241.62</v>
      </c>
      <c r="F805" s="557"/>
      <c r="G805" s="557">
        <v>241.62</v>
      </c>
    </row>
    <row r="806" spans="1:7" ht="12.6" customHeight="1" x14ac:dyDescent="0.2">
      <c r="A806" s="548" t="s">
        <v>33157</v>
      </c>
      <c r="B806" s="548" t="s">
        <v>33158</v>
      </c>
      <c r="C806" s="550" t="s">
        <v>227</v>
      </c>
      <c r="D806" s="550">
        <v>666.36</v>
      </c>
      <c r="E806" s="550">
        <v>666.36</v>
      </c>
      <c r="F806" s="550"/>
      <c r="G806" s="550">
        <v>666.36</v>
      </c>
    </row>
    <row r="807" spans="1:7" ht="12.6" customHeight="1" x14ac:dyDescent="0.25">
      <c r="A807" s="551" t="s">
        <v>33159</v>
      </c>
      <c r="B807" s="551" t="s">
        <v>33160</v>
      </c>
      <c r="C807" s="552" t="s">
        <v>227</v>
      </c>
      <c r="D807" s="557">
        <v>1168.74</v>
      </c>
      <c r="E807" s="557">
        <v>1093.58</v>
      </c>
      <c r="F807" s="557">
        <v>75.16</v>
      </c>
      <c r="G807" s="557">
        <v>1168.74</v>
      </c>
    </row>
    <row r="808" spans="1:7" ht="12.6" customHeight="1" x14ac:dyDescent="0.25">
      <c r="A808" s="551" t="s">
        <v>33161</v>
      </c>
      <c r="B808" s="551" t="s">
        <v>33162</v>
      </c>
      <c r="C808" s="552" t="s">
        <v>227</v>
      </c>
      <c r="D808" s="557">
        <v>137.77000000000001</v>
      </c>
      <c r="E808" s="557">
        <v>137.77000000000001</v>
      </c>
      <c r="F808" s="557"/>
      <c r="G808" s="557">
        <v>137.77000000000001</v>
      </c>
    </row>
    <row r="809" spans="1:7" ht="12.6" customHeight="1" x14ac:dyDescent="0.25">
      <c r="A809" s="551" t="s">
        <v>33163</v>
      </c>
      <c r="B809" s="551" t="s">
        <v>33164</v>
      </c>
      <c r="C809" s="552" t="s">
        <v>227</v>
      </c>
      <c r="D809" s="557">
        <v>226.21</v>
      </c>
      <c r="E809" s="557">
        <v>226.21</v>
      </c>
      <c r="F809" s="557"/>
      <c r="G809" s="557">
        <v>226.21</v>
      </c>
    </row>
    <row r="810" spans="1:7" ht="12.6" customHeight="1" x14ac:dyDescent="0.25">
      <c r="A810" s="551" t="s">
        <v>33165</v>
      </c>
      <c r="B810" s="551" t="s">
        <v>33166</v>
      </c>
      <c r="C810" s="552" t="s">
        <v>227</v>
      </c>
      <c r="D810" s="557">
        <v>155.13</v>
      </c>
      <c r="E810" s="557">
        <v>155.13</v>
      </c>
      <c r="F810" s="557"/>
      <c r="G810" s="557">
        <v>155.13</v>
      </c>
    </row>
    <row r="811" spans="1:7" ht="12.6" customHeight="1" x14ac:dyDescent="0.2">
      <c r="A811" s="548" t="s">
        <v>33167</v>
      </c>
      <c r="B811" s="548" t="s">
        <v>33168</v>
      </c>
      <c r="C811" s="550" t="s">
        <v>227</v>
      </c>
      <c r="D811" s="550">
        <v>178.95</v>
      </c>
      <c r="E811" s="550">
        <v>178.95</v>
      </c>
      <c r="F811" s="550"/>
      <c r="G811" s="550">
        <v>178.95</v>
      </c>
    </row>
    <row r="812" spans="1:7" ht="24.95" customHeight="1" x14ac:dyDescent="0.25">
      <c r="A812" s="551" t="s">
        <v>33169</v>
      </c>
      <c r="B812" s="342" t="s">
        <v>33170</v>
      </c>
      <c r="C812" s="552" t="s">
        <v>227</v>
      </c>
      <c r="D812" s="557">
        <v>155.21</v>
      </c>
      <c r="E812" s="557">
        <v>155.21</v>
      </c>
      <c r="F812" s="557"/>
      <c r="G812" s="557">
        <v>155.21</v>
      </c>
    </row>
    <row r="813" spans="1:7" ht="24.95" customHeight="1" x14ac:dyDescent="0.25">
      <c r="A813" s="551" t="s">
        <v>33171</v>
      </c>
      <c r="B813" s="342" t="s">
        <v>33172</v>
      </c>
      <c r="C813" s="552" t="s">
        <v>227</v>
      </c>
      <c r="D813" s="557">
        <v>143.44</v>
      </c>
      <c r="E813" s="557">
        <v>143.44</v>
      </c>
      <c r="F813" s="557"/>
      <c r="G813" s="557">
        <v>143.44</v>
      </c>
    </row>
    <row r="814" spans="1:7" ht="24.95" customHeight="1" x14ac:dyDescent="0.25">
      <c r="A814" s="551" t="s">
        <v>33173</v>
      </c>
      <c r="B814" s="342" t="s">
        <v>33174</v>
      </c>
      <c r="C814" s="552" t="s">
        <v>227</v>
      </c>
      <c r="D814" s="557">
        <v>170.06</v>
      </c>
      <c r="E814" s="557">
        <v>170.06</v>
      </c>
      <c r="F814" s="557"/>
      <c r="G814" s="557">
        <v>170.06</v>
      </c>
    </row>
    <row r="815" spans="1:7" ht="24.95" customHeight="1" x14ac:dyDescent="0.25">
      <c r="A815" s="551" t="s">
        <v>33175</v>
      </c>
      <c r="B815" s="342" t="s">
        <v>33176</v>
      </c>
      <c r="C815" s="552" t="s">
        <v>227</v>
      </c>
      <c r="D815" s="557">
        <v>146.41999999999999</v>
      </c>
      <c r="E815" s="557">
        <v>146.41999999999999</v>
      </c>
      <c r="F815" s="557"/>
      <c r="G815" s="557">
        <v>146.41999999999999</v>
      </c>
    </row>
    <row r="816" spans="1:7" ht="12.6" customHeight="1" x14ac:dyDescent="0.2">
      <c r="A816" s="548" t="s">
        <v>33177</v>
      </c>
      <c r="B816" s="548" t="s">
        <v>33178</v>
      </c>
      <c r="C816" s="550" t="s">
        <v>227</v>
      </c>
      <c r="D816" s="550">
        <v>200.56</v>
      </c>
      <c r="E816" s="550">
        <v>200.56</v>
      </c>
      <c r="F816" s="550"/>
      <c r="G816" s="550">
        <v>200.56</v>
      </c>
    </row>
    <row r="817" spans="1:7" ht="12.6" customHeight="1" x14ac:dyDescent="0.25">
      <c r="A817" s="551" t="s">
        <v>33179</v>
      </c>
      <c r="B817" s="551" t="s">
        <v>33180</v>
      </c>
      <c r="C817" s="552" t="s">
        <v>227</v>
      </c>
      <c r="D817" s="553">
        <v>214.25</v>
      </c>
      <c r="E817" s="557">
        <v>214.25</v>
      </c>
      <c r="F817" s="557"/>
      <c r="G817" s="553">
        <v>214.25</v>
      </c>
    </row>
    <row r="818" spans="1:7" ht="12.6" customHeight="1" x14ac:dyDescent="0.25">
      <c r="A818" s="551" t="s">
        <v>33181</v>
      </c>
      <c r="B818" s="551" t="s">
        <v>33182</v>
      </c>
      <c r="C818" s="552" t="s">
        <v>227</v>
      </c>
      <c r="D818" s="557">
        <v>954.75</v>
      </c>
      <c r="E818" s="557">
        <v>954.75</v>
      </c>
      <c r="F818" s="557"/>
      <c r="G818" s="557">
        <v>954.75</v>
      </c>
    </row>
    <row r="819" spans="1:7" ht="12.6" customHeight="1" x14ac:dyDescent="0.2">
      <c r="A819" s="548" t="s">
        <v>33183</v>
      </c>
      <c r="B819" s="548" t="s">
        <v>33184</v>
      </c>
      <c r="C819" s="550" t="s">
        <v>227</v>
      </c>
      <c r="D819" s="550">
        <v>776.63</v>
      </c>
      <c r="E819" s="550">
        <v>776.63</v>
      </c>
      <c r="F819" s="550"/>
      <c r="G819" s="550">
        <v>776.63</v>
      </c>
    </row>
    <row r="820" spans="1:7" ht="12.6" customHeight="1" x14ac:dyDescent="0.25">
      <c r="A820" s="551" t="s">
        <v>33185</v>
      </c>
      <c r="B820" s="551" t="s">
        <v>33186</v>
      </c>
      <c r="C820" s="552" t="s">
        <v>227</v>
      </c>
      <c r="D820" s="557">
        <v>1443.72</v>
      </c>
      <c r="E820" s="557">
        <v>1443.72</v>
      </c>
      <c r="F820" s="557"/>
      <c r="G820" s="557">
        <v>1443.72</v>
      </c>
    </row>
    <row r="821" spans="1:7" ht="12.6" customHeight="1" x14ac:dyDescent="0.25">
      <c r="A821" s="551" t="s">
        <v>33187</v>
      </c>
      <c r="B821" s="551" t="s">
        <v>33188</v>
      </c>
      <c r="C821" s="552" t="s">
        <v>227</v>
      </c>
      <c r="D821" s="557">
        <v>379.39</v>
      </c>
      <c r="E821" s="557">
        <v>309.64999999999998</v>
      </c>
      <c r="F821" s="557">
        <v>69.739999999999995</v>
      </c>
      <c r="G821" s="557">
        <v>379.39</v>
      </c>
    </row>
    <row r="822" spans="1:7" ht="12.6" customHeight="1" x14ac:dyDescent="0.25">
      <c r="A822" s="551" t="s">
        <v>33189</v>
      </c>
      <c r="B822" s="551" t="s">
        <v>33190</v>
      </c>
      <c r="C822" s="552" t="s">
        <v>227</v>
      </c>
      <c r="D822" s="557">
        <v>259.79000000000002</v>
      </c>
      <c r="E822" s="557">
        <v>259.79000000000002</v>
      </c>
      <c r="F822" s="557"/>
      <c r="G822" s="557">
        <v>259.79000000000002</v>
      </c>
    </row>
    <row r="823" spans="1:7" ht="23.1" customHeight="1" x14ac:dyDescent="0.25">
      <c r="A823" s="551" t="s">
        <v>33191</v>
      </c>
      <c r="B823" s="551" t="s">
        <v>33192</v>
      </c>
      <c r="C823" s="552" t="s">
        <v>227</v>
      </c>
      <c r="D823" s="553">
        <v>263.20999999999998</v>
      </c>
      <c r="E823" s="553">
        <v>263.20999999999998</v>
      </c>
      <c r="F823" s="557"/>
      <c r="G823" s="553">
        <v>263.20999999999998</v>
      </c>
    </row>
    <row r="824" spans="1:7" ht="12.6" customHeight="1" x14ac:dyDescent="0.25">
      <c r="A824" s="551" t="s">
        <v>33193</v>
      </c>
      <c r="B824" s="551" t="s">
        <v>33194</v>
      </c>
      <c r="C824" s="552" t="s">
        <v>227</v>
      </c>
      <c r="D824" s="553">
        <v>273.36</v>
      </c>
      <c r="E824" s="553">
        <v>273.36</v>
      </c>
      <c r="F824" s="557"/>
      <c r="G824" s="553">
        <v>273.36</v>
      </c>
    </row>
    <row r="825" spans="1:7" ht="12.6" customHeight="1" x14ac:dyDescent="0.2">
      <c r="A825" s="548" t="s">
        <v>33195</v>
      </c>
      <c r="B825" s="548" t="s">
        <v>33196</v>
      </c>
      <c r="C825" s="550" t="s">
        <v>227</v>
      </c>
      <c r="D825" s="550">
        <v>229.91</v>
      </c>
      <c r="E825" s="550">
        <v>229.91</v>
      </c>
      <c r="F825" s="550"/>
      <c r="G825" s="550">
        <v>229.91</v>
      </c>
    </row>
    <row r="826" spans="1:7" ht="12.6" customHeight="1" x14ac:dyDescent="0.25">
      <c r="A826" s="551" t="s">
        <v>33197</v>
      </c>
      <c r="B826" s="551" t="s">
        <v>33198</v>
      </c>
      <c r="C826" s="552" t="s">
        <v>227</v>
      </c>
      <c r="D826" s="557">
        <v>245.56</v>
      </c>
      <c r="E826" s="557">
        <v>245.56</v>
      </c>
      <c r="F826" s="557"/>
      <c r="G826" s="557">
        <v>245.56</v>
      </c>
    </row>
    <row r="827" spans="1:7" ht="12.6" customHeight="1" x14ac:dyDescent="0.2">
      <c r="A827" s="551" t="s">
        <v>33199</v>
      </c>
      <c r="B827" s="551" t="s">
        <v>33200</v>
      </c>
      <c r="C827" s="552" t="s">
        <v>227</v>
      </c>
      <c r="D827" s="557">
        <v>238.78</v>
      </c>
      <c r="E827" s="557">
        <v>238.78</v>
      </c>
      <c r="F827" s="343"/>
      <c r="G827" s="557">
        <v>238.78</v>
      </c>
    </row>
    <row r="828" spans="1:7" ht="24.95" customHeight="1" x14ac:dyDescent="0.25">
      <c r="A828" s="551" t="s">
        <v>33201</v>
      </c>
      <c r="B828" s="342" t="s">
        <v>33202</v>
      </c>
      <c r="C828" s="552"/>
      <c r="D828" s="557"/>
      <c r="E828" s="557"/>
      <c r="F828" s="344"/>
      <c r="G828" s="557"/>
    </row>
    <row r="829" spans="1:7" ht="23.1" customHeight="1" x14ac:dyDescent="0.25">
      <c r="A829" s="551" t="s">
        <v>33203</v>
      </c>
      <c r="B829" s="551" t="s">
        <v>33204</v>
      </c>
      <c r="C829" s="552" t="s">
        <v>227</v>
      </c>
      <c r="D829" s="557">
        <v>232.85</v>
      </c>
      <c r="E829" s="557">
        <v>107.96</v>
      </c>
      <c r="F829" s="557">
        <v>124.89</v>
      </c>
      <c r="G829" s="557">
        <v>232.85</v>
      </c>
    </row>
    <row r="830" spans="1:7" ht="24.95" customHeight="1" x14ac:dyDescent="0.25">
      <c r="A830" s="551" t="s">
        <v>33205</v>
      </c>
      <c r="B830" s="342" t="s">
        <v>33206</v>
      </c>
      <c r="C830" s="552"/>
      <c r="D830" s="557"/>
      <c r="E830" s="557"/>
      <c r="F830" s="344"/>
      <c r="G830" s="557"/>
    </row>
    <row r="831" spans="1:7" ht="24.95" customHeight="1" x14ac:dyDescent="0.25">
      <c r="A831" s="551" t="s">
        <v>33207</v>
      </c>
      <c r="B831" s="342" t="s">
        <v>33208</v>
      </c>
      <c r="C831" s="552" t="s">
        <v>227</v>
      </c>
      <c r="D831" s="557">
        <v>43.16</v>
      </c>
      <c r="E831" s="557"/>
      <c r="F831" s="344">
        <v>43.16</v>
      </c>
      <c r="G831" s="557">
        <v>43.16</v>
      </c>
    </row>
    <row r="832" spans="1:7" ht="24.95" customHeight="1" x14ac:dyDescent="0.25">
      <c r="A832" s="551" t="s">
        <v>33209</v>
      </c>
      <c r="B832" s="342" t="s">
        <v>33210</v>
      </c>
      <c r="C832" s="552" t="s">
        <v>226</v>
      </c>
      <c r="D832" s="557">
        <v>8.64</v>
      </c>
      <c r="E832" s="557">
        <v>2.72</v>
      </c>
      <c r="F832" s="344">
        <v>5.92</v>
      </c>
      <c r="G832" s="557">
        <v>8.64</v>
      </c>
    </row>
    <row r="833" spans="1:7" ht="24.95" customHeight="1" x14ac:dyDescent="0.25">
      <c r="A833" s="551" t="s">
        <v>33211</v>
      </c>
      <c r="B833" s="342" t="s">
        <v>33212</v>
      </c>
      <c r="C833" s="552" t="s">
        <v>226</v>
      </c>
      <c r="D833" s="557">
        <v>9.06</v>
      </c>
      <c r="E833" s="557">
        <v>3.14</v>
      </c>
      <c r="F833" s="344">
        <v>5.92</v>
      </c>
      <c r="G833" s="557">
        <v>9.06</v>
      </c>
    </row>
    <row r="834" spans="1:7" ht="24.95" customHeight="1" x14ac:dyDescent="0.25">
      <c r="A834" s="551" t="s">
        <v>33213</v>
      </c>
      <c r="B834" s="342" t="s">
        <v>33214</v>
      </c>
      <c r="C834" s="552" t="s">
        <v>226</v>
      </c>
      <c r="D834" s="557">
        <v>9.5299999999999994</v>
      </c>
      <c r="E834" s="557">
        <v>3.61</v>
      </c>
      <c r="F834" s="344">
        <v>5.92</v>
      </c>
      <c r="G834" s="557">
        <v>9.5299999999999994</v>
      </c>
    </row>
    <row r="835" spans="1:7" ht="24.95" customHeight="1" x14ac:dyDescent="0.25">
      <c r="A835" s="551" t="s">
        <v>33215</v>
      </c>
      <c r="B835" s="342" t="s">
        <v>33216</v>
      </c>
      <c r="C835" s="552" t="s">
        <v>226</v>
      </c>
      <c r="D835" s="557">
        <v>9.7799999999999994</v>
      </c>
      <c r="E835" s="557">
        <v>3.86</v>
      </c>
      <c r="F835" s="344">
        <v>5.92</v>
      </c>
      <c r="G835" s="557">
        <v>9.7799999999999994</v>
      </c>
    </row>
    <row r="836" spans="1:7" ht="24.95" customHeight="1" x14ac:dyDescent="0.25">
      <c r="A836" s="551" t="s">
        <v>33217</v>
      </c>
      <c r="B836" s="342" t="s">
        <v>33218</v>
      </c>
      <c r="C836" s="552" t="s">
        <v>226</v>
      </c>
      <c r="D836" s="557">
        <v>11.19</v>
      </c>
      <c r="E836" s="557">
        <v>5.27</v>
      </c>
      <c r="F836" s="344">
        <v>5.92</v>
      </c>
      <c r="G836" s="557">
        <v>11.19</v>
      </c>
    </row>
    <row r="837" spans="1:7" ht="24.95" customHeight="1" x14ac:dyDescent="0.25">
      <c r="A837" s="551" t="s">
        <v>33219</v>
      </c>
      <c r="B837" s="342" t="s">
        <v>33220</v>
      </c>
      <c r="C837" s="552"/>
      <c r="D837" s="557"/>
      <c r="E837" s="557"/>
      <c r="F837" s="344"/>
      <c r="G837" s="557"/>
    </row>
    <row r="838" spans="1:7" ht="24.95" customHeight="1" x14ac:dyDescent="0.25">
      <c r="A838" s="551" t="s">
        <v>33221</v>
      </c>
      <c r="B838" s="342" t="s">
        <v>33222</v>
      </c>
      <c r="C838" s="552"/>
      <c r="D838" s="557"/>
      <c r="E838" s="557"/>
      <c r="F838" s="344"/>
      <c r="G838" s="557"/>
    </row>
    <row r="839" spans="1:7" ht="24.95" customHeight="1" x14ac:dyDescent="0.25">
      <c r="A839" s="551" t="s">
        <v>33223</v>
      </c>
      <c r="B839" s="342" t="s">
        <v>33224</v>
      </c>
      <c r="C839" s="552" t="s">
        <v>227</v>
      </c>
      <c r="D839" s="557">
        <v>167.93</v>
      </c>
      <c r="E839" s="557">
        <v>113.98</v>
      </c>
      <c r="F839" s="344">
        <v>53.95</v>
      </c>
      <c r="G839" s="557">
        <v>167.93</v>
      </c>
    </row>
    <row r="840" spans="1:7" ht="24.95" customHeight="1" x14ac:dyDescent="0.25">
      <c r="A840" s="551" t="s">
        <v>33225</v>
      </c>
      <c r="B840" s="342" t="s">
        <v>33226</v>
      </c>
      <c r="C840" s="552" t="s">
        <v>227</v>
      </c>
      <c r="D840" s="557">
        <v>178.4</v>
      </c>
      <c r="E840" s="557">
        <v>122.29</v>
      </c>
      <c r="F840" s="344">
        <v>56.11</v>
      </c>
      <c r="G840" s="557">
        <v>178.4</v>
      </c>
    </row>
    <row r="841" spans="1:7" ht="11.45" customHeight="1" x14ac:dyDescent="0.25">
      <c r="A841" s="543" t="s">
        <v>33227</v>
      </c>
      <c r="B841" s="544" t="s">
        <v>33228</v>
      </c>
      <c r="C841" s="544" t="s">
        <v>227</v>
      </c>
      <c r="D841" s="543">
        <v>188.85</v>
      </c>
      <c r="E841" s="545">
        <v>130.59</v>
      </c>
      <c r="F841" s="546">
        <v>58.26</v>
      </c>
      <c r="G841" s="543">
        <v>188.85</v>
      </c>
    </row>
    <row r="842" spans="1:7" ht="24.95" customHeight="1" x14ac:dyDescent="0.25">
      <c r="A842" s="551" t="s">
        <v>33229</v>
      </c>
      <c r="B842" s="342" t="s">
        <v>33230</v>
      </c>
      <c r="C842" s="552" t="s">
        <v>227</v>
      </c>
      <c r="D842" s="557">
        <v>205.83</v>
      </c>
      <c r="E842" s="557">
        <v>143.25</v>
      </c>
      <c r="F842" s="344">
        <v>62.58</v>
      </c>
      <c r="G842" s="557">
        <v>205.83</v>
      </c>
    </row>
    <row r="843" spans="1:7" ht="24.95" customHeight="1" x14ac:dyDescent="0.25">
      <c r="A843" s="551" t="s">
        <v>33231</v>
      </c>
      <c r="B843" s="342" t="s">
        <v>33232</v>
      </c>
      <c r="C843" s="552" t="s">
        <v>227</v>
      </c>
      <c r="D843" s="553">
        <v>119.14</v>
      </c>
      <c r="E843" s="553">
        <v>78.13</v>
      </c>
      <c r="F843" s="344">
        <v>41.01</v>
      </c>
      <c r="G843" s="553">
        <v>119.14</v>
      </c>
    </row>
    <row r="844" spans="1:7" ht="12.6" customHeight="1" x14ac:dyDescent="0.25">
      <c r="A844" s="551" t="s">
        <v>33233</v>
      </c>
      <c r="B844" s="551" t="s">
        <v>33234</v>
      </c>
      <c r="C844" s="552" t="s">
        <v>227</v>
      </c>
      <c r="D844" s="557">
        <v>129.6</v>
      </c>
      <c r="E844" s="557">
        <v>86.44</v>
      </c>
      <c r="F844" s="557">
        <v>43.16</v>
      </c>
      <c r="G844" s="557">
        <v>129.6</v>
      </c>
    </row>
    <row r="845" spans="1:7" ht="24.95" customHeight="1" x14ac:dyDescent="0.25">
      <c r="A845" s="551" t="s">
        <v>33235</v>
      </c>
      <c r="B845" s="342" t="s">
        <v>33236</v>
      </c>
      <c r="C845" s="552" t="s">
        <v>227</v>
      </c>
      <c r="D845" s="557">
        <v>140.06</v>
      </c>
      <c r="E845" s="557">
        <v>94.75</v>
      </c>
      <c r="F845" s="344">
        <v>45.31</v>
      </c>
      <c r="G845" s="557">
        <v>140.06</v>
      </c>
    </row>
    <row r="846" spans="1:7" ht="24.95" customHeight="1" x14ac:dyDescent="0.25">
      <c r="A846" s="551" t="s">
        <v>33237</v>
      </c>
      <c r="B846" s="342" t="s">
        <v>33238</v>
      </c>
      <c r="C846" s="552" t="s">
        <v>227</v>
      </c>
      <c r="D846" s="557">
        <v>153.08000000000001</v>
      </c>
      <c r="E846" s="557">
        <v>103.45</v>
      </c>
      <c r="F846" s="344">
        <v>49.63</v>
      </c>
      <c r="G846" s="557">
        <v>153.08000000000001</v>
      </c>
    </row>
    <row r="847" spans="1:7" ht="24.95" customHeight="1" x14ac:dyDescent="0.25">
      <c r="A847" s="551" t="s">
        <v>33239</v>
      </c>
      <c r="B847" s="342" t="s">
        <v>33240</v>
      </c>
      <c r="C847" s="552" t="s">
        <v>227</v>
      </c>
      <c r="D847" s="557">
        <v>138.29</v>
      </c>
      <c r="E847" s="557">
        <v>86.5</v>
      </c>
      <c r="F847" s="344">
        <v>51.79</v>
      </c>
      <c r="G847" s="557">
        <v>138.29</v>
      </c>
    </row>
    <row r="848" spans="1:7" ht="24.95" customHeight="1" x14ac:dyDescent="0.25">
      <c r="A848" s="551" t="s">
        <v>33241</v>
      </c>
      <c r="B848" s="342" t="s">
        <v>33242</v>
      </c>
      <c r="C848" s="552" t="s">
        <v>227</v>
      </c>
      <c r="D848" s="557">
        <v>103.82</v>
      </c>
      <c r="E848" s="557">
        <v>64.98</v>
      </c>
      <c r="F848" s="344">
        <v>38.840000000000003</v>
      </c>
      <c r="G848" s="557">
        <v>103.82</v>
      </c>
    </row>
    <row r="849" spans="1:7" ht="24.95" customHeight="1" x14ac:dyDescent="0.25">
      <c r="A849" s="551" t="s">
        <v>33243</v>
      </c>
      <c r="B849" s="342" t="s">
        <v>33244</v>
      </c>
      <c r="C849" s="552" t="s">
        <v>227</v>
      </c>
      <c r="D849" s="557">
        <v>107.95</v>
      </c>
      <c r="E849" s="557">
        <v>79.89</v>
      </c>
      <c r="F849" s="344">
        <v>28.06</v>
      </c>
      <c r="G849" s="557">
        <v>107.95</v>
      </c>
    </row>
    <row r="850" spans="1:7" ht="24.95" customHeight="1" x14ac:dyDescent="0.25">
      <c r="A850" s="551" t="s">
        <v>33245</v>
      </c>
      <c r="B850" s="342" t="s">
        <v>33246</v>
      </c>
      <c r="C850" s="552" t="s">
        <v>227</v>
      </c>
      <c r="D850" s="557">
        <v>29.94</v>
      </c>
      <c r="E850" s="557">
        <v>24.44</v>
      </c>
      <c r="F850" s="344">
        <v>5.5</v>
      </c>
      <c r="G850" s="557">
        <v>29.94</v>
      </c>
    </row>
    <row r="851" spans="1:7" ht="12.6" customHeight="1" x14ac:dyDescent="0.2">
      <c r="A851" s="548" t="s">
        <v>33247</v>
      </c>
      <c r="B851" s="548" t="s">
        <v>33248</v>
      </c>
      <c r="C851" s="550" t="s">
        <v>227</v>
      </c>
      <c r="D851" s="550">
        <v>20.85</v>
      </c>
      <c r="E851" s="550">
        <v>15.35</v>
      </c>
      <c r="F851" s="550">
        <v>5.5</v>
      </c>
      <c r="G851" s="550">
        <v>20.85</v>
      </c>
    </row>
    <row r="852" spans="1:7" ht="12.6" customHeight="1" x14ac:dyDescent="0.25">
      <c r="A852" s="551" t="s">
        <v>33249</v>
      </c>
      <c r="B852" s="551" t="s">
        <v>33250</v>
      </c>
      <c r="C852" s="552"/>
      <c r="D852" s="557"/>
      <c r="E852" s="557"/>
      <c r="F852" s="557"/>
      <c r="G852" s="557"/>
    </row>
    <row r="853" spans="1:7" ht="12.6" customHeight="1" x14ac:dyDescent="0.2">
      <c r="A853" s="548" t="s">
        <v>33251</v>
      </c>
      <c r="B853" s="548" t="s">
        <v>33252</v>
      </c>
      <c r="C853" s="550" t="s">
        <v>6008</v>
      </c>
      <c r="D853" s="550">
        <v>25.9</v>
      </c>
      <c r="E853" s="550">
        <v>25.9</v>
      </c>
      <c r="F853" s="550"/>
      <c r="G853" s="550">
        <v>25.9</v>
      </c>
    </row>
    <row r="854" spans="1:7" ht="12.6" customHeight="1" x14ac:dyDescent="0.2">
      <c r="A854" s="551" t="s">
        <v>33253</v>
      </c>
      <c r="B854" s="551" t="s">
        <v>33254</v>
      </c>
      <c r="C854" s="552" t="s">
        <v>6008</v>
      </c>
      <c r="D854" s="557">
        <v>5.56</v>
      </c>
      <c r="E854" s="343"/>
      <c r="F854" s="557">
        <v>5.56</v>
      </c>
      <c r="G854" s="557">
        <v>5.56</v>
      </c>
    </row>
    <row r="855" spans="1:7" ht="12.6" customHeight="1" x14ac:dyDescent="0.25">
      <c r="A855" s="551" t="s">
        <v>33255</v>
      </c>
      <c r="B855" s="551" t="s">
        <v>33256</v>
      </c>
      <c r="C855" s="552" t="s">
        <v>6008</v>
      </c>
      <c r="D855" s="557">
        <v>22.69</v>
      </c>
      <c r="E855" s="557">
        <v>22.69</v>
      </c>
      <c r="F855" s="557"/>
      <c r="G855" s="557">
        <v>22.69</v>
      </c>
    </row>
    <row r="856" spans="1:7" ht="23.1" customHeight="1" x14ac:dyDescent="0.25">
      <c r="A856" s="551" t="s">
        <v>33257</v>
      </c>
      <c r="B856" s="551" t="s">
        <v>33258</v>
      </c>
      <c r="C856" s="552" t="s">
        <v>6008</v>
      </c>
      <c r="D856" s="557">
        <v>15.67</v>
      </c>
      <c r="E856" s="557">
        <v>15.67</v>
      </c>
      <c r="F856" s="557"/>
      <c r="G856" s="557">
        <v>15.67</v>
      </c>
    </row>
    <row r="857" spans="1:7" ht="23.1" customHeight="1" x14ac:dyDescent="0.25">
      <c r="A857" s="551" t="s">
        <v>33259</v>
      </c>
      <c r="B857" s="551" t="s">
        <v>33260</v>
      </c>
      <c r="C857" s="552" t="s">
        <v>6008</v>
      </c>
      <c r="D857" s="557">
        <v>16.899999999999999</v>
      </c>
      <c r="E857" s="557">
        <v>16.899999999999999</v>
      </c>
      <c r="F857" s="557"/>
      <c r="G857" s="557">
        <v>16.899999999999999</v>
      </c>
    </row>
    <row r="858" spans="1:7" ht="23.1" customHeight="1" x14ac:dyDescent="0.25">
      <c r="A858" s="551" t="s">
        <v>33261</v>
      </c>
      <c r="B858" s="551" t="s">
        <v>33262</v>
      </c>
      <c r="C858" s="552" t="s">
        <v>6008</v>
      </c>
      <c r="D858" s="557">
        <v>22.27</v>
      </c>
      <c r="E858" s="557">
        <v>16.71</v>
      </c>
      <c r="F858" s="557">
        <v>5.56</v>
      </c>
      <c r="G858" s="557">
        <v>22.27</v>
      </c>
    </row>
    <row r="859" spans="1:7" ht="23.1" customHeight="1" x14ac:dyDescent="0.25">
      <c r="A859" s="551" t="s">
        <v>33263</v>
      </c>
      <c r="B859" s="551" t="s">
        <v>33264</v>
      </c>
      <c r="C859" s="552"/>
      <c r="D859" s="557"/>
      <c r="E859" s="557"/>
      <c r="F859" s="557"/>
      <c r="G859" s="557"/>
    </row>
    <row r="860" spans="1:7" ht="12.6" customHeight="1" x14ac:dyDescent="0.2">
      <c r="A860" s="559" t="s">
        <v>33265</v>
      </c>
      <c r="B860" s="548" t="s">
        <v>33266</v>
      </c>
      <c r="C860" s="550" t="s">
        <v>159</v>
      </c>
      <c r="D860" s="550">
        <v>3802.83</v>
      </c>
      <c r="E860" s="550">
        <v>2971.52</v>
      </c>
      <c r="F860" s="550">
        <v>831.31</v>
      </c>
      <c r="G860" s="550">
        <v>3802.83</v>
      </c>
    </row>
    <row r="861" spans="1:7" ht="12.6" customHeight="1" x14ac:dyDescent="0.2">
      <c r="A861" s="548" t="s">
        <v>33267</v>
      </c>
      <c r="B861" s="548" t="s">
        <v>33268</v>
      </c>
      <c r="C861" s="550" t="s">
        <v>159</v>
      </c>
      <c r="D861" s="550">
        <v>3794.18</v>
      </c>
      <c r="E861" s="550">
        <v>2877.08</v>
      </c>
      <c r="F861" s="550">
        <v>917.1</v>
      </c>
      <c r="G861" s="550">
        <v>3794.18</v>
      </c>
    </row>
    <row r="862" spans="1:7" ht="12.6" customHeight="1" x14ac:dyDescent="0.25">
      <c r="A862" s="551" t="s">
        <v>33269</v>
      </c>
      <c r="B862" s="551" t="s">
        <v>33270</v>
      </c>
      <c r="C862" s="552" t="s">
        <v>159</v>
      </c>
      <c r="D862" s="557">
        <v>3332.74</v>
      </c>
      <c r="E862" s="557">
        <v>2542.36</v>
      </c>
      <c r="F862" s="557">
        <v>790.38</v>
      </c>
      <c r="G862" s="557">
        <v>3332.74</v>
      </c>
    </row>
    <row r="863" spans="1:7" ht="23.1" customHeight="1" x14ac:dyDescent="0.25">
      <c r="A863" s="551" t="s">
        <v>33271</v>
      </c>
      <c r="B863" s="551" t="s">
        <v>33272</v>
      </c>
      <c r="C863" s="552" t="s">
        <v>159</v>
      </c>
      <c r="D863" s="557">
        <v>3084.18</v>
      </c>
      <c r="E863" s="557">
        <v>2301.79</v>
      </c>
      <c r="F863" s="557">
        <v>782.39</v>
      </c>
      <c r="G863" s="557">
        <v>3084.18</v>
      </c>
    </row>
    <row r="864" spans="1:7" ht="23.1" customHeight="1" x14ac:dyDescent="0.25">
      <c r="A864" s="551" t="s">
        <v>33273</v>
      </c>
      <c r="B864" s="551" t="s">
        <v>33274</v>
      </c>
      <c r="C864" s="552" t="s">
        <v>159</v>
      </c>
      <c r="D864" s="557">
        <v>3367.92</v>
      </c>
      <c r="E864" s="557">
        <v>2529.65</v>
      </c>
      <c r="F864" s="557">
        <v>838.27</v>
      </c>
      <c r="G864" s="557">
        <v>3367.92</v>
      </c>
    </row>
    <row r="865" spans="1:7" ht="23.1" customHeight="1" x14ac:dyDescent="0.25">
      <c r="A865" s="551" t="s">
        <v>33275</v>
      </c>
      <c r="B865" s="551" t="s">
        <v>33276</v>
      </c>
      <c r="C865" s="552"/>
      <c r="D865" s="557"/>
      <c r="E865" s="557"/>
      <c r="F865" s="557"/>
      <c r="G865" s="557"/>
    </row>
    <row r="866" spans="1:7" ht="23.1" customHeight="1" x14ac:dyDescent="0.25">
      <c r="A866" s="551" t="s">
        <v>33277</v>
      </c>
      <c r="B866" s="551" t="s">
        <v>33278</v>
      </c>
      <c r="C866" s="552" t="s">
        <v>159</v>
      </c>
      <c r="D866" s="557">
        <v>5289.15</v>
      </c>
      <c r="E866" s="557">
        <v>3994.35</v>
      </c>
      <c r="F866" s="557">
        <v>1294.8</v>
      </c>
      <c r="G866" s="557">
        <v>5289.15</v>
      </c>
    </row>
    <row r="867" spans="1:7" ht="24.95" customHeight="1" x14ac:dyDescent="0.25">
      <c r="A867" s="551" t="s">
        <v>33279</v>
      </c>
      <c r="B867" s="342" t="s">
        <v>33280</v>
      </c>
      <c r="C867" s="552" t="s">
        <v>158</v>
      </c>
      <c r="D867" s="557">
        <v>6.2</v>
      </c>
      <c r="E867" s="557">
        <v>0.15</v>
      </c>
      <c r="F867" s="557">
        <v>6.05</v>
      </c>
      <c r="G867" s="557">
        <v>6.2</v>
      </c>
    </row>
    <row r="868" spans="1:7" ht="24.95" customHeight="1" x14ac:dyDescent="0.25">
      <c r="A868" s="551" t="s">
        <v>33281</v>
      </c>
      <c r="B868" s="342" t="s">
        <v>33282</v>
      </c>
      <c r="C868" s="552" t="s">
        <v>158</v>
      </c>
      <c r="D868" s="557">
        <v>16.34</v>
      </c>
      <c r="E868" s="557">
        <v>0.37</v>
      </c>
      <c r="F868" s="557">
        <v>15.97</v>
      </c>
      <c r="G868" s="557">
        <v>16.34</v>
      </c>
    </row>
    <row r="869" spans="1:7" ht="24.95" customHeight="1" x14ac:dyDescent="0.25">
      <c r="A869" s="551" t="s">
        <v>33283</v>
      </c>
      <c r="B869" s="342" t="s">
        <v>33284</v>
      </c>
      <c r="C869" s="552"/>
      <c r="D869" s="557"/>
      <c r="E869" s="557"/>
      <c r="F869" s="557"/>
      <c r="G869" s="557"/>
    </row>
    <row r="870" spans="1:7" ht="12.6" customHeight="1" x14ac:dyDescent="0.25">
      <c r="A870" s="551" t="s">
        <v>33285</v>
      </c>
      <c r="B870" s="551" t="s">
        <v>33286</v>
      </c>
      <c r="C870" s="552"/>
      <c r="D870" s="557"/>
      <c r="E870" s="557"/>
      <c r="F870" s="557"/>
      <c r="G870" s="557"/>
    </row>
    <row r="871" spans="1:7" ht="12.6" customHeight="1" x14ac:dyDescent="0.25">
      <c r="A871" s="551" t="s">
        <v>33287</v>
      </c>
      <c r="B871" s="551" t="s">
        <v>33288</v>
      </c>
      <c r="C871" s="552" t="s">
        <v>227</v>
      </c>
      <c r="D871" s="557">
        <v>74.2</v>
      </c>
      <c r="E871" s="557">
        <v>42.88</v>
      </c>
      <c r="F871" s="557">
        <v>31.32</v>
      </c>
      <c r="G871" s="557">
        <v>74.2</v>
      </c>
    </row>
    <row r="872" spans="1:7" ht="12.6" customHeight="1" x14ac:dyDescent="0.25">
      <c r="A872" s="551" t="s">
        <v>33289</v>
      </c>
      <c r="B872" s="551" t="s">
        <v>33290</v>
      </c>
      <c r="C872" s="552" t="s">
        <v>227</v>
      </c>
      <c r="D872" s="557">
        <v>86.84</v>
      </c>
      <c r="E872" s="557">
        <v>55.52</v>
      </c>
      <c r="F872" s="557">
        <v>31.32</v>
      </c>
      <c r="G872" s="557">
        <v>86.84</v>
      </c>
    </row>
    <row r="873" spans="1:7" ht="23.1" customHeight="1" x14ac:dyDescent="0.25">
      <c r="A873" s="551" t="s">
        <v>33291</v>
      </c>
      <c r="B873" s="551" t="s">
        <v>33292</v>
      </c>
      <c r="C873" s="552" t="s">
        <v>227</v>
      </c>
      <c r="D873" s="557">
        <v>68.92</v>
      </c>
      <c r="E873" s="557">
        <v>37.6</v>
      </c>
      <c r="F873" s="557">
        <v>31.32</v>
      </c>
      <c r="G873" s="557">
        <v>68.92</v>
      </c>
    </row>
    <row r="874" spans="1:7" ht="12.6" customHeight="1" x14ac:dyDescent="0.25">
      <c r="A874" s="551" t="s">
        <v>33293</v>
      </c>
      <c r="B874" s="551" t="s">
        <v>33294</v>
      </c>
      <c r="C874" s="552" t="s">
        <v>227</v>
      </c>
      <c r="D874" s="557">
        <v>130.13999999999999</v>
      </c>
      <c r="E874" s="557">
        <v>83.16</v>
      </c>
      <c r="F874" s="557">
        <v>46.98</v>
      </c>
      <c r="G874" s="557">
        <v>130.13999999999999</v>
      </c>
    </row>
    <row r="875" spans="1:7" ht="12.6" customHeight="1" x14ac:dyDescent="0.2">
      <c r="A875" s="548" t="s">
        <v>33295</v>
      </c>
      <c r="B875" s="548" t="s">
        <v>33296</v>
      </c>
      <c r="C875" s="550" t="s">
        <v>227</v>
      </c>
      <c r="D875" s="550">
        <v>143.91</v>
      </c>
      <c r="E875" s="550">
        <v>96.93</v>
      </c>
      <c r="F875" s="550">
        <v>46.98</v>
      </c>
      <c r="G875" s="550">
        <v>143.91</v>
      </c>
    </row>
    <row r="876" spans="1:7" ht="23.1" customHeight="1" x14ac:dyDescent="0.25">
      <c r="A876" s="551" t="s">
        <v>33297</v>
      </c>
      <c r="B876" s="551" t="s">
        <v>33298</v>
      </c>
      <c r="C876" s="552" t="s">
        <v>158</v>
      </c>
      <c r="D876" s="557">
        <v>14.78</v>
      </c>
      <c r="E876" s="557">
        <v>0.97</v>
      </c>
      <c r="F876" s="344">
        <v>13.81</v>
      </c>
      <c r="G876" s="557">
        <v>14.78</v>
      </c>
    </row>
    <row r="877" spans="1:7" ht="12.6" customHeight="1" x14ac:dyDescent="0.2">
      <c r="A877" s="551" t="s">
        <v>33299</v>
      </c>
      <c r="B877" s="551" t="s">
        <v>33300</v>
      </c>
      <c r="C877" s="552" t="s">
        <v>158</v>
      </c>
      <c r="D877" s="557">
        <v>30.43</v>
      </c>
      <c r="E877" s="343">
        <v>13.16</v>
      </c>
      <c r="F877" s="557">
        <v>17.27</v>
      </c>
      <c r="G877" s="557">
        <v>30.43</v>
      </c>
    </row>
    <row r="878" spans="1:7" ht="11.45" customHeight="1" x14ac:dyDescent="0.25">
      <c r="A878" s="543" t="s">
        <v>33301</v>
      </c>
      <c r="B878" s="544" t="s">
        <v>33302</v>
      </c>
      <c r="C878" s="544" t="s">
        <v>158</v>
      </c>
      <c r="D878" s="543">
        <v>36.94</v>
      </c>
      <c r="E878" s="545">
        <v>19.670000000000002</v>
      </c>
      <c r="F878" s="546">
        <v>17.27</v>
      </c>
      <c r="G878" s="543">
        <v>36.94</v>
      </c>
    </row>
    <row r="879" spans="1:7" ht="23.1" customHeight="1" x14ac:dyDescent="0.25">
      <c r="A879" s="551" t="s">
        <v>33303</v>
      </c>
      <c r="B879" s="551" t="s">
        <v>33304</v>
      </c>
      <c r="C879" s="552"/>
      <c r="D879" s="557"/>
      <c r="E879" s="557"/>
      <c r="F879" s="344"/>
      <c r="G879" s="557"/>
    </row>
    <row r="880" spans="1:7" ht="24.95" customHeight="1" x14ac:dyDescent="0.25">
      <c r="A880" s="551" t="s">
        <v>33305</v>
      </c>
      <c r="B880" s="342" t="s">
        <v>33306</v>
      </c>
      <c r="C880" s="552" t="s">
        <v>227</v>
      </c>
      <c r="D880" s="557">
        <v>63.76</v>
      </c>
      <c r="E880" s="557">
        <v>46.49</v>
      </c>
      <c r="F880" s="344">
        <v>17.27</v>
      </c>
      <c r="G880" s="557">
        <v>63.76</v>
      </c>
    </row>
    <row r="881" spans="1:7" ht="24.95" customHeight="1" x14ac:dyDescent="0.25">
      <c r="A881" s="551" t="s">
        <v>33307</v>
      </c>
      <c r="B881" s="342" t="s">
        <v>33308</v>
      </c>
      <c r="C881" s="552" t="s">
        <v>227</v>
      </c>
      <c r="D881" s="557">
        <v>84.68</v>
      </c>
      <c r="E881" s="557">
        <v>67.41</v>
      </c>
      <c r="F881" s="344">
        <v>17.27</v>
      </c>
      <c r="G881" s="557">
        <v>84.68</v>
      </c>
    </row>
    <row r="882" spans="1:7" ht="24.95" customHeight="1" x14ac:dyDescent="0.25">
      <c r="A882" s="551" t="s">
        <v>33309</v>
      </c>
      <c r="B882" s="342" t="s">
        <v>33310</v>
      </c>
      <c r="C882" s="552" t="s">
        <v>227</v>
      </c>
      <c r="D882" s="557">
        <v>169.72</v>
      </c>
      <c r="E882" s="557">
        <v>152.44999999999999</v>
      </c>
      <c r="F882" s="557">
        <v>17.27</v>
      </c>
      <c r="G882" s="557">
        <v>169.72</v>
      </c>
    </row>
    <row r="883" spans="1:7" ht="12.6" customHeight="1" x14ac:dyDescent="0.2">
      <c r="A883" s="548" t="s">
        <v>33311</v>
      </c>
      <c r="B883" s="548" t="s">
        <v>33312</v>
      </c>
      <c r="C883" s="550" t="s">
        <v>227</v>
      </c>
      <c r="D883" s="550">
        <v>180.22</v>
      </c>
      <c r="E883" s="550">
        <v>162.94999999999999</v>
      </c>
      <c r="F883" s="550">
        <v>17.27</v>
      </c>
      <c r="G883" s="550">
        <v>180.22</v>
      </c>
    </row>
    <row r="884" spans="1:7" ht="23.1" customHeight="1" x14ac:dyDescent="0.25">
      <c r="A884" s="551" t="s">
        <v>33313</v>
      </c>
      <c r="B884" s="551" t="s">
        <v>33314</v>
      </c>
      <c r="C884" s="552" t="s">
        <v>158</v>
      </c>
      <c r="D884" s="553">
        <v>95.75</v>
      </c>
      <c r="E884" s="553">
        <v>87.12</v>
      </c>
      <c r="F884" s="557">
        <v>8.6300000000000008</v>
      </c>
      <c r="G884" s="553">
        <v>95.75</v>
      </c>
    </row>
    <row r="885" spans="1:7" ht="12.6" customHeight="1" x14ac:dyDescent="0.25">
      <c r="A885" s="551" t="s">
        <v>33315</v>
      </c>
      <c r="B885" s="551" t="s">
        <v>33316</v>
      </c>
      <c r="C885" s="552" t="s">
        <v>158</v>
      </c>
      <c r="D885" s="553">
        <v>86.35</v>
      </c>
      <c r="E885" s="553">
        <v>77.72</v>
      </c>
      <c r="F885" s="557">
        <v>8.6300000000000008</v>
      </c>
      <c r="G885" s="553">
        <v>86.35</v>
      </c>
    </row>
    <row r="886" spans="1:7" ht="23.1" customHeight="1" x14ac:dyDescent="0.25">
      <c r="A886" s="551" t="s">
        <v>33317</v>
      </c>
      <c r="B886" s="551" t="s">
        <v>33318</v>
      </c>
      <c r="C886" s="552" t="s">
        <v>158</v>
      </c>
      <c r="D886" s="553">
        <v>124.43</v>
      </c>
      <c r="E886" s="553">
        <v>115.8</v>
      </c>
      <c r="F886" s="557">
        <v>8.6300000000000008</v>
      </c>
      <c r="G886" s="553">
        <v>124.43</v>
      </c>
    </row>
    <row r="887" spans="1:7" ht="23.1" customHeight="1" x14ac:dyDescent="0.25">
      <c r="A887" s="551" t="s">
        <v>33319</v>
      </c>
      <c r="B887" s="551" t="s">
        <v>33320</v>
      </c>
      <c r="C887" s="552" t="s">
        <v>158</v>
      </c>
      <c r="D887" s="553">
        <v>177.33</v>
      </c>
      <c r="E887" s="553">
        <v>168.7</v>
      </c>
      <c r="F887" s="557">
        <v>8.6300000000000008</v>
      </c>
      <c r="G887" s="553">
        <v>177.33</v>
      </c>
    </row>
    <row r="888" spans="1:7" ht="12.6" customHeight="1" x14ac:dyDescent="0.25">
      <c r="A888" s="551" t="s">
        <v>33321</v>
      </c>
      <c r="B888" s="551" t="s">
        <v>33322</v>
      </c>
      <c r="C888" s="552" t="s">
        <v>158</v>
      </c>
      <c r="D888" s="553">
        <v>63.48</v>
      </c>
      <c r="E888" s="553">
        <v>54.85</v>
      </c>
      <c r="F888" s="557">
        <v>8.6300000000000008</v>
      </c>
      <c r="G888" s="553">
        <v>63.48</v>
      </c>
    </row>
    <row r="889" spans="1:7" ht="12.6" customHeight="1" x14ac:dyDescent="0.2">
      <c r="A889" s="548" t="s">
        <v>33323</v>
      </c>
      <c r="B889" s="548" t="s">
        <v>33324</v>
      </c>
      <c r="C889" s="550" t="s">
        <v>158</v>
      </c>
      <c r="D889" s="550">
        <v>105.96</v>
      </c>
      <c r="E889" s="550">
        <v>97.33</v>
      </c>
      <c r="F889" s="550">
        <v>8.6300000000000008</v>
      </c>
      <c r="G889" s="550">
        <v>105.96</v>
      </c>
    </row>
    <row r="890" spans="1:7" ht="12.6" customHeight="1" x14ac:dyDescent="0.25">
      <c r="A890" s="551" t="s">
        <v>33325</v>
      </c>
      <c r="B890" s="551" t="s">
        <v>33326</v>
      </c>
      <c r="C890" s="552" t="s">
        <v>158</v>
      </c>
      <c r="D890" s="553">
        <v>80.75</v>
      </c>
      <c r="E890" s="553">
        <v>72.12</v>
      </c>
      <c r="F890" s="553">
        <v>8.6300000000000008</v>
      </c>
      <c r="G890" s="553">
        <v>80.75</v>
      </c>
    </row>
    <row r="891" spans="1:7" ht="12.6" customHeight="1" x14ac:dyDescent="0.25">
      <c r="A891" s="551" t="s">
        <v>33327</v>
      </c>
      <c r="B891" s="551" t="s">
        <v>33328</v>
      </c>
      <c r="C891" s="552"/>
      <c r="D891" s="557"/>
      <c r="E891" s="557"/>
      <c r="F891" s="557"/>
      <c r="G891" s="557"/>
    </row>
    <row r="892" spans="1:7" ht="23.1" customHeight="1" x14ac:dyDescent="0.25">
      <c r="A892" s="551" t="s">
        <v>33329</v>
      </c>
      <c r="B892" s="551" t="s">
        <v>33330</v>
      </c>
      <c r="C892" s="552" t="s">
        <v>227</v>
      </c>
      <c r="D892" s="557">
        <v>110.03</v>
      </c>
      <c r="E892" s="557">
        <v>81.97</v>
      </c>
      <c r="F892" s="557">
        <v>28.06</v>
      </c>
      <c r="G892" s="557">
        <v>110.03</v>
      </c>
    </row>
    <row r="893" spans="1:7" ht="12.6" customHeight="1" x14ac:dyDescent="0.2">
      <c r="A893" s="559" t="s">
        <v>33331</v>
      </c>
      <c r="B893" s="548" t="s">
        <v>33332</v>
      </c>
      <c r="C893" s="550" t="s">
        <v>158</v>
      </c>
      <c r="D893" s="550">
        <v>125.61</v>
      </c>
      <c r="E893" s="550">
        <v>116.12</v>
      </c>
      <c r="F893" s="550">
        <v>9.49</v>
      </c>
      <c r="G893" s="550">
        <v>125.61</v>
      </c>
    </row>
    <row r="894" spans="1:7" ht="12.6" customHeight="1" x14ac:dyDescent="0.2">
      <c r="A894" s="548" t="s">
        <v>33333</v>
      </c>
      <c r="B894" s="548" t="s">
        <v>33334</v>
      </c>
      <c r="C894" s="550"/>
      <c r="D894" s="550"/>
      <c r="E894" s="550"/>
      <c r="F894" s="550"/>
      <c r="G894" s="550"/>
    </row>
    <row r="895" spans="1:7" ht="12.6" customHeight="1" x14ac:dyDescent="0.25">
      <c r="A895" s="551" t="s">
        <v>33335</v>
      </c>
      <c r="B895" s="551" t="s">
        <v>33336</v>
      </c>
      <c r="C895" s="552" t="s">
        <v>227</v>
      </c>
      <c r="D895" s="557">
        <v>154.59</v>
      </c>
      <c r="E895" s="557">
        <v>137.32</v>
      </c>
      <c r="F895" s="557">
        <v>17.27</v>
      </c>
      <c r="G895" s="557">
        <v>154.59</v>
      </c>
    </row>
    <row r="896" spans="1:7" ht="12.6" customHeight="1" x14ac:dyDescent="0.25">
      <c r="A896" s="551" t="s">
        <v>33337</v>
      </c>
      <c r="B896" s="551" t="s">
        <v>33338</v>
      </c>
      <c r="C896" s="552" t="s">
        <v>227</v>
      </c>
      <c r="D896" s="557">
        <v>232.42</v>
      </c>
      <c r="E896" s="557">
        <v>215.15</v>
      </c>
      <c r="F896" s="557">
        <v>17.27</v>
      </c>
      <c r="G896" s="557">
        <v>232.42</v>
      </c>
    </row>
    <row r="897" spans="1:7" ht="12.6" customHeight="1" x14ac:dyDescent="0.25">
      <c r="A897" s="551" t="s">
        <v>33339</v>
      </c>
      <c r="B897" s="551" t="s">
        <v>33340</v>
      </c>
      <c r="C897" s="552" t="s">
        <v>227</v>
      </c>
      <c r="D897" s="557">
        <v>187.3</v>
      </c>
      <c r="E897" s="557">
        <v>170.03</v>
      </c>
      <c r="F897" s="557">
        <v>17.27</v>
      </c>
      <c r="G897" s="557">
        <v>187.3</v>
      </c>
    </row>
    <row r="898" spans="1:7" ht="12.6" customHeight="1" x14ac:dyDescent="0.25">
      <c r="A898" s="551" t="s">
        <v>33341</v>
      </c>
      <c r="B898" s="551" t="s">
        <v>33342</v>
      </c>
      <c r="C898" s="552" t="s">
        <v>227</v>
      </c>
      <c r="D898" s="557">
        <v>134.9</v>
      </c>
      <c r="E898" s="557">
        <v>117.63</v>
      </c>
      <c r="F898" s="557">
        <v>17.27</v>
      </c>
      <c r="G898" s="557">
        <v>134.9</v>
      </c>
    </row>
    <row r="899" spans="1:7" ht="12.6" customHeight="1" x14ac:dyDescent="0.25">
      <c r="A899" s="551" t="s">
        <v>33343</v>
      </c>
      <c r="B899" s="551" t="s">
        <v>33344</v>
      </c>
      <c r="C899" s="552" t="s">
        <v>158</v>
      </c>
      <c r="D899" s="557">
        <v>113.8</v>
      </c>
      <c r="E899" s="557">
        <v>105.17</v>
      </c>
      <c r="F899" s="557">
        <v>8.6300000000000008</v>
      </c>
      <c r="G899" s="557">
        <v>113.8</v>
      </c>
    </row>
    <row r="900" spans="1:7" ht="12.6" customHeight="1" x14ac:dyDescent="0.25">
      <c r="A900" s="551" t="s">
        <v>33345</v>
      </c>
      <c r="B900" s="551" t="s">
        <v>33346</v>
      </c>
      <c r="C900" s="552" t="s">
        <v>158</v>
      </c>
      <c r="D900" s="557">
        <v>122.41</v>
      </c>
      <c r="E900" s="557">
        <v>113.78</v>
      </c>
      <c r="F900" s="557">
        <v>8.6300000000000008</v>
      </c>
      <c r="G900" s="557">
        <v>122.41</v>
      </c>
    </row>
    <row r="901" spans="1:7" ht="24.95" customHeight="1" x14ac:dyDescent="0.25">
      <c r="A901" s="551" t="s">
        <v>33347</v>
      </c>
      <c r="B901" s="342" t="s">
        <v>33348</v>
      </c>
      <c r="C901" s="552"/>
      <c r="D901" s="557"/>
      <c r="E901" s="557"/>
      <c r="F901" s="557"/>
      <c r="G901" s="557"/>
    </row>
    <row r="902" spans="1:7" ht="12.6" customHeight="1" x14ac:dyDescent="0.25">
      <c r="A902" s="551" t="s">
        <v>33349</v>
      </c>
      <c r="B902" s="551" t="s">
        <v>33350</v>
      </c>
      <c r="C902" s="552" t="s">
        <v>227</v>
      </c>
      <c r="D902" s="557">
        <v>295.45</v>
      </c>
      <c r="E902" s="557">
        <v>252.03</v>
      </c>
      <c r="F902" s="557">
        <v>43.42</v>
      </c>
      <c r="G902" s="557">
        <v>295.45</v>
      </c>
    </row>
    <row r="903" spans="1:7" ht="12.6" customHeight="1" x14ac:dyDescent="0.2">
      <c r="A903" s="548" t="s">
        <v>33351</v>
      </c>
      <c r="B903" s="548" t="s">
        <v>33352</v>
      </c>
      <c r="C903" s="550" t="s">
        <v>227</v>
      </c>
      <c r="D903" s="550">
        <v>189.6</v>
      </c>
      <c r="E903" s="550">
        <v>170.81</v>
      </c>
      <c r="F903" s="550">
        <v>18.79</v>
      </c>
      <c r="G903" s="550">
        <v>189.6</v>
      </c>
    </row>
    <row r="904" spans="1:7" ht="24.95" customHeight="1" x14ac:dyDescent="0.25">
      <c r="A904" s="551" t="s">
        <v>33353</v>
      </c>
      <c r="B904" s="342" t="s">
        <v>33354</v>
      </c>
      <c r="C904" s="552" t="s">
        <v>227</v>
      </c>
      <c r="D904" s="557">
        <v>201.75</v>
      </c>
      <c r="E904" s="557">
        <v>182.96</v>
      </c>
      <c r="F904" s="557">
        <v>18.79</v>
      </c>
      <c r="G904" s="557">
        <v>201.75</v>
      </c>
    </row>
    <row r="905" spans="1:7" ht="24.95" customHeight="1" x14ac:dyDescent="0.25">
      <c r="A905" s="551" t="s">
        <v>33355</v>
      </c>
      <c r="B905" s="342" t="s">
        <v>33356</v>
      </c>
      <c r="C905" s="552" t="s">
        <v>227</v>
      </c>
      <c r="D905" s="557">
        <v>163.41999999999999</v>
      </c>
      <c r="E905" s="557">
        <v>146.15</v>
      </c>
      <c r="F905" s="557">
        <v>17.27</v>
      </c>
      <c r="G905" s="557">
        <v>163.41999999999999</v>
      </c>
    </row>
    <row r="906" spans="1:7" ht="24.95" customHeight="1" x14ac:dyDescent="0.25">
      <c r="A906" s="551" t="s">
        <v>33357</v>
      </c>
      <c r="B906" s="342" t="s">
        <v>33358</v>
      </c>
      <c r="C906" s="552"/>
      <c r="D906" s="557"/>
      <c r="E906" s="557"/>
      <c r="F906" s="557"/>
      <c r="G906" s="557"/>
    </row>
    <row r="907" spans="1:7" ht="23.1" customHeight="1" x14ac:dyDescent="0.25">
      <c r="A907" s="551" t="s">
        <v>33359</v>
      </c>
      <c r="B907" s="551" t="s">
        <v>33360</v>
      </c>
      <c r="C907" s="552" t="s">
        <v>227</v>
      </c>
      <c r="D907" s="557">
        <v>95.61</v>
      </c>
      <c r="E907" s="557">
        <v>78.34</v>
      </c>
      <c r="F907" s="557">
        <v>17.27</v>
      </c>
      <c r="G907" s="557">
        <v>95.61</v>
      </c>
    </row>
    <row r="908" spans="1:7" ht="24.95" customHeight="1" x14ac:dyDescent="0.25">
      <c r="A908" s="551" t="s">
        <v>33361</v>
      </c>
      <c r="B908" s="342" t="s">
        <v>33362</v>
      </c>
      <c r="C908" s="552" t="s">
        <v>227</v>
      </c>
      <c r="D908" s="557">
        <v>132.55000000000001</v>
      </c>
      <c r="E908" s="557">
        <v>115.28</v>
      </c>
      <c r="F908" s="557">
        <v>17.27</v>
      </c>
      <c r="G908" s="557">
        <v>132.55000000000001</v>
      </c>
    </row>
    <row r="909" spans="1:7" ht="24.95" customHeight="1" x14ac:dyDescent="0.25">
      <c r="A909" s="551" t="s">
        <v>33363</v>
      </c>
      <c r="B909" s="342" t="s">
        <v>33364</v>
      </c>
      <c r="C909" s="552" t="s">
        <v>158</v>
      </c>
      <c r="D909" s="557">
        <v>175.89</v>
      </c>
      <c r="E909" s="557">
        <v>167.26</v>
      </c>
      <c r="F909" s="557">
        <v>8.6300000000000008</v>
      </c>
      <c r="G909" s="557">
        <v>175.89</v>
      </c>
    </row>
    <row r="910" spans="1:7" ht="24.95" customHeight="1" x14ac:dyDescent="0.25">
      <c r="A910" s="551" t="s">
        <v>33365</v>
      </c>
      <c r="B910" s="342" t="s">
        <v>33366</v>
      </c>
      <c r="C910" s="552"/>
      <c r="D910" s="557"/>
      <c r="E910" s="557"/>
      <c r="F910" s="557"/>
      <c r="G910" s="557"/>
    </row>
    <row r="911" spans="1:7" ht="24.95" customHeight="1" x14ac:dyDescent="0.25">
      <c r="A911" s="551" t="s">
        <v>33367</v>
      </c>
      <c r="B911" s="342" t="s">
        <v>33368</v>
      </c>
      <c r="C911" s="552" t="s">
        <v>226</v>
      </c>
      <c r="D911" s="557">
        <v>74.22</v>
      </c>
      <c r="E911" s="557">
        <v>69.900000000000006</v>
      </c>
      <c r="F911" s="557">
        <v>4.32</v>
      </c>
      <c r="G911" s="557">
        <v>74.22</v>
      </c>
    </row>
    <row r="912" spans="1:7" ht="23.1" customHeight="1" x14ac:dyDescent="0.25">
      <c r="A912" s="551" t="s">
        <v>33369</v>
      </c>
      <c r="B912" s="551" t="s">
        <v>33370</v>
      </c>
      <c r="C912" s="552" t="s">
        <v>226</v>
      </c>
      <c r="D912" s="557">
        <v>74.22</v>
      </c>
      <c r="E912" s="557">
        <v>69.900000000000006</v>
      </c>
      <c r="F912" s="557">
        <v>4.32</v>
      </c>
      <c r="G912" s="557">
        <v>74.22</v>
      </c>
    </row>
    <row r="913" spans="1:7" ht="23.1" customHeight="1" x14ac:dyDescent="0.25">
      <c r="A913" s="551" t="s">
        <v>33371</v>
      </c>
      <c r="B913" s="551" t="s">
        <v>33372</v>
      </c>
      <c r="C913" s="552"/>
      <c r="D913" s="557"/>
      <c r="E913" s="557"/>
      <c r="F913" s="557"/>
      <c r="G913" s="557"/>
    </row>
    <row r="914" spans="1:7" ht="12.6" customHeight="1" x14ac:dyDescent="0.25">
      <c r="A914" s="551" t="s">
        <v>33373</v>
      </c>
      <c r="B914" s="551" t="s">
        <v>33374</v>
      </c>
      <c r="C914" s="552" t="s">
        <v>227</v>
      </c>
      <c r="D914" s="557">
        <v>696</v>
      </c>
      <c r="E914" s="557">
        <v>696</v>
      </c>
      <c r="F914" s="557"/>
      <c r="G914" s="557">
        <v>696</v>
      </c>
    </row>
    <row r="915" spans="1:7" ht="12.6" customHeight="1" x14ac:dyDescent="0.2">
      <c r="A915" s="548" t="s">
        <v>33375</v>
      </c>
      <c r="B915" s="548" t="s">
        <v>33376</v>
      </c>
      <c r="C915" s="550"/>
      <c r="D915" s="550"/>
      <c r="E915" s="550"/>
      <c r="F915" s="550"/>
      <c r="G915" s="550"/>
    </row>
    <row r="916" spans="1:7" ht="12.6" customHeight="1" x14ac:dyDescent="0.25">
      <c r="A916" s="551" t="s">
        <v>33377</v>
      </c>
      <c r="B916" s="551" t="s">
        <v>33378</v>
      </c>
      <c r="C916" s="552" t="s">
        <v>227</v>
      </c>
      <c r="D916" s="557">
        <v>226.17</v>
      </c>
      <c r="E916" s="557">
        <v>137.81</v>
      </c>
      <c r="F916" s="557">
        <v>88.36</v>
      </c>
      <c r="G916" s="557">
        <v>226.17</v>
      </c>
    </row>
    <row r="917" spans="1:7" ht="11.45" customHeight="1" x14ac:dyDescent="0.25">
      <c r="A917" s="543" t="s">
        <v>33379</v>
      </c>
      <c r="B917" s="544" t="s">
        <v>33380</v>
      </c>
      <c r="C917" s="544" t="s">
        <v>227</v>
      </c>
      <c r="D917" s="543">
        <v>305.87</v>
      </c>
      <c r="E917" s="545">
        <v>226.35</v>
      </c>
      <c r="F917" s="546">
        <v>79.52</v>
      </c>
      <c r="G917" s="543">
        <v>305.87</v>
      </c>
    </row>
    <row r="918" spans="1:7" ht="12.6" customHeight="1" x14ac:dyDescent="0.25">
      <c r="A918" s="551" t="s">
        <v>33381</v>
      </c>
      <c r="B918" s="551" t="s">
        <v>33382</v>
      </c>
      <c r="C918" s="552" t="s">
        <v>227</v>
      </c>
      <c r="D918" s="557">
        <v>317.74</v>
      </c>
      <c r="E918" s="557">
        <v>229.38</v>
      </c>
      <c r="F918" s="557">
        <v>88.36</v>
      </c>
      <c r="G918" s="557">
        <v>317.74</v>
      </c>
    </row>
    <row r="919" spans="1:7" ht="12.6" customHeight="1" x14ac:dyDescent="0.2">
      <c r="A919" s="548" t="s">
        <v>33383</v>
      </c>
      <c r="B919" s="548" t="s">
        <v>33384</v>
      </c>
      <c r="C919" s="550"/>
      <c r="D919" s="550"/>
      <c r="E919" s="550"/>
      <c r="F919" s="550"/>
      <c r="G919" s="550"/>
    </row>
    <row r="920" spans="1:7" ht="24.95" customHeight="1" x14ac:dyDescent="0.25">
      <c r="A920" s="551" t="s">
        <v>33385</v>
      </c>
      <c r="B920" s="342" t="s">
        <v>33386</v>
      </c>
      <c r="C920" s="552" t="s">
        <v>158</v>
      </c>
      <c r="D920" s="557">
        <v>107.09</v>
      </c>
      <c r="E920" s="557">
        <v>54.44</v>
      </c>
      <c r="F920" s="557">
        <v>52.65</v>
      </c>
      <c r="G920" s="557">
        <v>107.09</v>
      </c>
    </row>
    <row r="921" spans="1:7" ht="24.95" customHeight="1" x14ac:dyDescent="0.25">
      <c r="A921" s="551" t="s">
        <v>33387</v>
      </c>
      <c r="B921" s="342" t="s">
        <v>33388</v>
      </c>
      <c r="C921" s="552" t="s">
        <v>158</v>
      </c>
      <c r="D921" s="557">
        <v>146.19999999999999</v>
      </c>
      <c r="E921" s="557">
        <v>83.98</v>
      </c>
      <c r="F921" s="557">
        <v>62.22</v>
      </c>
      <c r="G921" s="557">
        <v>146.19999999999999</v>
      </c>
    </row>
    <row r="922" spans="1:7" ht="24.95" customHeight="1" x14ac:dyDescent="0.25">
      <c r="A922" s="551" t="s">
        <v>33389</v>
      </c>
      <c r="B922" s="342" t="s">
        <v>33390</v>
      </c>
      <c r="C922" s="552" t="s">
        <v>158</v>
      </c>
      <c r="D922" s="557">
        <v>235.25</v>
      </c>
      <c r="E922" s="557">
        <v>168.24</v>
      </c>
      <c r="F922" s="557">
        <v>67.010000000000005</v>
      </c>
      <c r="G922" s="557">
        <v>235.25</v>
      </c>
    </row>
    <row r="923" spans="1:7" ht="24.95" customHeight="1" x14ac:dyDescent="0.25">
      <c r="A923" s="551" t="s">
        <v>33391</v>
      </c>
      <c r="B923" s="342" t="s">
        <v>33392</v>
      </c>
      <c r="C923" s="552" t="s">
        <v>158</v>
      </c>
      <c r="D923" s="557">
        <v>96.46</v>
      </c>
      <c r="E923" s="557">
        <v>43.81</v>
      </c>
      <c r="F923" s="557">
        <v>52.65</v>
      </c>
      <c r="G923" s="557">
        <v>96.46</v>
      </c>
    </row>
    <row r="924" spans="1:7" ht="24.95" customHeight="1" x14ac:dyDescent="0.25">
      <c r="A924" s="551" t="s">
        <v>33393</v>
      </c>
      <c r="B924" s="342" t="s">
        <v>33394</v>
      </c>
      <c r="C924" s="552" t="s">
        <v>158</v>
      </c>
      <c r="D924" s="557">
        <v>125.91</v>
      </c>
      <c r="E924" s="557">
        <v>63.69</v>
      </c>
      <c r="F924" s="557">
        <v>62.22</v>
      </c>
      <c r="G924" s="557">
        <v>125.91</v>
      </c>
    </row>
    <row r="925" spans="1:7" ht="24.95" customHeight="1" x14ac:dyDescent="0.25">
      <c r="A925" s="551" t="s">
        <v>33395</v>
      </c>
      <c r="B925" s="342" t="s">
        <v>33396</v>
      </c>
      <c r="C925" s="552" t="s">
        <v>158</v>
      </c>
      <c r="D925" s="557">
        <v>140.80000000000001</v>
      </c>
      <c r="E925" s="557">
        <v>95.33</v>
      </c>
      <c r="F925" s="557">
        <v>45.47</v>
      </c>
      <c r="G925" s="557">
        <v>140.80000000000001</v>
      </c>
    </row>
    <row r="926" spans="1:7" ht="12.6" customHeight="1" x14ac:dyDescent="0.2">
      <c r="A926" s="548" t="s">
        <v>33397</v>
      </c>
      <c r="B926" s="548" t="s">
        <v>33398</v>
      </c>
      <c r="C926" s="550" t="s">
        <v>226</v>
      </c>
      <c r="D926" s="550">
        <v>16.600000000000001</v>
      </c>
      <c r="E926" s="550">
        <v>15.24</v>
      </c>
      <c r="F926" s="550">
        <v>1.36</v>
      </c>
      <c r="G926" s="550">
        <v>16.600000000000001</v>
      </c>
    </row>
    <row r="927" spans="1:7" ht="24.95" customHeight="1" x14ac:dyDescent="0.25">
      <c r="A927" s="551" t="s">
        <v>33399</v>
      </c>
      <c r="B927" s="342" t="s">
        <v>33400</v>
      </c>
      <c r="C927" s="552" t="s">
        <v>226</v>
      </c>
      <c r="D927" s="557">
        <v>19.190000000000001</v>
      </c>
      <c r="E927" s="557">
        <v>17.239999999999998</v>
      </c>
      <c r="F927" s="557">
        <v>1.95</v>
      </c>
      <c r="G927" s="557">
        <v>19.190000000000001</v>
      </c>
    </row>
    <row r="928" spans="1:7" ht="24.95" customHeight="1" x14ac:dyDescent="0.25">
      <c r="A928" s="551" t="s">
        <v>33401</v>
      </c>
      <c r="B928" s="342" t="s">
        <v>33402</v>
      </c>
      <c r="C928" s="552" t="s">
        <v>226</v>
      </c>
      <c r="D928" s="557">
        <v>22.38</v>
      </c>
      <c r="E928" s="557">
        <v>19.649999999999999</v>
      </c>
      <c r="F928" s="557">
        <v>2.73</v>
      </c>
      <c r="G928" s="557">
        <v>22.38</v>
      </c>
    </row>
    <row r="929" spans="1:7" ht="24.95" customHeight="1" x14ac:dyDescent="0.25">
      <c r="A929" s="551" t="s">
        <v>33403</v>
      </c>
      <c r="B929" s="342" t="s">
        <v>33404</v>
      </c>
      <c r="C929" s="552"/>
      <c r="D929" s="557"/>
      <c r="E929" s="557"/>
      <c r="F929" s="557"/>
      <c r="G929" s="557"/>
    </row>
    <row r="930" spans="1:7" ht="24.95" customHeight="1" x14ac:dyDescent="0.25">
      <c r="A930" s="551" t="s">
        <v>33405</v>
      </c>
      <c r="B930" s="342" t="s">
        <v>33406</v>
      </c>
      <c r="C930" s="552" t="s">
        <v>158</v>
      </c>
      <c r="D930" s="557">
        <v>19.690000000000001</v>
      </c>
      <c r="E930" s="557">
        <v>2.42</v>
      </c>
      <c r="F930" s="557">
        <v>17.27</v>
      </c>
      <c r="G930" s="557">
        <v>19.690000000000001</v>
      </c>
    </row>
    <row r="931" spans="1:7" ht="12.6" customHeight="1" x14ac:dyDescent="0.2">
      <c r="A931" s="548" t="s">
        <v>33407</v>
      </c>
      <c r="B931" s="548" t="s">
        <v>33408</v>
      </c>
      <c r="C931" s="550" t="s">
        <v>227</v>
      </c>
      <c r="D931" s="550">
        <v>46.98</v>
      </c>
      <c r="E931" s="550"/>
      <c r="F931" s="550">
        <v>46.98</v>
      </c>
      <c r="G931" s="550">
        <v>46.98</v>
      </c>
    </row>
    <row r="932" spans="1:7" ht="12.6" customHeight="1" x14ac:dyDescent="0.25">
      <c r="A932" s="551" t="s">
        <v>33409</v>
      </c>
      <c r="B932" s="551" t="s">
        <v>33410</v>
      </c>
      <c r="C932" s="552" t="s">
        <v>227</v>
      </c>
      <c r="D932" s="557">
        <v>46.98</v>
      </c>
      <c r="E932" s="557"/>
      <c r="F932" s="557">
        <v>46.98</v>
      </c>
      <c r="G932" s="557">
        <v>46.98</v>
      </c>
    </row>
    <row r="933" spans="1:7" ht="23.1" customHeight="1" x14ac:dyDescent="0.25">
      <c r="A933" s="551" t="s">
        <v>33411</v>
      </c>
      <c r="B933" s="551" t="s">
        <v>33412</v>
      </c>
      <c r="C933" s="552" t="s">
        <v>227</v>
      </c>
      <c r="D933" s="557">
        <v>21.59</v>
      </c>
      <c r="E933" s="557"/>
      <c r="F933" s="557">
        <v>21.59</v>
      </c>
      <c r="G933" s="557">
        <v>21.59</v>
      </c>
    </row>
    <row r="934" spans="1:7" ht="12.6" customHeight="1" x14ac:dyDescent="0.25">
      <c r="A934" s="551" t="s">
        <v>33413</v>
      </c>
      <c r="B934" s="551" t="s">
        <v>33414</v>
      </c>
      <c r="C934" s="552" t="s">
        <v>227</v>
      </c>
      <c r="D934" s="557">
        <v>31.32</v>
      </c>
      <c r="E934" s="557"/>
      <c r="F934" s="557">
        <v>31.32</v>
      </c>
      <c r="G934" s="557">
        <v>31.32</v>
      </c>
    </row>
    <row r="935" spans="1:7" ht="12.6" customHeight="1" x14ac:dyDescent="0.2">
      <c r="A935" s="548" t="s">
        <v>33415</v>
      </c>
      <c r="B935" s="548" t="s">
        <v>33416</v>
      </c>
      <c r="C935" s="550" t="s">
        <v>227</v>
      </c>
      <c r="D935" s="550">
        <v>21.11</v>
      </c>
      <c r="E935" s="550">
        <v>3.84</v>
      </c>
      <c r="F935" s="550">
        <v>17.27</v>
      </c>
      <c r="G935" s="550">
        <v>21.11</v>
      </c>
    </row>
    <row r="936" spans="1:7" ht="12.6" customHeight="1" x14ac:dyDescent="0.25">
      <c r="A936" s="551" t="s">
        <v>33417</v>
      </c>
      <c r="B936" s="551" t="s">
        <v>33418</v>
      </c>
      <c r="C936" s="552" t="s">
        <v>227</v>
      </c>
      <c r="D936" s="557">
        <v>28.79</v>
      </c>
      <c r="E936" s="557">
        <v>11.52</v>
      </c>
      <c r="F936" s="557">
        <v>17.27</v>
      </c>
      <c r="G936" s="557">
        <v>28.79</v>
      </c>
    </row>
    <row r="937" spans="1:7" ht="12.6" customHeight="1" x14ac:dyDescent="0.25">
      <c r="A937" s="551" t="s">
        <v>33419</v>
      </c>
      <c r="B937" s="551" t="s">
        <v>33420</v>
      </c>
      <c r="C937" s="552"/>
      <c r="D937" s="557"/>
      <c r="E937" s="557"/>
      <c r="F937" s="557"/>
      <c r="G937" s="557"/>
    </row>
    <row r="938" spans="1:7" ht="12.6" customHeight="1" x14ac:dyDescent="0.2">
      <c r="A938" s="548" t="s">
        <v>33421</v>
      </c>
      <c r="B938" s="548" t="s">
        <v>33422</v>
      </c>
      <c r="C938" s="550"/>
      <c r="D938" s="550"/>
      <c r="E938" s="550"/>
      <c r="F938" s="550"/>
      <c r="G938" s="550"/>
    </row>
    <row r="939" spans="1:7" ht="12.6" customHeight="1" x14ac:dyDescent="0.2">
      <c r="A939" s="551" t="s">
        <v>33423</v>
      </c>
      <c r="B939" s="551" t="s">
        <v>33424</v>
      </c>
      <c r="C939" s="552" t="s">
        <v>159</v>
      </c>
      <c r="D939" s="557">
        <v>1278.78</v>
      </c>
      <c r="E939" s="557">
        <v>971.14</v>
      </c>
      <c r="F939" s="343">
        <v>307.64</v>
      </c>
      <c r="G939" s="557">
        <v>1278.78</v>
      </c>
    </row>
    <row r="940" spans="1:7" ht="12.6" customHeight="1" x14ac:dyDescent="0.2">
      <c r="A940" s="548" t="s">
        <v>33425</v>
      </c>
      <c r="B940" s="548" t="s">
        <v>33426</v>
      </c>
      <c r="C940" s="550" t="s">
        <v>159</v>
      </c>
      <c r="D940" s="550">
        <v>758.96</v>
      </c>
      <c r="E940" s="550">
        <v>451.32</v>
      </c>
      <c r="F940" s="550">
        <v>307.64</v>
      </c>
      <c r="G940" s="550">
        <v>758.96</v>
      </c>
    </row>
    <row r="941" spans="1:7" ht="23.1" customHeight="1" x14ac:dyDescent="0.25">
      <c r="A941" s="551" t="s">
        <v>33427</v>
      </c>
      <c r="B941" s="551" t="s">
        <v>33428</v>
      </c>
      <c r="C941" s="552" t="s">
        <v>159</v>
      </c>
      <c r="D941" s="557">
        <v>693.65</v>
      </c>
      <c r="E941" s="557">
        <v>386.01</v>
      </c>
      <c r="F941" s="557">
        <v>307.64</v>
      </c>
      <c r="G941" s="557">
        <v>693.65</v>
      </c>
    </row>
    <row r="942" spans="1:7" ht="12.6" customHeight="1" x14ac:dyDescent="0.25">
      <c r="A942" s="551" t="s">
        <v>33429</v>
      </c>
      <c r="B942" s="551" t="s">
        <v>33430</v>
      </c>
      <c r="C942" s="552" t="s">
        <v>227</v>
      </c>
      <c r="D942" s="557">
        <v>27.68</v>
      </c>
      <c r="E942" s="557">
        <v>3.73</v>
      </c>
      <c r="F942" s="557">
        <v>23.95</v>
      </c>
      <c r="G942" s="557">
        <v>27.68</v>
      </c>
    </row>
    <row r="943" spans="1:7" ht="23.1" customHeight="1" x14ac:dyDescent="0.25">
      <c r="A943" s="551" t="s">
        <v>33431</v>
      </c>
      <c r="B943" s="551" t="s">
        <v>33432</v>
      </c>
      <c r="C943" s="552" t="s">
        <v>227</v>
      </c>
      <c r="D943" s="557">
        <v>32.340000000000003</v>
      </c>
      <c r="E943" s="557">
        <v>8.81</v>
      </c>
      <c r="F943" s="557">
        <v>23.53</v>
      </c>
      <c r="G943" s="557">
        <v>32.340000000000003</v>
      </c>
    </row>
    <row r="944" spans="1:7" ht="12.6" customHeight="1" x14ac:dyDescent="0.2">
      <c r="A944" s="548" t="s">
        <v>33433</v>
      </c>
      <c r="B944" s="548" t="s">
        <v>33434</v>
      </c>
      <c r="C944" s="550" t="s">
        <v>159</v>
      </c>
      <c r="D944" s="550">
        <v>1398.72</v>
      </c>
      <c r="E944" s="550">
        <v>1091.08</v>
      </c>
      <c r="F944" s="550">
        <v>307.64</v>
      </c>
      <c r="G944" s="550">
        <v>1398.72</v>
      </c>
    </row>
    <row r="945" spans="1:7" ht="12.6" customHeight="1" x14ac:dyDescent="0.25">
      <c r="A945" s="551" t="s">
        <v>33435</v>
      </c>
      <c r="B945" s="551" t="s">
        <v>33436</v>
      </c>
      <c r="C945" s="552"/>
      <c r="D945" s="557"/>
      <c r="E945" s="557"/>
      <c r="F945" s="557"/>
      <c r="G945" s="557"/>
    </row>
    <row r="946" spans="1:7" ht="12.6" customHeight="1" x14ac:dyDescent="0.25">
      <c r="A946" s="551" t="s">
        <v>33437</v>
      </c>
      <c r="B946" s="551" t="s">
        <v>33438</v>
      </c>
      <c r="C946" s="552" t="s">
        <v>227</v>
      </c>
      <c r="D946" s="557">
        <v>6.82</v>
      </c>
      <c r="E946" s="557">
        <v>2.2599999999999998</v>
      </c>
      <c r="F946" s="557">
        <v>4.5599999999999996</v>
      </c>
      <c r="G946" s="557">
        <v>6.82</v>
      </c>
    </row>
    <row r="947" spans="1:7" ht="12.6" customHeight="1" x14ac:dyDescent="0.25">
      <c r="A947" s="551" t="s">
        <v>33439</v>
      </c>
      <c r="B947" s="551" t="s">
        <v>33440</v>
      </c>
      <c r="C947" s="552" t="s">
        <v>227</v>
      </c>
      <c r="D947" s="557">
        <v>6.01</v>
      </c>
      <c r="E947" s="557">
        <v>1.45</v>
      </c>
      <c r="F947" s="557">
        <v>4.5599999999999996</v>
      </c>
      <c r="G947" s="557">
        <v>6.01</v>
      </c>
    </row>
    <row r="948" spans="1:7" ht="12.6" customHeight="1" x14ac:dyDescent="0.25">
      <c r="A948" s="551" t="s">
        <v>33441</v>
      </c>
      <c r="B948" s="551" t="s">
        <v>33442</v>
      </c>
      <c r="C948" s="552" t="s">
        <v>227</v>
      </c>
      <c r="D948" s="557">
        <v>11.63</v>
      </c>
      <c r="E948" s="557">
        <v>7.07</v>
      </c>
      <c r="F948" s="557">
        <v>4.5599999999999996</v>
      </c>
      <c r="G948" s="557">
        <v>11.63</v>
      </c>
    </row>
    <row r="949" spans="1:7" ht="12.6" customHeight="1" x14ac:dyDescent="0.25">
      <c r="A949" s="551" t="s">
        <v>33443</v>
      </c>
      <c r="B949" s="551" t="s">
        <v>33444</v>
      </c>
      <c r="C949" s="552" t="s">
        <v>227</v>
      </c>
      <c r="D949" s="557">
        <v>8.9499999999999993</v>
      </c>
      <c r="E949" s="557">
        <v>2.2999999999999998</v>
      </c>
      <c r="F949" s="557">
        <v>6.65</v>
      </c>
      <c r="G949" s="557">
        <v>8.9499999999999993</v>
      </c>
    </row>
    <row r="950" spans="1:7" ht="12.6" customHeight="1" x14ac:dyDescent="0.25">
      <c r="A950" s="551" t="s">
        <v>33445</v>
      </c>
      <c r="B950" s="551" t="s">
        <v>33446</v>
      </c>
      <c r="C950" s="552" t="s">
        <v>227</v>
      </c>
      <c r="D950" s="557">
        <v>10.93</v>
      </c>
      <c r="E950" s="557">
        <v>3.88</v>
      </c>
      <c r="F950" s="557">
        <v>7.05</v>
      </c>
      <c r="G950" s="557">
        <v>10.93</v>
      </c>
    </row>
    <row r="951" spans="1:7" ht="12.6" customHeight="1" x14ac:dyDescent="0.25">
      <c r="A951" s="551" t="s">
        <v>33447</v>
      </c>
      <c r="B951" s="551" t="s">
        <v>33448</v>
      </c>
      <c r="C951" s="552" t="s">
        <v>227</v>
      </c>
      <c r="D951" s="557">
        <v>22.01</v>
      </c>
      <c r="E951" s="557">
        <v>9.48</v>
      </c>
      <c r="F951" s="557">
        <v>12.53</v>
      </c>
      <c r="G951" s="557">
        <v>22.01</v>
      </c>
    </row>
    <row r="952" spans="1:7" ht="12.6" customHeight="1" x14ac:dyDescent="0.25">
      <c r="A952" s="551" t="s">
        <v>33449</v>
      </c>
      <c r="B952" s="551" t="s">
        <v>33450</v>
      </c>
      <c r="C952" s="552" t="s">
        <v>227</v>
      </c>
      <c r="D952" s="557">
        <v>26.75</v>
      </c>
      <c r="E952" s="557">
        <v>9.48</v>
      </c>
      <c r="F952" s="557">
        <v>17.27</v>
      </c>
      <c r="G952" s="557">
        <v>26.75</v>
      </c>
    </row>
    <row r="953" spans="1:7" ht="12.6" customHeight="1" x14ac:dyDescent="0.25">
      <c r="A953" s="551" t="s">
        <v>33451</v>
      </c>
      <c r="B953" s="551" t="s">
        <v>33452</v>
      </c>
      <c r="C953" s="552" t="s">
        <v>227</v>
      </c>
      <c r="D953" s="557">
        <v>50.74</v>
      </c>
      <c r="E953" s="557">
        <v>39.950000000000003</v>
      </c>
      <c r="F953" s="557">
        <v>10.79</v>
      </c>
      <c r="G953" s="557">
        <v>50.74</v>
      </c>
    </row>
    <row r="954" spans="1:7" ht="12.6" customHeight="1" x14ac:dyDescent="0.2">
      <c r="A954" s="548" t="s">
        <v>33453</v>
      </c>
      <c r="B954" s="548" t="s">
        <v>33454</v>
      </c>
      <c r="C954" s="550" t="s">
        <v>227</v>
      </c>
      <c r="D954" s="550">
        <v>12.85</v>
      </c>
      <c r="E954" s="550">
        <v>2.06</v>
      </c>
      <c r="F954" s="550">
        <v>10.79</v>
      </c>
      <c r="G954" s="550">
        <v>12.85</v>
      </c>
    </row>
    <row r="955" spans="1:7" ht="12.6" customHeight="1" x14ac:dyDescent="0.25">
      <c r="A955" s="551" t="s">
        <v>33455</v>
      </c>
      <c r="B955" s="551" t="s">
        <v>33456</v>
      </c>
      <c r="C955" s="552" t="s">
        <v>227</v>
      </c>
      <c r="D955" s="557">
        <v>37.33</v>
      </c>
      <c r="E955" s="557">
        <v>9.27</v>
      </c>
      <c r="F955" s="557">
        <v>28.06</v>
      </c>
      <c r="G955" s="557">
        <v>37.33</v>
      </c>
    </row>
    <row r="956" spans="1:7" ht="12.6" customHeight="1" x14ac:dyDescent="0.2">
      <c r="A956" s="551" t="s">
        <v>33457</v>
      </c>
      <c r="B956" s="551" t="s">
        <v>33458</v>
      </c>
      <c r="C956" s="552"/>
      <c r="D956" s="557"/>
      <c r="E956" s="343"/>
      <c r="F956" s="557"/>
      <c r="G956" s="557"/>
    </row>
    <row r="957" spans="1:7" ht="12.6" customHeight="1" x14ac:dyDescent="0.2">
      <c r="A957" s="551" t="s">
        <v>33459</v>
      </c>
      <c r="B957" s="551" t="s">
        <v>33460</v>
      </c>
      <c r="C957" s="552" t="s">
        <v>227</v>
      </c>
      <c r="D957" s="557">
        <v>32.770000000000003</v>
      </c>
      <c r="E957" s="343">
        <v>9.0299999999999994</v>
      </c>
      <c r="F957" s="557">
        <v>23.74</v>
      </c>
      <c r="G957" s="557">
        <v>32.770000000000003</v>
      </c>
    </row>
    <row r="958" spans="1:7" ht="23.1" customHeight="1" x14ac:dyDescent="0.25">
      <c r="A958" s="551" t="s">
        <v>33461</v>
      </c>
      <c r="B958" s="551" t="s">
        <v>33462</v>
      </c>
      <c r="C958" s="552" t="s">
        <v>227</v>
      </c>
      <c r="D958" s="557">
        <v>37.729999999999997</v>
      </c>
      <c r="E958" s="344">
        <v>9.67</v>
      </c>
      <c r="F958" s="557">
        <v>28.06</v>
      </c>
      <c r="G958" s="557">
        <v>37.729999999999997</v>
      </c>
    </row>
    <row r="959" spans="1:7" ht="12.6" customHeight="1" x14ac:dyDescent="0.2">
      <c r="A959" s="551" t="s">
        <v>33463</v>
      </c>
      <c r="B959" s="551" t="s">
        <v>33464</v>
      </c>
      <c r="C959" s="552" t="s">
        <v>227</v>
      </c>
      <c r="D959" s="557">
        <v>59.35</v>
      </c>
      <c r="E959" s="343">
        <v>31.29</v>
      </c>
      <c r="F959" s="557">
        <v>28.06</v>
      </c>
      <c r="G959" s="557">
        <v>59.35</v>
      </c>
    </row>
    <row r="960" spans="1:7" ht="12.6" customHeight="1" x14ac:dyDescent="0.25">
      <c r="A960" s="551" t="s">
        <v>33465</v>
      </c>
      <c r="B960" s="551" t="s">
        <v>33466</v>
      </c>
      <c r="C960" s="552" t="s">
        <v>227</v>
      </c>
      <c r="D960" s="557">
        <v>26.3</v>
      </c>
      <c r="E960" s="557">
        <v>9.0299999999999994</v>
      </c>
      <c r="F960" s="557">
        <v>17.27</v>
      </c>
      <c r="G960" s="557">
        <v>26.3</v>
      </c>
    </row>
    <row r="961" spans="1:7" ht="11.45" customHeight="1" x14ac:dyDescent="0.25">
      <c r="A961" s="543" t="s">
        <v>33467</v>
      </c>
      <c r="B961" s="544" t="s">
        <v>33468</v>
      </c>
      <c r="C961" s="544" t="s">
        <v>227</v>
      </c>
      <c r="D961" s="543">
        <v>39.24</v>
      </c>
      <c r="E961" s="545">
        <v>9.0299999999999994</v>
      </c>
      <c r="F961" s="546">
        <v>30.21</v>
      </c>
      <c r="G961" s="543">
        <v>39.24</v>
      </c>
    </row>
    <row r="962" spans="1:7" ht="24.95" customHeight="1" x14ac:dyDescent="0.25">
      <c r="A962" s="551" t="s">
        <v>33469</v>
      </c>
      <c r="B962" s="342" t="s">
        <v>33470</v>
      </c>
      <c r="C962" s="552" t="s">
        <v>158</v>
      </c>
      <c r="D962" s="557">
        <v>55.36</v>
      </c>
      <c r="E962" s="557">
        <v>6.49</v>
      </c>
      <c r="F962" s="557">
        <v>48.87</v>
      </c>
      <c r="G962" s="557">
        <v>55.36</v>
      </c>
    </row>
    <row r="963" spans="1:7" ht="12.6" customHeight="1" x14ac:dyDescent="0.2">
      <c r="A963" s="559" t="s">
        <v>33471</v>
      </c>
      <c r="B963" s="548" t="s">
        <v>33472</v>
      </c>
      <c r="C963" s="550" t="s">
        <v>158</v>
      </c>
      <c r="D963" s="550">
        <v>24.14</v>
      </c>
      <c r="E963" s="550">
        <v>1.39</v>
      </c>
      <c r="F963" s="550">
        <v>22.75</v>
      </c>
      <c r="G963" s="550">
        <v>24.14</v>
      </c>
    </row>
    <row r="964" spans="1:7" ht="12.6" customHeight="1" x14ac:dyDescent="0.2">
      <c r="A964" s="548" t="s">
        <v>33473</v>
      </c>
      <c r="B964" s="548" t="s">
        <v>33474</v>
      </c>
      <c r="C964" s="550" t="s">
        <v>158</v>
      </c>
      <c r="D964" s="550">
        <v>24.31</v>
      </c>
      <c r="E964" s="550">
        <v>1.56</v>
      </c>
      <c r="F964" s="550">
        <v>22.75</v>
      </c>
      <c r="G964" s="550">
        <v>24.31</v>
      </c>
    </row>
    <row r="965" spans="1:7" ht="12.6" customHeight="1" x14ac:dyDescent="0.25">
      <c r="A965" s="551" t="s">
        <v>33475</v>
      </c>
      <c r="B965" s="551" t="s">
        <v>33476</v>
      </c>
      <c r="C965" s="552" t="s">
        <v>158</v>
      </c>
      <c r="D965" s="553">
        <v>24.55</v>
      </c>
      <c r="E965" s="557">
        <v>1.8</v>
      </c>
      <c r="F965" s="557">
        <v>22.75</v>
      </c>
      <c r="G965" s="553">
        <v>24.55</v>
      </c>
    </row>
    <row r="966" spans="1:7" ht="12.6" customHeight="1" x14ac:dyDescent="0.25">
      <c r="A966" s="551" t="s">
        <v>33477</v>
      </c>
      <c r="B966" s="551" t="s">
        <v>33478</v>
      </c>
      <c r="C966" s="552" t="s">
        <v>158</v>
      </c>
      <c r="D966" s="557">
        <v>24.99</v>
      </c>
      <c r="E966" s="557">
        <v>2.2400000000000002</v>
      </c>
      <c r="F966" s="557">
        <v>22.75</v>
      </c>
      <c r="G966" s="557">
        <v>24.99</v>
      </c>
    </row>
    <row r="967" spans="1:7" ht="12.6" customHeight="1" x14ac:dyDescent="0.25">
      <c r="A967" s="551" t="s">
        <v>33479</v>
      </c>
      <c r="B967" s="551" t="s">
        <v>33480</v>
      </c>
      <c r="C967" s="552"/>
      <c r="D967" s="557"/>
      <c r="E967" s="557"/>
      <c r="F967" s="557"/>
      <c r="G967" s="557"/>
    </row>
    <row r="968" spans="1:7" ht="12.6" customHeight="1" x14ac:dyDescent="0.25">
      <c r="A968" s="551" t="s">
        <v>33481</v>
      </c>
      <c r="B968" s="551" t="s">
        <v>33482</v>
      </c>
      <c r="C968" s="552" t="s">
        <v>227</v>
      </c>
      <c r="D968" s="557">
        <v>19.25</v>
      </c>
      <c r="E968" s="557">
        <v>4.9000000000000004</v>
      </c>
      <c r="F968" s="557">
        <v>14.35</v>
      </c>
      <c r="G968" s="557">
        <v>19.25</v>
      </c>
    </row>
    <row r="969" spans="1:7" ht="12.6" customHeight="1" x14ac:dyDescent="0.25">
      <c r="A969" s="551" t="s">
        <v>33483</v>
      </c>
      <c r="B969" s="551" t="s">
        <v>33484</v>
      </c>
      <c r="C969" s="552" t="s">
        <v>227</v>
      </c>
      <c r="D969" s="557">
        <v>21.21</v>
      </c>
      <c r="E969" s="557">
        <v>6.86</v>
      </c>
      <c r="F969" s="557">
        <v>14.35</v>
      </c>
      <c r="G969" s="557">
        <v>21.21</v>
      </c>
    </row>
    <row r="970" spans="1:7" ht="12.6" customHeight="1" x14ac:dyDescent="0.25">
      <c r="A970" s="551" t="s">
        <v>33485</v>
      </c>
      <c r="B970" s="551" t="s">
        <v>33486</v>
      </c>
      <c r="C970" s="552"/>
      <c r="D970" s="553"/>
      <c r="E970" s="553"/>
      <c r="F970" s="557"/>
      <c r="G970" s="553"/>
    </row>
    <row r="971" spans="1:7" ht="12.6" customHeight="1" x14ac:dyDescent="0.2">
      <c r="A971" s="548" t="s">
        <v>33487</v>
      </c>
      <c r="B971" s="548" t="s">
        <v>33488</v>
      </c>
      <c r="C971" s="550" t="s">
        <v>159</v>
      </c>
      <c r="D971" s="550">
        <v>856.44</v>
      </c>
      <c r="E971" s="550">
        <v>442.19</v>
      </c>
      <c r="F971" s="550">
        <v>414.25</v>
      </c>
      <c r="G971" s="550">
        <v>856.44</v>
      </c>
    </row>
    <row r="972" spans="1:7" ht="12.6" customHeight="1" x14ac:dyDescent="0.25">
      <c r="A972" s="551" t="s">
        <v>33489</v>
      </c>
      <c r="B972" s="551" t="s">
        <v>33490</v>
      </c>
      <c r="C972" s="552" t="s">
        <v>159</v>
      </c>
      <c r="D972" s="557">
        <v>928.35</v>
      </c>
      <c r="E972" s="557">
        <v>514.1</v>
      </c>
      <c r="F972" s="557">
        <v>414.25</v>
      </c>
      <c r="G972" s="557">
        <v>928.35</v>
      </c>
    </row>
    <row r="973" spans="1:7" ht="12.6" customHeight="1" x14ac:dyDescent="0.25">
      <c r="A973" s="551" t="s">
        <v>33491</v>
      </c>
      <c r="B973" s="551" t="s">
        <v>33492</v>
      </c>
      <c r="C973" s="552" t="s">
        <v>159</v>
      </c>
      <c r="D973" s="557">
        <v>964.33</v>
      </c>
      <c r="E973" s="557">
        <v>550.08000000000004</v>
      </c>
      <c r="F973" s="557">
        <v>414.25</v>
      </c>
      <c r="G973" s="557">
        <v>964.33</v>
      </c>
    </row>
    <row r="974" spans="1:7" ht="12.6" customHeight="1" x14ac:dyDescent="0.25">
      <c r="A974" s="551" t="s">
        <v>33493</v>
      </c>
      <c r="B974" s="551" t="s">
        <v>33494</v>
      </c>
      <c r="C974" s="552" t="s">
        <v>158</v>
      </c>
      <c r="D974" s="557">
        <v>76.81</v>
      </c>
      <c r="E974" s="557">
        <v>28.67</v>
      </c>
      <c r="F974" s="557">
        <v>48.14</v>
      </c>
      <c r="G974" s="557">
        <v>76.81</v>
      </c>
    </row>
    <row r="975" spans="1:7" ht="12.6" customHeight="1" x14ac:dyDescent="0.25">
      <c r="A975" s="551" t="s">
        <v>33495</v>
      </c>
      <c r="B975" s="551" t="s">
        <v>33496</v>
      </c>
      <c r="C975" s="552" t="s">
        <v>158</v>
      </c>
      <c r="D975" s="557">
        <v>79.66</v>
      </c>
      <c r="E975" s="557">
        <v>14.14</v>
      </c>
      <c r="F975" s="557">
        <v>65.52</v>
      </c>
      <c r="G975" s="557">
        <v>79.66</v>
      </c>
    </row>
    <row r="976" spans="1:7" ht="12.6" customHeight="1" x14ac:dyDescent="0.25">
      <c r="A976" s="551" t="s">
        <v>33497</v>
      </c>
      <c r="B976" s="551" t="s">
        <v>33498</v>
      </c>
      <c r="C976" s="552"/>
      <c r="D976" s="557"/>
      <c r="E976" s="557"/>
      <c r="F976" s="557"/>
      <c r="G976" s="557"/>
    </row>
    <row r="977" spans="1:7" ht="12.6" customHeight="1" x14ac:dyDescent="0.25">
      <c r="A977" s="551" t="s">
        <v>33499</v>
      </c>
      <c r="B977" s="551" t="s">
        <v>33500</v>
      </c>
      <c r="C977" s="552" t="s">
        <v>227</v>
      </c>
      <c r="D977" s="557">
        <v>92.87</v>
      </c>
      <c r="E977" s="557">
        <v>85.08</v>
      </c>
      <c r="F977" s="557">
        <v>7.79</v>
      </c>
      <c r="G977" s="557">
        <v>92.87</v>
      </c>
    </row>
    <row r="978" spans="1:7" ht="12.6" customHeight="1" x14ac:dyDescent="0.25">
      <c r="A978" s="551" t="s">
        <v>33501</v>
      </c>
      <c r="B978" s="551" t="s">
        <v>33502</v>
      </c>
      <c r="C978" s="552" t="s">
        <v>158</v>
      </c>
      <c r="D978" s="557">
        <v>46.98</v>
      </c>
      <c r="E978" s="557">
        <v>45.03</v>
      </c>
      <c r="F978" s="557">
        <v>1.95</v>
      </c>
      <c r="G978" s="557">
        <v>46.98</v>
      </c>
    </row>
    <row r="979" spans="1:7" ht="12.6" customHeight="1" x14ac:dyDescent="0.25">
      <c r="A979" s="551" t="s">
        <v>33503</v>
      </c>
      <c r="B979" s="551" t="s">
        <v>33504</v>
      </c>
      <c r="C979" s="552" t="s">
        <v>158</v>
      </c>
      <c r="D979" s="557">
        <v>80.56</v>
      </c>
      <c r="E979" s="557">
        <v>78.22</v>
      </c>
      <c r="F979" s="557">
        <v>2.34</v>
      </c>
      <c r="G979" s="557">
        <v>80.56</v>
      </c>
    </row>
    <row r="980" spans="1:7" ht="12.6" customHeight="1" x14ac:dyDescent="0.25">
      <c r="A980" s="551" t="s">
        <v>33505</v>
      </c>
      <c r="B980" s="551" t="s">
        <v>33506</v>
      </c>
      <c r="C980" s="552" t="s">
        <v>158</v>
      </c>
      <c r="D980" s="557">
        <v>45.15</v>
      </c>
      <c r="E980" s="557">
        <v>41.26</v>
      </c>
      <c r="F980" s="557">
        <v>3.89</v>
      </c>
      <c r="G980" s="557">
        <v>45.15</v>
      </c>
    </row>
    <row r="981" spans="1:7" ht="12.6" customHeight="1" x14ac:dyDescent="0.25">
      <c r="A981" s="551" t="s">
        <v>33507</v>
      </c>
      <c r="B981" s="551" t="s">
        <v>33508</v>
      </c>
      <c r="C981" s="552" t="s">
        <v>158</v>
      </c>
      <c r="D981" s="557">
        <v>119.61</v>
      </c>
      <c r="E981" s="557">
        <v>119.14</v>
      </c>
      <c r="F981" s="557">
        <v>0.47</v>
      </c>
      <c r="G981" s="557">
        <v>119.61</v>
      </c>
    </row>
    <row r="982" spans="1:7" ht="12.6" customHeight="1" x14ac:dyDescent="0.2">
      <c r="A982" s="548" t="s">
        <v>33509</v>
      </c>
      <c r="B982" s="548" t="s">
        <v>33510</v>
      </c>
      <c r="C982" s="550" t="s">
        <v>227</v>
      </c>
      <c r="D982" s="550">
        <v>253.74</v>
      </c>
      <c r="E982" s="550">
        <v>249.07</v>
      </c>
      <c r="F982" s="550">
        <v>4.67</v>
      </c>
      <c r="G982" s="550">
        <v>253.74</v>
      </c>
    </row>
    <row r="983" spans="1:7" ht="12.6" customHeight="1" x14ac:dyDescent="0.25">
      <c r="A983" s="551" t="s">
        <v>33511</v>
      </c>
      <c r="B983" s="551" t="s">
        <v>33512</v>
      </c>
      <c r="C983" s="552"/>
      <c r="D983" s="557"/>
      <c r="E983" s="557"/>
      <c r="F983" s="557"/>
      <c r="G983" s="557"/>
    </row>
    <row r="984" spans="1:7" ht="12.6" customHeight="1" x14ac:dyDescent="0.25">
      <c r="A984" s="551" t="s">
        <v>33513</v>
      </c>
      <c r="B984" s="551" t="s">
        <v>33514</v>
      </c>
      <c r="C984" s="552" t="s">
        <v>227</v>
      </c>
      <c r="D984" s="557">
        <v>90.35</v>
      </c>
      <c r="E984" s="557">
        <v>82.56</v>
      </c>
      <c r="F984" s="557">
        <v>7.79</v>
      </c>
      <c r="G984" s="557">
        <v>90.35</v>
      </c>
    </row>
    <row r="985" spans="1:7" ht="12.6" customHeight="1" x14ac:dyDescent="0.25">
      <c r="A985" s="551" t="s">
        <v>33515</v>
      </c>
      <c r="B985" s="551" t="s">
        <v>33516</v>
      </c>
      <c r="C985" s="552" t="s">
        <v>158</v>
      </c>
      <c r="D985" s="557">
        <v>40.6</v>
      </c>
      <c r="E985" s="557">
        <v>38.65</v>
      </c>
      <c r="F985" s="557">
        <v>1.95</v>
      </c>
      <c r="G985" s="557">
        <v>40.6</v>
      </c>
    </row>
    <row r="986" spans="1:7" ht="12.6" customHeight="1" x14ac:dyDescent="0.25">
      <c r="A986" s="551" t="s">
        <v>33517</v>
      </c>
      <c r="B986" s="551" t="s">
        <v>33518</v>
      </c>
      <c r="C986" s="552" t="s">
        <v>158</v>
      </c>
      <c r="D986" s="557">
        <v>77.03</v>
      </c>
      <c r="E986" s="557">
        <v>74.69</v>
      </c>
      <c r="F986" s="557">
        <v>2.34</v>
      </c>
      <c r="G986" s="557">
        <v>77.03</v>
      </c>
    </row>
    <row r="987" spans="1:7" ht="12.6" customHeight="1" x14ac:dyDescent="0.25">
      <c r="A987" s="551" t="s">
        <v>33519</v>
      </c>
      <c r="B987" s="551" t="s">
        <v>33520</v>
      </c>
      <c r="C987" s="552" t="s">
        <v>158</v>
      </c>
      <c r="D987" s="557">
        <v>82.96</v>
      </c>
      <c r="E987" s="557">
        <v>80.62</v>
      </c>
      <c r="F987" s="557">
        <v>2.34</v>
      </c>
      <c r="G987" s="557">
        <v>82.96</v>
      </c>
    </row>
    <row r="988" spans="1:7" ht="12.6" customHeight="1" x14ac:dyDescent="0.25">
      <c r="A988" s="551" t="s">
        <v>33521</v>
      </c>
      <c r="B988" s="551" t="s">
        <v>33522</v>
      </c>
      <c r="C988" s="552" t="s">
        <v>158</v>
      </c>
      <c r="D988" s="557">
        <v>44.86</v>
      </c>
      <c r="E988" s="557">
        <v>40.97</v>
      </c>
      <c r="F988" s="557">
        <v>3.89</v>
      </c>
      <c r="G988" s="557">
        <v>44.86</v>
      </c>
    </row>
    <row r="989" spans="1:7" ht="12.6" customHeight="1" x14ac:dyDescent="0.25">
      <c r="A989" s="551" t="s">
        <v>33523</v>
      </c>
      <c r="B989" s="551" t="s">
        <v>33524</v>
      </c>
      <c r="C989" s="552" t="s">
        <v>158</v>
      </c>
      <c r="D989" s="557">
        <v>75.83</v>
      </c>
      <c r="E989" s="557">
        <v>75.83</v>
      </c>
      <c r="F989" s="557"/>
      <c r="G989" s="557">
        <v>75.83</v>
      </c>
    </row>
    <row r="990" spans="1:7" ht="12.6" customHeight="1" x14ac:dyDescent="0.25">
      <c r="A990" s="551" t="s">
        <v>33525</v>
      </c>
      <c r="B990" s="551" t="s">
        <v>33526</v>
      </c>
      <c r="C990" s="552" t="s">
        <v>227</v>
      </c>
      <c r="D990" s="557">
        <v>168.86</v>
      </c>
      <c r="E990" s="557">
        <v>168.86</v>
      </c>
      <c r="F990" s="557"/>
      <c r="G990" s="557">
        <v>168.86</v>
      </c>
    </row>
    <row r="991" spans="1:7" ht="12.6" customHeight="1" x14ac:dyDescent="0.25">
      <c r="A991" s="551" t="s">
        <v>33527</v>
      </c>
      <c r="B991" s="551" t="s">
        <v>33528</v>
      </c>
      <c r="C991" s="552" t="s">
        <v>31633</v>
      </c>
      <c r="D991" s="557">
        <v>2848.36</v>
      </c>
      <c r="E991" s="557">
        <v>2848.36</v>
      </c>
      <c r="F991" s="557"/>
      <c r="G991" s="557">
        <v>2848.36</v>
      </c>
    </row>
    <row r="992" spans="1:7" ht="12.6" customHeight="1" x14ac:dyDescent="0.25">
      <c r="A992" s="551" t="s">
        <v>33529</v>
      </c>
      <c r="B992" s="551" t="s">
        <v>33530</v>
      </c>
      <c r="C992" s="552"/>
      <c r="D992" s="557"/>
      <c r="E992" s="557"/>
      <c r="F992" s="557"/>
      <c r="G992" s="557"/>
    </row>
    <row r="993" spans="1:7" ht="12.6" customHeight="1" x14ac:dyDescent="0.2">
      <c r="A993" s="548" t="s">
        <v>33531</v>
      </c>
      <c r="B993" s="548" t="s">
        <v>33532</v>
      </c>
      <c r="C993" s="550" t="s">
        <v>227</v>
      </c>
      <c r="D993" s="550">
        <v>89.15</v>
      </c>
      <c r="E993" s="550">
        <v>34.44</v>
      </c>
      <c r="F993" s="550">
        <v>54.71</v>
      </c>
      <c r="G993" s="550">
        <v>89.15</v>
      </c>
    </row>
    <row r="994" spans="1:7" ht="12.6" customHeight="1" x14ac:dyDescent="0.25">
      <c r="A994" s="551" t="s">
        <v>33533</v>
      </c>
      <c r="B994" s="551" t="s">
        <v>33534</v>
      </c>
      <c r="C994" s="552" t="s">
        <v>158</v>
      </c>
      <c r="D994" s="557">
        <v>99.18</v>
      </c>
      <c r="E994" s="557">
        <v>79.709999999999994</v>
      </c>
      <c r="F994" s="557">
        <v>19.47</v>
      </c>
      <c r="G994" s="557">
        <v>99.18</v>
      </c>
    </row>
    <row r="995" spans="1:7" ht="12.6" customHeight="1" x14ac:dyDescent="0.25">
      <c r="A995" s="551" t="s">
        <v>33535</v>
      </c>
      <c r="B995" s="551" t="s">
        <v>33536</v>
      </c>
      <c r="C995" s="552" t="s">
        <v>158</v>
      </c>
      <c r="D995" s="557">
        <v>11.08</v>
      </c>
      <c r="E995" s="557">
        <v>11.08</v>
      </c>
      <c r="F995" s="557"/>
      <c r="G995" s="557">
        <v>11.08</v>
      </c>
    </row>
    <row r="996" spans="1:7" ht="12.6" customHeight="1" x14ac:dyDescent="0.2">
      <c r="A996" s="548" t="s">
        <v>33537</v>
      </c>
      <c r="B996" s="548" t="s">
        <v>33538</v>
      </c>
      <c r="C996" s="550" t="s">
        <v>227</v>
      </c>
      <c r="D996" s="550">
        <v>161.35</v>
      </c>
      <c r="E996" s="550">
        <v>141.88</v>
      </c>
      <c r="F996" s="550">
        <v>19.47</v>
      </c>
      <c r="G996" s="550">
        <v>161.35</v>
      </c>
    </row>
    <row r="997" spans="1:7" ht="12.6" customHeight="1" x14ac:dyDescent="0.25">
      <c r="A997" s="551" t="s">
        <v>33539</v>
      </c>
      <c r="B997" s="551" t="s">
        <v>33540</v>
      </c>
      <c r="C997" s="552" t="s">
        <v>227</v>
      </c>
      <c r="D997" s="557">
        <v>32.99</v>
      </c>
      <c r="E997" s="557">
        <v>11.53</v>
      </c>
      <c r="F997" s="557">
        <v>21.46</v>
      </c>
      <c r="G997" s="557">
        <v>32.99</v>
      </c>
    </row>
    <row r="998" spans="1:7" ht="23.1" customHeight="1" x14ac:dyDescent="0.25">
      <c r="A998" s="551" t="s">
        <v>33541</v>
      </c>
      <c r="B998" s="551" t="s">
        <v>33542</v>
      </c>
      <c r="C998" s="552"/>
      <c r="D998" s="557"/>
      <c r="E998" s="557"/>
      <c r="F998" s="557"/>
      <c r="G998" s="557"/>
    </row>
    <row r="999" spans="1:7" ht="23.1" customHeight="1" x14ac:dyDescent="0.25">
      <c r="A999" s="551" t="s">
        <v>33543</v>
      </c>
      <c r="B999" s="551" t="s">
        <v>33544</v>
      </c>
      <c r="C999" s="552" t="s">
        <v>227</v>
      </c>
      <c r="D999" s="557">
        <v>43.43</v>
      </c>
      <c r="E999" s="557">
        <v>43.43</v>
      </c>
      <c r="F999" s="557"/>
      <c r="G999" s="557">
        <v>43.43</v>
      </c>
    </row>
    <row r="1000" spans="1:7" ht="12.6" customHeight="1" x14ac:dyDescent="0.25">
      <c r="A1000" s="551" t="s">
        <v>33545</v>
      </c>
      <c r="B1000" s="551" t="s">
        <v>33546</v>
      </c>
      <c r="C1000" s="552" t="s">
        <v>227</v>
      </c>
      <c r="D1000" s="557">
        <v>39.6</v>
      </c>
      <c r="E1000" s="557">
        <v>39.6</v>
      </c>
      <c r="F1000" s="557"/>
      <c r="G1000" s="557">
        <v>39.6</v>
      </c>
    </row>
    <row r="1001" spans="1:7" ht="12.6" customHeight="1" x14ac:dyDescent="0.25">
      <c r="A1001" s="551" t="s">
        <v>33547</v>
      </c>
      <c r="B1001" s="551" t="s">
        <v>33548</v>
      </c>
      <c r="C1001" s="552" t="s">
        <v>158</v>
      </c>
      <c r="D1001" s="557">
        <v>42.27</v>
      </c>
      <c r="E1001" s="557">
        <v>42.27</v>
      </c>
      <c r="F1001" s="557"/>
      <c r="G1001" s="557">
        <v>42.27</v>
      </c>
    </row>
    <row r="1002" spans="1:7" ht="12.6" customHeight="1" x14ac:dyDescent="0.2">
      <c r="A1002" s="548" t="s">
        <v>33549</v>
      </c>
      <c r="B1002" s="548" t="s">
        <v>33550</v>
      </c>
      <c r="C1002" s="550" t="s">
        <v>158</v>
      </c>
      <c r="D1002" s="550">
        <v>35.03</v>
      </c>
      <c r="E1002" s="550">
        <v>35.03</v>
      </c>
      <c r="F1002" s="550"/>
      <c r="G1002" s="550">
        <v>35.03</v>
      </c>
    </row>
    <row r="1003" spans="1:7" ht="12.6" customHeight="1" x14ac:dyDescent="0.25">
      <c r="A1003" s="551" t="s">
        <v>33551</v>
      </c>
      <c r="B1003" s="551" t="s">
        <v>33552</v>
      </c>
      <c r="C1003" s="552" t="s">
        <v>158</v>
      </c>
      <c r="D1003" s="557">
        <v>43.16</v>
      </c>
      <c r="E1003" s="557"/>
      <c r="F1003" s="557">
        <v>43.16</v>
      </c>
      <c r="G1003" s="557">
        <v>43.16</v>
      </c>
    </row>
    <row r="1004" spans="1:7" ht="12.6" customHeight="1" x14ac:dyDescent="0.25">
      <c r="A1004" s="551" t="s">
        <v>33553</v>
      </c>
      <c r="B1004" s="551" t="s">
        <v>33554</v>
      </c>
      <c r="C1004" s="552" t="s">
        <v>227</v>
      </c>
      <c r="D1004" s="557">
        <v>31.96</v>
      </c>
      <c r="E1004" s="557">
        <v>9.9700000000000006</v>
      </c>
      <c r="F1004" s="557">
        <v>21.99</v>
      </c>
      <c r="G1004" s="557">
        <v>31.96</v>
      </c>
    </row>
    <row r="1005" spans="1:7" ht="12.6" customHeight="1" x14ac:dyDescent="0.25">
      <c r="A1005" s="551" t="s">
        <v>33555</v>
      </c>
      <c r="B1005" s="551" t="s">
        <v>33556</v>
      </c>
      <c r="C1005" s="552" t="s">
        <v>227</v>
      </c>
      <c r="D1005" s="557">
        <v>47.35</v>
      </c>
      <c r="E1005" s="557">
        <v>25.36</v>
      </c>
      <c r="F1005" s="557">
        <v>21.99</v>
      </c>
      <c r="G1005" s="557">
        <v>47.35</v>
      </c>
    </row>
    <row r="1006" spans="1:7" ht="12.6" customHeight="1" x14ac:dyDescent="0.25">
      <c r="A1006" s="551" t="s">
        <v>33557</v>
      </c>
      <c r="B1006" s="551" t="s">
        <v>33558</v>
      </c>
      <c r="C1006" s="552" t="s">
        <v>158</v>
      </c>
      <c r="D1006" s="557">
        <v>16.79</v>
      </c>
      <c r="E1006" s="557">
        <v>5.32</v>
      </c>
      <c r="F1006" s="557">
        <v>11.47</v>
      </c>
      <c r="G1006" s="557">
        <v>16.79</v>
      </c>
    </row>
    <row r="1007" spans="1:7" ht="24.95" customHeight="1" x14ac:dyDescent="0.25">
      <c r="A1007" s="551" t="s">
        <v>33559</v>
      </c>
      <c r="B1007" s="342" t="s">
        <v>33560</v>
      </c>
      <c r="C1007" s="552" t="s">
        <v>158</v>
      </c>
      <c r="D1007" s="557">
        <v>25</v>
      </c>
      <c r="E1007" s="557">
        <v>13.53</v>
      </c>
      <c r="F1007" s="557">
        <v>11.47</v>
      </c>
      <c r="G1007" s="557">
        <v>25</v>
      </c>
    </row>
    <row r="1008" spans="1:7" ht="12.6" customHeight="1" x14ac:dyDescent="0.25">
      <c r="A1008" s="551" t="s">
        <v>33561</v>
      </c>
      <c r="B1008" s="551" t="s">
        <v>33562</v>
      </c>
      <c r="C1008" s="552"/>
      <c r="D1008" s="557"/>
      <c r="E1008" s="557"/>
      <c r="F1008" s="557"/>
      <c r="G1008" s="557"/>
    </row>
    <row r="1009" spans="1:7" ht="12.6" customHeight="1" x14ac:dyDescent="0.2">
      <c r="A1009" s="548" t="s">
        <v>33563</v>
      </c>
      <c r="B1009" s="548" t="s">
        <v>33564</v>
      </c>
      <c r="C1009" s="550"/>
      <c r="D1009" s="550"/>
      <c r="E1009" s="550"/>
      <c r="F1009" s="550"/>
      <c r="G1009" s="550"/>
    </row>
    <row r="1010" spans="1:7" ht="12.6" customHeight="1" x14ac:dyDescent="0.25">
      <c r="A1010" s="551" t="s">
        <v>33565</v>
      </c>
      <c r="B1010" s="551" t="s">
        <v>33566</v>
      </c>
      <c r="C1010" s="552" t="s">
        <v>227</v>
      </c>
      <c r="D1010" s="557">
        <v>65.89</v>
      </c>
      <c r="E1010" s="557">
        <v>53.47</v>
      </c>
      <c r="F1010" s="557">
        <v>12.42</v>
      </c>
      <c r="G1010" s="557">
        <v>65.89</v>
      </c>
    </row>
    <row r="1011" spans="1:7" ht="12.6" customHeight="1" x14ac:dyDescent="0.25">
      <c r="A1011" s="551" t="s">
        <v>33567</v>
      </c>
      <c r="B1011" s="551" t="s">
        <v>33568</v>
      </c>
      <c r="C1011" s="552"/>
      <c r="D1011" s="557"/>
      <c r="E1011" s="557"/>
      <c r="F1011" s="557"/>
      <c r="G1011" s="557"/>
    </row>
    <row r="1012" spans="1:7" ht="12.6" customHeight="1" x14ac:dyDescent="0.25">
      <c r="A1012" s="551" t="s">
        <v>33569</v>
      </c>
      <c r="B1012" s="551" t="s">
        <v>33570</v>
      </c>
      <c r="C1012" s="552" t="s">
        <v>227</v>
      </c>
      <c r="D1012" s="557">
        <v>45.1</v>
      </c>
      <c r="E1012" s="557">
        <v>30.4</v>
      </c>
      <c r="F1012" s="557">
        <v>14.7</v>
      </c>
      <c r="G1012" s="557">
        <v>45.1</v>
      </c>
    </row>
    <row r="1013" spans="1:7" ht="12.6" customHeight="1" x14ac:dyDescent="0.25">
      <c r="A1013" s="551" t="s">
        <v>33571</v>
      </c>
      <c r="B1013" s="551" t="s">
        <v>33572</v>
      </c>
      <c r="C1013" s="552" t="s">
        <v>158</v>
      </c>
      <c r="D1013" s="557">
        <v>6.16</v>
      </c>
      <c r="E1013" s="557">
        <v>4.99</v>
      </c>
      <c r="F1013" s="557">
        <v>1.17</v>
      </c>
      <c r="G1013" s="557">
        <v>6.16</v>
      </c>
    </row>
    <row r="1014" spans="1:7" ht="12.6" customHeight="1" x14ac:dyDescent="0.25">
      <c r="A1014" s="551" t="s">
        <v>33573</v>
      </c>
      <c r="B1014" s="551" t="s">
        <v>33574</v>
      </c>
      <c r="C1014" s="552" t="s">
        <v>227</v>
      </c>
      <c r="D1014" s="557">
        <v>159.66999999999999</v>
      </c>
      <c r="E1014" s="557">
        <v>144.97</v>
      </c>
      <c r="F1014" s="557">
        <v>14.7</v>
      </c>
      <c r="G1014" s="557">
        <v>159.66999999999999</v>
      </c>
    </row>
    <row r="1015" spans="1:7" ht="11.45" customHeight="1" x14ac:dyDescent="0.25">
      <c r="A1015" s="543" t="s">
        <v>33575</v>
      </c>
      <c r="B1015" s="544" t="s">
        <v>33576</v>
      </c>
      <c r="C1015" s="544" t="s">
        <v>158</v>
      </c>
      <c r="D1015" s="543">
        <v>25.54</v>
      </c>
      <c r="E1015" s="545">
        <v>24.37</v>
      </c>
      <c r="F1015" s="546">
        <v>1.17</v>
      </c>
      <c r="G1015" s="543">
        <v>25.54</v>
      </c>
    </row>
    <row r="1016" spans="1:7" ht="12.6" customHeight="1" x14ac:dyDescent="0.25">
      <c r="A1016" s="551" t="s">
        <v>33577</v>
      </c>
      <c r="B1016" s="551" t="s">
        <v>33578</v>
      </c>
      <c r="C1016" s="552" t="s">
        <v>227</v>
      </c>
      <c r="D1016" s="557">
        <v>64.69</v>
      </c>
      <c r="E1016" s="557">
        <v>49.99</v>
      </c>
      <c r="F1016" s="344">
        <v>14.7</v>
      </c>
      <c r="G1016" s="557">
        <v>64.69</v>
      </c>
    </row>
    <row r="1017" spans="1:7" ht="12.6" customHeight="1" x14ac:dyDescent="0.2">
      <c r="A1017" s="551" t="s">
        <v>33579</v>
      </c>
      <c r="B1017" s="551" t="s">
        <v>33580</v>
      </c>
      <c r="C1017" s="552" t="s">
        <v>158</v>
      </c>
      <c r="D1017" s="557">
        <v>9.3000000000000007</v>
      </c>
      <c r="E1017" s="557">
        <v>8.1300000000000008</v>
      </c>
      <c r="F1017" s="343">
        <v>1.17</v>
      </c>
      <c r="G1017" s="557">
        <v>9.3000000000000007</v>
      </c>
    </row>
    <row r="1018" spans="1:7" ht="24.95" customHeight="1" x14ac:dyDescent="0.25">
      <c r="A1018" s="551" t="s">
        <v>33581</v>
      </c>
      <c r="B1018" s="342" t="s">
        <v>33582</v>
      </c>
      <c r="C1018" s="552" t="s">
        <v>227</v>
      </c>
      <c r="D1018" s="553">
        <v>50.72</v>
      </c>
      <c r="E1018" s="553">
        <v>36.020000000000003</v>
      </c>
      <c r="F1018" s="344">
        <v>14.7</v>
      </c>
      <c r="G1018" s="553">
        <v>50.72</v>
      </c>
    </row>
    <row r="1019" spans="1:7" ht="12.6" customHeight="1" x14ac:dyDescent="0.2">
      <c r="A1019" s="548" t="s">
        <v>33583</v>
      </c>
      <c r="B1019" s="548" t="s">
        <v>33584</v>
      </c>
      <c r="C1019" s="550" t="s">
        <v>158</v>
      </c>
      <c r="D1019" s="550">
        <v>6.92</v>
      </c>
      <c r="E1019" s="550">
        <v>5.75</v>
      </c>
      <c r="F1019" s="550">
        <v>1.17</v>
      </c>
      <c r="G1019" s="550">
        <v>6.92</v>
      </c>
    </row>
    <row r="1020" spans="1:7" ht="12.6" customHeight="1" x14ac:dyDescent="0.25">
      <c r="A1020" s="551" t="s">
        <v>33585</v>
      </c>
      <c r="B1020" s="551" t="s">
        <v>33586</v>
      </c>
      <c r="C1020" s="552" t="s">
        <v>227</v>
      </c>
      <c r="D1020" s="557">
        <v>73.36</v>
      </c>
      <c r="E1020" s="557">
        <v>11.54</v>
      </c>
      <c r="F1020" s="557">
        <v>61.82</v>
      </c>
      <c r="G1020" s="557">
        <v>73.36</v>
      </c>
    </row>
    <row r="1021" spans="1:7" ht="23.1" customHeight="1" x14ac:dyDescent="0.25">
      <c r="A1021" s="551" t="s">
        <v>33587</v>
      </c>
      <c r="B1021" s="551" t="s">
        <v>33588</v>
      </c>
      <c r="C1021" s="552" t="s">
        <v>227</v>
      </c>
      <c r="D1021" s="557">
        <v>11.04</v>
      </c>
      <c r="E1021" s="557">
        <v>1.23</v>
      </c>
      <c r="F1021" s="557">
        <v>9.81</v>
      </c>
      <c r="G1021" s="557">
        <v>11.04</v>
      </c>
    </row>
    <row r="1022" spans="1:7" ht="23.1" customHeight="1" x14ac:dyDescent="0.25">
      <c r="A1022" s="551" t="s">
        <v>33589</v>
      </c>
      <c r="B1022" s="551" t="s">
        <v>33590</v>
      </c>
      <c r="C1022" s="552" t="s">
        <v>227</v>
      </c>
      <c r="D1022" s="557">
        <v>12.4</v>
      </c>
      <c r="E1022" s="557">
        <v>2.59</v>
      </c>
      <c r="F1022" s="344">
        <v>9.81</v>
      </c>
      <c r="G1022" s="557">
        <v>12.4</v>
      </c>
    </row>
    <row r="1023" spans="1:7" ht="12.6" customHeight="1" x14ac:dyDescent="0.25">
      <c r="A1023" s="551" t="s">
        <v>33591</v>
      </c>
      <c r="B1023" s="551" t="s">
        <v>33592</v>
      </c>
      <c r="C1023" s="552" t="s">
        <v>227</v>
      </c>
      <c r="D1023" s="557">
        <v>12.27</v>
      </c>
      <c r="E1023" s="557">
        <v>2.46</v>
      </c>
      <c r="F1023" s="557">
        <v>9.81</v>
      </c>
      <c r="G1023" s="557">
        <v>12.27</v>
      </c>
    </row>
    <row r="1024" spans="1:7" ht="12.6" customHeight="1" x14ac:dyDescent="0.25">
      <c r="A1024" s="551" t="s">
        <v>33593</v>
      </c>
      <c r="B1024" s="551" t="s">
        <v>33594</v>
      </c>
      <c r="C1024" s="552" t="s">
        <v>227</v>
      </c>
      <c r="D1024" s="557">
        <v>16.29</v>
      </c>
      <c r="E1024" s="557">
        <v>6.48</v>
      </c>
      <c r="F1024" s="557">
        <v>9.81</v>
      </c>
      <c r="G1024" s="557">
        <v>16.29</v>
      </c>
    </row>
    <row r="1025" spans="1:7" ht="12.6" customHeight="1" x14ac:dyDescent="0.2">
      <c r="A1025" s="548" t="s">
        <v>33595</v>
      </c>
      <c r="B1025" s="548" t="s">
        <v>33596</v>
      </c>
      <c r="C1025" s="550" t="s">
        <v>158</v>
      </c>
      <c r="D1025" s="550">
        <v>1.22</v>
      </c>
      <c r="E1025" s="550">
        <v>0.12</v>
      </c>
      <c r="F1025" s="550">
        <v>1.1000000000000001</v>
      </c>
      <c r="G1025" s="550">
        <v>1.22</v>
      </c>
    </row>
    <row r="1026" spans="1:7" ht="12.6" customHeight="1" x14ac:dyDescent="0.2">
      <c r="A1026" s="551" t="s">
        <v>33597</v>
      </c>
      <c r="B1026" s="551" t="s">
        <v>33598</v>
      </c>
      <c r="C1026" s="552" t="s">
        <v>158</v>
      </c>
      <c r="D1026" s="557">
        <v>1.36</v>
      </c>
      <c r="E1026" s="557">
        <v>0.26</v>
      </c>
      <c r="F1026" s="343">
        <v>1.1000000000000001</v>
      </c>
      <c r="G1026" s="557">
        <v>1.36</v>
      </c>
    </row>
    <row r="1027" spans="1:7" ht="24.95" customHeight="1" x14ac:dyDescent="0.25">
      <c r="A1027" s="551" t="s">
        <v>33599</v>
      </c>
      <c r="B1027" s="342" t="s">
        <v>33600</v>
      </c>
      <c r="C1027" s="552" t="s">
        <v>158</v>
      </c>
      <c r="D1027" s="557">
        <v>1.35</v>
      </c>
      <c r="E1027" s="557">
        <v>0.25</v>
      </c>
      <c r="F1027" s="344">
        <v>1.1000000000000001</v>
      </c>
      <c r="G1027" s="557">
        <v>1.35</v>
      </c>
    </row>
    <row r="1028" spans="1:7" ht="23.1" customHeight="1" x14ac:dyDescent="0.25">
      <c r="A1028" s="551" t="s">
        <v>33601</v>
      </c>
      <c r="B1028" s="551" t="s">
        <v>33602</v>
      </c>
      <c r="C1028" s="552" t="s">
        <v>158</v>
      </c>
      <c r="D1028" s="557">
        <v>1.75</v>
      </c>
      <c r="E1028" s="557">
        <v>0.65</v>
      </c>
      <c r="F1028" s="344">
        <v>1.1000000000000001</v>
      </c>
      <c r="G1028" s="557">
        <v>1.75</v>
      </c>
    </row>
    <row r="1029" spans="1:7" ht="12.6" customHeight="1" x14ac:dyDescent="0.2">
      <c r="A1029" s="551" t="s">
        <v>33603</v>
      </c>
      <c r="B1029" s="551" t="s">
        <v>33604</v>
      </c>
      <c r="C1029" s="552"/>
      <c r="D1029" s="557"/>
      <c r="E1029" s="557"/>
      <c r="F1029" s="343"/>
      <c r="G1029" s="557"/>
    </row>
    <row r="1030" spans="1:7" ht="23.1" customHeight="1" x14ac:dyDescent="0.25">
      <c r="A1030" s="551" t="s">
        <v>33605</v>
      </c>
      <c r="B1030" s="551" t="s">
        <v>33606</v>
      </c>
      <c r="C1030" s="552" t="s">
        <v>227</v>
      </c>
      <c r="D1030" s="557">
        <v>147.07</v>
      </c>
      <c r="E1030" s="344">
        <v>132.37</v>
      </c>
      <c r="F1030" s="557">
        <v>14.7</v>
      </c>
      <c r="G1030" s="557">
        <v>147.07</v>
      </c>
    </row>
    <row r="1031" spans="1:7" ht="12.6" customHeight="1" x14ac:dyDescent="0.25">
      <c r="A1031" s="551" t="s">
        <v>33607</v>
      </c>
      <c r="B1031" s="551" t="s">
        <v>33608</v>
      </c>
      <c r="C1031" s="552" t="s">
        <v>227</v>
      </c>
      <c r="D1031" s="557">
        <v>187.53</v>
      </c>
      <c r="E1031" s="557">
        <v>172.83</v>
      </c>
      <c r="F1031" s="557">
        <v>14.7</v>
      </c>
      <c r="G1031" s="557">
        <v>187.53</v>
      </c>
    </row>
    <row r="1032" spans="1:7" ht="12.6" customHeight="1" x14ac:dyDescent="0.25">
      <c r="A1032" s="551" t="s">
        <v>33609</v>
      </c>
      <c r="B1032" s="551" t="s">
        <v>33610</v>
      </c>
      <c r="C1032" s="552" t="s">
        <v>227</v>
      </c>
      <c r="D1032" s="557">
        <v>159.74</v>
      </c>
      <c r="E1032" s="557">
        <v>145.04</v>
      </c>
      <c r="F1032" s="557">
        <v>14.7</v>
      </c>
      <c r="G1032" s="557">
        <v>159.74</v>
      </c>
    </row>
    <row r="1033" spans="1:7" ht="12.6" customHeight="1" x14ac:dyDescent="0.25">
      <c r="A1033" s="551" t="s">
        <v>33611</v>
      </c>
      <c r="B1033" s="551" t="s">
        <v>33612</v>
      </c>
      <c r="C1033" s="552" t="s">
        <v>158</v>
      </c>
      <c r="D1033" s="557">
        <v>43.94</v>
      </c>
      <c r="E1033" s="557">
        <v>42.47</v>
      </c>
      <c r="F1033" s="557">
        <v>1.47</v>
      </c>
      <c r="G1033" s="557">
        <v>43.94</v>
      </c>
    </row>
    <row r="1034" spans="1:7" ht="12.6" customHeight="1" x14ac:dyDescent="0.25">
      <c r="A1034" s="551" t="s">
        <v>33613</v>
      </c>
      <c r="B1034" s="551" t="s">
        <v>33614</v>
      </c>
      <c r="C1034" s="552" t="s">
        <v>227</v>
      </c>
      <c r="D1034" s="557">
        <v>240.11</v>
      </c>
      <c r="E1034" s="557">
        <v>225.41</v>
      </c>
      <c r="F1034" s="557">
        <v>14.7</v>
      </c>
      <c r="G1034" s="557">
        <v>240.11</v>
      </c>
    </row>
    <row r="1035" spans="1:7" ht="12.6" customHeight="1" x14ac:dyDescent="0.2">
      <c r="A1035" s="559" t="s">
        <v>33615</v>
      </c>
      <c r="B1035" s="548" t="s">
        <v>33616</v>
      </c>
      <c r="C1035" s="550" t="s">
        <v>158</v>
      </c>
      <c r="D1035" s="550">
        <v>54.41</v>
      </c>
      <c r="E1035" s="550">
        <v>52.94</v>
      </c>
      <c r="F1035" s="550">
        <v>1.47</v>
      </c>
      <c r="G1035" s="550">
        <v>54.41</v>
      </c>
    </row>
    <row r="1036" spans="1:7" ht="12.6" customHeight="1" x14ac:dyDescent="0.2">
      <c r="A1036" s="548" t="s">
        <v>33617</v>
      </c>
      <c r="B1036" s="548" t="s">
        <v>33618</v>
      </c>
      <c r="C1036" s="550" t="s">
        <v>227</v>
      </c>
      <c r="D1036" s="550">
        <v>44.06</v>
      </c>
      <c r="E1036" s="550">
        <v>34.25</v>
      </c>
      <c r="F1036" s="550">
        <v>9.81</v>
      </c>
      <c r="G1036" s="550">
        <v>44.06</v>
      </c>
    </row>
    <row r="1037" spans="1:7" ht="23.1" customHeight="1" x14ac:dyDescent="0.25">
      <c r="A1037" s="551" t="s">
        <v>33619</v>
      </c>
      <c r="B1037" s="551" t="s">
        <v>33620</v>
      </c>
      <c r="C1037" s="552" t="s">
        <v>227</v>
      </c>
      <c r="D1037" s="557">
        <v>40.659999999999997</v>
      </c>
      <c r="E1037" s="557">
        <v>30.85</v>
      </c>
      <c r="F1037" s="557">
        <v>9.81</v>
      </c>
      <c r="G1037" s="557">
        <v>40.659999999999997</v>
      </c>
    </row>
    <row r="1038" spans="1:7" ht="12.6" customHeight="1" x14ac:dyDescent="0.2">
      <c r="A1038" s="548" t="s">
        <v>33621</v>
      </c>
      <c r="B1038" s="548" t="s">
        <v>33622</v>
      </c>
      <c r="C1038" s="550" t="s">
        <v>227</v>
      </c>
      <c r="D1038" s="550">
        <v>66.89</v>
      </c>
      <c r="E1038" s="550">
        <v>57.08</v>
      </c>
      <c r="F1038" s="550">
        <v>9.81</v>
      </c>
      <c r="G1038" s="550">
        <v>66.89</v>
      </c>
    </row>
    <row r="1039" spans="1:7" ht="34.5" customHeight="1" x14ac:dyDescent="0.25">
      <c r="A1039" s="554" t="s">
        <v>33623</v>
      </c>
      <c r="B1039" s="551" t="s">
        <v>33624</v>
      </c>
      <c r="C1039" s="555" t="s">
        <v>227</v>
      </c>
      <c r="D1039" s="558">
        <v>61.23</v>
      </c>
      <c r="E1039" s="558">
        <v>51.42</v>
      </c>
      <c r="F1039" s="558">
        <v>9.81</v>
      </c>
      <c r="G1039" s="558">
        <v>61.23</v>
      </c>
    </row>
    <row r="1040" spans="1:7" ht="34.5" customHeight="1" x14ac:dyDescent="0.25">
      <c r="A1040" s="554" t="s">
        <v>33625</v>
      </c>
      <c r="B1040" s="342" t="s">
        <v>33626</v>
      </c>
      <c r="C1040" s="555" t="s">
        <v>227</v>
      </c>
      <c r="D1040" s="558">
        <v>65.25</v>
      </c>
      <c r="E1040" s="558">
        <v>55.44</v>
      </c>
      <c r="F1040" s="558">
        <v>9.81</v>
      </c>
      <c r="G1040" s="558">
        <v>65.25</v>
      </c>
    </row>
    <row r="1041" spans="1:7" ht="34.5" customHeight="1" x14ac:dyDescent="0.25">
      <c r="A1041" s="554" t="s">
        <v>33627</v>
      </c>
      <c r="B1041" s="342" t="s">
        <v>33628</v>
      </c>
      <c r="C1041" s="555" t="s">
        <v>158</v>
      </c>
      <c r="D1041" s="558">
        <v>4.4000000000000004</v>
      </c>
      <c r="E1041" s="558">
        <v>3.42</v>
      </c>
      <c r="F1041" s="558">
        <v>0.98</v>
      </c>
      <c r="G1041" s="558">
        <v>4.4000000000000004</v>
      </c>
    </row>
    <row r="1042" spans="1:7" ht="45.95" customHeight="1" x14ac:dyDescent="0.25">
      <c r="A1042" s="551" t="s">
        <v>33629</v>
      </c>
      <c r="B1042" s="551" t="s">
        <v>33630</v>
      </c>
      <c r="C1042" s="552" t="s">
        <v>158</v>
      </c>
      <c r="D1042" s="557">
        <v>4.07</v>
      </c>
      <c r="E1042" s="557">
        <v>3.09</v>
      </c>
      <c r="F1042" s="557">
        <v>0.98</v>
      </c>
      <c r="G1042" s="557">
        <v>4.07</v>
      </c>
    </row>
    <row r="1043" spans="1:7" ht="34.5" customHeight="1" x14ac:dyDescent="0.25">
      <c r="A1043" s="554" t="s">
        <v>33631</v>
      </c>
      <c r="B1043" s="342" t="s">
        <v>33632</v>
      </c>
      <c r="C1043" s="555"/>
      <c r="D1043" s="558"/>
      <c r="E1043" s="558"/>
      <c r="F1043" s="558"/>
      <c r="G1043" s="558"/>
    </row>
    <row r="1044" spans="1:7" ht="34.5" customHeight="1" x14ac:dyDescent="0.25">
      <c r="A1044" s="554" t="s">
        <v>33633</v>
      </c>
      <c r="B1044" s="342" t="s">
        <v>33634</v>
      </c>
      <c r="C1044" s="555" t="s">
        <v>227</v>
      </c>
      <c r="D1044" s="558">
        <v>136.63999999999999</v>
      </c>
      <c r="E1044" s="558">
        <v>97.8</v>
      </c>
      <c r="F1044" s="558">
        <v>38.840000000000003</v>
      </c>
      <c r="G1044" s="558">
        <v>136.63999999999999</v>
      </c>
    </row>
    <row r="1045" spans="1:7" ht="34.5" customHeight="1" x14ac:dyDescent="0.25">
      <c r="A1045" s="554" t="s">
        <v>33635</v>
      </c>
      <c r="B1045" s="342" t="s">
        <v>33636</v>
      </c>
      <c r="C1045" s="555" t="s">
        <v>158</v>
      </c>
      <c r="D1045" s="558">
        <v>28.24</v>
      </c>
      <c r="E1045" s="558">
        <v>17.45</v>
      </c>
      <c r="F1045" s="558">
        <v>10.79</v>
      </c>
      <c r="G1045" s="558">
        <v>28.24</v>
      </c>
    </row>
    <row r="1046" spans="1:7" ht="34.5" customHeight="1" x14ac:dyDescent="0.25">
      <c r="A1046" s="554" t="s">
        <v>33637</v>
      </c>
      <c r="B1046" s="342" t="s">
        <v>33638</v>
      </c>
      <c r="C1046" s="555" t="s">
        <v>227</v>
      </c>
      <c r="D1046" s="558">
        <v>230.14</v>
      </c>
      <c r="E1046" s="558">
        <v>191.3</v>
      </c>
      <c r="F1046" s="558">
        <v>38.840000000000003</v>
      </c>
      <c r="G1046" s="558">
        <v>230.14</v>
      </c>
    </row>
    <row r="1047" spans="1:7" ht="23.1" customHeight="1" x14ac:dyDescent="0.25">
      <c r="A1047" s="551" t="s">
        <v>33639</v>
      </c>
      <c r="B1047" s="551" t="s">
        <v>33640</v>
      </c>
      <c r="C1047" s="552" t="s">
        <v>158</v>
      </c>
      <c r="D1047" s="557">
        <v>44.52</v>
      </c>
      <c r="E1047" s="557">
        <v>33.729999999999997</v>
      </c>
      <c r="F1047" s="557">
        <v>10.79</v>
      </c>
      <c r="G1047" s="557">
        <v>44.52</v>
      </c>
    </row>
    <row r="1048" spans="1:7" ht="11.45" customHeight="1" x14ac:dyDescent="0.25">
      <c r="A1048" s="543" t="s">
        <v>33641</v>
      </c>
      <c r="B1048" s="544" t="s">
        <v>33642</v>
      </c>
      <c r="C1048" s="544" t="s">
        <v>227</v>
      </c>
      <c r="D1048" s="543">
        <v>133.28</v>
      </c>
      <c r="E1048" s="545">
        <v>94.44</v>
      </c>
      <c r="F1048" s="546">
        <v>38.840000000000003</v>
      </c>
      <c r="G1048" s="543">
        <v>133.28</v>
      </c>
    </row>
    <row r="1049" spans="1:7" ht="24.95" customHeight="1" x14ac:dyDescent="0.25">
      <c r="A1049" s="551" t="s">
        <v>33643</v>
      </c>
      <c r="B1049" s="342" t="s">
        <v>33644</v>
      </c>
      <c r="C1049" s="552" t="s">
        <v>158</v>
      </c>
      <c r="D1049" s="557">
        <v>27.65</v>
      </c>
      <c r="E1049" s="557">
        <v>16.86</v>
      </c>
      <c r="F1049" s="557">
        <v>10.79</v>
      </c>
      <c r="G1049" s="557">
        <v>27.65</v>
      </c>
    </row>
    <row r="1050" spans="1:7" ht="24.95" customHeight="1" x14ac:dyDescent="0.25">
      <c r="A1050" s="551" t="s">
        <v>33645</v>
      </c>
      <c r="B1050" s="342" t="s">
        <v>33646</v>
      </c>
      <c r="C1050" s="552" t="s">
        <v>227</v>
      </c>
      <c r="D1050" s="557">
        <v>186.5</v>
      </c>
      <c r="E1050" s="557">
        <v>147.66</v>
      </c>
      <c r="F1050" s="557">
        <v>38.840000000000003</v>
      </c>
      <c r="G1050" s="557">
        <v>186.5</v>
      </c>
    </row>
    <row r="1051" spans="1:7" ht="24.95" customHeight="1" x14ac:dyDescent="0.25">
      <c r="A1051" s="551" t="s">
        <v>33647</v>
      </c>
      <c r="B1051" s="342" t="s">
        <v>33648</v>
      </c>
      <c r="C1051" s="552" t="s">
        <v>158</v>
      </c>
      <c r="D1051" s="557">
        <v>37.119999999999997</v>
      </c>
      <c r="E1051" s="557">
        <v>26.33</v>
      </c>
      <c r="F1051" s="557">
        <v>10.79</v>
      </c>
      <c r="G1051" s="557">
        <v>37.119999999999997</v>
      </c>
    </row>
    <row r="1052" spans="1:7" ht="24.95" customHeight="1" x14ac:dyDescent="0.25">
      <c r="A1052" s="551" t="s">
        <v>33649</v>
      </c>
      <c r="B1052" s="342" t="s">
        <v>33650</v>
      </c>
      <c r="C1052" s="552" t="s">
        <v>227</v>
      </c>
      <c r="D1052" s="557">
        <v>185.13</v>
      </c>
      <c r="E1052" s="557">
        <v>146.29</v>
      </c>
      <c r="F1052" s="557">
        <v>38.840000000000003</v>
      </c>
      <c r="G1052" s="557">
        <v>185.13</v>
      </c>
    </row>
    <row r="1053" spans="1:7" ht="24.95" customHeight="1" x14ac:dyDescent="0.25">
      <c r="A1053" s="551" t="s">
        <v>33651</v>
      </c>
      <c r="B1053" s="342" t="s">
        <v>33652</v>
      </c>
      <c r="C1053" s="552" t="s">
        <v>158</v>
      </c>
      <c r="D1053" s="557">
        <v>36.880000000000003</v>
      </c>
      <c r="E1053" s="557">
        <v>26.09</v>
      </c>
      <c r="F1053" s="557">
        <v>10.79</v>
      </c>
      <c r="G1053" s="557">
        <v>36.880000000000003</v>
      </c>
    </row>
    <row r="1054" spans="1:7" ht="34.5" customHeight="1" x14ac:dyDescent="0.25">
      <c r="A1054" s="554" t="s">
        <v>33653</v>
      </c>
      <c r="B1054" s="551" t="s">
        <v>33654</v>
      </c>
      <c r="C1054" s="555" t="s">
        <v>227</v>
      </c>
      <c r="D1054" s="558">
        <v>217.71</v>
      </c>
      <c r="E1054" s="558">
        <v>178.87</v>
      </c>
      <c r="F1054" s="558">
        <v>38.840000000000003</v>
      </c>
      <c r="G1054" s="558">
        <v>217.71</v>
      </c>
    </row>
    <row r="1055" spans="1:7" ht="24.95" customHeight="1" x14ac:dyDescent="0.25">
      <c r="A1055" s="551" t="s">
        <v>33655</v>
      </c>
      <c r="B1055" s="342" t="s">
        <v>33656</v>
      </c>
      <c r="C1055" s="552" t="s">
        <v>158</v>
      </c>
      <c r="D1055" s="557">
        <v>42.55</v>
      </c>
      <c r="E1055" s="557">
        <v>31.76</v>
      </c>
      <c r="F1055" s="557">
        <v>10.79</v>
      </c>
      <c r="G1055" s="557">
        <v>42.55</v>
      </c>
    </row>
    <row r="1056" spans="1:7" ht="34.5" customHeight="1" x14ac:dyDescent="0.25">
      <c r="A1056" s="554" t="s">
        <v>33657</v>
      </c>
      <c r="B1056" s="551" t="s">
        <v>33658</v>
      </c>
      <c r="C1056" s="555"/>
      <c r="D1056" s="558"/>
      <c r="E1056" s="558"/>
      <c r="F1056" s="558"/>
      <c r="G1056" s="558"/>
    </row>
    <row r="1057" spans="1:7" ht="12.6" customHeight="1" x14ac:dyDescent="0.2">
      <c r="A1057" s="548" t="s">
        <v>33659</v>
      </c>
      <c r="B1057" s="548" t="s">
        <v>33660</v>
      </c>
      <c r="C1057" s="550" t="s">
        <v>227</v>
      </c>
      <c r="D1057" s="550">
        <v>152.97</v>
      </c>
      <c r="E1057" s="550">
        <v>130.97</v>
      </c>
      <c r="F1057" s="550">
        <v>22</v>
      </c>
      <c r="G1057" s="550">
        <v>152.97</v>
      </c>
    </row>
    <row r="1058" spans="1:7" ht="34.5" customHeight="1" x14ac:dyDescent="0.25">
      <c r="A1058" s="554" t="s">
        <v>33661</v>
      </c>
      <c r="B1058" s="342" t="s">
        <v>33662</v>
      </c>
      <c r="C1058" s="555" t="s">
        <v>227</v>
      </c>
      <c r="D1058" s="558">
        <v>107.79</v>
      </c>
      <c r="E1058" s="558">
        <v>85.79</v>
      </c>
      <c r="F1058" s="558">
        <v>22</v>
      </c>
      <c r="G1058" s="558">
        <v>107.79</v>
      </c>
    </row>
    <row r="1059" spans="1:7" ht="34.5" customHeight="1" x14ac:dyDescent="0.25">
      <c r="A1059" s="554" t="s">
        <v>33663</v>
      </c>
      <c r="B1059" s="342" t="s">
        <v>33664</v>
      </c>
      <c r="C1059" s="555" t="s">
        <v>227</v>
      </c>
      <c r="D1059" s="558">
        <v>95.33</v>
      </c>
      <c r="E1059" s="558">
        <v>73.33</v>
      </c>
      <c r="F1059" s="558">
        <v>22</v>
      </c>
      <c r="G1059" s="558">
        <v>95.33</v>
      </c>
    </row>
    <row r="1060" spans="1:7" ht="34.5" customHeight="1" x14ac:dyDescent="0.25">
      <c r="A1060" s="554" t="s">
        <v>33665</v>
      </c>
      <c r="B1060" s="342" t="s">
        <v>33666</v>
      </c>
      <c r="C1060" s="555" t="s">
        <v>227</v>
      </c>
      <c r="D1060" s="558">
        <v>92.24</v>
      </c>
      <c r="E1060" s="558">
        <v>70.239999999999995</v>
      </c>
      <c r="F1060" s="558">
        <v>22</v>
      </c>
      <c r="G1060" s="558">
        <v>92.24</v>
      </c>
    </row>
    <row r="1061" spans="1:7" ht="34.5" customHeight="1" x14ac:dyDescent="0.25">
      <c r="A1061" s="554" t="s">
        <v>33667</v>
      </c>
      <c r="B1061" s="342" t="s">
        <v>33668</v>
      </c>
      <c r="C1061" s="555" t="s">
        <v>227</v>
      </c>
      <c r="D1061" s="558">
        <v>82.1</v>
      </c>
      <c r="E1061" s="558">
        <v>60.1</v>
      </c>
      <c r="F1061" s="558">
        <v>22</v>
      </c>
      <c r="G1061" s="558">
        <v>82.1</v>
      </c>
    </row>
    <row r="1062" spans="1:7" ht="45.95" customHeight="1" x14ac:dyDescent="0.25">
      <c r="A1062" s="551" t="s">
        <v>33669</v>
      </c>
      <c r="B1062" s="551" t="s">
        <v>33670</v>
      </c>
      <c r="C1062" s="552"/>
      <c r="D1062" s="557"/>
      <c r="E1062" s="557"/>
      <c r="F1062" s="557"/>
      <c r="G1062" s="557"/>
    </row>
    <row r="1063" spans="1:7" ht="45.95" customHeight="1" x14ac:dyDescent="0.25">
      <c r="A1063" s="551" t="s">
        <v>33671</v>
      </c>
      <c r="B1063" s="551" t="s">
        <v>33672</v>
      </c>
      <c r="C1063" s="552" t="s">
        <v>227</v>
      </c>
      <c r="D1063" s="557">
        <v>197.36</v>
      </c>
      <c r="E1063" s="557">
        <v>169.52</v>
      </c>
      <c r="F1063" s="557">
        <v>27.84</v>
      </c>
      <c r="G1063" s="557">
        <v>197.36</v>
      </c>
    </row>
    <row r="1064" spans="1:7" ht="34.5" customHeight="1" x14ac:dyDescent="0.25">
      <c r="A1064" s="554" t="s">
        <v>33673</v>
      </c>
      <c r="B1064" s="342" t="s">
        <v>33674</v>
      </c>
      <c r="C1064" s="555" t="s">
        <v>227</v>
      </c>
      <c r="D1064" s="558">
        <v>381.71</v>
      </c>
      <c r="E1064" s="558">
        <v>353.87</v>
      </c>
      <c r="F1064" s="558">
        <v>27.84</v>
      </c>
      <c r="G1064" s="558">
        <v>381.71</v>
      </c>
    </row>
    <row r="1065" spans="1:7" ht="34.5" customHeight="1" x14ac:dyDescent="0.25">
      <c r="A1065" s="554" t="s">
        <v>33675</v>
      </c>
      <c r="B1065" s="342" t="s">
        <v>33676</v>
      </c>
      <c r="C1065" s="555" t="s">
        <v>227</v>
      </c>
      <c r="D1065" s="558">
        <v>401.18</v>
      </c>
      <c r="E1065" s="558">
        <v>373.34</v>
      </c>
      <c r="F1065" s="558">
        <v>27.84</v>
      </c>
      <c r="G1065" s="558">
        <v>401.18</v>
      </c>
    </row>
    <row r="1066" spans="1:7" ht="34.5" customHeight="1" x14ac:dyDescent="0.25">
      <c r="A1066" s="554" t="s">
        <v>33677</v>
      </c>
      <c r="B1066" s="342" t="s">
        <v>33678</v>
      </c>
      <c r="C1066" s="555"/>
      <c r="D1066" s="558"/>
      <c r="E1066" s="558"/>
      <c r="F1066" s="558"/>
      <c r="G1066" s="558"/>
    </row>
    <row r="1067" spans="1:7" ht="34.5" customHeight="1" x14ac:dyDescent="0.25">
      <c r="A1067" s="554" t="s">
        <v>33679</v>
      </c>
      <c r="B1067" s="342" t="s">
        <v>33680</v>
      </c>
      <c r="C1067" s="555" t="s">
        <v>227</v>
      </c>
      <c r="D1067" s="558">
        <v>137.55000000000001</v>
      </c>
      <c r="E1067" s="558">
        <v>119.73</v>
      </c>
      <c r="F1067" s="558">
        <v>17.82</v>
      </c>
      <c r="G1067" s="558">
        <v>137.55000000000001</v>
      </c>
    </row>
    <row r="1068" spans="1:7" ht="34.5" customHeight="1" x14ac:dyDescent="0.25">
      <c r="A1068" s="554" t="s">
        <v>33681</v>
      </c>
      <c r="B1068" s="342" t="s">
        <v>33682</v>
      </c>
      <c r="C1068" s="555" t="s">
        <v>227</v>
      </c>
      <c r="D1068" s="558">
        <v>142.07</v>
      </c>
      <c r="E1068" s="558">
        <v>124.25</v>
      </c>
      <c r="F1068" s="558">
        <v>17.82</v>
      </c>
      <c r="G1068" s="558">
        <v>142.07</v>
      </c>
    </row>
    <row r="1069" spans="1:7" ht="34.5" customHeight="1" x14ac:dyDescent="0.25">
      <c r="A1069" s="554" t="s">
        <v>33683</v>
      </c>
      <c r="B1069" s="342" t="s">
        <v>33684</v>
      </c>
      <c r="C1069" s="555" t="s">
        <v>227</v>
      </c>
      <c r="D1069" s="558">
        <v>54.8</v>
      </c>
      <c r="E1069" s="558">
        <v>44.99</v>
      </c>
      <c r="F1069" s="558">
        <v>9.81</v>
      </c>
      <c r="G1069" s="558">
        <v>54.8</v>
      </c>
    </row>
    <row r="1070" spans="1:7" ht="11.45" customHeight="1" x14ac:dyDescent="0.25">
      <c r="A1070" s="543" t="s">
        <v>33685</v>
      </c>
      <c r="B1070" s="544" t="s">
        <v>33686</v>
      </c>
      <c r="C1070" s="544"/>
      <c r="D1070" s="543"/>
      <c r="E1070" s="545"/>
      <c r="F1070" s="546"/>
      <c r="G1070" s="543"/>
    </row>
    <row r="1071" spans="1:7" ht="34.5" customHeight="1" x14ac:dyDescent="0.25">
      <c r="A1071" s="551" t="s">
        <v>33687</v>
      </c>
      <c r="B1071" s="342" t="s">
        <v>33688</v>
      </c>
      <c r="C1071" s="552"/>
      <c r="D1071" s="557"/>
      <c r="E1071" s="557"/>
      <c r="F1071" s="557"/>
      <c r="G1071" s="557"/>
    </row>
    <row r="1072" spans="1:7" ht="12.6" customHeight="1" x14ac:dyDescent="0.2">
      <c r="A1072" s="548" t="s">
        <v>33689</v>
      </c>
      <c r="B1072" s="548" t="s">
        <v>33690</v>
      </c>
      <c r="C1072" s="550" t="s">
        <v>227</v>
      </c>
      <c r="D1072" s="550">
        <v>449.36</v>
      </c>
      <c r="E1072" s="550">
        <v>404.06</v>
      </c>
      <c r="F1072" s="550">
        <v>45.3</v>
      </c>
      <c r="G1072" s="550">
        <v>449.36</v>
      </c>
    </row>
    <row r="1073" spans="1:7" ht="34.5" customHeight="1" x14ac:dyDescent="0.25">
      <c r="A1073" s="554" t="s">
        <v>33691</v>
      </c>
      <c r="B1073" s="342" t="s">
        <v>33692</v>
      </c>
      <c r="C1073" s="555" t="s">
        <v>158</v>
      </c>
      <c r="D1073" s="558">
        <v>158.06</v>
      </c>
      <c r="E1073" s="558">
        <v>137.21</v>
      </c>
      <c r="F1073" s="558">
        <v>20.85</v>
      </c>
      <c r="G1073" s="558">
        <v>158.06</v>
      </c>
    </row>
    <row r="1074" spans="1:7" ht="34.5" customHeight="1" x14ac:dyDescent="0.25">
      <c r="A1074" s="554" t="s">
        <v>33693</v>
      </c>
      <c r="B1074" s="342" t="s">
        <v>33694</v>
      </c>
      <c r="C1074" s="555" t="s">
        <v>158</v>
      </c>
      <c r="D1074" s="558">
        <v>186.12</v>
      </c>
      <c r="E1074" s="558">
        <v>160.06</v>
      </c>
      <c r="F1074" s="558">
        <v>26.06</v>
      </c>
      <c r="G1074" s="558">
        <v>186.12</v>
      </c>
    </row>
    <row r="1075" spans="1:7" ht="34.5" customHeight="1" x14ac:dyDescent="0.25">
      <c r="A1075" s="554" t="s">
        <v>33695</v>
      </c>
      <c r="B1075" s="342" t="s">
        <v>33696</v>
      </c>
      <c r="C1075" s="555" t="s">
        <v>158</v>
      </c>
      <c r="D1075" s="558">
        <v>414.21</v>
      </c>
      <c r="E1075" s="558">
        <v>362.1</v>
      </c>
      <c r="F1075" s="558">
        <v>52.11</v>
      </c>
      <c r="G1075" s="558">
        <v>414.21</v>
      </c>
    </row>
    <row r="1076" spans="1:7" ht="34.5" customHeight="1" x14ac:dyDescent="0.25">
      <c r="A1076" s="554" t="s">
        <v>33697</v>
      </c>
      <c r="B1076" s="342" t="s">
        <v>33698</v>
      </c>
      <c r="C1076" s="555" t="s">
        <v>158</v>
      </c>
      <c r="D1076" s="558">
        <v>93.32</v>
      </c>
      <c r="E1076" s="558">
        <v>81.91</v>
      </c>
      <c r="F1076" s="558">
        <v>11.41</v>
      </c>
      <c r="G1076" s="558">
        <v>93.32</v>
      </c>
    </row>
    <row r="1077" spans="1:7" ht="45.95" customHeight="1" x14ac:dyDescent="0.25">
      <c r="A1077" s="551" t="s">
        <v>33699</v>
      </c>
      <c r="B1077" s="551" t="s">
        <v>33700</v>
      </c>
      <c r="C1077" s="552" t="s">
        <v>158</v>
      </c>
      <c r="D1077" s="557">
        <v>100.69</v>
      </c>
      <c r="E1077" s="557">
        <v>89.28</v>
      </c>
      <c r="F1077" s="557">
        <v>11.41</v>
      </c>
      <c r="G1077" s="557">
        <v>100.69</v>
      </c>
    </row>
    <row r="1078" spans="1:7" ht="45.95" customHeight="1" x14ac:dyDescent="0.25">
      <c r="A1078" s="551" t="s">
        <v>33701</v>
      </c>
      <c r="B1078" s="551" t="s">
        <v>33702</v>
      </c>
      <c r="C1078" s="552"/>
      <c r="D1078" s="557"/>
      <c r="E1078" s="557"/>
      <c r="F1078" s="557"/>
      <c r="G1078" s="557"/>
    </row>
    <row r="1079" spans="1:7" ht="34.5" customHeight="1" x14ac:dyDescent="0.25">
      <c r="A1079" s="554" t="s">
        <v>33703</v>
      </c>
      <c r="B1079" s="342" t="s">
        <v>33704</v>
      </c>
      <c r="C1079" s="555" t="s">
        <v>227</v>
      </c>
      <c r="D1079" s="558">
        <v>691.53</v>
      </c>
      <c r="E1079" s="558">
        <v>679.85</v>
      </c>
      <c r="F1079" s="558">
        <v>11.68</v>
      </c>
      <c r="G1079" s="558">
        <v>691.53</v>
      </c>
    </row>
    <row r="1080" spans="1:7" ht="34.5" customHeight="1" x14ac:dyDescent="0.25">
      <c r="A1080" s="554" t="s">
        <v>33705</v>
      </c>
      <c r="B1080" s="551" t="s">
        <v>33706</v>
      </c>
      <c r="C1080" s="555" t="s">
        <v>227</v>
      </c>
      <c r="D1080" s="558">
        <v>768.23</v>
      </c>
      <c r="E1080" s="558">
        <v>756.55</v>
      </c>
      <c r="F1080" s="558">
        <v>11.68</v>
      </c>
      <c r="G1080" s="558">
        <v>768.23</v>
      </c>
    </row>
    <row r="1081" spans="1:7" ht="34.5" customHeight="1" x14ac:dyDescent="0.25">
      <c r="A1081" s="554" t="s">
        <v>33707</v>
      </c>
      <c r="B1081" s="342" t="s">
        <v>33708</v>
      </c>
      <c r="C1081" s="555" t="s">
        <v>227</v>
      </c>
      <c r="D1081" s="558">
        <v>891.25</v>
      </c>
      <c r="E1081" s="558">
        <v>877.62</v>
      </c>
      <c r="F1081" s="558">
        <v>13.63</v>
      </c>
      <c r="G1081" s="558">
        <v>891.25</v>
      </c>
    </row>
    <row r="1082" spans="1:7" ht="34.5" customHeight="1" x14ac:dyDescent="0.25">
      <c r="A1082" s="554" t="s">
        <v>33709</v>
      </c>
      <c r="B1082" s="342" t="s">
        <v>33710</v>
      </c>
      <c r="C1082" s="555" t="s">
        <v>227</v>
      </c>
      <c r="D1082" s="558">
        <v>973.19</v>
      </c>
      <c r="E1082" s="558">
        <v>959.56</v>
      </c>
      <c r="F1082" s="558">
        <v>13.63</v>
      </c>
      <c r="G1082" s="558">
        <v>973.19</v>
      </c>
    </row>
    <row r="1083" spans="1:7" ht="34.5" customHeight="1" x14ac:dyDescent="0.25">
      <c r="A1083" s="554" t="s">
        <v>33711</v>
      </c>
      <c r="B1083" s="342" t="s">
        <v>33712</v>
      </c>
      <c r="C1083" s="555" t="s">
        <v>158</v>
      </c>
      <c r="D1083" s="558">
        <v>396.91</v>
      </c>
      <c r="E1083" s="558">
        <v>390.1</v>
      </c>
      <c r="F1083" s="558">
        <v>6.81</v>
      </c>
      <c r="G1083" s="558">
        <v>396.91</v>
      </c>
    </row>
    <row r="1084" spans="1:7" ht="34.5" customHeight="1" x14ac:dyDescent="0.25">
      <c r="A1084" s="554" t="s">
        <v>33713</v>
      </c>
      <c r="B1084" s="342" t="s">
        <v>33714</v>
      </c>
      <c r="C1084" s="555" t="s">
        <v>158</v>
      </c>
      <c r="D1084" s="558">
        <v>356.72</v>
      </c>
      <c r="E1084" s="558">
        <v>349.91</v>
      </c>
      <c r="F1084" s="558">
        <v>6.81</v>
      </c>
      <c r="G1084" s="558">
        <v>356.72</v>
      </c>
    </row>
    <row r="1085" spans="1:7" ht="12.6" customHeight="1" x14ac:dyDescent="0.2">
      <c r="A1085" s="548" t="s">
        <v>33715</v>
      </c>
      <c r="B1085" s="548" t="s">
        <v>33716</v>
      </c>
      <c r="C1085" s="550" t="s">
        <v>158</v>
      </c>
      <c r="D1085" s="550">
        <v>51.58</v>
      </c>
      <c r="E1085" s="550">
        <v>49.63</v>
      </c>
      <c r="F1085" s="550">
        <v>1.95</v>
      </c>
      <c r="G1085" s="550">
        <v>51.58</v>
      </c>
    </row>
    <row r="1086" spans="1:7" ht="24.95" customHeight="1" x14ac:dyDescent="0.25">
      <c r="A1086" s="551" t="s">
        <v>33717</v>
      </c>
      <c r="B1086" s="342" t="s">
        <v>33718</v>
      </c>
      <c r="C1086" s="552"/>
      <c r="D1086" s="557"/>
      <c r="E1086" s="557"/>
      <c r="F1086" s="557"/>
      <c r="G1086" s="557"/>
    </row>
    <row r="1087" spans="1:7" ht="24.95" customHeight="1" x14ac:dyDescent="0.25">
      <c r="A1087" s="551" t="s">
        <v>33719</v>
      </c>
      <c r="B1087" s="342" t="s">
        <v>33720</v>
      </c>
      <c r="C1087" s="552" t="s">
        <v>227</v>
      </c>
      <c r="D1087" s="557">
        <v>298.3</v>
      </c>
      <c r="E1087" s="557">
        <v>267.14999999999998</v>
      </c>
      <c r="F1087" s="557">
        <v>31.15</v>
      </c>
      <c r="G1087" s="557">
        <v>298.3</v>
      </c>
    </row>
    <row r="1088" spans="1:7" ht="24.95" customHeight="1" x14ac:dyDescent="0.25">
      <c r="A1088" s="551" t="s">
        <v>33721</v>
      </c>
      <c r="B1088" s="342" t="s">
        <v>33722</v>
      </c>
      <c r="C1088" s="552" t="s">
        <v>227</v>
      </c>
      <c r="D1088" s="557">
        <v>336.32</v>
      </c>
      <c r="E1088" s="557">
        <v>305.17</v>
      </c>
      <c r="F1088" s="557">
        <v>31.15</v>
      </c>
      <c r="G1088" s="557">
        <v>336.32</v>
      </c>
    </row>
    <row r="1089" spans="1:7" ht="24.95" customHeight="1" x14ac:dyDescent="0.25">
      <c r="A1089" s="551" t="s">
        <v>33723</v>
      </c>
      <c r="B1089" s="342" t="s">
        <v>33724</v>
      </c>
      <c r="C1089" s="552" t="s">
        <v>227</v>
      </c>
      <c r="D1089" s="557">
        <v>124.27</v>
      </c>
      <c r="E1089" s="557">
        <v>99.83</v>
      </c>
      <c r="F1089" s="557">
        <v>24.44</v>
      </c>
      <c r="G1089" s="557">
        <v>124.27</v>
      </c>
    </row>
    <row r="1090" spans="1:7" ht="24.95" customHeight="1" x14ac:dyDescent="0.25">
      <c r="A1090" s="551" t="s">
        <v>33725</v>
      </c>
      <c r="B1090" s="342" t="s">
        <v>33726</v>
      </c>
      <c r="C1090" s="552" t="s">
        <v>158</v>
      </c>
      <c r="D1090" s="557">
        <v>29.55</v>
      </c>
      <c r="E1090" s="557">
        <v>3.23</v>
      </c>
      <c r="F1090" s="557">
        <v>26.32</v>
      </c>
      <c r="G1090" s="557">
        <v>29.55</v>
      </c>
    </row>
    <row r="1091" spans="1:7" ht="12.6" customHeight="1" x14ac:dyDescent="0.2">
      <c r="A1091" s="548" t="s">
        <v>33727</v>
      </c>
      <c r="B1091" s="548" t="s">
        <v>33728</v>
      </c>
      <c r="C1091" s="550" t="s">
        <v>158</v>
      </c>
      <c r="D1091" s="550">
        <v>45.83</v>
      </c>
      <c r="E1091" s="550">
        <v>6.56</v>
      </c>
      <c r="F1091" s="550">
        <v>39.270000000000003</v>
      </c>
      <c r="G1091" s="550">
        <v>45.83</v>
      </c>
    </row>
    <row r="1092" spans="1:7" ht="24.95" customHeight="1" x14ac:dyDescent="0.25">
      <c r="A1092" s="551" t="s">
        <v>33729</v>
      </c>
      <c r="B1092" s="342" t="s">
        <v>33730</v>
      </c>
      <c r="C1092" s="552" t="s">
        <v>158</v>
      </c>
      <c r="D1092" s="557">
        <v>81.33</v>
      </c>
      <c r="E1092" s="557">
        <v>79.38</v>
      </c>
      <c r="F1092" s="557">
        <v>1.95</v>
      </c>
      <c r="G1092" s="557">
        <v>81.33</v>
      </c>
    </row>
    <row r="1093" spans="1:7" ht="11.45" customHeight="1" x14ac:dyDescent="0.25">
      <c r="A1093" s="543" t="s">
        <v>33731</v>
      </c>
      <c r="B1093" s="544" t="s">
        <v>33732</v>
      </c>
      <c r="C1093" s="544" t="s">
        <v>227</v>
      </c>
      <c r="D1093" s="543">
        <v>209.18</v>
      </c>
      <c r="E1093" s="545">
        <v>184.12</v>
      </c>
      <c r="F1093" s="546">
        <v>25.06</v>
      </c>
      <c r="G1093" s="543">
        <v>209.18</v>
      </c>
    </row>
    <row r="1094" spans="1:7" ht="34.5" customHeight="1" x14ac:dyDescent="0.25">
      <c r="A1094" s="551" t="s">
        <v>33733</v>
      </c>
      <c r="B1094" s="551" t="s">
        <v>33734</v>
      </c>
      <c r="C1094" s="552" t="s">
        <v>158</v>
      </c>
      <c r="D1094" s="557">
        <v>43.47</v>
      </c>
      <c r="E1094" s="557">
        <v>36.78</v>
      </c>
      <c r="F1094" s="557">
        <v>6.69</v>
      </c>
      <c r="G1094" s="557">
        <v>43.47</v>
      </c>
    </row>
    <row r="1095" spans="1:7" ht="34.5" customHeight="1" x14ac:dyDescent="0.25">
      <c r="A1095" s="554" t="s">
        <v>33735</v>
      </c>
      <c r="B1095" s="551" t="s">
        <v>33736</v>
      </c>
      <c r="C1095" s="555" t="s">
        <v>158</v>
      </c>
      <c r="D1095" s="558">
        <v>118.01</v>
      </c>
      <c r="E1095" s="558">
        <v>114.12</v>
      </c>
      <c r="F1095" s="558">
        <v>3.89</v>
      </c>
      <c r="G1095" s="558">
        <v>118.01</v>
      </c>
    </row>
    <row r="1096" spans="1:7" ht="12.6" customHeight="1" x14ac:dyDescent="0.2">
      <c r="A1096" s="548" t="s">
        <v>33737</v>
      </c>
      <c r="B1096" s="548" t="s">
        <v>33738</v>
      </c>
      <c r="C1096" s="550"/>
      <c r="D1096" s="550"/>
      <c r="E1096" s="550"/>
      <c r="F1096" s="550"/>
      <c r="G1096" s="550"/>
    </row>
    <row r="1097" spans="1:7" ht="34.5" customHeight="1" x14ac:dyDescent="0.25">
      <c r="A1097" s="554" t="s">
        <v>33739</v>
      </c>
      <c r="B1097" s="342" t="s">
        <v>33740</v>
      </c>
      <c r="C1097" s="555" t="s">
        <v>227</v>
      </c>
      <c r="D1097" s="558">
        <v>61.34</v>
      </c>
      <c r="E1097" s="558">
        <v>11.24</v>
      </c>
      <c r="F1097" s="558">
        <v>50.1</v>
      </c>
      <c r="G1097" s="558">
        <v>61.34</v>
      </c>
    </row>
    <row r="1098" spans="1:7" ht="34.5" customHeight="1" x14ac:dyDescent="0.25">
      <c r="A1098" s="554" t="s">
        <v>33741</v>
      </c>
      <c r="B1098" s="342" t="s">
        <v>33742</v>
      </c>
      <c r="C1098" s="555"/>
      <c r="D1098" s="558"/>
      <c r="E1098" s="558"/>
      <c r="F1098" s="558"/>
      <c r="G1098" s="558"/>
    </row>
    <row r="1099" spans="1:7" ht="34.5" customHeight="1" x14ac:dyDescent="0.25">
      <c r="A1099" s="554" t="s">
        <v>33743</v>
      </c>
      <c r="B1099" s="551" t="s">
        <v>33744</v>
      </c>
      <c r="C1099" s="555"/>
      <c r="D1099" s="558"/>
      <c r="E1099" s="558"/>
      <c r="F1099" s="558"/>
      <c r="G1099" s="558"/>
    </row>
    <row r="1100" spans="1:7" ht="12.6" customHeight="1" x14ac:dyDescent="0.2">
      <c r="A1100" s="559" t="s">
        <v>33745</v>
      </c>
      <c r="B1100" s="548" t="s">
        <v>33746</v>
      </c>
      <c r="C1100" s="550" t="s">
        <v>227</v>
      </c>
      <c r="D1100" s="550">
        <v>176.04</v>
      </c>
      <c r="E1100" s="550">
        <v>109.35</v>
      </c>
      <c r="F1100" s="550">
        <v>66.69</v>
      </c>
      <c r="G1100" s="550">
        <v>176.04</v>
      </c>
    </row>
    <row r="1101" spans="1:7" ht="12.6" customHeight="1" x14ac:dyDescent="0.2">
      <c r="A1101" s="548" t="s">
        <v>33747</v>
      </c>
      <c r="B1101" s="548" t="s">
        <v>33748</v>
      </c>
      <c r="C1101" s="550"/>
      <c r="D1101" s="550"/>
      <c r="E1101" s="550"/>
      <c r="F1101" s="550"/>
      <c r="G1101" s="550"/>
    </row>
    <row r="1102" spans="1:7" ht="12.6" customHeight="1" x14ac:dyDescent="0.25">
      <c r="A1102" s="551" t="s">
        <v>33749</v>
      </c>
      <c r="B1102" s="551" t="s">
        <v>33750</v>
      </c>
      <c r="C1102" s="552" t="s">
        <v>227</v>
      </c>
      <c r="D1102" s="557">
        <v>659.18</v>
      </c>
      <c r="E1102" s="557">
        <v>659.18</v>
      </c>
      <c r="F1102" s="557"/>
      <c r="G1102" s="557">
        <v>659.18</v>
      </c>
    </row>
    <row r="1103" spans="1:7" ht="24.95" customHeight="1" x14ac:dyDescent="0.25">
      <c r="A1103" s="551" t="s">
        <v>33751</v>
      </c>
      <c r="B1103" s="342" t="s">
        <v>33752</v>
      </c>
      <c r="C1103" s="552"/>
      <c r="D1103" s="557"/>
      <c r="E1103" s="557"/>
      <c r="F1103" s="557"/>
      <c r="G1103" s="557"/>
    </row>
    <row r="1104" spans="1:7" ht="24.95" customHeight="1" x14ac:dyDescent="0.25">
      <c r="A1104" s="551" t="s">
        <v>33753</v>
      </c>
      <c r="B1104" s="342" t="s">
        <v>33754</v>
      </c>
      <c r="C1104" s="552" t="s">
        <v>227</v>
      </c>
      <c r="D1104" s="557">
        <v>317.62</v>
      </c>
      <c r="E1104" s="557">
        <v>295.7</v>
      </c>
      <c r="F1104" s="557">
        <v>21.92</v>
      </c>
      <c r="G1104" s="557">
        <v>317.62</v>
      </c>
    </row>
    <row r="1105" spans="1:7" ht="12.6" customHeight="1" x14ac:dyDescent="0.25">
      <c r="A1105" s="551" t="s">
        <v>33755</v>
      </c>
      <c r="B1105" s="551" t="s">
        <v>33756</v>
      </c>
      <c r="C1105" s="552"/>
      <c r="D1105" s="557"/>
      <c r="E1105" s="557"/>
      <c r="F1105" s="557"/>
      <c r="G1105" s="557"/>
    </row>
    <row r="1106" spans="1:7" ht="23.1" customHeight="1" x14ac:dyDescent="0.25">
      <c r="A1106" s="551" t="s">
        <v>33757</v>
      </c>
      <c r="B1106" s="551" t="s">
        <v>33758</v>
      </c>
      <c r="C1106" s="552" t="s">
        <v>158</v>
      </c>
      <c r="D1106" s="557">
        <v>32.549999999999997</v>
      </c>
      <c r="E1106" s="557">
        <v>18</v>
      </c>
      <c r="F1106" s="557">
        <v>14.55</v>
      </c>
      <c r="G1106" s="557">
        <v>32.549999999999997</v>
      </c>
    </row>
    <row r="1107" spans="1:7" ht="24.95" customHeight="1" x14ac:dyDescent="0.25">
      <c r="A1107" s="551" t="s">
        <v>33759</v>
      </c>
      <c r="B1107" s="342" t="s">
        <v>33760</v>
      </c>
      <c r="C1107" s="552" t="s">
        <v>158</v>
      </c>
      <c r="D1107" s="557">
        <v>9.16</v>
      </c>
      <c r="E1107" s="557">
        <v>5.61</v>
      </c>
      <c r="F1107" s="557">
        <v>3.55</v>
      </c>
      <c r="G1107" s="557">
        <v>9.16</v>
      </c>
    </row>
    <row r="1108" spans="1:7" ht="12.6" customHeight="1" x14ac:dyDescent="0.2">
      <c r="A1108" s="548" t="s">
        <v>33761</v>
      </c>
      <c r="B1108" s="548" t="s">
        <v>33762</v>
      </c>
      <c r="C1108" s="550"/>
      <c r="D1108" s="550"/>
      <c r="E1108" s="550"/>
      <c r="F1108" s="550"/>
      <c r="G1108" s="550"/>
    </row>
    <row r="1109" spans="1:7" ht="23.1" customHeight="1" x14ac:dyDescent="0.25">
      <c r="A1109" s="551" t="s">
        <v>33763</v>
      </c>
      <c r="B1109" s="551" t="s">
        <v>33764</v>
      </c>
      <c r="C1109" s="552" t="s">
        <v>227</v>
      </c>
      <c r="D1109" s="557">
        <v>9.2200000000000006</v>
      </c>
      <c r="E1109" s="557">
        <v>0.59</v>
      </c>
      <c r="F1109" s="557">
        <v>8.6300000000000008</v>
      </c>
      <c r="G1109" s="557">
        <v>9.2200000000000006</v>
      </c>
    </row>
    <row r="1110" spans="1:7" ht="24.95" customHeight="1" x14ac:dyDescent="0.25">
      <c r="A1110" s="551" t="s">
        <v>33765</v>
      </c>
      <c r="B1110" s="342" t="s">
        <v>33766</v>
      </c>
      <c r="C1110" s="552" t="s">
        <v>227</v>
      </c>
      <c r="D1110" s="557">
        <v>46.04</v>
      </c>
      <c r="E1110" s="557">
        <v>24.12</v>
      </c>
      <c r="F1110" s="557">
        <v>21.92</v>
      </c>
      <c r="G1110" s="557">
        <v>46.04</v>
      </c>
    </row>
    <row r="1111" spans="1:7" ht="23.1" customHeight="1" x14ac:dyDescent="0.25">
      <c r="A1111" s="551" t="s">
        <v>33767</v>
      </c>
      <c r="B1111" s="551" t="s">
        <v>33768</v>
      </c>
      <c r="C1111" s="552" t="s">
        <v>158</v>
      </c>
      <c r="D1111" s="557">
        <v>11.59</v>
      </c>
      <c r="E1111" s="557">
        <v>0.59</v>
      </c>
      <c r="F1111" s="557">
        <v>11</v>
      </c>
      <c r="G1111" s="557">
        <v>11.59</v>
      </c>
    </row>
    <row r="1112" spans="1:7" ht="24.95" customHeight="1" x14ac:dyDescent="0.25">
      <c r="A1112" s="551" t="s">
        <v>33769</v>
      </c>
      <c r="B1112" s="342" t="s">
        <v>33770</v>
      </c>
      <c r="C1112" s="552" t="s">
        <v>227</v>
      </c>
      <c r="D1112" s="557">
        <v>127.98</v>
      </c>
      <c r="E1112" s="557">
        <v>127.98</v>
      </c>
      <c r="F1112" s="557"/>
      <c r="G1112" s="557">
        <v>127.98</v>
      </c>
    </row>
    <row r="1113" spans="1:7" ht="12.6" customHeight="1" x14ac:dyDescent="0.25">
      <c r="A1113" s="551" t="s">
        <v>33771</v>
      </c>
      <c r="B1113" s="551" t="s">
        <v>33772</v>
      </c>
      <c r="C1113" s="552" t="s">
        <v>227</v>
      </c>
      <c r="D1113" s="557">
        <v>52.34</v>
      </c>
      <c r="E1113" s="557">
        <v>52.34</v>
      </c>
      <c r="F1113" s="557"/>
      <c r="G1113" s="557">
        <v>52.34</v>
      </c>
    </row>
    <row r="1114" spans="1:7" ht="23.1" customHeight="1" x14ac:dyDescent="0.25">
      <c r="A1114" s="551" t="s">
        <v>33773</v>
      </c>
      <c r="B1114" s="551" t="s">
        <v>33774</v>
      </c>
      <c r="C1114" s="552"/>
      <c r="D1114" s="557"/>
      <c r="E1114" s="557"/>
      <c r="F1114" s="557"/>
      <c r="G1114" s="557"/>
    </row>
    <row r="1115" spans="1:7" ht="12.6" customHeight="1" x14ac:dyDescent="0.25">
      <c r="A1115" s="551" t="s">
        <v>33775</v>
      </c>
      <c r="B1115" s="551" t="s">
        <v>33776</v>
      </c>
      <c r="C1115" s="552"/>
      <c r="D1115" s="557"/>
      <c r="E1115" s="557"/>
      <c r="F1115" s="557"/>
      <c r="G1115" s="557"/>
    </row>
    <row r="1116" spans="1:7" ht="12.6" customHeight="1" x14ac:dyDescent="0.2">
      <c r="A1116" s="548" t="s">
        <v>33777</v>
      </c>
      <c r="B1116" s="548" t="s">
        <v>33778</v>
      </c>
      <c r="C1116" s="550" t="s">
        <v>227</v>
      </c>
      <c r="D1116" s="550">
        <v>111.93</v>
      </c>
      <c r="E1116" s="550">
        <v>102</v>
      </c>
      <c r="F1116" s="550">
        <v>9.93</v>
      </c>
      <c r="G1116" s="550">
        <v>111.93</v>
      </c>
    </row>
    <row r="1117" spans="1:7" ht="12.6" customHeight="1" x14ac:dyDescent="0.25">
      <c r="A1117" s="551" t="s">
        <v>33779</v>
      </c>
      <c r="B1117" s="551" t="s">
        <v>33780</v>
      </c>
      <c r="C1117" s="552" t="s">
        <v>227</v>
      </c>
      <c r="D1117" s="557">
        <v>62.54</v>
      </c>
      <c r="E1117" s="557">
        <v>62.54</v>
      </c>
      <c r="F1117" s="557"/>
      <c r="G1117" s="557">
        <v>62.54</v>
      </c>
    </row>
    <row r="1118" spans="1:7" ht="12.6" customHeight="1" x14ac:dyDescent="0.25">
      <c r="A1118" s="551" t="s">
        <v>33781</v>
      </c>
      <c r="B1118" s="551" t="s">
        <v>33782</v>
      </c>
      <c r="C1118" s="552"/>
      <c r="D1118" s="557"/>
      <c r="E1118" s="557"/>
      <c r="F1118" s="557"/>
      <c r="G1118" s="557"/>
    </row>
    <row r="1119" spans="1:7" ht="12.6" customHeight="1" x14ac:dyDescent="0.25">
      <c r="A1119" s="551" t="s">
        <v>33783</v>
      </c>
      <c r="B1119" s="551" t="s">
        <v>33784</v>
      </c>
      <c r="C1119" s="552" t="s">
        <v>227</v>
      </c>
      <c r="D1119" s="557">
        <v>157.43</v>
      </c>
      <c r="E1119" s="557">
        <v>135.38999999999999</v>
      </c>
      <c r="F1119" s="557">
        <v>22.04</v>
      </c>
      <c r="G1119" s="557">
        <v>157.43</v>
      </c>
    </row>
    <row r="1120" spans="1:7" ht="12.6" customHeight="1" x14ac:dyDescent="0.25">
      <c r="A1120" s="551" t="s">
        <v>33785</v>
      </c>
      <c r="B1120" s="551" t="s">
        <v>33786</v>
      </c>
      <c r="C1120" s="552" t="s">
        <v>227</v>
      </c>
      <c r="D1120" s="557">
        <v>230.93</v>
      </c>
      <c r="E1120" s="557">
        <v>208.89</v>
      </c>
      <c r="F1120" s="557">
        <v>22.04</v>
      </c>
      <c r="G1120" s="557">
        <v>230.93</v>
      </c>
    </row>
    <row r="1121" spans="1:7" ht="12.6" customHeight="1" x14ac:dyDescent="0.25">
      <c r="A1121" s="551" t="s">
        <v>33787</v>
      </c>
      <c r="B1121" s="551" t="s">
        <v>33788</v>
      </c>
      <c r="C1121" s="552" t="s">
        <v>227</v>
      </c>
      <c r="D1121" s="557">
        <v>249.48</v>
      </c>
      <c r="E1121" s="557">
        <v>249.48</v>
      </c>
      <c r="F1121" s="557"/>
      <c r="G1121" s="557">
        <v>249.48</v>
      </c>
    </row>
    <row r="1122" spans="1:7" ht="12.6" customHeight="1" x14ac:dyDescent="0.25">
      <c r="A1122" s="551" t="s">
        <v>33789</v>
      </c>
      <c r="B1122" s="551" t="s">
        <v>33790</v>
      </c>
      <c r="C1122" s="552" t="s">
        <v>227</v>
      </c>
      <c r="D1122" s="557">
        <v>241.25</v>
      </c>
      <c r="E1122" s="557">
        <v>219.21</v>
      </c>
      <c r="F1122" s="557">
        <v>22.04</v>
      </c>
      <c r="G1122" s="557">
        <v>241.25</v>
      </c>
    </row>
    <row r="1123" spans="1:7" ht="12.6" customHeight="1" x14ac:dyDescent="0.25">
      <c r="A1123" s="551" t="s">
        <v>33791</v>
      </c>
      <c r="B1123" s="551" t="s">
        <v>33792</v>
      </c>
      <c r="C1123" s="552" t="s">
        <v>227</v>
      </c>
      <c r="D1123" s="557">
        <v>391.97</v>
      </c>
      <c r="E1123" s="557">
        <v>369.93</v>
      </c>
      <c r="F1123" s="557">
        <v>22.04</v>
      </c>
      <c r="G1123" s="557">
        <v>391.97</v>
      </c>
    </row>
    <row r="1124" spans="1:7" ht="12.6" customHeight="1" x14ac:dyDescent="0.25">
      <c r="A1124" s="551" t="s">
        <v>33793</v>
      </c>
      <c r="B1124" s="551" t="s">
        <v>33794</v>
      </c>
      <c r="C1124" s="552" t="s">
        <v>227</v>
      </c>
      <c r="D1124" s="557">
        <v>245.55</v>
      </c>
      <c r="E1124" s="557">
        <v>223.51</v>
      </c>
      <c r="F1124" s="557">
        <v>22.04</v>
      </c>
      <c r="G1124" s="557">
        <v>245.55</v>
      </c>
    </row>
    <row r="1125" spans="1:7" ht="23.1" customHeight="1" x14ac:dyDescent="0.25">
      <c r="A1125" s="551" t="s">
        <v>33795</v>
      </c>
      <c r="B1125" s="551" t="s">
        <v>33796</v>
      </c>
      <c r="C1125" s="552" t="s">
        <v>227</v>
      </c>
      <c r="D1125" s="557">
        <v>578.97</v>
      </c>
      <c r="E1125" s="557">
        <v>556.92999999999995</v>
      </c>
      <c r="F1125" s="557">
        <v>22.04</v>
      </c>
      <c r="G1125" s="557">
        <v>578.97</v>
      </c>
    </row>
    <row r="1126" spans="1:7" ht="12.6" customHeight="1" x14ac:dyDescent="0.2">
      <c r="A1126" s="548" t="s">
        <v>33797</v>
      </c>
      <c r="B1126" s="548" t="s">
        <v>33798</v>
      </c>
      <c r="C1126" s="550" t="s">
        <v>227</v>
      </c>
      <c r="D1126" s="550">
        <v>437.71</v>
      </c>
      <c r="E1126" s="550">
        <v>415.67</v>
      </c>
      <c r="F1126" s="550">
        <v>22.04</v>
      </c>
      <c r="G1126" s="550">
        <v>437.71</v>
      </c>
    </row>
    <row r="1127" spans="1:7" ht="12.6" customHeight="1" x14ac:dyDescent="0.25">
      <c r="A1127" s="551" t="s">
        <v>33799</v>
      </c>
      <c r="B1127" s="551" t="s">
        <v>33800</v>
      </c>
      <c r="C1127" s="552" t="s">
        <v>227</v>
      </c>
      <c r="D1127" s="557">
        <v>359.54</v>
      </c>
      <c r="E1127" s="557">
        <v>314.79000000000002</v>
      </c>
      <c r="F1127" s="557">
        <v>44.75</v>
      </c>
      <c r="G1127" s="557">
        <v>359.54</v>
      </c>
    </row>
    <row r="1128" spans="1:7" ht="12.6" customHeight="1" x14ac:dyDescent="0.2">
      <c r="A1128" s="559" t="s">
        <v>33801</v>
      </c>
      <c r="B1128" s="548" t="s">
        <v>33802</v>
      </c>
      <c r="C1128" s="550"/>
      <c r="D1128" s="550"/>
      <c r="E1128" s="550"/>
      <c r="F1128" s="550"/>
      <c r="G1128" s="550"/>
    </row>
    <row r="1129" spans="1:7" ht="12.6" customHeight="1" x14ac:dyDescent="0.2">
      <c r="A1129" s="548" t="s">
        <v>33803</v>
      </c>
      <c r="B1129" s="548" t="s">
        <v>33804</v>
      </c>
      <c r="C1129" s="550" t="s">
        <v>227</v>
      </c>
      <c r="D1129" s="550">
        <v>1114.1300000000001</v>
      </c>
      <c r="E1129" s="550">
        <v>1114.1300000000001</v>
      </c>
      <c r="F1129" s="550"/>
      <c r="G1129" s="550">
        <v>1114.1300000000001</v>
      </c>
    </row>
    <row r="1130" spans="1:7" ht="12.6" customHeight="1" x14ac:dyDescent="0.25">
      <c r="A1130" s="551" t="s">
        <v>33805</v>
      </c>
      <c r="B1130" s="551" t="s">
        <v>33806</v>
      </c>
      <c r="C1130" s="552" t="s">
        <v>227</v>
      </c>
      <c r="D1130" s="557">
        <v>371.91</v>
      </c>
      <c r="E1130" s="557">
        <v>371.91</v>
      </c>
      <c r="F1130" s="557"/>
      <c r="G1130" s="557">
        <v>371.91</v>
      </c>
    </row>
    <row r="1131" spans="1:7" ht="11.45" customHeight="1" x14ac:dyDescent="0.25">
      <c r="A1131" s="543" t="s">
        <v>33807</v>
      </c>
      <c r="B1131" s="544" t="s">
        <v>33808</v>
      </c>
      <c r="C1131" s="544"/>
      <c r="D1131" s="543"/>
      <c r="E1131" s="545"/>
      <c r="F1131" s="546"/>
      <c r="G1131" s="543"/>
    </row>
    <row r="1132" spans="1:7" ht="12.6" customHeight="1" x14ac:dyDescent="0.25">
      <c r="A1132" s="548" t="s">
        <v>33809</v>
      </c>
      <c r="B1132" s="548" t="s">
        <v>33810</v>
      </c>
      <c r="C1132" s="549" t="s">
        <v>227</v>
      </c>
      <c r="D1132" s="549">
        <v>134.83000000000001</v>
      </c>
      <c r="E1132" s="549">
        <v>134.83000000000001</v>
      </c>
      <c r="F1132" s="549"/>
      <c r="G1132" s="549">
        <v>134.83000000000001</v>
      </c>
    </row>
    <row r="1133" spans="1:7" ht="12.6" customHeight="1" x14ac:dyDescent="0.2">
      <c r="A1133" s="551" t="s">
        <v>33811</v>
      </c>
      <c r="B1133" s="551" t="s">
        <v>33812</v>
      </c>
      <c r="C1133" s="552" t="s">
        <v>227</v>
      </c>
      <c r="D1133" s="557">
        <v>152.26</v>
      </c>
      <c r="E1133" s="557">
        <v>152.26</v>
      </c>
      <c r="F1133" s="343"/>
      <c r="G1133" s="557">
        <v>152.26</v>
      </c>
    </row>
    <row r="1134" spans="1:7" ht="12.6" customHeight="1" x14ac:dyDescent="0.2">
      <c r="A1134" s="548" t="s">
        <v>33813</v>
      </c>
      <c r="B1134" s="548" t="s">
        <v>33814</v>
      </c>
      <c r="C1134" s="550"/>
      <c r="D1134" s="550"/>
      <c r="E1134" s="550"/>
      <c r="F1134" s="550"/>
      <c r="G1134" s="550"/>
    </row>
    <row r="1135" spans="1:7" ht="12.6" customHeight="1" x14ac:dyDescent="0.25">
      <c r="A1135" s="551" t="s">
        <v>33815</v>
      </c>
      <c r="B1135" s="551" t="s">
        <v>33816</v>
      </c>
      <c r="C1135" s="552" t="s">
        <v>227</v>
      </c>
      <c r="D1135" s="557">
        <v>263.92</v>
      </c>
      <c r="E1135" s="557">
        <v>169.97</v>
      </c>
      <c r="F1135" s="557">
        <v>93.95</v>
      </c>
      <c r="G1135" s="557">
        <v>263.92</v>
      </c>
    </row>
    <row r="1136" spans="1:7" ht="12.6" customHeight="1" x14ac:dyDescent="0.2">
      <c r="A1136" s="548" t="s">
        <v>33817</v>
      </c>
      <c r="B1136" s="548" t="s">
        <v>33818</v>
      </c>
      <c r="C1136" s="550" t="s">
        <v>227</v>
      </c>
      <c r="D1136" s="550">
        <v>428.83</v>
      </c>
      <c r="E1136" s="550">
        <v>428.83</v>
      </c>
      <c r="F1136" s="550"/>
      <c r="G1136" s="550">
        <v>428.83</v>
      </c>
    </row>
    <row r="1137" spans="1:7" ht="12.6" customHeight="1" x14ac:dyDescent="0.25">
      <c r="A1137" s="551" t="s">
        <v>33819</v>
      </c>
      <c r="B1137" s="551" t="s">
        <v>33820</v>
      </c>
      <c r="C1137" s="552"/>
      <c r="D1137" s="557"/>
      <c r="E1137" s="557"/>
      <c r="F1137" s="557"/>
      <c r="G1137" s="557"/>
    </row>
    <row r="1138" spans="1:7" ht="12.6" customHeight="1" x14ac:dyDescent="0.25">
      <c r="A1138" s="551" t="s">
        <v>33821</v>
      </c>
      <c r="B1138" s="551" t="s">
        <v>33822</v>
      </c>
      <c r="C1138" s="552" t="s">
        <v>227</v>
      </c>
      <c r="D1138" s="557">
        <v>689.03</v>
      </c>
      <c r="E1138" s="557">
        <v>689.03</v>
      </c>
      <c r="F1138" s="557"/>
      <c r="G1138" s="557">
        <v>689.03</v>
      </c>
    </row>
    <row r="1139" spans="1:7" ht="12.6" customHeight="1" x14ac:dyDescent="0.2">
      <c r="A1139" s="548" t="s">
        <v>33823</v>
      </c>
      <c r="B1139" s="548" t="s">
        <v>33824</v>
      </c>
      <c r="C1139" s="550"/>
      <c r="D1139" s="550"/>
      <c r="E1139" s="550"/>
      <c r="F1139" s="550"/>
      <c r="G1139" s="550"/>
    </row>
    <row r="1140" spans="1:7" ht="12.6" customHeight="1" x14ac:dyDescent="0.25">
      <c r="A1140" s="551" t="s">
        <v>33825</v>
      </c>
      <c r="B1140" s="551" t="s">
        <v>33826</v>
      </c>
      <c r="C1140" s="552" t="s">
        <v>158</v>
      </c>
      <c r="D1140" s="557">
        <v>51.09</v>
      </c>
      <c r="E1140" s="557">
        <v>43.47</v>
      </c>
      <c r="F1140" s="557">
        <v>7.62</v>
      </c>
      <c r="G1140" s="557">
        <v>51.09</v>
      </c>
    </row>
    <row r="1141" spans="1:7" ht="12.6" customHeight="1" x14ac:dyDescent="0.25">
      <c r="A1141" s="551" t="s">
        <v>33827</v>
      </c>
      <c r="B1141" s="551" t="s">
        <v>33828</v>
      </c>
      <c r="C1141" s="552" t="s">
        <v>158</v>
      </c>
      <c r="D1141" s="557">
        <v>64.08</v>
      </c>
      <c r="E1141" s="557">
        <v>56.46</v>
      </c>
      <c r="F1141" s="557">
        <v>7.62</v>
      </c>
      <c r="G1141" s="557">
        <v>64.08</v>
      </c>
    </row>
    <row r="1142" spans="1:7" ht="12.6" customHeight="1" x14ac:dyDescent="0.25">
      <c r="A1142" s="551" t="s">
        <v>33829</v>
      </c>
      <c r="B1142" s="551" t="s">
        <v>33830</v>
      </c>
      <c r="C1142" s="552" t="s">
        <v>158</v>
      </c>
      <c r="D1142" s="557">
        <v>36.76</v>
      </c>
      <c r="E1142" s="557">
        <v>26.81</v>
      </c>
      <c r="F1142" s="557">
        <v>9.9499999999999993</v>
      </c>
      <c r="G1142" s="557">
        <v>36.76</v>
      </c>
    </row>
    <row r="1143" spans="1:7" ht="12.6" customHeight="1" x14ac:dyDescent="0.2">
      <c r="A1143" s="551" t="s">
        <v>33831</v>
      </c>
      <c r="B1143" s="551" t="s">
        <v>33832</v>
      </c>
      <c r="C1143" s="552" t="s">
        <v>158</v>
      </c>
      <c r="D1143" s="557">
        <v>42.82</v>
      </c>
      <c r="E1143" s="557">
        <v>32.869999999999997</v>
      </c>
      <c r="F1143" s="343">
        <v>9.9499999999999993</v>
      </c>
      <c r="G1143" s="557">
        <v>42.82</v>
      </c>
    </row>
    <row r="1144" spans="1:7" ht="12.6" customHeight="1" x14ac:dyDescent="0.2">
      <c r="A1144" s="551" t="s">
        <v>33833</v>
      </c>
      <c r="B1144" s="551" t="s">
        <v>33834</v>
      </c>
      <c r="C1144" s="552" t="s">
        <v>158</v>
      </c>
      <c r="D1144" s="557">
        <v>52.09</v>
      </c>
      <c r="E1144" s="557">
        <v>44.47</v>
      </c>
      <c r="F1144" s="343">
        <v>7.62</v>
      </c>
      <c r="G1144" s="557">
        <v>52.09</v>
      </c>
    </row>
    <row r="1145" spans="1:7" ht="12.6" customHeight="1" x14ac:dyDescent="0.2">
      <c r="A1145" s="559" t="s">
        <v>33835</v>
      </c>
      <c r="B1145" s="548" t="s">
        <v>33836</v>
      </c>
      <c r="C1145" s="550" t="s">
        <v>158</v>
      </c>
      <c r="D1145" s="550">
        <v>21.5</v>
      </c>
      <c r="E1145" s="550">
        <v>18.48</v>
      </c>
      <c r="F1145" s="550">
        <v>3.02</v>
      </c>
      <c r="G1145" s="550">
        <v>21.5</v>
      </c>
    </row>
    <row r="1146" spans="1:7" ht="12.6" customHeight="1" x14ac:dyDescent="0.2">
      <c r="A1146" s="548" t="s">
        <v>33837</v>
      </c>
      <c r="B1146" s="548" t="s">
        <v>33838</v>
      </c>
      <c r="C1146" s="550" t="s">
        <v>158</v>
      </c>
      <c r="D1146" s="550">
        <v>7.72</v>
      </c>
      <c r="E1146" s="550">
        <v>7.72</v>
      </c>
      <c r="F1146" s="550"/>
      <c r="G1146" s="550">
        <v>7.72</v>
      </c>
    </row>
    <row r="1147" spans="1:7" ht="23.1" customHeight="1" x14ac:dyDescent="0.25">
      <c r="A1147" s="551" t="s">
        <v>33839</v>
      </c>
      <c r="B1147" s="551" t="s">
        <v>33840</v>
      </c>
      <c r="C1147" s="552" t="s">
        <v>158</v>
      </c>
      <c r="D1147" s="557">
        <v>72.180000000000007</v>
      </c>
      <c r="E1147" s="557">
        <v>72.180000000000007</v>
      </c>
      <c r="F1147" s="557"/>
      <c r="G1147" s="557">
        <v>72.180000000000007</v>
      </c>
    </row>
    <row r="1148" spans="1:7" ht="12.6" customHeight="1" x14ac:dyDescent="0.2">
      <c r="A1148" s="551" t="s">
        <v>33841</v>
      </c>
      <c r="B1148" s="551" t="s">
        <v>33842</v>
      </c>
      <c r="C1148" s="552"/>
      <c r="D1148" s="557"/>
      <c r="E1148" s="557"/>
      <c r="F1148" s="343"/>
      <c r="G1148" s="557"/>
    </row>
    <row r="1149" spans="1:7" ht="12.6" customHeight="1" x14ac:dyDescent="0.2">
      <c r="A1149" s="548" t="s">
        <v>33843</v>
      </c>
      <c r="B1149" s="548" t="s">
        <v>33844</v>
      </c>
      <c r="C1149" s="550" t="s">
        <v>158</v>
      </c>
      <c r="D1149" s="550">
        <v>142.16</v>
      </c>
      <c r="E1149" s="550">
        <v>133.96</v>
      </c>
      <c r="F1149" s="550">
        <v>8.1999999999999993</v>
      </c>
      <c r="G1149" s="550">
        <v>142.16</v>
      </c>
    </row>
    <row r="1150" spans="1:7" ht="24.95" customHeight="1" x14ac:dyDescent="0.25">
      <c r="A1150" s="551" t="s">
        <v>33845</v>
      </c>
      <c r="B1150" s="342" t="s">
        <v>33846</v>
      </c>
      <c r="C1150" s="552" t="s">
        <v>158</v>
      </c>
      <c r="D1150" s="557">
        <v>51.05</v>
      </c>
      <c r="E1150" s="557">
        <v>43.43</v>
      </c>
      <c r="F1150" s="557">
        <v>7.62</v>
      </c>
      <c r="G1150" s="557">
        <v>51.05</v>
      </c>
    </row>
    <row r="1151" spans="1:7" ht="24.95" customHeight="1" x14ac:dyDescent="0.25">
      <c r="A1151" s="551" t="s">
        <v>33847</v>
      </c>
      <c r="B1151" s="342" t="s">
        <v>33848</v>
      </c>
      <c r="C1151" s="552"/>
      <c r="D1151" s="557"/>
      <c r="E1151" s="557"/>
      <c r="F1151" s="557"/>
      <c r="G1151" s="557"/>
    </row>
    <row r="1152" spans="1:7" ht="24.95" customHeight="1" x14ac:dyDescent="0.25">
      <c r="A1152" s="551" t="s">
        <v>33849</v>
      </c>
      <c r="B1152" s="342" t="s">
        <v>33850</v>
      </c>
      <c r="C1152" s="552" t="s">
        <v>227</v>
      </c>
      <c r="D1152" s="557">
        <v>19.88</v>
      </c>
      <c r="E1152" s="557">
        <v>11.25</v>
      </c>
      <c r="F1152" s="344">
        <v>8.6300000000000008</v>
      </c>
      <c r="G1152" s="557">
        <v>19.88</v>
      </c>
    </row>
    <row r="1153" spans="1:7" ht="24.95" customHeight="1" x14ac:dyDescent="0.25">
      <c r="A1153" s="551" t="s">
        <v>33851</v>
      </c>
      <c r="B1153" s="342" t="s">
        <v>33852</v>
      </c>
      <c r="C1153" s="552" t="s">
        <v>227</v>
      </c>
      <c r="D1153" s="557">
        <v>34.24</v>
      </c>
      <c r="E1153" s="557">
        <v>4.03</v>
      </c>
      <c r="F1153" s="557">
        <v>30.21</v>
      </c>
      <c r="G1153" s="557">
        <v>34.24</v>
      </c>
    </row>
    <row r="1154" spans="1:7" ht="24.95" customHeight="1" x14ac:dyDescent="0.25">
      <c r="A1154" s="551" t="s">
        <v>33853</v>
      </c>
      <c r="B1154" s="342" t="s">
        <v>33854</v>
      </c>
      <c r="C1154" s="552" t="s">
        <v>227</v>
      </c>
      <c r="D1154" s="557">
        <v>66.17</v>
      </c>
      <c r="E1154" s="557"/>
      <c r="F1154" s="557">
        <v>66.17</v>
      </c>
      <c r="G1154" s="557">
        <v>66.17</v>
      </c>
    </row>
    <row r="1155" spans="1:7" ht="24.95" customHeight="1" x14ac:dyDescent="0.25">
      <c r="A1155" s="551" t="s">
        <v>33855</v>
      </c>
      <c r="B1155" s="342" t="s">
        <v>33856</v>
      </c>
      <c r="C1155" s="552" t="s">
        <v>226</v>
      </c>
      <c r="D1155" s="557">
        <v>65.099999999999994</v>
      </c>
      <c r="E1155" s="557">
        <v>65.099999999999994</v>
      </c>
      <c r="F1155" s="557"/>
      <c r="G1155" s="557">
        <v>65.099999999999994</v>
      </c>
    </row>
    <row r="1156" spans="1:7" ht="24.95" customHeight="1" x14ac:dyDescent="0.25">
      <c r="A1156" s="551" t="s">
        <v>33857</v>
      </c>
      <c r="B1156" s="342" t="s">
        <v>33858</v>
      </c>
      <c r="C1156" s="552" t="s">
        <v>158</v>
      </c>
      <c r="D1156" s="557">
        <v>11</v>
      </c>
      <c r="E1156" s="557"/>
      <c r="F1156" s="557">
        <v>11</v>
      </c>
      <c r="G1156" s="557">
        <v>11</v>
      </c>
    </row>
    <row r="1157" spans="1:7" ht="24.95" customHeight="1" x14ac:dyDescent="0.25">
      <c r="A1157" s="551" t="s">
        <v>33859</v>
      </c>
      <c r="B1157" s="342" t="s">
        <v>33860</v>
      </c>
      <c r="C1157" s="552" t="s">
        <v>158</v>
      </c>
      <c r="D1157" s="557">
        <v>27.15</v>
      </c>
      <c r="E1157" s="557">
        <v>15.3</v>
      </c>
      <c r="F1157" s="557">
        <v>11.85</v>
      </c>
      <c r="G1157" s="557">
        <v>27.15</v>
      </c>
    </row>
    <row r="1158" spans="1:7" ht="24.95" customHeight="1" x14ac:dyDescent="0.25">
      <c r="A1158" s="551" t="s">
        <v>33861</v>
      </c>
      <c r="B1158" s="342" t="s">
        <v>33862</v>
      </c>
      <c r="C1158" s="552" t="s">
        <v>158</v>
      </c>
      <c r="D1158" s="557">
        <v>26.04</v>
      </c>
      <c r="E1158" s="557">
        <v>14.19</v>
      </c>
      <c r="F1158" s="557">
        <v>11.85</v>
      </c>
      <c r="G1158" s="557">
        <v>26.04</v>
      </c>
    </row>
    <row r="1159" spans="1:7" ht="12.6" customHeight="1" x14ac:dyDescent="0.2">
      <c r="A1159" s="548" t="s">
        <v>33863</v>
      </c>
      <c r="B1159" s="548" t="s">
        <v>33864</v>
      </c>
      <c r="C1159" s="550" t="s">
        <v>226</v>
      </c>
      <c r="D1159" s="550">
        <v>61.98</v>
      </c>
      <c r="E1159" s="550">
        <v>58.96</v>
      </c>
      <c r="F1159" s="550">
        <v>3.02</v>
      </c>
      <c r="G1159" s="550">
        <v>61.98</v>
      </c>
    </row>
    <row r="1160" spans="1:7" ht="24.95" customHeight="1" x14ac:dyDescent="0.25">
      <c r="A1160" s="551" t="s">
        <v>33865</v>
      </c>
      <c r="B1160" s="342" t="s">
        <v>33866</v>
      </c>
      <c r="C1160" s="552" t="s">
        <v>158</v>
      </c>
      <c r="D1160" s="553">
        <v>14.07</v>
      </c>
      <c r="E1160" s="553">
        <v>12.56</v>
      </c>
      <c r="F1160" s="344">
        <v>1.51</v>
      </c>
      <c r="G1160" s="553">
        <v>14.07</v>
      </c>
    </row>
    <row r="1161" spans="1:7" ht="12.6" customHeight="1" x14ac:dyDescent="0.2">
      <c r="A1161" s="551" t="s">
        <v>33867</v>
      </c>
      <c r="B1161" s="551" t="s">
        <v>33868</v>
      </c>
      <c r="C1161" s="552" t="s">
        <v>158</v>
      </c>
      <c r="D1161" s="557">
        <v>49.26</v>
      </c>
      <c r="E1161" s="557">
        <v>42.79</v>
      </c>
      <c r="F1161" s="343">
        <v>6.47</v>
      </c>
      <c r="G1161" s="557">
        <v>49.26</v>
      </c>
    </row>
    <row r="1162" spans="1:7" ht="24.95" customHeight="1" x14ac:dyDescent="0.25">
      <c r="A1162" s="551" t="s">
        <v>33869</v>
      </c>
      <c r="B1162" s="342" t="s">
        <v>33870</v>
      </c>
      <c r="C1162" s="552"/>
      <c r="D1162" s="557"/>
      <c r="E1162" s="557"/>
      <c r="F1162" s="344"/>
      <c r="G1162" s="557"/>
    </row>
    <row r="1163" spans="1:7" ht="24.95" customHeight="1" x14ac:dyDescent="0.25">
      <c r="A1163" s="551" t="s">
        <v>33871</v>
      </c>
      <c r="B1163" s="342" t="s">
        <v>33872</v>
      </c>
      <c r="C1163" s="552"/>
      <c r="D1163" s="557"/>
      <c r="E1163" s="557"/>
      <c r="F1163" s="344"/>
      <c r="G1163" s="557"/>
    </row>
    <row r="1164" spans="1:7" ht="12.6" customHeight="1" x14ac:dyDescent="0.2">
      <c r="A1164" s="548" t="s">
        <v>33873</v>
      </c>
      <c r="B1164" s="548" t="s">
        <v>33874</v>
      </c>
      <c r="C1164" s="550" t="s">
        <v>227</v>
      </c>
      <c r="D1164" s="550">
        <v>86.88</v>
      </c>
      <c r="E1164" s="550">
        <v>60.99</v>
      </c>
      <c r="F1164" s="550">
        <v>25.89</v>
      </c>
      <c r="G1164" s="550">
        <v>86.88</v>
      </c>
    </row>
    <row r="1165" spans="1:7" ht="24.95" customHeight="1" x14ac:dyDescent="0.25">
      <c r="A1165" s="551" t="s">
        <v>33875</v>
      </c>
      <c r="B1165" s="342" t="s">
        <v>33876</v>
      </c>
      <c r="C1165" s="552" t="s">
        <v>227</v>
      </c>
      <c r="D1165" s="557">
        <v>133.4</v>
      </c>
      <c r="E1165" s="557">
        <v>81.61</v>
      </c>
      <c r="F1165" s="344">
        <v>51.79</v>
      </c>
      <c r="G1165" s="557">
        <v>133.4</v>
      </c>
    </row>
    <row r="1166" spans="1:7" ht="24.95" customHeight="1" x14ac:dyDescent="0.25">
      <c r="A1166" s="551" t="s">
        <v>33877</v>
      </c>
      <c r="B1166" s="342" t="s">
        <v>33878</v>
      </c>
      <c r="C1166" s="552" t="s">
        <v>227</v>
      </c>
      <c r="D1166" s="557">
        <v>169.53</v>
      </c>
      <c r="E1166" s="557">
        <v>113.42</v>
      </c>
      <c r="F1166" s="344">
        <v>56.11</v>
      </c>
      <c r="G1166" s="557">
        <v>169.53</v>
      </c>
    </row>
    <row r="1167" spans="1:7" ht="12.6" customHeight="1" x14ac:dyDescent="0.2">
      <c r="A1167" s="548" t="s">
        <v>33879</v>
      </c>
      <c r="B1167" s="548" t="s">
        <v>33880</v>
      </c>
      <c r="C1167" s="550" t="s">
        <v>158</v>
      </c>
      <c r="D1167" s="550">
        <v>35.299999999999997</v>
      </c>
      <c r="E1167" s="550">
        <v>18.03</v>
      </c>
      <c r="F1167" s="550">
        <v>17.27</v>
      </c>
      <c r="G1167" s="550">
        <v>35.299999999999997</v>
      </c>
    </row>
    <row r="1168" spans="1:7" ht="24.95" customHeight="1" x14ac:dyDescent="0.25">
      <c r="A1168" s="551" t="s">
        <v>33881</v>
      </c>
      <c r="B1168" s="342" t="s">
        <v>33882</v>
      </c>
      <c r="C1168" s="552" t="s">
        <v>227</v>
      </c>
      <c r="D1168" s="557">
        <v>188.94</v>
      </c>
      <c r="E1168" s="557">
        <v>137.15</v>
      </c>
      <c r="F1168" s="557">
        <v>51.79</v>
      </c>
      <c r="G1168" s="557">
        <v>188.94</v>
      </c>
    </row>
    <row r="1169" spans="1:7" ht="24.95" customHeight="1" x14ac:dyDescent="0.25">
      <c r="A1169" s="551" t="s">
        <v>33883</v>
      </c>
      <c r="B1169" s="342" t="s">
        <v>33884</v>
      </c>
      <c r="C1169" s="552" t="s">
        <v>227</v>
      </c>
      <c r="D1169" s="557">
        <v>129.51</v>
      </c>
      <c r="E1169" s="557">
        <v>103.62</v>
      </c>
      <c r="F1169" s="344">
        <v>25.89</v>
      </c>
      <c r="G1169" s="557">
        <v>129.51</v>
      </c>
    </row>
    <row r="1170" spans="1:7" ht="12.6" customHeight="1" x14ac:dyDescent="0.2">
      <c r="A1170" s="548" t="s">
        <v>33885</v>
      </c>
      <c r="B1170" s="548" t="s">
        <v>33886</v>
      </c>
      <c r="C1170" s="550"/>
      <c r="D1170" s="550"/>
      <c r="E1170" s="550"/>
      <c r="F1170" s="550"/>
      <c r="G1170" s="550"/>
    </row>
    <row r="1171" spans="1:7" ht="12.6" customHeight="1" x14ac:dyDescent="0.2">
      <c r="A1171" s="551" t="s">
        <v>33887</v>
      </c>
      <c r="B1171" s="551" t="s">
        <v>33888</v>
      </c>
      <c r="C1171" s="552" t="s">
        <v>227</v>
      </c>
      <c r="D1171" s="557">
        <v>87.06</v>
      </c>
      <c r="E1171" s="557">
        <v>87.06</v>
      </c>
      <c r="F1171" s="343"/>
      <c r="G1171" s="557">
        <v>87.06</v>
      </c>
    </row>
    <row r="1172" spans="1:7" ht="11.45" customHeight="1" x14ac:dyDescent="0.25">
      <c r="A1172" s="543" t="s">
        <v>33889</v>
      </c>
      <c r="B1172" s="544" t="s">
        <v>33890</v>
      </c>
      <c r="C1172" s="544" t="s">
        <v>227</v>
      </c>
      <c r="D1172" s="543">
        <v>101.97</v>
      </c>
      <c r="E1172" s="545">
        <v>101.97</v>
      </c>
      <c r="F1172" s="546"/>
      <c r="G1172" s="543">
        <v>101.97</v>
      </c>
    </row>
    <row r="1173" spans="1:7" ht="12.6" customHeight="1" x14ac:dyDescent="0.25">
      <c r="A1173" s="548" t="s">
        <v>33891</v>
      </c>
      <c r="B1173" s="548" t="s">
        <v>33892</v>
      </c>
      <c r="C1173" s="549" t="s">
        <v>227</v>
      </c>
      <c r="D1173" s="549">
        <v>118.89</v>
      </c>
      <c r="E1173" s="549">
        <v>118.89</v>
      </c>
      <c r="F1173" s="549"/>
      <c r="G1173" s="549">
        <v>118.89</v>
      </c>
    </row>
    <row r="1174" spans="1:7" ht="12.6" customHeight="1" x14ac:dyDescent="0.25">
      <c r="A1174" s="551" t="s">
        <v>33893</v>
      </c>
      <c r="B1174" s="551" t="s">
        <v>33894</v>
      </c>
      <c r="C1174" s="552"/>
      <c r="D1174" s="557"/>
      <c r="E1174" s="557"/>
      <c r="F1174" s="557"/>
      <c r="G1174" s="557"/>
    </row>
    <row r="1175" spans="1:7" ht="12.6" customHeight="1" x14ac:dyDescent="0.25">
      <c r="A1175" s="551" t="s">
        <v>33895</v>
      </c>
      <c r="B1175" s="551" t="s">
        <v>33896</v>
      </c>
      <c r="C1175" s="552" t="s">
        <v>227</v>
      </c>
      <c r="D1175" s="557">
        <v>95.63</v>
      </c>
      <c r="E1175" s="557">
        <v>95.63</v>
      </c>
      <c r="F1175" s="557"/>
      <c r="G1175" s="557">
        <v>95.63</v>
      </c>
    </row>
    <row r="1176" spans="1:7" ht="24.95" customHeight="1" x14ac:dyDescent="0.25">
      <c r="A1176" s="551" t="s">
        <v>33897</v>
      </c>
      <c r="B1176" s="342" t="s">
        <v>33898</v>
      </c>
      <c r="C1176" s="552" t="s">
        <v>227</v>
      </c>
      <c r="D1176" s="557">
        <v>157.08000000000001</v>
      </c>
      <c r="E1176" s="557">
        <v>157.08000000000001</v>
      </c>
      <c r="F1176" s="557"/>
      <c r="G1176" s="557">
        <v>157.08000000000001</v>
      </c>
    </row>
    <row r="1177" spans="1:7" ht="24.95" customHeight="1" x14ac:dyDescent="0.25">
      <c r="A1177" s="551" t="s">
        <v>33899</v>
      </c>
      <c r="B1177" s="342" t="s">
        <v>33900</v>
      </c>
      <c r="C1177" s="552" t="s">
        <v>227</v>
      </c>
      <c r="D1177" s="557">
        <v>108.8</v>
      </c>
      <c r="E1177" s="557">
        <v>108.8</v>
      </c>
      <c r="F1177" s="557"/>
      <c r="G1177" s="557">
        <v>108.8</v>
      </c>
    </row>
    <row r="1178" spans="1:7" ht="24.95" customHeight="1" x14ac:dyDescent="0.25">
      <c r="A1178" s="551" t="s">
        <v>33901</v>
      </c>
      <c r="B1178" s="342" t="s">
        <v>33902</v>
      </c>
      <c r="C1178" s="552" t="s">
        <v>227</v>
      </c>
      <c r="D1178" s="557">
        <v>124.41</v>
      </c>
      <c r="E1178" s="557">
        <v>124.41</v>
      </c>
      <c r="F1178" s="557"/>
      <c r="G1178" s="557">
        <v>124.41</v>
      </c>
    </row>
    <row r="1179" spans="1:7" ht="12.6" customHeight="1" x14ac:dyDescent="0.25">
      <c r="A1179" s="551" t="s">
        <v>33903</v>
      </c>
      <c r="B1179" s="551" t="s">
        <v>33904</v>
      </c>
      <c r="C1179" s="552" t="s">
        <v>227</v>
      </c>
      <c r="D1179" s="557">
        <v>87.76</v>
      </c>
      <c r="E1179" s="557">
        <v>87.76</v>
      </c>
      <c r="F1179" s="557"/>
      <c r="G1179" s="557">
        <v>87.76</v>
      </c>
    </row>
    <row r="1180" spans="1:7" ht="12.6" customHeight="1" x14ac:dyDescent="0.2">
      <c r="A1180" s="551" t="s">
        <v>33905</v>
      </c>
      <c r="B1180" s="551" t="s">
        <v>33906</v>
      </c>
      <c r="C1180" s="552" t="s">
        <v>227</v>
      </c>
      <c r="D1180" s="557">
        <v>291.13</v>
      </c>
      <c r="E1180" s="557">
        <v>291.13</v>
      </c>
      <c r="F1180" s="343"/>
      <c r="G1180" s="557">
        <v>291.13</v>
      </c>
    </row>
    <row r="1181" spans="1:7" ht="24.95" customHeight="1" x14ac:dyDescent="0.25">
      <c r="A1181" s="551" t="s">
        <v>33907</v>
      </c>
      <c r="B1181" s="342" t="s">
        <v>33908</v>
      </c>
      <c r="C1181" s="552" t="s">
        <v>227</v>
      </c>
      <c r="D1181" s="557">
        <v>185.18</v>
      </c>
      <c r="E1181" s="557">
        <v>185.18</v>
      </c>
      <c r="F1181" s="344"/>
      <c r="G1181" s="557">
        <v>185.18</v>
      </c>
    </row>
    <row r="1182" spans="1:7" ht="12.6" customHeight="1" x14ac:dyDescent="0.2">
      <c r="A1182" s="548" t="s">
        <v>33909</v>
      </c>
      <c r="B1182" s="548" t="s">
        <v>33910</v>
      </c>
      <c r="C1182" s="550" t="s">
        <v>227</v>
      </c>
      <c r="D1182" s="550">
        <v>280.14</v>
      </c>
      <c r="E1182" s="550">
        <v>280.14</v>
      </c>
      <c r="F1182" s="550"/>
      <c r="G1182" s="550">
        <v>280.14</v>
      </c>
    </row>
    <row r="1183" spans="1:7" ht="23.1" customHeight="1" x14ac:dyDescent="0.25">
      <c r="A1183" s="551" t="s">
        <v>33911</v>
      </c>
      <c r="B1183" s="551" t="s">
        <v>33912</v>
      </c>
      <c r="C1183" s="552"/>
      <c r="D1183" s="557"/>
      <c r="E1183" s="557"/>
      <c r="F1183" s="557"/>
      <c r="G1183" s="557"/>
    </row>
    <row r="1184" spans="1:7" ht="24.95" customHeight="1" x14ac:dyDescent="0.25">
      <c r="A1184" s="551" t="s">
        <v>33913</v>
      </c>
      <c r="B1184" s="342" t="s">
        <v>33914</v>
      </c>
      <c r="C1184" s="552" t="s">
        <v>227</v>
      </c>
      <c r="D1184" s="557">
        <v>755.97</v>
      </c>
      <c r="E1184" s="557">
        <v>755.97</v>
      </c>
      <c r="F1184" s="557"/>
      <c r="G1184" s="557">
        <v>755.97</v>
      </c>
    </row>
    <row r="1185" spans="1:7" ht="12.6" customHeight="1" x14ac:dyDescent="0.2">
      <c r="A1185" s="548" t="s">
        <v>33915</v>
      </c>
      <c r="B1185" s="548" t="s">
        <v>33916</v>
      </c>
      <c r="C1185" s="550" t="s">
        <v>227</v>
      </c>
      <c r="D1185" s="550">
        <v>388.56</v>
      </c>
      <c r="E1185" s="550">
        <v>388.56</v>
      </c>
      <c r="F1185" s="550"/>
      <c r="G1185" s="550">
        <v>388.56</v>
      </c>
    </row>
    <row r="1186" spans="1:7" ht="12.6" customHeight="1" x14ac:dyDescent="0.25">
      <c r="A1186" s="551" t="s">
        <v>33917</v>
      </c>
      <c r="B1186" s="551" t="s">
        <v>33918</v>
      </c>
      <c r="C1186" s="552"/>
      <c r="D1186" s="557"/>
      <c r="E1186" s="557"/>
      <c r="F1186" s="557"/>
      <c r="G1186" s="557"/>
    </row>
    <row r="1187" spans="1:7" ht="12.6" customHeight="1" x14ac:dyDescent="0.25">
      <c r="A1187" s="551" t="s">
        <v>33919</v>
      </c>
      <c r="B1187" s="551" t="s">
        <v>33920</v>
      </c>
      <c r="C1187" s="552" t="s">
        <v>227</v>
      </c>
      <c r="D1187" s="557">
        <v>455.27</v>
      </c>
      <c r="E1187" s="557">
        <v>330.38</v>
      </c>
      <c r="F1187" s="557">
        <v>124.89</v>
      </c>
      <c r="G1187" s="557">
        <v>455.27</v>
      </c>
    </row>
    <row r="1188" spans="1:7" ht="24.95" customHeight="1" x14ac:dyDescent="0.25">
      <c r="A1188" s="551" t="s">
        <v>33921</v>
      </c>
      <c r="B1188" s="342" t="s">
        <v>33922</v>
      </c>
      <c r="C1188" s="552" t="s">
        <v>227</v>
      </c>
      <c r="D1188" s="557">
        <v>979.42</v>
      </c>
      <c r="E1188" s="344">
        <v>979.42</v>
      </c>
      <c r="F1188" s="557"/>
      <c r="G1188" s="557">
        <v>979.42</v>
      </c>
    </row>
    <row r="1189" spans="1:7" ht="12.6" customHeight="1" x14ac:dyDescent="0.2">
      <c r="A1189" s="551" t="s">
        <v>33923</v>
      </c>
      <c r="B1189" s="551" t="s">
        <v>33924</v>
      </c>
      <c r="C1189" s="552" t="s">
        <v>227</v>
      </c>
      <c r="D1189" s="557">
        <v>1750.76</v>
      </c>
      <c r="E1189" s="557">
        <v>1750.76</v>
      </c>
      <c r="F1189" s="343"/>
      <c r="G1189" s="557">
        <v>1750.76</v>
      </c>
    </row>
    <row r="1190" spans="1:7" ht="12.6" customHeight="1" x14ac:dyDescent="0.2">
      <c r="A1190" s="551" t="s">
        <v>33925</v>
      </c>
      <c r="B1190" s="551" t="s">
        <v>33926</v>
      </c>
      <c r="C1190" s="552" t="s">
        <v>227</v>
      </c>
      <c r="D1190" s="557">
        <v>629.48</v>
      </c>
      <c r="E1190" s="343">
        <v>629.48</v>
      </c>
      <c r="F1190" s="557"/>
      <c r="G1190" s="557">
        <v>629.48</v>
      </c>
    </row>
    <row r="1191" spans="1:7" ht="12.6" customHeight="1" x14ac:dyDescent="0.25">
      <c r="A1191" s="551" t="s">
        <v>33927</v>
      </c>
      <c r="B1191" s="551" t="s">
        <v>33928</v>
      </c>
      <c r="C1191" s="552" t="s">
        <v>227</v>
      </c>
      <c r="D1191" s="557">
        <v>1036.71</v>
      </c>
      <c r="E1191" s="557">
        <v>1036.71</v>
      </c>
      <c r="F1191" s="557"/>
      <c r="G1191" s="557">
        <v>1036.71</v>
      </c>
    </row>
    <row r="1192" spans="1:7" ht="23.1" customHeight="1" x14ac:dyDescent="0.25">
      <c r="A1192" s="551" t="s">
        <v>33929</v>
      </c>
      <c r="B1192" s="551" t="s">
        <v>33930</v>
      </c>
      <c r="C1192" s="552" t="s">
        <v>227</v>
      </c>
      <c r="D1192" s="557">
        <v>899.73</v>
      </c>
      <c r="E1192" s="557">
        <v>899.73</v>
      </c>
      <c r="F1192" s="557"/>
      <c r="G1192" s="557">
        <v>899.73</v>
      </c>
    </row>
    <row r="1193" spans="1:7" ht="12.6" customHeight="1" x14ac:dyDescent="0.25">
      <c r="A1193" s="551" t="s">
        <v>33931</v>
      </c>
      <c r="B1193" s="551" t="s">
        <v>33932</v>
      </c>
      <c r="C1193" s="552"/>
      <c r="D1193" s="557"/>
      <c r="E1193" s="557"/>
      <c r="F1193" s="557"/>
      <c r="G1193" s="557"/>
    </row>
    <row r="1194" spans="1:7" ht="12.6" customHeight="1" x14ac:dyDescent="0.25">
      <c r="A1194" s="551" t="s">
        <v>33933</v>
      </c>
      <c r="B1194" s="551" t="s">
        <v>33934</v>
      </c>
      <c r="C1194" s="552" t="s">
        <v>227</v>
      </c>
      <c r="D1194" s="557">
        <v>56.79</v>
      </c>
      <c r="E1194" s="557">
        <v>56.79</v>
      </c>
      <c r="F1194" s="557"/>
      <c r="G1194" s="557">
        <v>56.79</v>
      </c>
    </row>
    <row r="1195" spans="1:7" ht="12.6" customHeight="1" x14ac:dyDescent="0.25">
      <c r="A1195" s="551" t="s">
        <v>33935</v>
      </c>
      <c r="B1195" s="551" t="s">
        <v>33936</v>
      </c>
      <c r="C1195" s="552" t="s">
        <v>227</v>
      </c>
      <c r="D1195" s="557">
        <v>14.13</v>
      </c>
      <c r="E1195" s="557">
        <v>1.18</v>
      </c>
      <c r="F1195" s="557">
        <v>12.95</v>
      </c>
      <c r="G1195" s="557">
        <v>14.13</v>
      </c>
    </row>
    <row r="1196" spans="1:7" ht="12.6" customHeight="1" x14ac:dyDescent="0.2">
      <c r="A1196" s="559" t="s">
        <v>33937</v>
      </c>
      <c r="B1196" s="548" t="s">
        <v>33938</v>
      </c>
      <c r="C1196" s="550" t="s">
        <v>227</v>
      </c>
      <c r="D1196" s="550">
        <v>6.47</v>
      </c>
      <c r="E1196" s="550"/>
      <c r="F1196" s="550">
        <v>6.47</v>
      </c>
      <c r="G1196" s="550">
        <v>6.47</v>
      </c>
    </row>
    <row r="1197" spans="1:7" ht="12.6" customHeight="1" x14ac:dyDescent="0.2">
      <c r="A1197" s="548" t="s">
        <v>33939</v>
      </c>
      <c r="B1197" s="548" t="s">
        <v>33940</v>
      </c>
      <c r="C1197" s="550" t="s">
        <v>158</v>
      </c>
      <c r="D1197" s="550">
        <v>19.07</v>
      </c>
      <c r="E1197" s="550">
        <v>19.07</v>
      </c>
      <c r="F1197" s="550"/>
      <c r="G1197" s="550">
        <v>19.07</v>
      </c>
    </row>
    <row r="1198" spans="1:7" ht="12.6" customHeight="1" x14ac:dyDescent="0.25">
      <c r="A1198" s="551" t="s">
        <v>33941</v>
      </c>
      <c r="B1198" s="551" t="s">
        <v>33942</v>
      </c>
      <c r="C1198" s="552" t="s">
        <v>226</v>
      </c>
      <c r="D1198" s="557">
        <v>21.15</v>
      </c>
      <c r="E1198" s="557">
        <v>21.15</v>
      </c>
      <c r="F1198" s="557"/>
      <c r="G1198" s="557">
        <v>21.15</v>
      </c>
    </row>
    <row r="1199" spans="1:7" ht="12.6" customHeight="1" x14ac:dyDescent="0.25">
      <c r="A1199" s="551" t="s">
        <v>33943</v>
      </c>
      <c r="B1199" s="551" t="s">
        <v>33944</v>
      </c>
      <c r="C1199" s="552"/>
      <c r="D1199" s="557"/>
      <c r="E1199" s="557"/>
      <c r="F1199" s="557"/>
      <c r="G1199" s="557"/>
    </row>
    <row r="1200" spans="1:7" ht="23.1" customHeight="1" x14ac:dyDescent="0.25">
      <c r="A1200" s="551" t="s">
        <v>33945</v>
      </c>
      <c r="B1200" s="551" t="s">
        <v>33946</v>
      </c>
      <c r="C1200" s="552"/>
      <c r="D1200" s="557"/>
      <c r="E1200" s="557"/>
      <c r="F1200" s="557"/>
      <c r="G1200" s="557"/>
    </row>
    <row r="1201" spans="1:7" ht="12.6" customHeight="1" x14ac:dyDescent="0.25">
      <c r="A1201" s="551" t="s">
        <v>33947</v>
      </c>
      <c r="B1201" s="551" t="s">
        <v>33948</v>
      </c>
      <c r="C1201" s="552" t="s">
        <v>227</v>
      </c>
      <c r="D1201" s="557">
        <v>1006.18</v>
      </c>
      <c r="E1201" s="557">
        <v>949.65</v>
      </c>
      <c r="F1201" s="557">
        <v>56.53</v>
      </c>
      <c r="G1201" s="557">
        <v>1006.18</v>
      </c>
    </row>
    <row r="1202" spans="1:7" ht="24.95" customHeight="1" x14ac:dyDescent="0.25">
      <c r="A1202" s="551" t="s">
        <v>33949</v>
      </c>
      <c r="B1202" s="342" t="s">
        <v>33950</v>
      </c>
      <c r="C1202" s="552" t="s">
        <v>227</v>
      </c>
      <c r="D1202" s="557">
        <v>867.62</v>
      </c>
      <c r="E1202" s="557">
        <v>811.09</v>
      </c>
      <c r="F1202" s="557">
        <v>56.53</v>
      </c>
      <c r="G1202" s="557">
        <v>867.62</v>
      </c>
    </row>
    <row r="1203" spans="1:7" ht="23.1" customHeight="1" x14ac:dyDescent="0.25">
      <c r="A1203" s="551" t="s">
        <v>33951</v>
      </c>
      <c r="B1203" s="551" t="s">
        <v>33952</v>
      </c>
      <c r="C1203" s="552"/>
      <c r="D1203" s="557"/>
      <c r="E1203" s="557"/>
      <c r="F1203" s="557"/>
      <c r="G1203" s="557"/>
    </row>
    <row r="1204" spans="1:7" ht="12.6" customHeight="1" x14ac:dyDescent="0.2">
      <c r="A1204" s="548" t="s">
        <v>33953</v>
      </c>
      <c r="B1204" s="548" t="s">
        <v>33954</v>
      </c>
      <c r="C1204" s="550" t="s">
        <v>227</v>
      </c>
      <c r="D1204" s="550">
        <v>726.16</v>
      </c>
      <c r="E1204" s="550">
        <v>666.59</v>
      </c>
      <c r="F1204" s="550">
        <v>59.57</v>
      </c>
      <c r="G1204" s="550">
        <v>726.16</v>
      </c>
    </row>
    <row r="1205" spans="1:7" ht="12.6" customHeight="1" x14ac:dyDescent="0.2">
      <c r="A1205" s="551" t="s">
        <v>33955</v>
      </c>
      <c r="B1205" s="551" t="s">
        <v>33956</v>
      </c>
      <c r="C1205" s="552" t="s">
        <v>226</v>
      </c>
      <c r="D1205" s="557">
        <v>1266.48</v>
      </c>
      <c r="E1205" s="557">
        <v>1145.6199999999999</v>
      </c>
      <c r="F1205" s="343">
        <v>120.86</v>
      </c>
      <c r="G1205" s="557">
        <v>1266.48</v>
      </c>
    </row>
    <row r="1206" spans="1:7" ht="12.6" customHeight="1" x14ac:dyDescent="0.2">
      <c r="A1206" s="551" t="s">
        <v>33957</v>
      </c>
      <c r="B1206" s="551" t="s">
        <v>33958</v>
      </c>
      <c r="C1206" s="552" t="s">
        <v>226</v>
      </c>
      <c r="D1206" s="557">
        <v>1355.16</v>
      </c>
      <c r="E1206" s="557">
        <v>1234.3</v>
      </c>
      <c r="F1206" s="343">
        <v>120.86</v>
      </c>
      <c r="G1206" s="557">
        <v>1355.16</v>
      </c>
    </row>
    <row r="1207" spans="1:7" ht="24.95" customHeight="1" x14ac:dyDescent="0.25">
      <c r="A1207" s="551" t="s">
        <v>33959</v>
      </c>
      <c r="B1207" s="342" t="s">
        <v>33960</v>
      </c>
      <c r="C1207" s="552" t="s">
        <v>226</v>
      </c>
      <c r="D1207" s="557">
        <v>1429.98</v>
      </c>
      <c r="E1207" s="557">
        <v>1309.1199999999999</v>
      </c>
      <c r="F1207" s="344">
        <v>120.86</v>
      </c>
      <c r="G1207" s="557">
        <v>1429.98</v>
      </c>
    </row>
    <row r="1208" spans="1:7" ht="24.95" customHeight="1" x14ac:dyDescent="0.25">
      <c r="A1208" s="551" t="s">
        <v>33961</v>
      </c>
      <c r="B1208" s="342" t="s">
        <v>33962</v>
      </c>
      <c r="C1208" s="552" t="s">
        <v>226</v>
      </c>
      <c r="D1208" s="557">
        <v>2089.46</v>
      </c>
      <c r="E1208" s="557">
        <v>1938.39</v>
      </c>
      <c r="F1208" s="344">
        <v>151.07</v>
      </c>
      <c r="G1208" s="557">
        <v>2089.46</v>
      </c>
    </row>
    <row r="1209" spans="1:7" ht="12.6" customHeight="1" x14ac:dyDescent="0.2">
      <c r="A1209" s="548" t="s">
        <v>33963</v>
      </c>
      <c r="B1209" s="548" t="s">
        <v>33964</v>
      </c>
      <c r="C1209" s="550"/>
      <c r="D1209" s="550"/>
      <c r="E1209" s="550"/>
      <c r="F1209" s="550"/>
      <c r="G1209" s="550"/>
    </row>
    <row r="1210" spans="1:7" ht="12.6" customHeight="1" x14ac:dyDescent="0.2">
      <c r="A1210" s="551" t="s">
        <v>33965</v>
      </c>
      <c r="B1210" s="551" t="s">
        <v>33966</v>
      </c>
      <c r="C1210" s="552" t="s">
        <v>226</v>
      </c>
      <c r="D1210" s="557">
        <v>1297.67</v>
      </c>
      <c r="E1210" s="557">
        <v>1237.24</v>
      </c>
      <c r="F1210" s="343">
        <v>60.43</v>
      </c>
      <c r="G1210" s="557">
        <v>1297.67</v>
      </c>
    </row>
    <row r="1211" spans="1:7" ht="12.6" customHeight="1" x14ac:dyDescent="0.2">
      <c r="A1211" s="551" t="s">
        <v>33967</v>
      </c>
      <c r="B1211" s="551" t="s">
        <v>33968</v>
      </c>
      <c r="C1211" s="552" t="s">
        <v>226</v>
      </c>
      <c r="D1211" s="557">
        <v>1143.6099999999999</v>
      </c>
      <c r="E1211" s="557">
        <v>1083.18</v>
      </c>
      <c r="F1211" s="343">
        <v>60.43</v>
      </c>
      <c r="G1211" s="557">
        <v>1143.6099999999999</v>
      </c>
    </row>
    <row r="1212" spans="1:7" ht="12.6" customHeight="1" x14ac:dyDescent="0.2">
      <c r="A1212" s="551" t="s">
        <v>33969</v>
      </c>
      <c r="B1212" s="551" t="s">
        <v>33970</v>
      </c>
      <c r="C1212" s="552" t="s">
        <v>226</v>
      </c>
      <c r="D1212" s="557">
        <v>1383.18</v>
      </c>
      <c r="E1212" s="557">
        <v>1262.32</v>
      </c>
      <c r="F1212" s="343">
        <v>120.86</v>
      </c>
      <c r="G1212" s="557">
        <v>1383.18</v>
      </c>
    </row>
    <row r="1213" spans="1:7" ht="12.6" customHeight="1" x14ac:dyDescent="0.2">
      <c r="A1213" s="551" t="s">
        <v>33971</v>
      </c>
      <c r="B1213" s="551" t="s">
        <v>33972</v>
      </c>
      <c r="C1213" s="552" t="s">
        <v>226</v>
      </c>
      <c r="D1213" s="557">
        <v>1484.17</v>
      </c>
      <c r="E1213" s="557">
        <v>1363.31</v>
      </c>
      <c r="F1213" s="343">
        <v>120.86</v>
      </c>
      <c r="G1213" s="557">
        <v>1484.17</v>
      </c>
    </row>
    <row r="1214" spans="1:7" ht="12.6" customHeight="1" x14ac:dyDescent="0.2">
      <c r="A1214" s="551" t="s">
        <v>33973</v>
      </c>
      <c r="B1214" s="551" t="s">
        <v>33974</v>
      </c>
      <c r="C1214" s="552" t="s">
        <v>226</v>
      </c>
      <c r="D1214" s="557">
        <v>1500.05</v>
      </c>
      <c r="E1214" s="557">
        <v>1379.19</v>
      </c>
      <c r="F1214" s="343">
        <v>120.86</v>
      </c>
      <c r="G1214" s="557">
        <v>1500.05</v>
      </c>
    </row>
    <row r="1215" spans="1:7" ht="24.95" customHeight="1" x14ac:dyDescent="0.25">
      <c r="A1215" s="551" t="s">
        <v>33975</v>
      </c>
      <c r="B1215" s="342" t="s">
        <v>33976</v>
      </c>
      <c r="C1215" s="552" t="s">
        <v>226</v>
      </c>
      <c r="D1215" s="557">
        <v>2333.84</v>
      </c>
      <c r="E1215" s="557">
        <v>2182.77</v>
      </c>
      <c r="F1215" s="344">
        <v>151.07</v>
      </c>
      <c r="G1215" s="557">
        <v>2333.84</v>
      </c>
    </row>
    <row r="1216" spans="1:7" ht="11.45" customHeight="1" x14ac:dyDescent="0.25">
      <c r="A1216" s="543" t="s">
        <v>33977</v>
      </c>
      <c r="B1216" s="544" t="s">
        <v>33978</v>
      </c>
      <c r="C1216" s="544" t="s">
        <v>226</v>
      </c>
      <c r="D1216" s="543">
        <v>2521.1</v>
      </c>
      <c r="E1216" s="545">
        <v>2370.0300000000002</v>
      </c>
      <c r="F1216" s="546">
        <v>151.07</v>
      </c>
      <c r="G1216" s="543">
        <v>2521.1</v>
      </c>
    </row>
    <row r="1217" spans="1:7" ht="24.95" customHeight="1" x14ac:dyDescent="0.25">
      <c r="A1217" s="551" t="s">
        <v>33979</v>
      </c>
      <c r="B1217" s="342" t="s">
        <v>33980</v>
      </c>
      <c r="C1217" s="552" t="s">
        <v>226</v>
      </c>
      <c r="D1217" s="557">
        <v>4483.58</v>
      </c>
      <c r="E1217" s="557">
        <v>4310.92</v>
      </c>
      <c r="F1217" s="344">
        <v>172.66</v>
      </c>
      <c r="G1217" s="557">
        <v>4483.58</v>
      </c>
    </row>
    <row r="1218" spans="1:7" ht="12.6" customHeight="1" x14ac:dyDescent="0.2">
      <c r="A1218" s="551" t="s">
        <v>33981</v>
      </c>
      <c r="B1218" s="551" t="s">
        <v>33982</v>
      </c>
      <c r="C1218" s="552" t="s">
        <v>226</v>
      </c>
      <c r="D1218" s="557">
        <v>1034.92</v>
      </c>
      <c r="E1218" s="557">
        <v>1019.82</v>
      </c>
      <c r="F1218" s="343">
        <v>15.1</v>
      </c>
      <c r="G1218" s="557">
        <v>1034.92</v>
      </c>
    </row>
    <row r="1219" spans="1:7" ht="12.6" customHeight="1" x14ac:dyDescent="0.2">
      <c r="A1219" s="548" t="s">
        <v>33983</v>
      </c>
      <c r="B1219" s="548" t="s">
        <v>33984</v>
      </c>
      <c r="C1219" s="550" t="s">
        <v>226</v>
      </c>
      <c r="D1219" s="550">
        <v>2216.62</v>
      </c>
      <c r="E1219" s="550">
        <v>2100.08</v>
      </c>
      <c r="F1219" s="550">
        <v>116.54</v>
      </c>
      <c r="G1219" s="550">
        <v>2216.62</v>
      </c>
    </row>
    <row r="1220" spans="1:7" ht="23.1" customHeight="1" x14ac:dyDescent="0.25">
      <c r="A1220" s="551" t="s">
        <v>33985</v>
      </c>
      <c r="B1220" s="551" t="s">
        <v>33986</v>
      </c>
      <c r="C1220" s="552" t="s">
        <v>226</v>
      </c>
      <c r="D1220" s="557">
        <v>2291.61</v>
      </c>
      <c r="E1220" s="557">
        <v>2179.39</v>
      </c>
      <c r="F1220" s="344">
        <v>112.22</v>
      </c>
      <c r="G1220" s="557">
        <v>2291.61</v>
      </c>
    </row>
    <row r="1221" spans="1:7" ht="24.95" customHeight="1" x14ac:dyDescent="0.25">
      <c r="A1221" s="551" t="s">
        <v>33987</v>
      </c>
      <c r="B1221" s="342" t="s">
        <v>33988</v>
      </c>
      <c r="C1221" s="552" t="s">
        <v>226</v>
      </c>
      <c r="D1221" s="557">
        <v>2441</v>
      </c>
      <c r="E1221" s="557">
        <v>2328.7800000000002</v>
      </c>
      <c r="F1221" s="344">
        <v>112.22</v>
      </c>
      <c r="G1221" s="557">
        <v>2441</v>
      </c>
    </row>
    <row r="1222" spans="1:7" ht="12.6" customHeight="1" x14ac:dyDescent="0.2">
      <c r="A1222" s="548" t="s">
        <v>33989</v>
      </c>
      <c r="B1222" s="548" t="s">
        <v>33990</v>
      </c>
      <c r="C1222" s="550" t="s">
        <v>226</v>
      </c>
      <c r="D1222" s="550">
        <v>2456.88</v>
      </c>
      <c r="E1222" s="550">
        <v>2344.66</v>
      </c>
      <c r="F1222" s="550">
        <v>112.22</v>
      </c>
      <c r="G1222" s="550">
        <v>2456.88</v>
      </c>
    </row>
    <row r="1223" spans="1:7" ht="12.6" customHeight="1" x14ac:dyDescent="0.25">
      <c r="A1223" s="551" t="s">
        <v>33991</v>
      </c>
      <c r="B1223" s="551" t="s">
        <v>33992</v>
      </c>
      <c r="C1223" s="552" t="s">
        <v>226</v>
      </c>
      <c r="D1223" s="557">
        <v>3301.47</v>
      </c>
      <c r="E1223" s="557">
        <v>3154.73</v>
      </c>
      <c r="F1223" s="557">
        <v>146.74</v>
      </c>
      <c r="G1223" s="557">
        <v>3301.47</v>
      </c>
    </row>
    <row r="1224" spans="1:7" ht="24.95" customHeight="1" x14ac:dyDescent="0.25">
      <c r="A1224" s="551" t="s">
        <v>33993</v>
      </c>
      <c r="B1224" s="342" t="s">
        <v>33994</v>
      </c>
      <c r="C1224" s="552"/>
      <c r="D1224" s="557"/>
      <c r="E1224" s="557"/>
      <c r="F1224" s="344"/>
      <c r="G1224" s="557"/>
    </row>
    <row r="1225" spans="1:7" ht="23.1" customHeight="1" x14ac:dyDescent="0.25">
      <c r="A1225" s="551" t="s">
        <v>33995</v>
      </c>
      <c r="B1225" s="551" t="s">
        <v>33996</v>
      </c>
      <c r="C1225" s="552" t="s">
        <v>227</v>
      </c>
      <c r="D1225" s="553">
        <v>146.74</v>
      </c>
      <c r="E1225" s="553">
        <v>103.58</v>
      </c>
      <c r="F1225" s="344">
        <v>43.16</v>
      </c>
      <c r="G1225" s="553">
        <v>146.74</v>
      </c>
    </row>
    <row r="1226" spans="1:7" ht="24.95" customHeight="1" x14ac:dyDescent="0.25">
      <c r="A1226" s="551" t="s">
        <v>33997</v>
      </c>
      <c r="B1226" s="342" t="s">
        <v>33998</v>
      </c>
      <c r="C1226" s="552" t="s">
        <v>158</v>
      </c>
      <c r="D1226" s="557">
        <v>16.82</v>
      </c>
      <c r="E1226" s="557">
        <v>8.19</v>
      </c>
      <c r="F1226" s="344">
        <v>8.6300000000000008</v>
      </c>
      <c r="G1226" s="557">
        <v>16.82</v>
      </c>
    </row>
    <row r="1227" spans="1:7" ht="24.95" customHeight="1" x14ac:dyDescent="0.25">
      <c r="A1227" s="551" t="s">
        <v>33999</v>
      </c>
      <c r="B1227" s="342" t="s">
        <v>34000</v>
      </c>
      <c r="C1227" s="552" t="s">
        <v>158</v>
      </c>
      <c r="D1227" s="557">
        <v>184.72</v>
      </c>
      <c r="E1227" s="557">
        <v>98.4</v>
      </c>
      <c r="F1227" s="344">
        <v>86.32</v>
      </c>
      <c r="G1227" s="557">
        <v>184.72</v>
      </c>
    </row>
    <row r="1228" spans="1:7" ht="24.95" customHeight="1" x14ac:dyDescent="0.25">
      <c r="A1228" s="551" t="s">
        <v>34001</v>
      </c>
      <c r="B1228" s="342" t="s">
        <v>34002</v>
      </c>
      <c r="C1228" s="552" t="s">
        <v>227</v>
      </c>
      <c r="D1228" s="557">
        <v>2054.3200000000002</v>
      </c>
      <c r="E1228" s="557">
        <v>2054.3200000000002</v>
      </c>
      <c r="F1228" s="344"/>
      <c r="G1228" s="557">
        <v>2054.3200000000002</v>
      </c>
    </row>
    <row r="1229" spans="1:7" ht="12.6" customHeight="1" x14ac:dyDescent="0.2">
      <c r="A1229" s="548" t="s">
        <v>34003</v>
      </c>
      <c r="B1229" s="548" t="s">
        <v>34004</v>
      </c>
      <c r="C1229" s="550" t="s">
        <v>227</v>
      </c>
      <c r="D1229" s="550">
        <v>773.59</v>
      </c>
      <c r="E1229" s="550">
        <v>773.59</v>
      </c>
      <c r="F1229" s="550"/>
      <c r="G1229" s="550">
        <v>773.59</v>
      </c>
    </row>
    <row r="1230" spans="1:7" ht="12.6" customHeight="1" x14ac:dyDescent="0.2">
      <c r="A1230" s="551" t="s">
        <v>34005</v>
      </c>
      <c r="B1230" s="551" t="s">
        <v>34006</v>
      </c>
      <c r="C1230" s="552" t="s">
        <v>227</v>
      </c>
      <c r="D1230" s="557">
        <v>627.02</v>
      </c>
      <c r="E1230" s="557">
        <v>609.75</v>
      </c>
      <c r="F1230" s="343">
        <v>17.27</v>
      </c>
      <c r="G1230" s="557">
        <v>627.02</v>
      </c>
    </row>
    <row r="1231" spans="1:7" ht="12.6" customHeight="1" x14ac:dyDescent="0.25">
      <c r="A1231" s="551" t="s">
        <v>34007</v>
      </c>
      <c r="B1231" s="551" t="s">
        <v>34008</v>
      </c>
      <c r="C1231" s="552" t="s">
        <v>227</v>
      </c>
      <c r="D1231" s="557">
        <v>1593.72</v>
      </c>
      <c r="E1231" s="557">
        <v>1593.72</v>
      </c>
      <c r="F1231" s="557"/>
      <c r="G1231" s="557">
        <v>1593.72</v>
      </c>
    </row>
    <row r="1232" spans="1:7" ht="12.6" customHeight="1" x14ac:dyDescent="0.2">
      <c r="A1232" s="551" t="s">
        <v>34009</v>
      </c>
      <c r="B1232" s="551" t="s">
        <v>34010</v>
      </c>
      <c r="C1232" s="552" t="s">
        <v>227</v>
      </c>
      <c r="D1232" s="557">
        <v>240.32</v>
      </c>
      <c r="E1232" s="343">
        <v>197.16</v>
      </c>
      <c r="F1232" s="557">
        <v>43.16</v>
      </c>
      <c r="G1232" s="557">
        <v>240.32</v>
      </c>
    </row>
    <row r="1233" spans="1:7" ht="12.6" customHeight="1" x14ac:dyDescent="0.2">
      <c r="A1233" s="551" t="s">
        <v>34011</v>
      </c>
      <c r="B1233" s="551" t="s">
        <v>34012</v>
      </c>
      <c r="C1233" s="552" t="s">
        <v>19518</v>
      </c>
      <c r="D1233" s="557">
        <v>1219.74</v>
      </c>
      <c r="E1233" s="557">
        <v>1034.1500000000001</v>
      </c>
      <c r="F1233" s="343">
        <v>185.59</v>
      </c>
      <c r="G1233" s="557">
        <v>1219.74</v>
      </c>
    </row>
    <row r="1234" spans="1:7" ht="12.6" customHeight="1" x14ac:dyDescent="0.2">
      <c r="A1234" s="551" t="s">
        <v>34013</v>
      </c>
      <c r="B1234" s="551" t="s">
        <v>34014</v>
      </c>
      <c r="C1234" s="552" t="s">
        <v>227</v>
      </c>
      <c r="D1234" s="557">
        <v>248.03</v>
      </c>
      <c r="E1234" s="557">
        <v>239.57</v>
      </c>
      <c r="F1234" s="343">
        <v>8.4600000000000009</v>
      </c>
      <c r="G1234" s="557">
        <v>248.03</v>
      </c>
    </row>
    <row r="1235" spans="1:7" ht="12.6" customHeight="1" x14ac:dyDescent="0.2">
      <c r="A1235" s="559" t="s">
        <v>34015</v>
      </c>
      <c r="B1235" s="548" t="s">
        <v>34016</v>
      </c>
      <c r="C1235" s="550" t="s">
        <v>227</v>
      </c>
      <c r="D1235" s="550">
        <v>2014.41</v>
      </c>
      <c r="E1235" s="550">
        <v>2014.41</v>
      </c>
      <c r="F1235" s="550"/>
      <c r="G1235" s="550">
        <v>2014.41</v>
      </c>
    </row>
    <row r="1236" spans="1:7" ht="12.6" customHeight="1" x14ac:dyDescent="0.2">
      <c r="A1236" s="548" t="s">
        <v>34017</v>
      </c>
      <c r="B1236" s="548" t="s">
        <v>34018</v>
      </c>
      <c r="C1236" s="550" t="s">
        <v>227</v>
      </c>
      <c r="D1236" s="550">
        <v>1728.58</v>
      </c>
      <c r="E1236" s="550">
        <v>1728.58</v>
      </c>
      <c r="F1236" s="550"/>
      <c r="G1236" s="550">
        <v>1728.58</v>
      </c>
    </row>
    <row r="1237" spans="1:7" ht="12.6" customHeight="1" x14ac:dyDescent="0.25">
      <c r="A1237" s="551" t="s">
        <v>34019</v>
      </c>
      <c r="B1237" s="551" t="s">
        <v>34020</v>
      </c>
      <c r="C1237" s="552" t="s">
        <v>227</v>
      </c>
      <c r="D1237" s="553">
        <v>700.77</v>
      </c>
      <c r="E1237" s="553">
        <v>665.23</v>
      </c>
      <c r="F1237" s="557">
        <v>35.54</v>
      </c>
      <c r="G1237" s="553">
        <v>700.77</v>
      </c>
    </row>
    <row r="1238" spans="1:7" ht="12.6" customHeight="1" x14ac:dyDescent="0.25">
      <c r="A1238" s="551" t="s">
        <v>34021</v>
      </c>
      <c r="B1238" s="551" t="s">
        <v>34022</v>
      </c>
      <c r="C1238" s="552" t="s">
        <v>227</v>
      </c>
      <c r="D1238" s="557">
        <v>888.5</v>
      </c>
      <c r="E1238" s="557">
        <v>715.86</v>
      </c>
      <c r="F1238" s="557">
        <v>172.64</v>
      </c>
      <c r="G1238" s="557">
        <v>888.5</v>
      </c>
    </row>
    <row r="1239" spans="1:7" ht="12.6" customHeight="1" x14ac:dyDescent="0.2">
      <c r="A1239" s="548" t="s">
        <v>34023</v>
      </c>
      <c r="B1239" s="548" t="s">
        <v>34024</v>
      </c>
      <c r="C1239" s="550" t="s">
        <v>227</v>
      </c>
      <c r="D1239" s="550">
        <v>540.77</v>
      </c>
      <c r="E1239" s="550">
        <v>454.46</v>
      </c>
      <c r="F1239" s="550">
        <v>86.31</v>
      </c>
      <c r="G1239" s="550">
        <v>540.77</v>
      </c>
    </row>
    <row r="1240" spans="1:7" ht="23.1" customHeight="1" x14ac:dyDescent="0.25">
      <c r="A1240" s="551" t="s">
        <v>34025</v>
      </c>
      <c r="B1240" s="551" t="s">
        <v>34026</v>
      </c>
      <c r="C1240" s="552" t="s">
        <v>158</v>
      </c>
      <c r="D1240" s="557">
        <v>196.34</v>
      </c>
      <c r="E1240" s="557">
        <v>187.71</v>
      </c>
      <c r="F1240" s="557">
        <v>8.6300000000000008</v>
      </c>
      <c r="G1240" s="557">
        <v>196.34</v>
      </c>
    </row>
    <row r="1241" spans="1:7" ht="12.6" customHeight="1" x14ac:dyDescent="0.25">
      <c r="A1241" s="551" t="s">
        <v>34027</v>
      </c>
      <c r="B1241" s="551" t="s">
        <v>34028</v>
      </c>
      <c r="C1241" s="552"/>
      <c r="D1241" s="553"/>
      <c r="E1241" s="553"/>
      <c r="F1241" s="557"/>
      <c r="G1241" s="553"/>
    </row>
    <row r="1242" spans="1:7" ht="12.6" customHeight="1" x14ac:dyDescent="0.25">
      <c r="A1242" s="551" t="s">
        <v>34029</v>
      </c>
      <c r="B1242" s="551" t="s">
        <v>34030</v>
      </c>
      <c r="C1242" s="552" t="s">
        <v>227</v>
      </c>
      <c r="D1242" s="553">
        <v>306.14999999999998</v>
      </c>
      <c r="E1242" s="553">
        <v>246.58</v>
      </c>
      <c r="F1242" s="557">
        <v>59.57</v>
      </c>
      <c r="G1242" s="553">
        <v>306.14999999999998</v>
      </c>
    </row>
    <row r="1243" spans="1:7" ht="12.6" customHeight="1" x14ac:dyDescent="0.25">
      <c r="A1243" s="551" t="s">
        <v>34031</v>
      </c>
      <c r="B1243" s="551" t="s">
        <v>34032</v>
      </c>
      <c r="C1243" s="552" t="s">
        <v>226</v>
      </c>
      <c r="D1243" s="553">
        <v>634.29</v>
      </c>
      <c r="E1243" s="553">
        <v>513.42999999999995</v>
      </c>
      <c r="F1243" s="557">
        <v>120.86</v>
      </c>
      <c r="G1243" s="553">
        <v>634.29</v>
      </c>
    </row>
    <row r="1244" spans="1:7" ht="12.6" customHeight="1" x14ac:dyDescent="0.25">
      <c r="A1244" s="551" t="s">
        <v>34033</v>
      </c>
      <c r="B1244" s="551" t="s">
        <v>34034</v>
      </c>
      <c r="C1244" s="552" t="s">
        <v>226</v>
      </c>
      <c r="D1244" s="553">
        <v>614.12</v>
      </c>
      <c r="E1244" s="553">
        <v>493.26</v>
      </c>
      <c r="F1244" s="557">
        <v>120.86</v>
      </c>
      <c r="G1244" s="553">
        <v>614.12</v>
      </c>
    </row>
    <row r="1245" spans="1:7" ht="12.6" customHeight="1" x14ac:dyDescent="0.2">
      <c r="A1245" s="548" t="s">
        <v>34035</v>
      </c>
      <c r="B1245" s="548" t="s">
        <v>34036</v>
      </c>
      <c r="C1245" s="550" t="s">
        <v>226</v>
      </c>
      <c r="D1245" s="550">
        <v>627.41999999999996</v>
      </c>
      <c r="E1245" s="550">
        <v>506.56</v>
      </c>
      <c r="F1245" s="550">
        <v>120.86</v>
      </c>
      <c r="G1245" s="550">
        <v>627.41999999999996</v>
      </c>
    </row>
    <row r="1246" spans="1:7" ht="24.95" customHeight="1" x14ac:dyDescent="0.25">
      <c r="A1246" s="551" t="s">
        <v>34037</v>
      </c>
      <c r="B1246" s="342" t="s">
        <v>34038</v>
      </c>
      <c r="C1246" s="552" t="s">
        <v>226</v>
      </c>
      <c r="D1246" s="553">
        <v>654.88</v>
      </c>
      <c r="E1246" s="553">
        <v>534.02</v>
      </c>
      <c r="F1246" s="557">
        <v>120.86</v>
      </c>
      <c r="G1246" s="553">
        <v>654.88</v>
      </c>
    </row>
    <row r="1247" spans="1:7" ht="24.95" customHeight="1" x14ac:dyDescent="0.25">
      <c r="A1247" s="551" t="s">
        <v>34039</v>
      </c>
      <c r="B1247" s="342" t="s">
        <v>34040</v>
      </c>
      <c r="C1247" s="552" t="s">
        <v>226</v>
      </c>
      <c r="D1247" s="553">
        <v>762.36</v>
      </c>
      <c r="E1247" s="553">
        <v>641.5</v>
      </c>
      <c r="F1247" s="557">
        <v>120.86</v>
      </c>
      <c r="G1247" s="553">
        <v>762.36</v>
      </c>
    </row>
    <row r="1248" spans="1:7" ht="24.95" customHeight="1" x14ac:dyDescent="0.25">
      <c r="A1248" s="551" t="s">
        <v>34041</v>
      </c>
      <c r="B1248" s="342" t="s">
        <v>34042</v>
      </c>
      <c r="C1248" s="552" t="s">
        <v>226</v>
      </c>
      <c r="D1248" s="553">
        <v>948.52</v>
      </c>
      <c r="E1248" s="553">
        <v>797.45</v>
      </c>
      <c r="F1248" s="557">
        <v>151.07</v>
      </c>
      <c r="G1248" s="553">
        <v>948.52</v>
      </c>
    </row>
    <row r="1249" spans="1:7" ht="24.95" customHeight="1" x14ac:dyDescent="0.25">
      <c r="A1249" s="551" t="s">
        <v>34043</v>
      </c>
      <c r="B1249" s="342" t="s">
        <v>34044</v>
      </c>
      <c r="C1249" s="552" t="s">
        <v>226</v>
      </c>
      <c r="D1249" s="553">
        <v>1061.1300000000001</v>
      </c>
      <c r="E1249" s="553">
        <v>886.33</v>
      </c>
      <c r="F1249" s="557">
        <v>174.8</v>
      </c>
      <c r="G1249" s="553">
        <v>1061.1300000000001</v>
      </c>
    </row>
    <row r="1250" spans="1:7" ht="24.95" customHeight="1" x14ac:dyDescent="0.25">
      <c r="A1250" s="551" t="s">
        <v>34045</v>
      </c>
      <c r="B1250" s="342" t="s">
        <v>34046</v>
      </c>
      <c r="C1250" s="552" t="s">
        <v>226</v>
      </c>
      <c r="D1250" s="553">
        <v>376.11</v>
      </c>
      <c r="E1250" s="553">
        <v>315.68</v>
      </c>
      <c r="F1250" s="557">
        <v>60.43</v>
      </c>
      <c r="G1250" s="553">
        <v>376.11</v>
      </c>
    </row>
    <row r="1251" spans="1:7" ht="24.95" customHeight="1" x14ac:dyDescent="0.25">
      <c r="A1251" s="551" t="s">
        <v>34047</v>
      </c>
      <c r="B1251" s="342" t="s">
        <v>34048</v>
      </c>
      <c r="C1251" s="552" t="s">
        <v>226</v>
      </c>
      <c r="D1251" s="553">
        <v>369.24</v>
      </c>
      <c r="E1251" s="553">
        <v>308.81</v>
      </c>
      <c r="F1251" s="557">
        <v>60.43</v>
      </c>
      <c r="G1251" s="553">
        <v>369.24</v>
      </c>
    </row>
    <row r="1252" spans="1:7" ht="24.95" customHeight="1" x14ac:dyDescent="0.25">
      <c r="A1252" s="551" t="s">
        <v>34049</v>
      </c>
      <c r="B1252" s="342" t="s">
        <v>34050</v>
      </c>
      <c r="C1252" s="552" t="s">
        <v>226</v>
      </c>
      <c r="D1252" s="553">
        <v>396.7</v>
      </c>
      <c r="E1252" s="553">
        <v>336.27</v>
      </c>
      <c r="F1252" s="557">
        <v>60.43</v>
      </c>
      <c r="G1252" s="553">
        <v>396.7</v>
      </c>
    </row>
    <row r="1253" spans="1:7" ht="24.95" customHeight="1" x14ac:dyDescent="0.25">
      <c r="A1253" s="551" t="s">
        <v>34051</v>
      </c>
      <c r="B1253" s="342" t="s">
        <v>34052</v>
      </c>
      <c r="C1253" s="552" t="s">
        <v>226</v>
      </c>
      <c r="D1253" s="553">
        <v>1055.53</v>
      </c>
      <c r="E1253" s="553">
        <v>995.1</v>
      </c>
      <c r="F1253" s="557">
        <v>60.43</v>
      </c>
      <c r="G1253" s="553">
        <v>1055.53</v>
      </c>
    </row>
    <row r="1254" spans="1:7" ht="24.95" customHeight="1" x14ac:dyDescent="0.25">
      <c r="A1254" s="551" t="s">
        <v>34053</v>
      </c>
      <c r="B1254" s="342" t="s">
        <v>34054</v>
      </c>
      <c r="C1254" s="552" t="s">
        <v>226</v>
      </c>
      <c r="D1254" s="557">
        <v>1048.6600000000001</v>
      </c>
      <c r="E1254" s="557">
        <v>988.23</v>
      </c>
      <c r="F1254" s="557">
        <v>60.43</v>
      </c>
      <c r="G1254" s="557">
        <v>1048.6600000000001</v>
      </c>
    </row>
    <row r="1255" spans="1:7" ht="11.45" customHeight="1" x14ac:dyDescent="0.25">
      <c r="A1255" s="543" t="s">
        <v>34055</v>
      </c>
      <c r="B1255" s="544" t="s">
        <v>34056</v>
      </c>
      <c r="C1255" s="544" t="s">
        <v>226</v>
      </c>
      <c r="D1255" s="543">
        <v>1522.55</v>
      </c>
      <c r="E1255" s="545">
        <v>1410.33</v>
      </c>
      <c r="F1255" s="546">
        <v>112.22</v>
      </c>
      <c r="G1255" s="543">
        <v>1522.55</v>
      </c>
    </row>
    <row r="1256" spans="1:7" ht="24.95" customHeight="1" x14ac:dyDescent="0.25">
      <c r="A1256" s="551" t="s">
        <v>34057</v>
      </c>
      <c r="B1256" s="342" t="s">
        <v>34058</v>
      </c>
      <c r="C1256" s="552" t="s">
        <v>226</v>
      </c>
      <c r="D1256" s="553">
        <v>1560.05</v>
      </c>
      <c r="E1256" s="553">
        <v>1447.83</v>
      </c>
      <c r="F1256" s="557">
        <v>112.22</v>
      </c>
      <c r="G1256" s="553">
        <v>1560.05</v>
      </c>
    </row>
    <row r="1257" spans="1:7" ht="24.95" customHeight="1" x14ac:dyDescent="0.25">
      <c r="A1257" s="551" t="s">
        <v>34059</v>
      </c>
      <c r="B1257" s="342" t="s">
        <v>34060</v>
      </c>
      <c r="C1257" s="552" t="s">
        <v>226</v>
      </c>
      <c r="D1257" s="553">
        <v>1611.71</v>
      </c>
      <c r="E1257" s="553">
        <v>1499.49</v>
      </c>
      <c r="F1257" s="557">
        <v>112.22</v>
      </c>
      <c r="G1257" s="553">
        <v>1611.71</v>
      </c>
    </row>
    <row r="1258" spans="1:7" ht="24.95" customHeight="1" x14ac:dyDescent="0.25">
      <c r="A1258" s="551" t="s">
        <v>34061</v>
      </c>
      <c r="B1258" s="342" t="s">
        <v>34062</v>
      </c>
      <c r="C1258" s="552" t="s">
        <v>226</v>
      </c>
      <c r="D1258" s="553">
        <v>1916.15</v>
      </c>
      <c r="E1258" s="553">
        <v>1769.41</v>
      </c>
      <c r="F1258" s="557">
        <v>146.74</v>
      </c>
      <c r="G1258" s="553">
        <v>1916.15</v>
      </c>
    </row>
    <row r="1259" spans="1:7" ht="24.95" customHeight="1" x14ac:dyDescent="0.25">
      <c r="A1259" s="551" t="s">
        <v>34063</v>
      </c>
      <c r="B1259" s="342" t="s">
        <v>34064</v>
      </c>
      <c r="C1259" s="552" t="s">
        <v>226</v>
      </c>
      <c r="D1259" s="553">
        <v>1999.2</v>
      </c>
      <c r="E1259" s="553">
        <v>1852.46</v>
      </c>
      <c r="F1259" s="557">
        <v>146.74</v>
      </c>
      <c r="G1259" s="553">
        <v>1999.2</v>
      </c>
    </row>
    <row r="1260" spans="1:7" ht="24.95" customHeight="1" x14ac:dyDescent="0.25">
      <c r="A1260" s="551" t="s">
        <v>34065</v>
      </c>
      <c r="B1260" s="342" t="s">
        <v>34066</v>
      </c>
      <c r="C1260" s="552" t="s">
        <v>226</v>
      </c>
      <c r="D1260" s="553">
        <v>1250.06</v>
      </c>
      <c r="E1260" s="553">
        <v>1189.6300000000001</v>
      </c>
      <c r="F1260" s="557">
        <v>60.43</v>
      </c>
      <c r="G1260" s="553">
        <v>1250.06</v>
      </c>
    </row>
    <row r="1261" spans="1:7" ht="12.6" customHeight="1" x14ac:dyDescent="0.2">
      <c r="A1261" s="548" t="s">
        <v>34067</v>
      </c>
      <c r="B1261" s="548" t="s">
        <v>34068</v>
      </c>
      <c r="C1261" s="550" t="s">
        <v>226</v>
      </c>
      <c r="D1261" s="550">
        <v>1466.73</v>
      </c>
      <c r="E1261" s="550">
        <v>1406.3</v>
      </c>
      <c r="F1261" s="550">
        <v>60.43</v>
      </c>
      <c r="G1261" s="550">
        <v>1466.73</v>
      </c>
    </row>
    <row r="1262" spans="1:7" ht="12.6" customHeight="1" x14ac:dyDescent="0.25">
      <c r="A1262" s="551" t="s">
        <v>34069</v>
      </c>
      <c r="B1262" s="551" t="s">
        <v>34070</v>
      </c>
      <c r="C1262" s="552" t="s">
        <v>226</v>
      </c>
      <c r="D1262" s="557">
        <v>1244.8499999999999</v>
      </c>
      <c r="E1262" s="557">
        <v>1093.78</v>
      </c>
      <c r="F1262" s="557">
        <v>151.07</v>
      </c>
      <c r="G1262" s="557">
        <v>1244.8499999999999</v>
      </c>
    </row>
    <row r="1263" spans="1:7" ht="23.1" customHeight="1" x14ac:dyDescent="0.25">
      <c r="A1263" s="551" t="s">
        <v>34071</v>
      </c>
      <c r="B1263" s="551" t="s">
        <v>34072</v>
      </c>
      <c r="C1263" s="552"/>
      <c r="D1263" s="557"/>
      <c r="E1263" s="557"/>
      <c r="F1263" s="557"/>
      <c r="G1263" s="557"/>
    </row>
    <row r="1264" spans="1:7" ht="24.95" customHeight="1" x14ac:dyDescent="0.25">
      <c r="A1264" s="551" t="s">
        <v>34073</v>
      </c>
      <c r="B1264" s="342" t="s">
        <v>34074</v>
      </c>
      <c r="C1264" s="552" t="s">
        <v>227</v>
      </c>
      <c r="D1264" s="557">
        <v>318.81</v>
      </c>
      <c r="E1264" s="557">
        <v>259.24</v>
      </c>
      <c r="F1264" s="557">
        <v>59.57</v>
      </c>
      <c r="G1264" s="557">
        <v>318.81</v>
      </c>
    </row>
    <row r="1265" spans="1:7" ht="24.95" customHeight="1" x14ac:dyDescent="0.25">
      <c r="A1265" s="551" t="s">
        <v>34075</v>
      </c>
      <c r="B1265" s="342" t="s">
        <v>34076</v>
      </c>
      <c r="C1265" s="552" t="s">
        <v>226</v>
      </c>
      <c r="D1265" s="553">
        <v>639.47</v>
      </c>
      <c r="E1265" s="553">
        <v>518.61</v>
      </c>
      <c r="F1265" s="344">
        <v>120.86</v>
      </c>
      <c r="G1265" s="553">
        <v>639.47</v>
      </c>
    </row>
    <row r="1266" spans="1:7" ht="24.95" customHeight="1" x14ac:dyDescent="0.25">
      <c r="A1266" s="551" t="s">
        <v>34077</v>
      </c>
      <c r="B1266" s="342" t="s">
        <v>34078</v>
      </c>
      <c r="C1266" s="552" t="s">
        <v>226</v>
      </c>
      <c r="D1266" s="557">
        <v>638.85</v>
      </c>
      <c r="E1266" s="557">
        <v>517.99</v>
      </c>
      <c r="F1266" s="344">
        <v>120.86</v>
      </c>
      <c r="G1266" s="557">
        <v>638.85</v>
      </c>
    </row>
    <row r="1267" spans="1:7" ht="24.95" customHeight="1" x14ac:dyDescent="0.25">
      <c r="A1267" s="551" t="s">
        <v>34079</v>
      </c>
      <c r="B1267" s="342" t="s">
        <v>34080</v>
      </c>
      <c r="C1267" s="552" t="s">
        <v>226</v>
      </c>
      <c r="D1267" s="557">
        <v>676.16</v>
      </c>
      <c r="E1267" s="557">
        <v>555.29999999999995</v>
      </c>
      <c r="F1267" s="557">
        <v>120.86</v>
      </c>
      <c r="G1267" s="557">
        <v>676.16</v>
      </c>
    </row>
    <row r="1268" spans="1:7" ht="24.95" customHeight="1" x14ac:dyDescent="0.25">
      <c r="A1268" s="551" t="s">
        <v>34081</v>
      </c>
      <c r="B1268" s="342" t="s">
        <v>34082</v>
      </c>
      <c r="C1268" s="552"/>
      <c r="D1268" s="553"/>
      <c r="E1268" s="553"/>
      <c r="F1268" s="344"/>
      <c r="G1268" s="553"/>
    </row>
    <row r="1269" spans="1:7" ht="12.6" customHeight="1" x14ac:dyDescent="0.25">
      <c r="A1269" s="551" t="s">
        <v>34083</v>
      </c>
      <c r="B1269" s="551" t="s">
        <v>34084</v>
      </c>
      <c r="C1269" s="552" t="s">
        <v>226</v>
      </c>
      <c r="D1269" s="557">
        <v>588.46</v>
      </c>
      <c r="E1269" s="557">
        <v>588.46</v>
      </c>
      <c r="F1269" s="557"/>
      <c r="G1269" s="557">
        <v>588.46</v>
      </c>
    </row>
    <row r="1270" spans="1:7" ht="12.6" customHeight="1" x14ac:dyDescent="0.25">
      <c r="A1270" s="551" t="s">
        <v>34085</v>
      </c>
      <c r="B1270" s="551" t="s">
        <v>34086</v>
      </c>
      <c r="C1270" s="552"/>
      <c r="D1270" s="553"/>
      <c r="E1270" s="553"/>
      <c r="F1270" s="557"/>
      <c r="G1270" s="553"/>
    </row>
    <row r="1271" spans="1:7" ht="12.6" customHeight="1" x14ac:dyDescent="0.25">
      <c r="A1271" s="551" t="s">
        <v>34087</v>
      </c>
      <c r="B1271" s="551" t="s">
        <v>34088</v>
      </c>
      <c r="C1271" s="552" t="s">
        <v>226</v>
      </c>
      <c r="D1271" s="557">
        <v>588.46</v>
      </c>
      <c r="E1271" s="557">
        <v>588.46</v>
      </c>
      <c r="F1271" s="557"/>
      <c r="G1271" s="557">
        <v>588.46</v>
      </c>
    </row>
    <row r="1272" spans="1:7" ht="24.95" customHeight="1" x14ac:dyDescent="0.25">
      <c r="A1272" s="551" t="s">
        <v>34089</v>
      </c>
      <c r="B1272" s="342" t="s">
        <v>34090</v>
      </c>
      <c r="C1272" s="552" t="s">
        <v>226</v>
      </c>
      <c r="D1272" s="553">
        <v>639.41999999999996</v>
      </c>
      <c r="E1272" s="553">
        <v>639.41999999999996</v>
      </c>
      <c r="F1272" s="344"/>
      <c r="G1272" s="553">
        <v>639.41999999999996</v>
      </c>
    </row>
    <row r="1273" spans="1:7" ht="24.95" customHeight="1" x14ac:dyDescent="0.25">
      <c r="A1273" s="551" t="s">
        <v>34091</v>
      </c>
      <c r="B1273" s="342" t="s">
        <v>34092</v>
      </c>
      <c r="C1273" s="552" t="s">
        <v>226</v>
      </c>
      <c r="D1273" s="553">
        <v>588.46</v>
      </c>
      <c r="E1273" s="553">
        <v>588.46</v>
      </c>
      <c r="F1273" s="344"/>
      <c r="G1273" s="553">
        <v>588.46</v>
      </c>
    </row>
    <row r="1274" spans="1:7" ht="12.6" customHeight="1" x14ac:dyDescent="0.25">
      <c r="A1274" s="551" t="s">
        <v>34093</v>
      </c>
      <c r="B1274" s="551" t="s">
        <v>34094</v>
      </c>
      <c r="C1274" s="552" t="s">
        <v>226</v>
      </c>
      <c r="D1274" s="557">
        <v>633.54999999999995</v>
      </c>
      <c r="E1274" s="557">
        <v>633.54999999999995</v>
      </c>
      <c r="F1274" s="557"/>
      <c r="G1274" s="557">
        <v>633.54999999999995</v>
      </c>
    </row>
    <row r="1275" spans="1:7" ht="24.95" customHeight="1" x14ac:dyDescent="0.25">
      <c r="A1275" s="551" t="s">
        <v>34095</v>
      </c>
      <c r="B1275" s="342" t="s">
        <v>34096</v>
      </c>
      <c r="C1275" s="552" t="s">
        <v>226</v>
      </c>
      <c r="D1275" s="557">
        <v>806.98</v>
      </c>
      <c r="E1275" s="557">
        <v>806.98</v>
      </c>
      <c r="F1275" s="557"/>
      <c r="G1275" s="557">
        <v>806.98</v>
      </c>
    </row>
    <row r="1276" spans="1:7" ht="12.6" customHeight="1" x14ac:dyDescent="0.25">
      <c r="A1276" s="551" t="s">
        <v>34097</v>
      </c>
      <c r="B1276" s="551" t="s">
        <v>34098</v>
      </c>
      <c r="C1276" s="552" t="s">
        <v>226</v>
      </c>
      <c r="D1276" s="557">
        <v>922.1</v>
      </c>
      <c r="E1276" s="557">
        <v>922.1</v>
      </c>
      <c r="F1276" s="557"/>
      <c r="G1276" s="557">
        <v>922.1</v>
      </c>
    </row>
    <row r="1277" spans="1:7" ht="24.95" customHeight="1" x14ac:dyDescent="0.25">
      <c r="A1277" s="551" t="s">
        <v>34099</v>
      </c>
      <c r="B1277" s="342" t="s">
        <v>34100</v>
      </c>
      <c r="C1277" s="552"/>
      <c r="D1277" s="557"/>
      <c r="E1277" s="557"/>
      <c r="F1277" s="557"/>
      <c r="G1277" s="557"/>
    </row>
    <row r="1278" spans="1:7" ht="12.6" customHeight="1" x14ac:dyDescent="0.2">
      <c r="A1278" s="548" t="s">
        <v>34101</v>
      </c>
      <c r="B1278" s="548" t="s">
        <v>34102</v>
      </c>
      <c r="C1278" s="550" t="s">
        <v>226</v>
      </c>
      <c r="D1278" s="550">
        <v>56.11</v>
      </c>
      <c r="E1278" s="550"/>
      <c r="F1278" s="550">
        <v>56.11</v>
      </c>
      <c r="G1278" s="550">
        <v>56.11</v>
      </c>
    </row>
    <row r="1279" spans="1:7" ht="12.6" customHeight="1" x14ac:dyDescent="0.25">
      <c r="A1279" s="551" t="s">
        <v>34103</v>
      </c>
      <c r="B1279" s="551" t="s">
        <v>34104</v>
      </c>
      <c r="C1279" s="552" t="s">
        <v>226</v>
      </c>
      <c r="D1279" s="557">
        <v>69.05</v>
      </c>
      <c r="E1279" s="557"/>
      <c r="F1279" s="557">
        <v>69.05</v>
      </c>
      <c r="G1279" s="557">
        <v>69.05</v>
      </c>
    </row>
    <row r="1280" spans="1:7" ht="12.6" customHeight="1" x14ac:dyDescent="0.25">
      <c r="A1280" s="551" t="s">
        <v>34105</v>
      </c>
      <c r="B1280" s="551" t="s">
        <v>34106</v>
      </c>
      <c r="C1280" s="552" t="s">
        <v>158</v>
      </c>
      <c r="D1280" s="557">
        <v>2.15</v>
      </c>
      <c r="E1280" s="557"/>
      <c r="F1280" s="557">
        <v>2.15</v>
      </c>
      <c r="G1280" s="557">
        <v>2.15</v>
      </c>
    </row>
    <row r="1281" spans="1:7" ht="12.6" customHeight="1" x14ac:dyDescent="0.25">
      <c r="A1281" s="551" t="s">
        <v>34107</v>
      </c>
      <c r="B1281" s="551" t="s">
        <v>34108</v>
      </c>
      <c r="C1281" s="552" t="s">
        <v>158</v>
      </c>
      <c r="D1281" s="557">
        <v>59.61</v>
      </c>
      <c r="E1281" s="557">
        <v>46.66</v>
      </c>
      <c r="F1281" s="557">
        <v>12.95</v>
      </c>
      <c r="G1281" s="557">
        <v>59.61</v>
      </c>
    </row>
    <row r="1282" spans="1:7" ht="12.6" customHeight="1" x14ac:dyDescent="0.25">
      <c r="A1282" s="551" t="s">
        <v>34109</v>
      </c>
      <c r="B1282" s="551" t="s">
        <v>34110</v>
      </c>
      <c r="C1282" s="552" t="s">
        <v>227</v>
      </c>
      <c r="D1282" s="557">
        <v>1711.8</v>
      </c>
      <c r="E1282" s="557">
        <v>1539.16</v>
      </c>
      <c r="F1282" s="557">
        <v>172.64</v>
      </c>
      <c r="G1282" s="557">
        <v>1711.8</v>
      </c>
    </row>
    <row r="1283" spans="1:7" ht="12.6" customHeight="1" x14ac:dyDescent="0.25">
      <c r="A1283" s="551" t="s">
        <v>34111</v>
      </c>
      <c r="B1283" s="551" t="s">
        <v>34112</v>
      </c>
      <c r="C1283" s="552" t="s">
        <v>158</v>
      </c>
      <c r="D1283" s="557">
        <v>9.26</v>
      </c>
      <c r="E1283" s="557">
        <v>7.11</v>
      </c>
      <c r="F1283" s="557">
        <v>2.15</v>
      </c>
      <c r="G1283" s="557">
        <v>9.26</v>
      </c>
    </row>
    <row r="1284" spans="1:7" ht="12.6" customHeight="1" x14ac:dyDescent="0.25">
      <c r="A1284" s="551" t="s">
        <v>34113</v>
      </c>
      <c r="B1284" s="551" t="s">
        <v>34114</v>
      </c>
      <c r="C1284" s="552" t="s">
        <v>226</v>
      </c>
      <c r="D1284" s="557">
        <v>237.04</v>
      </c>
      <c r="E1284" s="557">
        <v>237.04</v>
      </c>
      <c r="F1284" s="557"/>
      <c r="G1284" s="557">
        <v>237.04</v>
      </c>
    </row>
    <row r="1285" spans="1:7" ht="12.6" customHeight="1" x14ac:dyDescent="0.25">
      <c r="A1285" s="551" t="s">
        <v>34115</v>
      </c>
      <c r="B1285" s="551" t="s">
        <v>34116</v>
      </c>
      <c r="C1285" s="552" t="s">
        <v>227</v>
      </c>
      <c r="D1285" s="557">
        <v>1014.06</v>
      </c>
      <c r="E1285" s="557">
        <v>992.47</v>
      </c>
      <c r="F1285" s="557">
        <v>21.59</v>
      </c>
      <c r="G1285" s="557">
        <v>1014.06</v>
      </c>
    </row>
    <row r="1286" spans="1:7" ht="12.6" customHeight="1" x14ac:dyDescent="0.25">
      <c r="A1286" s="551" t="s">
        <v>34117</v>
      </c>
      <c r="B1286" s="551" t="s">
        <v>34118</v>
      </c>
      <c r="C1286" s="552" t="s">
        <v>227</v>
      </c>
      <c r="D1286" s="553">
        <v>245.18</v>
      </c>
      <c r="E1286" s="557">
        <v>223.59</v>
      </c>
      <c r="F1286" s="557">
        <v>21.59</v>
      </c>
      <c r="G1286" s="553">
        <v>245.18</v>
      </c>
    </row>
    <row r="1287" spans="1:7" ht="23.1" customHeight="1" x14ac:dyDescent="0.25">
      <c r="A1287" s="551" t="s">
        <v>34119</v>
      </c>
      <c r="B1287" s="551" t="s">
        <v>34120</v>
      </c>
      <c r="C1287" s="552" t="s">
        <v>227</v>
      </c>
      <c r="D1287" s="557">
        <v>485.37</v>
      </c>
      <c r="E1287" s="557">
        <v>463.78</v>
      </c>
      <c r="F1287" s="557">
        <v>21.59</v>
      </c>
      <c r="G1287" s="557">
        <v>485.37</v>
      </c>
    </row>
    <row r="1288" spans="1:7" ht="23.1" customHeight="1" x14ac:dyDescent="0.25">
      <c r="A1288" s="551" t="s">
        <v>34121</v>
      </c>
      <c r="B1288" s="551" t="s">
        <v>34122</v>
      </c>
      <c r="C1288" s="552" t="s">
        <v>226</v>
      </c>
      <c r="D1288" s="557">
        <v>282.66000000000003</v>
      </c>
      <c r="E1288" s="557">
        <v>217.91</v>
      </c>
      <c r="F1288" s="557">
        <v>64.75</v>
      </c>
      <c r="G1288" s="557">
        <v>282.66000000000003</v>
      </c>
    </row>
    <row r="1289" spans="1:7" ht="23.1" customHeight="1" x14ac:dyDescent="0.25">
      <c r="A1289" s="551" t="s">
        <v>34123</v>
      </c>
      <c r="B1289" s="551" t="s">
        <v>34124</v>
      </c>
      <c r="C1289" s="552" t="s">
        <v>226</v>
      </c>
      <c r="D1289" s="557">
        <v>262.49</v>
      </c>
      <c r="E1289" s="557">
        <v>197.74</v>
      </c>
      <c r="F1289" s="557">
        <v>64.75</v>
      </c>
      <c r="G1289" s="557">
        <v>262.49</v>
      </c>
    </row>
    <row r="1290" spans="1:7" ht="12.6" customHeight="1" x14ac:dyDescent="0.25">
      <c r="A1290" s="551" t="s">
        <v>34125</v>
      </c>
      <c r="B1290" s="551" t="s">
        <v>34126</v>
      </c>
      <c r="C1290" s="552" t="s">
        <v>226</v>
      </c>
      <c r="D1290" s="557">
        <v>275.79000000000002</v>
      </c>
      <c r="E1290" s="557">
        <v>211.04</v>
      </c>
      <c r="F1290" s="557">
        <v>64.75</v>
      </c>
      <c r="G1290" s="557">
        <v>275.79000000000002</v>
      </c>
    </row>
    <row r="1291" spans="1:7" ht="12.6" customHeight="1" x14ac:dyDescent="0.25">
      <c r="A1291" s="551" t="s">
        <v>34127</v>
      </c>
      <c r="B1291" s="551" t="s">
        <v>34128</v>
      </c>
      <c r="C1291" s="552" t="s">
        <v>226</v>
      </c>
      <c r="D1291" s="557">
        <v>303.25</v>
      </c>
      <c r="E1291" s="557">
        <v>238.5</v>
      </c>
      <c r="F1291" s="557">
        <v>64.75</v>
      </c>
      <c r="G1291" s="557">
        <v>303.25</v>
      </c>
    </row>
    <row r="1292" spans="1:7" ht="12.6" customHeight="1" x14ac:dyDescent="0.25">
      <c r="A1292" s="551" t="s">
        <v>34129</v>
      </c>
      <c r="B1292" s="551" t="s">
        <v>34130</v>
      </c>
      <c r="C1292" s="552" t="s">
        <v>226</v>
      </c>
      <c r="D1292" s="557">
        <v>1031.55</v>
      </c>
      <c r="E1292" s="557">
        <v>966.8</v>
      </c>
      <c r="F1292" s="557">
        <v>64.75</v>
      </c>
      <c r="G1292" s="557">
        <v>1031.55</v>
      </c>
    </row>
    <row r="1293" spans="1:7" ht="12.6" customHeight="1" x14ac:dyDescent="0.25">
      <c r="A1293" s="551" t="s">
        <v>34131</v>
      </c>
      <c r="B1293" s="551" t="s">
        <v>34132</v>
      </c>
      <c r="C1293" s="552" t="s">
        <v>226</v>
      </c>
      <c r="D1293" s="557">
        <v>1148.42</v>
      </c>
      <c r="E1293" s="557">
        <v>1083.67</v>
      </c>
      <c r="F1293" s="557">
        <v>64.75</v>
      </c>
      <c r="G1293" s="557">
        <v>1148.42</v>
      </c>
    </row>
    <row r="1294" spans="1:7" ht="12.6" customHeight="1" x14ac:dyDescent="0.25">
      <c r="A1294" s="551" t="s">
        <v>34133</v>
      </c>
      <c r="B1294" s="551" t="s">
        <v>34134</v>
      </c>
      <c r="C1294" s="552" t="s">
        <v>226</v>
      </c>
      <c r="D1294" s="557">
        <v>1132.54</v>
      </c>
      <c r="E1294" s="557">
        <v>1067.79</v>
      </c>
      <c r="F1294" s="557">
        <v>64.75</v>
      </c>
      <c r="G1294" s="557">
        <v>1132.54</v>
      </c>
    </row>
    <row r="1295" spans="1:7" ht="11.45" customHeight="1" x14ac:dyDescent="0.25">
      <c r="A1295" s="543" t="s">
        <v>34135</v>
      </c>
      <c r="B1295" s="544" t="s">
        <v>34136</v>
      </c>
      <c r="C1295" s="544" t="s">
        <v>227</v>
      </c>
      <c r="D1295" s="543">
        <v>1404.32</v>
      </c>
      <c r="E1295" s="545">
        <v>1339.57</v>
      </c>
      <c r="F1295" s="546">
        <v>64.75</v>
      </c>
      <c r="G1295" s="543">
        <v>1404.32</v>
      </c>
    </row>
    <row r="1296" spans="1:7" ht="12.6" customHeight="1" x14ac:dyDescent="0.25">
      <c r="A1296" s="551" t="s">
        <v>34137</v>
      </c>
      <c r="B1296" s="551" t="s">
        <v>34138</v>
      </c>
      <c r="C1296" s="552"/>
      <c r="D1296" s="553"/>
      <c r="E1296" s="553"/>
      <c r="F1296" s="557"/>
      <c r="G1296" s="553"/>
    </row>
    <row r="1297" spans="1:7" ht="12.6" customHeight="1" x14ac:dyDescent="0.25">
      <c r="A1297" s="551" t="s">
        <v>34139</v>
      </c>
      <c r="B1297" s="551" t="s">
        <v>34140</v>
      </c>
      <c r="C1297" s="552"/>
      <c r="D1297" s="553"/>
      <c r="E1297" s="553"/>
      <c r="F1297" s="557"/>
      <c r="G1297" s="553"/>
    </row>
    <row r="1298" spans="1:7" ht="12.6" customHeight="1" x14ac:dyDescent="0.25">
      <c r="A1298" s="551" t="s">
        <v>34141</v>
      </c>
      <c r="B1298" s="551" t="s">
        <v>34142</v>
      </c>
      <c r="C1298" s="552" t="s">
        <v>227</v>
      </c>
      <c r="D1298" s="557">
        <v>667.61</v>
      </c>
      <c r="E1298" s="557">
        <v>640.22</v>
      </c>
      <c r="F1298" s="557">
        <v>27.39</v>
      </c>
      <c r="G1298" s="557">
        <v>667.61</v>
      </c>
    </row>
    <row r="1299" spans="1:7" ht="12.6" customHeight="1" x14ac:dyDescent="0.25">
      <c r="A1299" s="551" t="s">
        <v>34143</v>
      </c>
      <c r="B1299" s="551" t="s">
        <v>34144</v>
      </c>
      <c r="C1299" s="552" t="s">
        <v>227</v>
      </c>
      <c r="D1299" s="557">
        <v>1126.04</v>
      </c>
      <c r="E1299" s="557">
        <v>1098.6500000000001</v>
      </c>
      <c r="F1299" s="557">
        <v>27.39</v>
      </c>
      <c r="G1299" s="557">
        <v>1126.04</v>
      </c>
    </row>
    <row r="1300" spans="1:7" ht="12.6" customHeight="1" x14ac:dyDescent="0.25">
      <c r="A1300" s="551" t="s">
        <v>34145</v>
      </c>
      <c r="B1300" s="551" t="s">
        <v>34146</v>
      </c>
      <c r="C1300" s="552" t="s">
        <v>227</v>
      </c>
      <c r="D1300" s="553">
        <v>908.33</v>
      </c>
      <c r="E1300" s="553">
        <v>880.94</v>
      </c>
      <c r="F1300" s="557">
        <v>27.39</v>
      </c>
      <c r="G1300" s="553">
        <v>908.33</v>
      </c>
    </row>
    <row r="1301" spans="1:7" ht="12.6" customHeight="1" x14ac:dyDescent="0.2">
      <c r="A1301" s="548" t="s">
        <v>34147</v>
      </c>
      <c r="B1301" s="548" t="s">
        <v>34148</v>
      </c>
      <c r="C1301" s="550" t="s">
        <v>227</v>
      </c>
      <c r="D1301" s="550">
        <v>867.81</v>
      </c>
      <c r="E1301" s="550">
        <v>840.42</v>
      </c>
      <c r="F1301" s="550">
        <v>27.39</v>
      </c>
      <c r="G1301" s="550">
        <v>867.81</v>
      </c>
    </row>
    <row r="1302" spans="1:7" ht="24.95" customHeight="1" x14ac:dyDescent="0.25">
      <c r="A1302" s="551" t="s">
        <v>34149</v>
      </c>
      <c r="B1302" s="342" t="s">
        <v>34150</v>
      </c>
      <c r="C1302" s="552" t="s">
        <v>227</v>
      </c>
      <c r="D1302" s="557">
        <v>582.91999999999996</v>
      </c>
      <c r="E1302" s="557">
        <v>555.53</v>
      </c>
      <c r="F1302" s="557">
        <v>27.39</v>
      </c>
      <c r="G1302" s="557">
        <v>582.91999999999996</v>
      </c>
    </row>
    <row r="1303" spans="1:7" ht="23.1" customHeight="1" x14ac:dyDescent="0.25">
      <c r="A1303" s="551" t="s">
        <v>34151</v>
      </c>
      <c r="B1303" s="551" t="s">
        <v>34152</v>
      </c>
      <c r="C1303" s="552" t="s">
        <v>227</v>
      </c>
      <c r="D1303" s="557">
        <v>976.29</v>
      </c>
      <c r="E1303" s="557">
        <v>948.9</v>
      </c>
      <c r="F1303" s="557">
        <v>27.39</v>
      </c>
      <c r="G1303" s="557">
        <v>976.29</v>
      </c>
    </row>
    <row r="1304" spans="1:7" ht="23.1" customHeight="1" x14ac:dyDescent="0.25">
      <c r="A1304" s="551" t="s">
        <v>34153</v>
      </c>
      <c r="B1304" s="551" t="s">
        <v>34154</v>
      </c>
      <c r="C1304" s="552" t="s">
        <v>227</v>
      </c>
      <c r="D1304" s="557">
        <v>282.58999999999997</v>
      </c>
      <c r="E1304" s="557">
        <v>282.58999999999997</v>
      </c>
      <c r="F1304" s="557"/>
      <c r="G1304" s="557">
        <v>282.58999999999997</v>
      </c>
    </row>
    <row r="1305" spans="1:7" ht="23.1" customHeight="1" x14ac:dyDescent="0.25">
      <c r="A1305" s="551" t="s">
        <v>34155</v>
      </c>
      <c r="B1305" s="551" t="s">
        <v>34156</v>
      </c>
      <c r="C1305" s="552" t="s">
        <v>227</v>
      </c>
      <c r="D1305" s="557">
        <v>777.45</v>
      </c>
      <c r="E1305" s="557">
        <v>751.09</v>
      </c>
      <c r="F1305" s="557">
        <v>26.36</v>
      </c>
      <c r="G1305" s="557">
        <v>777.45</v>
      </c>
    </row>
    <row r="1306" spans="1:7" ht="12.6" customHeight="1" x14ac:dyDescent="0.2">
      <c r="A1306" s="548" t="s">
        <v>34157</v>
      </c>
      <c r="B1306" s="548" t="s">
        <v>34158</v>
      </c>
      <c r="C1306" s="550" t="s">
        <v>227</v>
      </c>
      <c r="D1306" s="550">
        <v>498.5</v>
      </c>
      <c r="E1306" s="550">
        <v>472.14</v>
      </c>
      <c r="F1306" s="550">
        <v>26.36</v>
      </c>
      <c r="G1306" s="550">
        <v>498.5</v>
      </c>
    </row>
    <row r="1307" spans="1:7" ht="24.95" customHeight="1" x14ac:dyDescent="0.25">
      <c r="A1307" s="551" t="s">
        <v>34159</v>
      </c>
      <c r="B1307" s="342" t="s">
        <v>34160</v>
      </c>
      <c r="C1307" s="552" t="s">
        <v>227</v>
      </c>
      <c r="D1307" s="557">
        <v>1677.07</v>
      </c>
      <c r="E1307" s="557">
        <v>1607.27</v>
      </c>
      <c r="F1307" s="344">
        <v>69.8</v>
      </c>
      <c r="G1307" s="557">
        <v>1677.07</v>
      </c>
    </row>
    <row r="1308" spans="1:7" ht="23.1" customHeight="1" x14ac:dyDescent="0.25">
      <c r="A1308" s="548" t="s">
        <v>34161</v>
      </c>
      <c r="B1308" s="548" t="s">
        <v>34162</v>
      </c>
      <c r="C1308" s="549" t="s">
        <v>227</v>
      </c>
      <c r="D1308" s="549">
        <v>1154.06</v>
      </c>
      <c r="E1308" s="549">
        <v>1071.96</v>
      </c>
      <c r="F1308" s="549">
        <v>82.1</v>
      </c>
      <c r="G1308" s="549">
        <v>1154.06</v>
      </c>
    </row>
    <row r="1309" spans="1:7" ht="34.5" customHeight="1" x14ac:dyDescent="0.25">
      <c r="A1309" s="554" t="s">
        <v>34163</v>
      </c>
      <c r="B1309" s="551" t="s">
        <v>34164</v>
      </c>
      <c r="C1309" s="555"/>
      <c r="D1309" s="558"/>
      <c r="E1309" s="558"/>
      <c r="F1309" s="342"/>
      <c r="G1309" s="558"/>
    </row>
    <row r="1310" spans="1:7" ht="34.5" customHeight="1" x14ac:dyDescent="0.25">
      <c r="A1310" s="554" t="s">
        <v>34165</v>
      </c>
      <c r="B1310" s="551" t="s">
        <v>34166</v>
      </c>
      <c r="C1310" s="555" t="s">
        <v>227</v>
      </c>
      <c r="D1310" s="558">
        <v>1075.76</v>
      </c>
      <c r="E1310" s="558">
        <v>993.66</v>
      </c>
      <c r="F1310" s="342">
        <v>82.1</v>
      </c>
      <c r="G1310" s="558">
        <v>1075.76</v>
      </c>
    </row>
    <row r="1311" spans="1:7" ht="34.5" customHeight="1" x14ac:dyDescent="0.25">
      <c r="A1311" s="554" t="s">
        <v>34167</v>
      </c>
      <c r="B1311" s="342" t="s">
        <v>34168</v>
      </c>
      <c r="C1311" s="555" t="s">
        <v>227</v>
      </c>
      <c r="D1311" s="558">
        <v>1013.73</v>
      </c>
      <c r="E1311" s="558">
        <v>931.63</v>
      </c>
      <c r="F1311" s="342">
        <v>82.1</v>
      </c>
      <c r="G1311" s="558">
        <v>1013.73</v>
      </c>
    </row>
    <row r="1312" spans="1:7" ht="45.95" customHeight="1" x14ac:dyDescent="0.25">
      <c r="A1312" s="551" t="s">
        <v>34169</v>
      </c>
      <c r="B1312" s="551" t="s">
        <v>34170</v>
      </c>
      <c r="C1312" s="552" t="s">
        <v>226</v>
      </c>
      <c r="D1312" s="557">
        <v>1751.64</v>
      </c>
      <c r="E1312" s="557">
        <v>1606.91</v>
      </c>
      <c r="F1312" s="342">
        <v>144.72999999999999</v>
      </c>
      <c r="G1312" s="557">
        <v>1751.64</v>
      </c>
    </row>
    <row r="1313" spans="1:7" ht="34.5" customHeight="1" x14ac:dyDescent="0.25">
      <c r="A1313" s="554" t="s">
        <v>34171</v>
      </c>
      <c r="B1313" s="342" t="s">
        <v>34172</v>
      </c>
      <c r="C1313" s="555" t="s">
        <v>226</v>
      </c>
      <c r="D1313" s="558">
        <v>1445.71</v>
      </c>
      <c r="E1313" s="558">
        <v>1300.98</v>
      </c>
      <c r="F1313" s="342">
        <v>144.72999999999999</v>
      </c>
      <c r="G1313" s="558">
        <v>1445.71</v>
      </c>
    </row>
    <row r="1314" spans="1:7" ht="45.95" customHeight="1" x14ac:dyDescent="0.25">
      <c r="A1314" s="551" t="s">
        <v>34173</v>
      </c>
      <c r="B1314" s="342" t="s">
        <v>34174</v>
      </c>
      <c r="C1314" s="552" t="s">
        <v>227</v>
      </c>
      <c r="D1314" s="557">
        <v>1110.45</v>
      </c>
      <c r="E1314" s="557">
        <v>1028.3499999999999</v>
      </c>
      <c r="F1314" s="342">
        <v>82.1</v>
      </c>
      <c r="G1314" s="557">
        <v>1110.45</v>
      </c>
    </row>
    <row r="1315" spans="1:7" ht="12.6" customHeight="1" x14ac:dyDescent="0.2">
      <c r="A1315" s="548" t="s">
        <v>34175</v>
      </c>
      <c r="B1315" s="548" t="s">
        <v>34176</v>
      </c>
      <c r="C1315" s="550" t="s">
        <v>226</v>
      </c>
      <c r="D1315" s="550">
        <v>2158.16</v>
      </c>
      <c r="E1315" s="550">
        <v>2013.43</v>
      </c>
      <c r="F1315" s="550">
        <v>144.72999999999999</v>
      </c>
      <c r="G1315" s="550">
        <v>2158.16</v>
      </c>
    </row>
    <row r="1316" spans="1:7" ht="12.6" customHeight="1" x14ac:dyDescent="0.2">
      <c r="A1316" s="551" t="s">
        <v>34177</v>
      </c>
      <c r="B1316" s="551" t="s">
        <v>34178</v>
      </c>
      <c r="C1316" s="552" t="s">
        <v>226</v>
      </c>
      <c r="D1316" s="557">
        <v>2395.6799999999998</v>
      </c>
      <c r="E1316" s="343">
        <v>2250.9499999999998</v>
      </c>
      <c r="F1316" s="557">
        <v>144.72999999999999</v>
      </c>
      <c r="G1316" s="557">
        <v>2395.6799999999998</v>
      </c>
    </row>
    <row r="1317" spans="1:7" ht="12.6" customHeight="1" x14ac:dyDescent="0.2">
      <c r="A1317" s="551" t="s">
        <v>34179</v>
      </c>
      <c r="B1317" s="551" t="s">
        <v>34180</v>
      </c>
      <c r="C1317" s="552" t="s">
        <v>227</v>
      </c>
      <c r="D1317" s="557">
        <v>981.53</v>
      </c>
      <c r="E1317" s="343">
        <v>899.43</v>
      </c>
      <c r="F1317" s="557">
        <v>82.1</v>
      </c>
      <c r="G1317" s="557">
        <v>981.53</v>
      </c>
    </row>
    <row r="1318" spans="1:7" ht="12.6" customHeight="1" x14ac:dyDescent="0.2">
      <c r="A1318" s="551" t="s">
        <v>34181</v>
      </c>
      <c r="B1318" s="551" t="s">
        <v>34182</v>
      </c>
      <c r="C1318" s="552" t="s">
        <v>227</v>
      </c>
      <c r="D1318" s="557">
        <v>575.48</v>
      </c>
      <c r="E1318" s="343">
        <v>493.38</v>
      </c>
      <c r="F1318" s="557">
        <v>82.1</v>
      </c>
      <c r="G1318" s="557">
        <v>575.48</v>
      </c>
    </row>
    <row r="1319" spans="1:7" ht="12.6" customHeight="1" x14ac:dyDescent="0.25">
      <c r="A1319" s="551" t="s">
        <v>34183</v>
      </c>
      <c r="B1319" s="551" t="s">
        <v>34184</v>
      </c>
      <c r="C1319" s="552" t="s">
        <v>227</v>
      </c>
      <c r="D1319" s="557">
        <v>1603.58</v>
      </c>
      <c r="E1319" s="557">
        <v>1521.48</v>
      </c>
      <c r="F1319" s="557">
        <v>82.1</v>
      </c>
      <c r="G1319" s="557">
        <v>1603.58</v>
      </c>
    </row>
    <row r="1320" spans="1:7" ht="12.6" customHeight="1" x14ac:dyDescent="0.25">
      <c r="A1320" s="551" t="s">
        <v>34185</v>
      </c>
      <c r="B1320" s="551" t="s">
        <v>34186</v>
      </c>
      <c r="C1320" s="552" t="s">
        <v>227</v>
      </c>
      <c r="D1320" s="553">
        <v>802.55</v>
      </c>
      <c r="E1320" s="553">
        <v>739.92</v>
      </c>
      <c r="F1320" s="557">
        <v>62.63</v>
      </c>
      <c r="G1320" s="553">
        <v>802.55</v>
      </c>
    </row>
    <row r="1321" spans="1:7" ht="12.6" customHeight="1" x14ac:dyDescent="0.25">
      <c r="A1321" s="551" t="s">
        <v>34187</v>
      </c>
      <c r="B1321" s="551" t="s">
        <v>34188</v>
      </c>
      <c r="C1321" s="552" t="s">
        <v>227</v>
      </c>
      <c r="D1321" s="557">
        <v>703.11</v>
      </c>
      <c r="E1321" s="557">
        <v>621.01</v>
      </c>
      <c r="F1321" s="557">
        <v>82.1</v>
      </c>
      <c r="G1321" s="557">
        <v>703.11</v>
      </c>
    </row>
    <row r="1322" spans="1:7" ht="12.6" customHeight="1" x14ac:dyDescent="0.2">
      <c r="A1322" s="551" t="s">
        <v>34189</v>
      </c>
      <c r="B1322" s="551" t="s">
        <v>34190</v>
      </c>
      <c r="C1322" s="552" t="s">
        <v>227</v>
      </c>
      <c r="D1322" s="557">
        <v>663.12</v>
      </c>
      <c r="E1322" s="557">
        <v>581.02</v>
      </c>
      <c r="F1322" s="343">
        <v>82.1</v>
      </c>
      <c r="G1322" s="557">
        <v>663.12</v>
      </c>
    </row>
    <row r="1323" spans="1:7" ht="12.6" customHeight="1" x14ac:dyDescent="0.25">
      <c r="A1323" s="551" t="s">
        <v>34191</v>
      </c>
      <c r="B1323" s="551" t="s">
        <v>34192</v>
      </c>
      <c r="C1323" s="552" t="s">
        <v>227</v>
      </c>
      <c r="D1323" s="553">
        <v>1371.51</v>
      </c>
      <c r="E1323" s="553">
        <v>1289.4100000000001</v>
      </c>
      <c r="F1323" s="557">
        <v>82.1</v>
      </c>
      <c r="G1323" s="553">
        <v>1371.51</v>
      </c>
    </row>
    <row r="1324" spans="1:7" ht="12.6" customHeight="1" x14ac:dyDescent="0.25">
      <c r="A1324" s="551" t="s">
        <v>34193</v>
      </c>
      <c r="B1324" s="551" t="s">
        <v>34194</v>
      </c>
      <c r="C1324" s="552" t="s">
        <v>227</v>
      </c>
      <c r="D1324" s="557">
        <v>1871.75</v>
      </c>
      <c r="E1324" s="557">
        <v>1789.65</v>
      </c>
      <c r="F1324" s="557">
        <v>82.1</v>
      </c>
      <c r="G1324" s="557">
        <v>1871.75</v>
      </c>
    </row>
    <row r="1325" spans="1:7" ht="12.6" customHeight="1" x14ac:dyDescent="0.25">
      <c r="A1325" s="551" t="s">
        <v>34195</v>
      </c>
      <c r="B1325" s="551" t="s">
        <v>34196</v>
      </c>
      <c r="C1325" s="552" t="s">
        <v>227</v>
      </c>
      <c r="D1325" s="557">
        <v>1534.52</v>
      </c>
      <c r="E1325" s="557">
        <v>1452.42</v>
      </c>
      <c r="F1325" s="557">
        <v>82.1</v>
      </c>
      <c r="G1325" s="557">
        <v>1534.52</v>
      </c>
    </row>
    <row r="1326" spans="1:7" ht="12.6" customHeight="1" x14ac:dyDescent="0.25">
      <c r="A1326" s="551" t="s">
        <v>34197</v>
      </c>
      <c r="B1326" s="551" t="s">
        <v>34198</v>
      </c>
      <c r="C1326" s="552" t="s">
        <v>227</v>
      </c>
      <c r="D1326" s="557">
        <v>1055.57</v>
      </c>
      <c r="E1326" s="557">
        <v>1001.01</v>
      </c>
      <c r="F1326" s="557">
        <v>54.56</v>
      </c>
      <c r="G1326" s="557">
        <v>1055.57</v>
      </c>
    </row>
    <row r="1327" spans="1:7" ht="12.6" customHeight="1" x14ac:dyDescent="0.25">
      <c r="A1327" s="551" t="s">
        <v>34199</v>
      </c>
      <c r="B1327" s="551" t="s">
        <v>34200</v>
      </c>
      <c r="C1327" s="552" t="s">
        <v>227</v>
      </c>
      <c r="D1327" s="557">
        <v>744.97</v>
      </c>
      <c r="E1327" s="557">
        <v>682.34</v>
      </c>
      <c r="F1327" s="557">
        <v>62.63</v>
      </c>
      <c r="G1327" s="557">
        <v>744.97</v>
      </c>
    </row>
    <row r="1328" spans="1:7" ht="12.6" customHeight="1" x14ac:dyDescent="0.25">
      <c r="A1328" s="551" t="s">
        <v>34201</v>
      </c>
      <c r="B1328" s="551" t="s">
        <v>34202</v>
      </c>
      <c r="C1328" s="552" t="s">
        <v>227</v>
      </c>
      <c r="D1328" s="557">
        <v>1976.01</v>
      </c>
      <c r="E1328" s="557">
        <v>1921.45</v>
      </c>
      <c r="F1328" s="557">
        <v>54.56</v>
      </c>
      <c r="G1328" s="557">
        <v>1976.01</v>
      </c>
    </row>
    <row r="1329" spans="1:7" ht="12.6" customHeight="1" x14ac:dyDescent="0.25">
      <c r="A1329" s="551" t="s">
        <v>34203</v>
      </c>
      <c r="B1329" s="551" t="s">
        <v>34204</v>
      </c>
      <c r="C1329" s="552" t="s">
        <v>227</v>
      </c>
      <c r="D1329" s="557">
        <v>1367.56</v>
      </c>
      <c r="E1329" s="557">
        <v>1313</v>
      </c>
      <c r="F1329" s="557">
        <v>54.56</v>
      </c>
      <c r="G1329" s="557">
        <v>1367.56</v>
      </c>
    </row>
    <row r="1330" spans="1:7" ht="24.95" customHeight="1" x14ac:dyDescent="0.25">
      <c r="A1330" s="551" t="s">
        <v>34205</v>
      </c>
      <c r="B1330" s="342" t="s">
        <v>34206</v>
      </c>
      <c r="C1330" s="552" t="s">
        <v>227</v>
      </c>
      <c r="D1330" s="557">
        <v>1533.64</v>
      </c>
      <c r="E1330" s="557">
        <v>1506.25</v>
      </c>
      <c r="F1330" s="557">
        <v>27.39</v>
      </c>
      <c r="G1330" s="557">
        <v>1533.64</v>
      </c>
    </row>
    <row r="1331" spans="1:7" ht="11.45" customHeight="1" x14ac:dyDescent="0.25">
      <c r="A1331" s="543" t="s">
        <v>34207</v>
      </c>
      <c r="B1331" s="544" t="s">
        <v>34208</v>
      </c>
      <c r="C1331" s="544" t="s">
        <v>227</v>
      </c>
      <c r="D1331" s="543">
        <v>400.17</v>
      </c>
      <c r="E1331" s="545">
        <v>357.01</v>
      </c>
      <c r="F1331" s="546">
        <v>43.16</v>
      </c>
      <c r="G1331" s="543">
        <v>400.17</v>
      </c>
    </row>
    <row r="1332" spans="1:7" ht="24.95" customHeight="1" x14ac:dyDescent="0.25">
      <c r="A1332" s="551" t="s">
        <v>34209</v>
      </c>
      <c r="B1332" s="342" t="s">
        <v>34210</v>
      </c>
      <c r="C1332" s="552" t="s">
        <v>227</v>
      </c>
      <c r="D1332" s="553">
        <v>824.15</v>
      </c>
      <c r="E1332" s="553">
        <v>742.05</v>
      </c>
      <c r="F1332" s="557">
        <v>82.1</v>
      </c>
      <c r="G1332" s="553">
        <v>824.15</v>
      </c>
    </row>
    <row r="1333" spans="1:7" ht="24.95" customHeight="1" x14ac:dyDescent="0.25">
      <c r="A1333" s="551" t="s">
        <v>34211</v>
      </c>
      <c r="B1333" s="342" t="s">
        <v>34212</v>
      </c>
      <c r="C1333" s="552" t="s">
        <v>227</v>
      </c>
      <c r="D1333" s="553">
        <v>1351.01</v>
      </c>
      <c r="E1333" s="557">
        <v>1220.71</v>
      </c>
      <c r="F1333" s="557">
        <v>130.30000000000001</v>
      </c>
      <c r="G1333" s="553">
        <v>1351.01</v>
      </c>
    </row>
    <row r="1334" spans="1:7" ht="12.6" customHeight="1" x14ac:dyDescent="0.25">
      <c r="A1334" s="551" t="s">
        <v>34213</v>
      </c>
      <c r="B1334" s="551" t="s">
        <v>34214</v>
      </c>
      <c r="C1334" s="552" t="s">
        <v>227</v>
      </c>
      <c r="D1334" s="553">
        <v>6411.85</v>
      </c>
      <c r="E1334" s="553">
        <v>6251.04</v>
      </c>
      <c r="F1334" s="557">
        <v>160.81</v>
      </c>
      <c r="G1334" s="553">
        <v>6411.85</v>
      </c>
    </row>
    <row r="1335" spans="1:7" ht="12.6" customHeight="1" x14ac:dyDescent="0.2">
      <c r="A1335" s="559" t="s">
        <v>34215</v>
      </c>
      <c r="B1335" s="548" t="s">
        <v>34216</v>
      </c>
      <c r="C1335" s="550" t="s">
        <v>227</v>
      </c>
      <c r="D1335" s="550">
        <v>968.81</v>
      </c>
      <c r="E1335" s="550">
        <v>914.25</v>
      </c>
      <c r="F1335" s="550">
        <v>54.56</v>
      </c>
      <c r="G1335" s="550">
        <v>968.81</v>
      </c>
    </row>
    <row r="1336" spans="1:7" ht="12.6" customHeight="1" x14ac:dyDescent="0.2">
      <c r="A1336" s="548" t="s">
        <v>34217</v>
      </c>
      <c r="B1336" s="548" t="s">
        <v>34218</v>
      </c>
      <c r="C1336" s="550" t="s">
        <v>227</v>
      </c>
      <c r="D1336" s="550">
        <v>1782.71</v>
      </c>
      <c r="E1336" s="550">
        <v>1720.37</v>
      </c>
      <c r="F1336" s="550">
        <v>62.34</v>
      </c>
      <c r="G1336" s="550">
        <v>1782.71</v>
      </c>
    </row>
    <row r="1337" spans="1:7" ht="12.6" customHeight="1" x14ac:dyDescent="0.25">
      <c r="A1337" s="551" t="s">
        <v>34219</v>
      </c>
      <c r="B1337" s="551" t="s">
        <v>34220</v>
      </c>
      <c r="C1337" s="552" t="s">
        <v>227</v>
      </c>
      <c r="D1337" s="557">
        <v>981.8</v>
      </c>
      <c r="E1337" s="557">
        <v>899.7</v>
      </c>
      <c r="F1337" s="557">
        <v>82.1</v>
      </c>
      <c r="G1337" s="557">
        <v>981.8</v>
      </c>
    </row>
    <row r="1338" spans="1:7" ht="12.6" customHeight="1" x14ac:dyDescent="0.25">
      <c r="A1338" s="551" t="s">
        <v>34221</v>
      </c>
      <c r="B1338" s="551" t="s">
        <v>34222</v>
      </c>
      <c r="C1338" s="552"/>
      <c r="D1338" s="553"/>
      <c r="E1338" s="553"/>
      <c r="F1338" s="557"/>
      <c r="G1338" s="553"/>
    </row>
    <row r="1339" spans="1:7" ht="12.6" customHeight="1" x14ac:dyDescent="0.25">
      <c r="A1339" s="551" t="s">
        <v>34223</v>
      </c>
      <c r="B1339" s="551" t="s">
        <v>34224</v>
      </c>
      <c r="C1339" s="552" t="s">
        <v>158</v>
      </c>
      <c r="D1339" s="557">
        <v>898.62</v>
      </c>
      <c r="E1339" s="557">
        <v>855.46</v>
      </c>
      <c r="F1339" s="557">
        <v>43.16</v>
      </c>
      <c r="G1339" s="557">
        <v>898.62</v>
      </c>
    </row>
    <row r="1340" spans="1:7" ht="12.6" customHeight="1" x14ac:dyDescent="0.25">
      <c r="A1340" s="551" t="s">
        <v>34225</v>
      </c>
      <c r="B1340" s="551" t="s">
        <v>34226</v>
      </c>
      <c r="C1340" s="552" t="s">
        <v>158</v>
      </c>
      <c r="D1340" s="557">
        <v>784.28</v>
      </c>
      <c r="E1340" s="557">
        <v>767.01</v>
      </c>
      <c r="F1340" s="557">
        <v>17.27</v>
      </c>
      <c r="G1340" s="557">
        <v>784.28</v>
      </c>
    </row>
    <row r="1341" spans="1:7" ht="12.6" customHeight="1" x14ac:dyDescent="0.25">
      <c r="A1341" s="551" t="s">
        <v>34227</v>
      </c>
      <c r="B1341" s="551" t="s">
        <v>34228</v>
      </c>
      <c r="C1341" s="552" t="s">
        <v>158</v>
      </c>
      <c r="D1341" s="557">
        <v>1240.83</v>
      </c>
      <c r="E1341" s="557">
        <v>1197.67</v>
      </c>
      <c r="F1341" s="557">
        <v>43.16</v>
      </c>
      <c r="G1341" s="557">
        <v>1240.83</v>
      </c>
    </row>
    <row r="1342" spans="1:7" ht="12.6" customHeight="1" x14ac:dyDescent="0.25">
      <c r="A1342" s="551" t="s">
        <v>34229</v>
      </c>
      <c r="B1342" s="551" t="s">
        <v>34230</v>
      </c>
      <c r="C1342" s="552" t="s">
        <v>227</v>
      </c>
      <c r="D1342" s="557">
        <v>1389.39</v>
      </c>
      <c r="E1342" s="557">
        <v>1303.07</v>
      </c>
      <c r="F1342" s="557">
        <v>86.32</v>
      </c>
      <c r="G1342" s="557">
        <v>1389.39</v>
      </c>
    </row>
    <row r="1343" spans="1:7" ht="24.95" customHeight="1" x14ac:dyDescent="0.25">
      <c r="A1343" s="551" t="s">
        <v>34231</v>
      </c>
      <c r="B1343" s="342" t="s">
        <v>34232</v>
      </c>
      <c r="C1343" s="552" t="s">
        <v>227</v>
      </c>
      <c r="D1343" s="557">
        <v>1112.3599999999999</v>
      </c>
      <c r="E1343" s="557">
        <v>1098.1099999999999</v>
      </c>
      <c r="F1343" s="344">
        <v>14.25</v>
      </c>
      <c r="G1343" s="557">
        <v>1112.3599999999999</v>
      </c>
    </row>
    <row r="1344" spans="1:7" ht="34.5" customHeight="1" x14ac:dyDescent="0.25">
      <c r="A1344" s="554" t="s">
        <v>34233</v>
      </c>
      <c r="B1344" s="551" t="s">
        <v>34234</v>
      </c>
      <c r="C1344" s="555" t="s">
        <v>227</v>
      </c>
      <c r="D1344" s="558">
        <v>1064.24</v>
      </c>
      <c r="E1344" s="558">
        <v>1021.08</v>
      </c>
      <c r="F1344" s="558">
        <v>43.16</v>
      </c>
      <c r="G1344" s="558">
        <v>1064.24</v>
      </c>
    </row>
    <row r="1345" spans="1:7" ht="34.5" customHeight="1" x14ac:dyDescent="0.25">
      <c r="A1345" s="554" t="s">
        <v>34235</v>
      </c>
      <c r="B1345" s="551" t="s">
        <v>34236</v>
      </c>
      <c r="C1345" s="555" t="s">
        <v>227</v>
      </c>
      <c r="D1345" s="558">
        <v>1285.6300000000001</v>
      </c>
      <c r="E1345" s="558">
        <v>1258.24</v>
      </c>
      <c r="F1345" s="558">
        <v>27.39</v>
      </c>
      <c r="G1345" s="558">
        <v>1285.6300000000001</v>
      </c>
    </row>
    <row r="1346" spans="1:7" ht="23.1" customHeight="1" x14ac:dyDescent="0.25">
      <c r="A1346" s="551" t="s">
        <v>34237</v>
      </c>
      <c r="B1346" s="551" t="s">
        <v>34238</v>
      </c>
      <c r="C1346" s="552" t="s">
        <v>227</v>
      </c>
      <c r="D1346" s="553">
        <v>716.66</v>
      </c>
      <c r="E1346" s="553">
        <v>662.1</v>
      </c>
      <c r="F1346" s="557">
        <v>54.56</v>
      </c>
      <c r="G1346" s="553">
        <v>716.66</v>
      </c>
    </row>
    <row r="1347" spans="1:7" ht="12.6" customHeight="1" x14ac:dyDescent="0.25">
      <c r="A1347" s="551" t="s">
        <v>34239</v>
      </c>
      <c r="B1347" s="551" t="s">
        <v>34240</v>
      </c>
      <c r="C1347" s="552" t="s">
        <v>158</v>
      </c>
      <c r="D1347" s="553">
        <v>211.88</v>
      </c>
      <c r="E1347" s="553">
        <v>190.29</v>
      </c>
      <c r="F1347" s="557">
        <v>21.59</v>
      </c>
      <c r="G1347" s="553">
        <v>211.88</v>
      </c>
    </row>
    <row r="1348" spans="1:7" ht="12.6" customHeight="1" x14ac:dyDescent="0.2">
      <c r="A1348" s="548" t="s">
        <v>34241</v>
      </c>
      <c r="B1348" s="548" t="s">
        <v>34242</v>
      </c>
      <c r="C1348" s="550" t="s">
        <v>158</v>
      </c>
      <c r="D1348" s="550">
        <v>251.7</v>
      </c>
      <c r="E1348" s="550">
        <v>230.11</v>
      </c>
      <c r="F1348" s="550">
        <v>21.59</v>
      </c>
      <c r="G1348" s="550">
        <v>251.7</v>
      </c>
    </row>
    <row r="1349" spans="1:7" ht="12.6" customHeight="1" x14ac:dyDescent="0.25">
      <c r="A1349" s="551" t="s">
        <v>34243</v>
      </c>
      <c r="B1349" s="551" t="s">
        <v>34244</v>
      </c>
      <c r="C1349" s="552" t="s">
        <v>227</v>
      </c>
      <c r="D1349" s="553">
        <v>1243.74</v>
      </c>
      <c r="E1349" s="557">
        <v>1181.1099999999999</v>
      </c>
      <c r="F1349" s="557">
        <v>62.63</v>
      </c>
      <c r="G1349" s="553">
        <v>1243.74</v>
      </c>
    </row>
    <row r="1350" spans="1:7" ht="12.6" customHeight="1" x14ac:dyDescent="0.25">
      <c r="A1350" s="551" t="s">
        <v>34245</v>
      </c>
      <c r="B1350" s="551" t="s">
        <v>34246</v>
      </c>
      <c r="C1350" s="552" t="s">
        <v>227</v>
      </c>
      <c r="D1350" s="553">
        <v>1355.15</v>
      </c>
      <c r="E1350" s="553">
        <v>1327.76</v>
      </c>
      <c r="F1350" s="557">
        <v>27.39</v>
      </c>
      <c r="G1350" s="553">
        <v>1355.15</v>
      </c>
    </row>
    <row r="1351" spans="1:7" ht="24.95" customHeight="1" x14ac:dyDescent="0.25">
      <c r="A1351" s="551" t="s">
        <v>34247</v>
      </c>
      <c r="B1351" s="342" t="s">
        <v>34248</v>
      </c>
      <c r="C1351" s="552" t="s">
        <v>227</v>
      </c>
      <c r="D1351" s="553">
        <v>1129.72</v>
      </c>
      <c r="E1351" s="553">
        <v>1075.1600000000001</v>
      </c>
      <c r="F1351" s="557">
        <v>54.56</v>
      </c>
      <c r="G1351" s="553">
        <v>1129.72</v>
      </c>
    </row>
    <row r="1352" spans="1:7" ht="24.95" customHeight="1" x14ac:dyDescent="0.25">
      <c r="A1352" s="551" t="s">
        <v>34249</v>
      </c>
      <c r="B1352" s="342" t="s">
        <v>34250</v>
      </c>
      <c r="C1352" s="552" t="s">
        <v>227</v>
      </c>
      <c r="D1352" s="553">
        <v>794.15</v>
      </c>
      <c r="E1352" s="553">
        <v>776.88</v>
      </c>
      <c r="F1352" s="557">
        <v>17.27</v>
      </c>
      <c r="G1352" s="553">
        <v>794.15</v>
      </c>
    </row>
    <row r="1353" spans="1:7" ht="24.95" customHeight="1" x14ac:dyDescent="0.25">
      <c r="A1353" s="551" t="s">
        <v>34251</v>
      </c>
      <c r="B1353" s="342" t="s">
        <v>34252</v>
      </c>
      <c r="C1353" s="552" t="s">
        <v>227</v>
      </c>
      <c r="D1353" s="553">
        <v>581.53</v>
      </c>
      <c r="E1353" s="553">
        <v>581.53</v>
      </c>
      <c r="F1353" s="557"/>
      <c r="G1353" s="553">
        <v>581.53</v>
      </c>
    </row>
    <row r="1354" spans="1:7" ht="24.95" customHeight="1" x14ac:dyDescent="0.25">
      <c r="A1354" s="551" t="s">
        <v>34253</v>
      </c>
      <c r="B1354" s="342" t="s">
        <v>34254</v>
      </c>
      <c r="C1354" s="552"/>
      <c r="D1354" s="553"/>
      <c r="E1354" s="553"/>
      <c r="F1354" s="557"/>
      <c r="G1354" s="553"/>
    </row>
    <row r="1355" spans="1:7" ht="24.95" customHeight="1" x14ac:dyDescent="0.25">
      <c r="A1355" s="551" t="s">
        <v>34255</v>
      </c>
      <c r="B1355" s="342" t="s">
        <v>34256</v>
      </c>
      <c r="C1355" s="552" t="s">
        <v>227</v>
      </c>
      <c r="D1355" s="553">
        <v>3414.84</v>
      </c>
      <c r="E1355" s="553">
        <v>3354.03</v>
      </c>
      <c r="F1355" s="557">
        <v>60.81</v>
      </c>
      <c r="G1355" s="553">
        <v>3414.84</v>
      </c>
    </row>
    <row r="1356" spans="1:7" ht="12.6" customHeight="1" x14ac:dyDescent="0.25">
      <c r="A1356" s="551" t="s">
        <v>34257</v>
      </c>
      <c r="B1356" s="551" t="s">
        <v>34258</v>
      </c>
      <c r="C1356" s="552" t="s">
        <v>227</v>
      </c>
      <c r="D1356" s="553">
        <v>2035.43</v>
      </c>
      <c r="E1356" s="553">
        <v>1974.62</v>
      </c>
      <c r="F1356" s="557">
        <v>60.81</v>
      </c>
      <c r="G1356" s="553">
        <v>2035.43</v>
      </c>
    </row>
    <row r="1357" spans="1:7" ht="12.6" customHeight="1" x14ac:dyDescent="0.25">
      <c r="A1357" s="551" t="s">
        <v>34259</v>
      </c>
      <c r="B1357" s="551" t="s">
        <v>34260</v>
      </c>
      <c r="C1357" s="552" t="s">
        <v>227</v>
      </c>
      <c r="D1357" s="557">
        <v>2178.69</v>
      </c>
      <c r="E1357" s="557">
        <v>2117.88</v>
      </c>
      <c r="F1357" s="557">
        <v>60.81</v>
      </c>
      <c r="G1357" s="557">
        <v>2178.69</v>
      </c>
    </row>
    <row r="1358" spans="1:7" ht="12.6" customHeight="1" x14ac:dyDescent="0.25">
      <c r="A1358" s="551" t="s">
        <v>34261</v>
      </c>
      <c r="B1358" s="551" t="s">
        <v>34262</v>
      </c>
      <c r="C1358" s="552" t="s">
        <v>227</v>
      </c>
      <c r="D1358" s="553">
        <v>3268.98</v>
      </c>
      <c r="E1358" s="553">
        <v>3208.17</v>
      </c>
      <c r="F1358" s="557">
        <v>60.81</v>
      </c>
      <c r="G1358" s="553">
        <v>3268.98</v>
      </c>
    </row>
    <row r="1359" spans="1:7" ht="23.1" customHeight="1" x14ac:dyDescent="0.25">
      <c r="A1359" s="551" t="s">
        <v>34263</v>
      </c>
      <c r="B1359" s="551" t="s">
        <v>34264</v>
      </c>
      <c r="C1359" s="552" t="s">
        <v>227</v>
      </c>
      <c r="D1359" s="557">
        <v>2697.66</v>
      </c>
      <c r="E1359" s="557">
        <v>2586.25</v>
      </c>
      <c r="F1359" s="557">
        <v>111.41</v>
      </c>
      <c r="G1359" s="557">
        <v>2697.66</v>
      </c>
    </row>
    <row r="1360" spans="1:7" ht="24.95" customHeight="1" x14ac:dyDescent="0.25">
      <c r="A1360" s="551" t="s">
        <v>34265</v>
      </c>
      <c r="B1360" s="342" t="s">
        <v>34266</v>
      </c>
      <c r="C1360" s="552" t="s">
        <v>227</v>
      </c>
      <c r="D1360" s="557">
        <v>4008.01</v>
      </c>
      <c r="E1360" s="557">
        <v>3896.6</v>
      </c>
      <c r="F1360" s="557">
        <v>111.41</v>
      </c>
      <c r="G1360" s="557">
        <v>4008.01</v>
      </c>
    </row>
    <row r="1361" spans="1:7" ht="23.1" customHeight="1" x14ac:dyDescent="0.25">
      <c r="A1361" s="551" t="s">
        <v>34267</v>
      </c>
      <c r="B1361" s="551" t="s">
        <v>34268</v>
      </c>
      <c r="C1361" s="552" t="s">
        <v>227</v>
      </c>
      <c r="D1361" s="557">
        <v>3227.98</v>
      </c>
      <c r="E1361" s="557">
        <v>3116.57</v>
      </c>
      <c r="F1361" s="557">
        <v>111.41</v>
      </c>
      <c r="G1361" s="557">
        <v>3227.98</v>
      </c>
    </row>
    <row r="1362" spans="1:7" ht="12.6" customHeight="1" x14ac:dyDescent="0.25">
      <c r="A1362" s="551" t="s">
        <v>34269</v>
      </c>
      <c r="B1362" s="551" t="s">
        <v>34270</v>
      </c>
      <c r="C1362" s="552" t="s">
        <v>227</v>
      </c>
      <c r="D1362" s="553">
        <v>4055.92</v>
      </c>
      <c r="E1362" s="553">
        <v>3944.51</v>
      </c>
      <c r="F1362" s="557">
        <v>111.41</v>
      </c>
      <c r="G1362" s="553">
        <v>4055.92</v>
      </c>
    </row>
    <row r="1363" spans="1:7" ht="12.6" customHeight="1" x14ac:dyDescent="0.25">
      <c r="A1363" s="551" t="s">
        <v>34271</v>
      </c>
      <c r="B1363" s="551" t="s">
        <v>34272</v>
      </c>
      <c r="C1363" s="552" t="s">
        <v>227</v>
      </c>
      <c r="D1363" s="553">
        <v>2585.71</v>
      </c>
      <c r="E1363" s="553">
        <v>2524.9</v>
      </c>
      <c r="F1363" s="557">
        <v>60.81</v>
      </c>
      <c r="G1363" s="553">
        <v>2585.71</v>
      </c>
    </row>
    <row r="1364" spans="1:7" ht="24.95" customHeight="1" x14ac:dyDescent="0.25">
      <c r="A1364" s="551" t="s">
        <v>34273</v>
      </c>
      <c r="B1364" s="342" t="s">
        <v>34274</v>
      </c>
      <c r="C1364" s="552" t="s">
        <v>227</v>
      </c>
      <c r="D1364" s="553">
        <v>2609.3000000000002</v>
      </c>
      <c r="E1364" s="553">
        <v>2548.4899999999998</v>
      </c>
      <c r="F1364" s="557">
        <v>60.81</v>
      </c>
      <c r="G1364" s="553">
        <v>2609.3000000000002</v>
      </c>
    </row>
    <row r="1365" spans="1:7" ht="12.6" customHeight="1" x14ac:dyDescent="0.25">
      <c r="A1365" s="551" t="s">
        <v>34275</v>
      </c>
      <c r="B1365" s="551" t="s">
        <v>34276</v>
      </c>
      <c r="C1365" s="552" t="s">
        <v>227</v>
      </c>
      <c r="D1365" s="553">
        <v>3860.27</v>
      </c>
      <c r="E1365" s="557">
        <v>3799.46</v>
      </c>
      <c r="F1365" s="557">
        <v>60.81</v>
      </c>
      <c r="G1365" s="553">
        <v>3860.27</v>
      </c>
    </row>
    <row r="1366" spans="1:7" ht="12.6" customHeight="1" x14ac:dyDescent="0.25">
      <c r="A1366" s="551" t="s">
        <v>34277</v>
      </c>
      <c r="B1366" s="551" t="s">
        <v>34278</v>
      </c>
      <c r="C1366" s="552" t="s">
        <v>227</v>
      </c>
      <c r="D1366" s="557">
        <v>3265.53</v>
      </c>
      <c r="E1366" s="557">
        <v>3154.12</v>
      </c>
      <c r="F1366" s="557">
        <v>111.41</v>
      </c>
      <c r="G1366" s="557">
        <v>3265.53</v>
      </c>
    </row>
    <row r="1367" spans="1:7" ht="23.1" customHeight="1" x14ac:dyDescent="0.25">
      <c r="A1367" s="551" t="s">
        <v>34279</v>
      </c>
      <c r="B1367" s="551" t="s">
        <v>34280</v>
      </c>
      <c r="C1367" s="552" t="s">
        <v>227</v>
      </c>
      <c r="D1367" s="553">
        <v>4590.88</v>
      </c>
      <c r="E1367" s="553">
        <v>4479.47</v>
      </c>
      <c r="F1367" s="557">
        <v>111.41</v>
      </c>
      <c r="G1367" s="553">
        <v>4590.88</v>
      </c>
    </row>
    <row r="1368" spans="1:7" ht="23.1" customHeight="1" x14ac:dyDescent="0.25">
      <c r="A1368" s="551" t="s">
        <v>34281</v>
      </c>
      <c r="B1368" s="551" t="s">
        <v>34282</v>
      </c>
      <c r="C1368" s="552" t="s">
        <v>227</v>
      </c>
      <c r="D1368" s="553">
        <v>3531.46</v>
      </c>
      <c r="E1368" s="553">
        <v>3420.05</v>
      </c>
      <c r="F1368" s="557">
        <v>111.41</v>
      </c>
      <c r="G1368" s="553">
        <v>3531.46</v>
      </c>
    </row>
    <row r="1369" spans="1:7" ht="12.6" customHeight="1" x14ac:dyDescent="0.25">
      <c r="A1369" s="551" t="s">
        <v>34283</v>
      </c>
      <c r="B1369" s="551" t="s">
        <v>34284</v>
      </c>
      <c r="C1369" s="552" t="s">
        <v>227</v>
      </c>
      <c r="D1369" s="553">
        <v>4632.24</v>
      </c>
      <c r="E1369" s="553">
        <v>4520.83</v>
      </c>
      <c r="F1369" s="557">
        <v>111.41</v>
      </c>
      <c r="G1369" s="553">
        <v>4632.24</v>
      </c>
    </row>
    <row r="1370" spans="1:7" ht="11.45" customHeight="1" x14ac:dyDescent="0.25">
      <c r="A1370" s="543" t="s">
        <v>34285</v>
      </c>
      <c r="B1370" s="544" t="s">
        <v>34286</v>
      </c>
      <c r="C1370" s="544" t="s">
        <v>227</v>
      </c>
      <c r="D1370" s="543">
        <v>4696.51</v>
      </c>
      <c r="E1370" s="545">
        <v>4585.1000000000004</v>
      </c>
      <c r="F1370" s="546">
        <v>111.41</v>
      </c>
      <c r="G1370" s="543">
        <v>4696.51</v>
      </c>
    </row>
    <row r="1371" spans="1:7" ht="12.6" customHeight="1" x14ac:dyDescent="0.25">
      <c r="A1371" s="551" t="s">
        <v>34287</v>
      </c>
      <c r="B1371" s="551" t="s">
        <v>34288</v>
      </c>
      <c r="C1371" s="552" t="s">
        <v>227</v>
      </c>
      <c r="D1371" s="557">
        <v>4496.28</v>
      </c>
      <c r="E1371" s="557">
        <v>4435.47</v>
      </c>
      <c r="F1371" s="557">
        <v>60.81</v>
      </c>
      <c r="G1371" s="557">
        <v>4496.28</v>
      </c>
    </row>
    <row r="1372" spans="1:7" ht="24.95" customHeight="1" x14ac:dyDescent="0.25">
      <c r="A1372" s="551" t="s">
        <v>34289</v>
      </c>
      <c r="B1372" s="342" t="s">
        <v>34290</v>
      </c>
      <c r="C1372" s="552" t="s">
        <v>227</v>
      </c>
      <c r="D1372" s="557">
        <v>3508.12</v>
      </c>
      <c r="E1372" s="557">
        <v>3447.31</v>
      </c>
      <c r="F1372" s="557">
        <v>60.81</v>
      </c>
      <c r="G1372" s="557">
        <v>3508.12</v>
      </c>
    </row>
    <row r="1373" spans="1:7" ht="23.1" customHeight="1" x14ac:dyDescent="0.25">
      <c r="A1373" s="551" t="s">
        <v>34291</v>
      </c>
      <c r="B1373" s="551" t="s">
        <v>34292</v>
      </c>
      <c r="C1373" s="552" t="s">
        <v>227</v>
      </c>
      <c r="D1373" s="553">
        <v>4787.58</v>
      </c>
      <c r="E1373" s="553">
        <v>4726.7700000000004</v>
      </c>
      <c r="F1373" s="557">
        <v>60.81</v>
      </c>
      <c r="G1373" s="553">
        <v>4787.58</v>
      </c>
    </row>
    <row r="1374" spans="1:7" ht="24.95" customHeight="1" x14ac:dyDescent="0.25">
      <c r="A1374" s="551" t="s">
        <v>34293</v>
      </c>
      <c r="B1374" s="342" t="s">
        <v>34294</v>
      </c>
      <c r="C1374" s="552" t="s">
        <v>227</v>
      </c>
      <c r="D1374" s="553">
        <v>3782.11</v>
      </c>
      <c r="E1374" s="553">
        <v>3538.09</v>
      </c>
      <c r="F1374" s="557">
        <v>244.02</v>
      </c>
      <c r="G1374" s="553">
        <v>3782.11</v>
      </c>
    </row>
    <row r="1375" spans="1:7" ht="23.1" customHeight="1" x14ac:dyDescent="0.25">
      <c r="A1375" s="551" t="s">
        <v>34295</v>
      </c>
      <c r="B1375" s="551" t="s">
        <v>34296</v>
      </c>
      <c r="C1375" s="552" t="s">
        <v>227</v>
      </c>
      <c r="D1375" s="557">
        <v>3076.99</v>
      </c>
      <c r="E1375" s="557">
        <v>3016.18</v>
      </c>
      <c r="F1375" s="557">
        <v>60.81</v>
      </c>
      <c r="G1375" s="557">
        <v>3076.99</v>
      </c>
    </row>
    <row r="1376" spans="1:7" ht="23.1" customHeight="1" x14ac:dyDescent="0.25">
      <c r="A1376" s="551" t="s">
        <v>34297</v>
      </c>
      <c r="B1376" s="551" t="s">
        <v>34298</v>
      </c>
      <c r="C1376" s="552" t="s">
        <v>227</v>
      </c>
      <c r="D1376" s="553">
        <v>1871.69</v>
      </c>
      <c r="E1376" s="553">
        <v>1810.88</v>
      </c>
      <c r="F1376" s="557">
        <v>60.81</v>
      </c>
      <c r="G1376" s="553">
        <v>1871.69</v>
      </c>
    </row>
    <row r="1377" spans="1:7" ht="24.95" customHeight="1" x14ac:dyDescent="0.25">
      <c r="A1377" s="551" t="s">
        <v>34299</v>
      </c>
      <c r="B1377" s="342" t="s">
        <v>34300</v>
      </c>
      <c r="C1377" s="552" t="s">
        <v>227</v>
      </c>
      <c r="D1377" s="557">
        <v>2962.55</v>
      </c>
      <c r="E1377" s="557">
        <v>2901.74</v>
      </c>
      <c r="F1377" s="557">
        <v>60.81</v>
      </c>
      <c r="G1377" s="557">
        <v>2962.55</v>
      </c>
    </row>
    <row r="1378" spans="1:7" ht="12.6" customHeight="1" x14ac:dyDescent="0.2">
      <c r="A1378" s="548" t="s">
        <v>34301</v>
      </c>
      <c r="B1378" s="548" t="s">
        <v>34302</v>
      </c>
      <c r="C1378" s="550" t="s">
        <v>227</v>
      </c>
      <c r="D1378" s="550">
        <v>2468.1999999999998</v>
      </c>
      <c r="E1378" s="550">
        <v>2407.39</v>
      </c>
      <c r="F1378" s="550">
        <v>60.81</v>
      </c>
      <c r="G1378" s="550">
        <v>2468.1999999999998</v>
      </c>
    </row>
    <row r="1379" spans="1:7" ht="23.1" customHeight="1" x14ac:dyDescent="0.25">
      <c r="A1379" s="551" t="s">
        <v>34303</v>
      </c>
      <c r="B1379" s="551" t="s">
        <v>34304</v>
      </c>
      <c r="C1379" s="552"/>
      <c r="D1379" s="557"/>
      <c r="E1379" s="557"/>
      <c r="F1379" s="557"/>
      <c r="G1379" s="557"/>
    </row>
    <row r="1380" spans="1:7" ht="12.6" customHeight="1" x14ac:dyDescent="0.25">
      <c r="A1380" s="551" t="s">
        <v>34305</v>
      </c>
      <c r="B1380" s="551" t="s">
        <v>34306</v>
      </c>
      <c r="C1380" s="552" t="s">
        <v>158</v>
      </c>
      <c r="D1380" s="557">
        <v>1387.93</v>
      </c>
      <c r="E1380" s="557">
        <v>1337.33</v>
      </c>
      <c r="F1380" s="557">
        <v>50.6</v>
      </c>
      <c r="G1380" s="557">
        <v>1387.93</v>
      </c>
    </row>
    <row r="1381" spans="1:7" ht="12.6" customHeight="1" x14ac:dyDescent="0.25">
      <c r="A1381" s="551" t="s">
        <v>34307</v>
      </c>
      <c r="B1381" s="551" t="s">
        <v>34308</v>
      </c>
      <c r="C1381" s="552"/>
      <c r="D1381" s="553"/>
      <c r="E1381" s="553"/>
      <c r="F1381" s="557"/>
      <c r="G1381" s="553"/>
    </row>
    <row r="1382" spans="1:7" ht="12.6" customHeight="1" x14ac:dyDescent="0.25">
      <c r="A1382" s="551" t="s">
        <v>34309</v>
      </c>
      <c r="B1382" s="551" t="s">
        <v>34310</v>
      </c>
      <c r="C1382" s="552" t="s">
        <v>227</v>
      </c>
      <c r="D1382" s="553">
        <v>738</v>
      </c>
      <c r="E1382" s="553">
        <v>694.84</v>
      </c>
      <c r="F1382" s="557">
        <v>43.16</v>
      </c>
      <c r="G1382" s="553">
        <v>738</v>
      </c>
    </row>
    <row r="1383" spans="1:7" ht="24.95" customHeight="1" x14ac:dyDescent="0.25">
      <c r="A1383" s="551" t="s">
        <v>34311</v>
      </c>
      <c r="B1383" s="342" t="s">
        <v>34312</v>
      </c>
      <c r="C1383" s="552" t="s">
        <v>227</v>
      </c>
      <c r="D1383" s="553">
        <v>1044.0899999999999</v>
      </c>
      <c r="E1383" s="553">
        <v>922.87</v>
      </c>
      <c r="F1383" s="557">
        <v>121.22</v>
      </c>
      <c r="G1383" s="553">
        <v>1044.0899999999999</v>
      </c>
    </row>
    <row r="1384" spans="1:7" ht="23.1" customHeight="1" x14ac:dyDescent="0.25">
      <c r="A1384" s="551" t="s">
        <v>34313</v>
      </c>
      <c r="B1384" s="551" t="s">
        <v>34314</v>
      </c>
      <c r="C1384" s="552"/>
      <c r="D1384" s="557"/>
      <c r="E1384" s="557"/>
      <c r="F1384" s="557"/>
      <c r="G1384" s="557"/>
    </row>
    <row r="1385" spans="1:7" ht="24.95" customHeight="1" x14ac:dyDescent="0.25">
      <c r="A1385" s="551" t="s">
        <v>34315</v>
      </c>
      <c r="B1385" s="342" t="s">
        <v>34316</v>
      </c>
      <c r="C1385" s="552" t="s">
        <v>158</v>
      </c>
      <c r="D1385" s="553">
        <v>794.1</v>
      </c>
      <c r="E1385" s="553">
        <v>742.31</v>
      </c>
      <c r="F1385" s="557">
        <v>51.79</v>
      </c>
      <c r="G1385" s="553">
        <v>794.1</v>
      </c>
    </row>
    <row r="1386" spans="1:7" ht="24.95" customHeight="1" x14ac:dyDescent="0.25">
      <c r="A1386" s="551" t="s">
        <v>34317</v>
      </c>
      <c r="B1386" s="342" t="s">
        <v>34318</v>
      </c>
      <c r="C1386" s="552" t="s">
        <v>158</v>
      </c>
      <c r="D1386" s="557">
        <v>530.51</v>
      </c>
      <c r="E1386" s="557">
        <v>508.92</v>
      </c>
      <c r="F1386" s="557">
        <v>21.59</v>
      </c>
      <c r="G1386" s="557">
        <v>530.51</v>
      </c>
    </row>
    <row r="1387" spans="1:7" ht="12.6" customHeight="1" x14ac:dyDescent="0.25">
      <c r="A1387" s="551" t="s">
        <v>34319</v>
      </c>
      <c r="B1387" s="551" t="s">
        <v>34320</v>
      </c>
      <c r="C1387" s="552" t="s">
        <v>158</v>
      </c>
      <c r="D1387" s="557">
        <v>638.96</v>
      </c>
      <c r="E1387" s="557">
        <v>595.79999999999995</v>
      </c>
      <c r="F1387" s="557">
        <v>43.16</v>
      </c>
      <c r="G1387" s="557">
        <v>638.96</v>
      </c>
    </row>
    <row r="1388" spans="1:7" ht="12.6" customHeight="1" x14ac:dyDescent="0.25">
      <c r="A1388" s="551" t="s">
        <v>34321</v>
      </c>
      <c r="B1388" s="551" t="s">
        <v>34322</v>
      </c>
      <c r="C1388" s="552"/>
      <c r="D1388" s="557"/>
      <c r="E1388" s="557"/>
      <c r="F1388" s="557"/>
      <c r="G1388" s="557"/>
    </row>
    <row r="1389" spans="1:7" ht="24.95" customHeight="1" x14ac:dyDescent="0.25">
      <c r="A1389" s="551" t="s">
        <v>34323</v>
      </c>
      <c r="B1389" s="342" t="s">
        <v>34324</v>
      </c>
      <c r="C1389" s="552" t="s">
        <v>227</v>
      </c>
      <c r="D1389" s="553">
        <v>43.16</v>
      </c>
      <c r="E1389" s="553"/>
      <c r="F1389" s="557">
        <v>43.16</v>
      </c>
      <c r="G1389" s="553">
        <v>43.16</v>
      </c>
    </row>
    <row r="1390" spans="1:7" ht="24.95" customHeight="1" x14ac:dyDescent="0.25">
      <c r="A1390" s="551" t="s">
        <v>34325</v>
      </c>
      <c r="B1390" s="342" t="s">
        <v>34326</v>
      </c>
      <c r="C1390" s="552" t="s">
        <v>158</v>
      </c>
      <c r="D1390" s="553">
        <v>13.01</v>
      </c>
      <c r="E1390" s="553">
        <v>1.79</v>
      </c>
      <c r="F1390" s="557">
        <v>11.22</v>
      </c>
      <c r="G1390" s="553">
        <v>13.01</v>
      </c>
    </row>
    <row r="1391" spans="1:7" ht="23.1" customHeight="1" x14ac:dyDescent="0.25">
      <c r="A1391" s="551" t="s">
        <v>34327</v>
      </c>
      <c r="B1391" s="551" t="s">
        <v>34328</v>
      </c>
      <c r="C1391" s="552" t="s">
        <v>158</v>
      </c>
      <c r="D1391" s="553">
        <v>25.89</v>
      </c>
      <c r="E1391" s="557"/>
      <c r="F1391" s="557">
        <v>25.89</v>
      </c>
      <c r="G1391" s="553">
        <v>25.89</v>
      </c>
    </row>
    <row r="1392" spans="1:7" ht="23.1" customHeight="1" x14ac:dyDescent="0.25">
      <c r="A1392" s="551" t="s">
        <v>34329</v>
      </c>
      <c r="B1392" s="551" t="s">
        <v>34330</v>
      </c>
      <c r="C1392" s="552" t="s">
        <v>158</v>
      </c>
      <c r="D1392" s="557">
        <v>57.51</v>
      </c>
      <c r="E1392" s="557">
        <v>30.54</v>
      </c>
      <c r="F1392" s="557">
        <v>26.97</v>
      </c>
      <c r="G1392" s="557">
        <v>57.51</v>
      </c>
    </row>
    <row r="1393" spans="1:7" ht="24.95" customHeight="1" x14ac:dyDescent="0.25">
      <c r="A1393" s="551" t="s">
        <v>34331</v>
      </c>
      <c r="B1393" s="342" t="s">
        <v>34332</v>
      </c>
      <c r="C1393" s="552" t="s">
        <v>19518</v>
      </c>
      <c r="D1393" s="557">
        <v>4270.68</v>
      </c>
      <c r="E1393" s="557">
        <v>4169.4799999999996</v>
      </c>
      <c r="F1393" s="344">
        <v>101.2</v>
      </c>
      <c r="G1393" s="557">
        <v>4270.68</v>
      </c>
    </row>
    <row r="1394" spans="1:7" ht="12.6" customHeight="1" x14ac:dyDescent="0.2">
      <c r="A1394" s="548" t="s">
        <v>34333</v>
      </c>
      <c r="B1394" s="548" t="s">
        <v>34334</v>
      </c>
      <c r="C1394" s="550" t="s">
        <v>158</v>
      </c>
      <c r="D1394" s="550">
        <v>255.91</v>
      </c>
      <c r="E1394" s="550">
        <v>244.69</v>
      </c>
      <c r="F1394" s="550">
        <v>11.22</v>
      </c>
      <c r="G1394" s="550">
        <v>255.91</v>
      </c>
    </row>
    <row r="1395" spans="1:7" ht="24.95" customHeight="1" x14ac:dyDescent="0.25">
      <c r="A1395" s="551" t="s">
        <v>34335</v>
      </c>
      <c r="B1395" s="342" t="s">
        <v>34336</v>
      </c>
      <c r="C1395" s="552" t="s">
        <v>158</v>
      </c>
      <c r="D1395" s="553">
        <v>512.99</v>
      </c>
      <c r="E1395" s="553">
        <v>501.77</v>
      </c>
      <c r="F1395" s="557">
        <v>11.22</v>
      </c>
      <c r="G1395" s="553">
        <v>512.99</v>
      </c>
    </row>
    <row r="1396" spans="1:7" ht="24.95" customHeight="1" x14ac:dyDescent="0.25">
      <c r="A1396" s="551" t="s">
        <v>34337</v>
      </c>
      <c r="B1396" s="342" t="s">
        <v>34338</v>
      </c>
      <c r="C1396" s="552" t="s">
        <v>227</v>
      </c>
      <c r="D1396" s="553">
        <v>352.39</v>
      </c>
      <c r="E1396" s="553">
        <v>300.60000000000002</v>
      </c>
      <c r="F1396" s="557">
        <v>51.79</v>
      </c>
      <c r="G1396" s="553">
        <v>352.39</v>
      </c>
    </row>
    <row r="1397" spans="1:7" ht="24.95" customHeight="1" x14ac:dyDescent="0.25">
      <c r="A1397" s="551" t="s">
        <v>34339</v>
      </c>
      <c r="B1397" s="342" t="s">
        <v>34340</v>
      </c>
      <c r="C1397" s="552" t="s">
        <v>227</v>
      </c>
      <c r="D1397" s="553">
        <v>136.74</v>
      </c>
      <c r="E1397" s="553">
        <v>127.35</v>
      </c>
      <c r="F1397" s="557">
        <v>9.39</v>
      </c>
      <c r="G1397" s="553">
        <v>136.74</v>
      </c>
    </row>
    <row r="1398" spans="1:7" ht="24.95" customHeight="1" x14ac:dyDescent="0.25">
      <c r="A1398" s="551" t="s">
        <v>34341</v>
      </c>
      <c r="B1398" s="342" t="s">
        <v>34342</v>
      </c>
      <c r="C1398" s="552" t="s">
        <v>227</v>
      </c>
      <c r="D1398" s="553">
        <v>51.84</v>
      </c>
      <c r="E1398" s="553">
        <v>42.45</v>
      </c>
      <c r="F1398" s="557">
        <v>9.39</v>
      </c>
      <c r="G1398" s="553">
        <v>51.84</v>
      </c>
    </row>
    <row r="1399" spans="1:7" ht="24.95" customHeight="1" x14ac:dyDescent="0.25">
      <c r="A1399" s="551" t="s">
        <v>34343</v>
      </c>
      <c r="B1399" s="342" t="s">
        <v>34344</v>
      </c>
      <c r="C1399" s="552" t="s">
        <v>227</v>
      </c>
      <c r="D1399" s="553">
        <v>753.77</v>
      </c>
      <c r="E1399" s="553">
        <v>661.32</v>
      </c>
      <c r="F1399" s="557">
        <v>92.45</v>
      </c>
      <c r="G1399" s="553">
        <v>753.77</v>
      </c>
    </row>
    <row r="1400" spans="1:7" ht="24.95" customHeight="1" x14ac:dyDescent="0.25">
      <c r="A1400" s="551" t="s">
        <v>34345</v>
      </c>
      <c r="B1400" s="342" t="s">
        <v>34346</v>
      </c>
      <c r="C1400" s="552" t="s">
        <v>227</v>
      </c>
      <c r="D1400" s="553">
        <v>1325.92</v>
      </c>
      <c r="E1400" s="553">
        <v>1233.47</v>
      </c>
      <c r="F1400" s="557">
        <v>92.45</v>
      </c>
      <c r="G1400" s="553">
        <v>1325.92</v>
      </c>
    </row>
    <row r="1401" spans="1:7" ht="34.5" customHeight="1" x14ac:dyDescent="0.25">
      <c r="A1401" s="554" t="s">
        <v>34347</v>
      </c>
      <c r="B1401" s="551" t="s">
        <v>34348</v>
      </c>
      <c r="C1401" s="555"/>
      <c r="D1401" s="556"/>
      <c r="E1401" s="556"/>
      <c r="F1401" s="558"/>
      <c r="G1401" s="556"/>
    </row>
    <row r="1402" spans="1:7" ht="24.95" customHeight="1" x14ac:dyDescent="0.25">
      <c r="A1402" s="551" t="s">
        <v>34349</v>
      </c>
      <c r="B1402" s="342" t="s">
        <v>34350</v>
      </c>
      <c r="C1402" s="552"/>
      <c r="D1402" s="553"/>
      <c r="E1402" s="553"/>
      <c r="F1402" s="557"/>
      <c r="G1402" s="553"/>
    </row>
    <row r="1403" spans="1:7" ht="11.45" customHeight="1" x14ac:dyDescent="0.25">
      <c r="A1403" s="543" t="s">
        <v>34351</v>
      </c>
      <c r="B1403" s="544" t="s">
        <v>34352</v>
      </c>
      <c r="C1403" s="544" t="s">
        <v>227</v>
      </c>
      <c r="D1403" s="543">
        <v>873.86</v>
      </c>
      <c r="E1403" s="545">
        <v>809.11</v>
      </c>
      <c r="F1403" s="546">
        <v>64.75</v>
      </c>
      <c r="G1403" s="543">
        <v>873.86</v>
      </c>
    </row>
    <row r="1404" spans="1:7" ht="24.95" customHeight="1" x14ac:dyDescent="0.25">
      <c r="A1404" s="551" t="s">
        <v>34353</v>
      </c>
      <c r="B1404" s="342" t="s">
        <v>34354</v>
      </c>
      <c r="C1404" s="552" t="s">
        <v>227</v>
      </c>
      <c r="D1404" s="553">
        <v>442.62</v>
      </c>
      <c r="E1404" s="553">
        <v>377.87</v>
      </c>
      <c r="F1404" s="557">
        <v>64.75</v>
      </c>
      <c r="G1404" s="553">
        <v>442.62</v>
      </c>
    </row>
    <row r="1405" spans="1:7" ht="24.95" customHeight="1" x14ac:dyDescent="0.25">
      <c r="A1405" s="551" t="s">
        <v>34355</v>
      </c>
      <c r="B1405" s="342" t="s">
        <v>34356</v>
      </c>
      <c r="C1405" s="552" t="s">
        <v>227</v>
      </c>
      <c r="D1405" s="553">
        <v>1185.29</v>
      </c>
      <c r="E1405" s="553">
        <v>1120.54</v>
      </c>
      <c r="F1405" s="557">
        <v>64.75</v>
      </c>
      <c r="G1405" s="553">
        <v>1185.29</v>
      </c>
    </row>
    <row r="1406" spans="1:7" ht="24.95" customHeight="1" x14ac:dyDescent="0.25">
      <c r="A1406" s="551" t="s">
        <v>34357</v>
      </c>
      <c r="B1406" s="342" t="s">
        <v>34358</v>
      </c>
      <c r="C1406" s="552" t="s">
        <v>227</v>
      </c>
      <c r="D1406" s="553">
        <v>766.72</v>
      </c>
      <c r="E1406" s="553">
        <v>701.97</v>
      </c>
      <c r="F1406" s="557">
        <v>64.75</v>
      </c>
      <c r="G1406" s="553">
        <v>766.72</v>
      </c>
    </row>
    <row r="1407" spans="1:7" ht="24.95" customHeight="1" x14ac:dyDescent="0.25">
      <c r="A1407" s="551" t="s">
        <v>34359</v>
      </c>
      <c r="B1407" s="342" t="s">
        <v>34360</v>
      </c>
      <c r="C1407" s="552" t="s">
        <v>227</v>
      </c>
      <c r="D1407" s="553">
        <v>868.63</v>
      </c>
      <c r="E1407" s="553">
        <v>803.88</v>
      </c>
      <c r="F1407" s="557">
        <v>64.75</v>
      </c>
      <c r="G1407" s="553">
        <v>868.63</v>
      </c>
    </row>
    <row r="1408" spans="1:7" ht="24.95" customHeight="1" x14ac:dyDescent="0.25">
      <c r="A1408" s="551" t="s">
        <v>34361</v>
      </c>
      <c r="B1408" s="342" t="s">
        <v>34362</v>
      </c>
      <c r="C1408" s="552" t="s">
        <v>227</v>
      </c>
      <c r="D1408" s="553">
        <v>350.78</v>
      </c>
      <c r="E1408" s="553">
        <v>286.02999999999997</v>
      </c>
      <c r="F1408" s="557">
        <v>64.75</v>
      </c>
      <c r="G1408" s="553">
        <v>350.78</v>
      </c>
    </row>
    <row r="1409" spans="1:7" ht="34.5" customHeight="1" x14ac:dyDescent="0.25">
      <c r="A1409" s="554" t="s">
        <v>34363</v>
      </c>
      <c r="B1409" s="551" t="s">
        <v>34364</v>
      </c>
      <c r="C1409" s="555" t="s">
        <v>227</v>
      </c>
      <c r="D1409" s="556">
        <v>1048.8</v>
      </c>
      <c r="E1409" s="556">
        <v>984.05</v>
      </c>
      <c r="F1409" s="558">
        <v>64.75</v>
      </c>
      <c r="G1409" s="556">
        <v>1048.8</v>
      </c>
    </row>
    <row r="1410" spans="1:7" ht="34.5" customHeight="1" x14ac:dyDescent="0.25">
      <c r="A1410" s="554" t="s">
        <v>34365</v>
      </c>
      <c r="B1410" s="551" t="s">
        <v>34366</v>
      </c>
      <c r="C1410" s="555" t="s">
        <v>227</v>
      </c>
      <c r="D1410" s="556">
        <v>446.37</v>
      </c>
      <c r="E1410" s="556">
        <v>381.62</v>
      </c>
      <c r="F1410" s="558">
        <v>64.75</v>
      </c>
      <c r="G1410" s="556">
        <v>446.37</v>
      </c>
    </row>
    <row r="1411" spans="1:7" ht="24.95" customHeight="1" x14ac:dyDescent="0.25">
      <c r="A1411" s="551" t="s">
        <v>34367</v>
      </c>
      <c r="B1411" s="342" t="s">
        <v>34368</v>
      </c>
      <c r="C1411" s="552" t="s">
        <v>227</v>
      </c>
      <c r="D1411" s="553">
        <v>1168.5999999999999</v>
      </c>
      <c r="E1411" s="553">
        <v>1103.8499999999999</v>
      </c>
      <c r="F1411" s="557">
        <v>64.75</v>
      </c>
      <c r="G1411" s="553">
        <v>1168.5999999999999</v>
      </c>
    </row>
    <row r="1412" spans="1:7" ht="24.95" customHeight="1" x14ac:dyDescent="0.25">
      <c r="A1412" s="551" t="s">
        <v>34369</v>
      </c>
      <c r="B1412" s="342" t="s">
        <v>34370</v>
      </c>
      <c r="C1412" s="552" t="s">
        <v>227</v>
      </c>
      <c r="D1412" s="553">
        <v>1221.1099999999999</v>
      </c>
      <c r="E1412" s="553">
        <v>1156.3599999999999</v>
      </c>
      <c r="F1412" s="557">
        <v>64.75</v>
      </c>
      <c r="G1412" s="553">
        <v>1221.1099999999999</v>
      </c>
    </row>
    <row r="1413" spans="1:7" ht="24.95" customHeight="1" x14ac:dyDescent="0.25">
      <c r="A1413" s="551" t="s">
        <v>34371</v>
      </c>
      <c r="B1413" s="342" t="s">
        <v>34372</v>
      </c>
      <c r="C1413" s="552" t="s">
        <v>227</v>
      </c>
      <c r="D1413" s="553">
        <v>454.25</v>
      </c>
      <c r="E1413" s="553">
        <v>454.25</v>
      </c>
      <c r="F1413" s="557"/>
      <c r="G1413" s="553">
        <v>454.25</v>
      </c>
    </row>
    <row r="1414" spans="1:7" ht="24.95" customHeight="1" x14ac:dyDescent="0.25">
      <c r="A1414" s="551" t="s">
        <v>34373</v>
      </c>
      <c r="B1414" s="342" t="s">
        <v>34374</v>
      </c>
      <c r="C1414" s="552" t="s">
        <v>227</v>
      </c>
      <c r="D1414" s="553">
        <v>1157.2</v>
      </c>
      <c r="E1414" s="553">
        <v>1107.45</v>
      </c>
      <c r="F1414" s="557">
        <v>49.75</v>
      </c>
      <c r="G1414" s="553">
        <v>1157.2</v>
      </c>
    </row>
    <row r="1415" spans="1:7" ht="24.95" customHeight="1" x14ac:dyDescent="0.25">
      <c r="A1415" s="551" t="s">
        <v>34375</v>
      </c>
      <c r="B1415" s="342" t="s">
        <v>34376</v>
      </c>
      <c r="C1415" s="552" t="s">
        <v>227</v>
      </c>
      <c r="D1415" s="553">
        <v>1788.06</v>
      </c>
      <c r="E1415" s="553">
        <v>1723.31</v>
      </c>
      <c r="F1415" s="557">
        <v>64.75</v>
      </c>
      <c r="G1415" s="553">
        <v>1788.06</v>
      </c>
    </row>
    <row r="1416" spans="1:7" ht="24.95" customHeight="1" x14ac:dyDescent="0.25">
      <c r="A1416" s="551" t="s">
        <v>34377</v>
      </c>
      <c r="B1416" s="342" t="s">
        <v>34378</v>
      </c>
      <c r="C1416" s="552" t="s">
        <v>227</v>
      </c>
      <c r="D1416" s="553">
        <v>1565.63</v>
      </c>
      <c r="E1416" s="553">
        <v>1500.88</v>
      </c>
      <c r="F1416" s="557">
        <v>64.75</v>
      </c>
      <c r="G1416" s="553">
        <v>1565.63</v>
      </c>
    </row>
    <row r="1417" spans="1:7" ht="24.95" customHeight="1" x14ac:dyDescent="0.25">
      <c r="A1417" s="551" t="s">
        <v>34379</v>
      </c>
      <c r="B1417" s="342" t="s">
        <v>34380</v>
      </c>
      <c r="C1417" s="552" t="s">
        <v>227</v>
      </c>
      <c r="D1417" s="553">
        <v>835.97</v>
      </c>
      <c r="E1417" s="553">
        <v>771.22</v>
      </c>
      <c r="F1417" s="557">
        <v>64.75</v>
      </c>
      <c r="G1417" s="553">
        <v>835.97</v>
      </c>
    </row>
    <row r="1418" spans="1:7" ht="24.95" customHeight="1" x14ac:dyDescent="0.25">
      <c r="A1418" s="551" t="s">
        <v>34381</v>
      </c>
      <c r="B1418" s="342" t="s">
        <v>34382</v>
      </c>
      <c r="C1418" s="552" t="s">
        <v>227</v>
      </c>
      <c r="D1418" s="553">
        <v>741.17</v>
      </c>
      <c r="E1418" s="553">
        <v>691.42</v>
      </c>
      <c r="F1418" s="557">
        <v>49.75</v>
      </c>
      <c r="G1418" s="553">
        <v>741.17</v>
      </c>
    </row>
    <row r="1419" spans="1:7" ht="24.95" customHeight="1" x14ac:dyDescent="0.25">
      <c r="A1419" s="551" t="s">
        <v>34383</v>
      </c>
      <c r="B1419" s="342" t="s">
        <v>34384</v>
      </c>
      <c r="C1419" s="552" t="s">
        <v>227</v>
      </c>
      <c r="D1419" s="553">
        <v>1019.03</v>
      </c>
      <c r="E1419" s="553">
        <v>969.28</v>
      </c>
      <c r="F1419" s="557">
        <v>49.75</v>
      </c>
      <c r="G1419" s="553">
        <v>1019.03</v>
      </c>
    </row>
    <row r="1420" spans="1:7" ht="12.6" customHeight="1" x14ac:dyDescent="0.2">
      <c r="A1420" s="548" t="s">
        <v>34385</v>
      </c>
      <c r="B1420" s="548" t="s">
        <v>34386</v>
      </c>
      <c r="C1420" s="550" t="s">
        <v>227</v>
      </c>
      <c r="D1420" s="550">
        <v>856.78</v>
      </c>
      <c r="E1420" s="550">
        <v>819.46</v>
      </c>
      <c r="F1420" s="550">
        <v>37.32</v>
      </c>
      <c r="G1420" s="550">
        <v>856.78</v>
      </c>
    </row>
    <row r="1421" spans="1:7" ht="24.95" customHeight="1" x14ac:dyDescent="0.25">
      <c r="A1421" s="551" t="s">
        <v>34387</v>
      </c>
      <c r="B1421" s="342" t="s">
        <v>34388</v>
      </c>
      <c r="C1421" s="552" t="s">
        <v>227</v>
      </c>
      <c r="D1421" s="553">
        <v>903.03</v>
      </c>
      <c r="E1421" s="553">
        <v>865.71</v>
      </c>
      <c r="F1421" s="557">
        <v>37.32</v>
      </c>
      <c r="G1421" s="553">
        <v>903.03</v>
      </c>
    </row>
    <row r="1422" spans="1:7" ht="12.6" customHeight="1" x14ac:dyDescent="0.2">
      <c r="A1422" s="548" t="s">
        <v>34389</v>
      </c>
      <c r="B1422" s="548" t="s">
        <v>34390</v>
      </c>
      <c r="C1422" s="550" t="s">
        <v>227</v>
      </c>
      <c r="D1422" s="550">
        <v>1279.73</v>
      </c>
      <c r="E1422" s="550">
        <v>1242.4100000000001</v>
      </c>
      <c r="F1422" s="550">
        <v>37.32</v>
      </c>
      <c r="G1422" s="550">
        <v>1279.73</v>
      </c>
    </row>
    <row r="1423" spans="1:7" ht="24.95" customHeight="1" x14ac:dyDescent="0.25">
      <c r="A1423" s="551" t="s">
        <v>34391</v>
      </c>
      <c r="B1423" s="342" t="s">
        <v>34392</v>
      </c>
      <c r="C1423" s="552" t="s">
        <v>227</v>
      </c>
      <c r="D1423" s="557">
        <v>805.64</v>
      </c>
      <c r="E1423" s="557">
        <v>805.64</v>
      </c>
      <c r="F1423" s="557"/>
      <c r="G1423" s="557">
        <v>805.64</v>
      </c>
    </row>
    <row r="1424" spans="1:7" ht="24.95" customHeight="1" x14ac:dyDescent="0.25">
      <c r="A1424" s="551" t="s">
        <v>34393</v>
      </c>
      <c r="B1424" s="342" t="s">
        <v>34394</v>
      </c>
      <c r="C1424" s="552" t="s">
        <v>227</v>
      </c>
      <c r="D1424" s="553">
        <v>1517.93</v>
      </c>
      <c r="E1424" s="553">
        <v>1517.93</v>
      </c>
      <c r="F1424" s="557"/>
      <c r="G1424" s="553">
        <v>1517.93</v>
      </c>
    </row>
    <row r="1425" spans="1:7" ht="12.6" customHeight="1" x14ac:dyDescent="0.2">
      <c r="A1425" s="548" t="s">
        <v>34395</v>
      </c>
      <c r="B1425" s="548" t="s">
        <v>34396</v>
      </c>
      <c r="C1425" s="550" t="s">
        <v>227</v>
      </c>
      <c r="D1425" s="550">
        <v>941.99</v>
      </c>
      <c r="E1425" s="550">
        <v>941.99</v>
      </c>
      <c r="F1425" s="550"/>
      <c r="G1425" s="550">
        <v>941.99</v>
      </c>
    </row>
    <row r="1426" spans="1:7" ht="24.95" customHeight="1" x14ac:dyDescent="0.25">
      <c r="A1426" s="551" t="s">
        <v>34397</v>
      </c>
      <c r="B1426" s="342" t="s">
        <v>34398</v>
      </c>
      <c r="C1426" s="552" t="s">
        <v>227</v>
      </c>
      <c r="D1426" s="557">
        <v>923.14</v>
      </c>
      <c r="E1426" s="557">
        <v>923.14</v>
      </c>
      <c r="F1426" s="557"/>
      <c r="G1426" s="557">
        <v>923.14</v>
      </c>
    </row>
    <row r="1427" spans="1:7" ht="12.6" customHeight="1" x14ac:dyDescent="0.25">
      <c r="A1427" s="551" t="s">
        <v>34399</v>
      </c>
      <c r="B1427" s="551" t="s">
        <v>34400</v>
      </c>
      <c r="C1427" s="552" t="s">
        <v>227</v>
      </c>
      <c r="D1427" s="557">
        <v>994.57</v>
      </c>
      <c r="E1427" s="557">
        <v>929.82</v>
      </c>
      <c r="F1427" s="557">
        <v>64.75</v>
      </c>
      <c r="G1427" s="557">
        <v>994.57</v>
      </c>
    </row>
    <row r="1428" spans="1:7" ht="24.95" customHeight="1" x14ac:dyDescent="0.25">
      <c r="A1428" s="551" t="s">
        <v>34401</v>
      </c>
      <c r="B1428" s="342" t="s">
        <v>34402</v>
      </c>
      <c r="C1428" s="552" t="s">
        <v>227</v>
      </c>
      <c r="D1428" s="557">
        <v>1209.75</v>
      </c>
      <c r="E1428" s="557">
        <v>1145</v>
      </c>
      <c r="F1428" s="557">
        <v>64.75</v>
      </c>
      <c r="G1428" s="557">
        <v>1209.75</v>
      </c>
    </row>
    <row r="1429" spans="1:7" ht="12.6" customHeight="1" x14ac:dyDescent="0.2">
      <c r="A1429" s="548" t="s">
        <v>34403</v>
      </c>
      <c r="B1429" s="548" t="s">
        <v>34404</v>
      </c>
      <c r="C1429" s="550" t="s">
        <v>227</v>
      </c>
      <c r="D1429" s="550">
        <v>1097.3</v>
      </c>
      <c r="E1429" s="550">
        <v>1032.55</v>
      </c>
      <c r="F1429" s="550">
        <v>64.75</v>
      </c>
      <c r="G1429" s="550">
        <v>1097.3</v>
      </c>
    </row>
    <row r="1430" spans="1:7" ht="12.6" customHeight="1" x14ac:dyDescent="0.2">
      <c r="A1430" s="551" t="s">
        <v>34405</v>
      </c>
      <c r="B1430" s="551" t="s">
        <v>34406</v>
      </c>
      <c r="C1430" s="552" t="s">
        <v>227</v>
      </c>
      <c r="D1430" s="557">
        <v>1095.49</v>
      </c>
      <c r="E1430" s="343">
        <v>1030.74</v>
      </c>
      <c r="F1430" s="557">
        <v>64.75</v>
      </c>
      <c r="G1430" s="557">
        <v>1095.49</v>
      </c>
    </row>
    <row r="1431" spans="1:7" ht="12.6" customHeight="1" x14ac:dyDescent="0.25">
      <c r="A1431" s="551" t="s">
        <v>34407</v>
      </c>
      <c r="B1431" s="551" t="s">
        <v>34408</v>
      </c>
      <c r="C1431" s="552"/>
      <c r="D1431" s="557"/>
      <c r="E1431" s="557"/>
      <c r="F1431" s="557"/>
      <c r="G1431" s="557"/>
    </row>
    <row r="1432" spans="1:7" ht="12.6" customHeight="1" x14ac:dyDescent="0.2">
      <c r="A1432" s="551" t="s">
        <v>34409</v>
      </c>
      <c r="B1432" s="551" t="s">
        <v>34410</v>
      </c>
      <c r="C1432" s="552" t="s">
        <v>227</v>
      </c>
      <c r="D1432" s="557">
        <v>574.76</v>
      </c>
      <c r="E1432" s="343">
        <v>445.28</v>
      </c>
      <c r="F1432" s="557">
        <v>129.47999999999999</v>
      </c>
      <c r="G1432" s="557">
        <v>574.76</v>
      </c>
    </row>
    <row r="1433" spans="1:7" ht="12.6" customHeight="1" x14ac:dyDescent="0.25">
      <c r="A1433" s="551" t="s">
        <v>34411</v>
      </c>
      <c r="B1433" s="551" t="s">
        <v>34412</v>
      </c>
      <c r="C1433" s="552" t="s">
        <v>227</v>
      </c>
      <c r="D1433" s="557">
        <v>1122.1099999999999</v>
      </c>
      <c r="E1433" s="557">
        <v>992.63</v>
      </c>
      <c r="F1433" s="557">
        <v>129.47999999999999</v>
      </c>
      <c r="G1433" s="557">
        <v>1122.1099999999999</v>
      </c>
    </row>
    <row r="1434" spans="1:7" ht="12.6" customHeight="1" x14ac:dyDescent="0.25">
      <c r="A1434" s="551" t="s">
        <v>34413</v>
      </c>
      <c r="B1434" s="551" t="s">
        <v>34414</v>
      </c>
      <c r="C1434" s="552" t="s">
        <v>227</v>
      </c>
      <c r="D1434" s="553">
        <v>1252.8399999999999</v>
      </c>
      <c r="E1434" s="553">
        <v>1123.3599999999999</v>
      </c>
      <c r="F1434" s="557">
        <v>129.47999999999999</v>
      </c>
      <c r="G1434" s="553">
        <v>1252.8399999999999</v>
      </c>
    </row>
    <row r="1435" spans="1:7" ht="12.6" customHeight="1" x14ac:dyDescent="0.25">
      <c r="A1435" s="551" t="s">
        <v>34415</v>
      </c>
      <c r="B1435" s="551" t="s">
        <v>34416</v>
      </c>
      <c r="C1435" s="552" t="s">
        <v>227</v>
      </c>
      <c r="D1435" s="557">
        <v>826.81</v>
      </c>
      <c r="E1435" s="557">
        <v>762.06</v>
      </c>
      <c r="F1435" s="557">
        <v>64.75</v>
      </c>
      <c r="G1435" s="557">
        <v>826.81</v>
      </c>
    </row>
    <row r="1436" spans="1:7" ht="24.95" customHeight="1" x14ac:dyDescent="0.25">
      <c r="A1436" s="551" t="s">
        <v>34417</v>
      </c>
      <c r="B1436" s="342" t="s">
        <v>34418</v>
      </c>
      <c r="C1436" s="552" t="s">
        <v>227</v>
      </c>
      <c r="D1436" s="557">
        <v>514.5</v>
      </c>
      <c r="E1436" s="557">
        <v>385.02</v>
      </c>
      <c r="F1436" s="557">
        <v>129.47999999999999</v>
      </c>
      <c r="G1436" s="557">
        <v>514.5</v>
      </c>
    </row>
    <row r="1437" spans="1:7" ht="11.45" customHeight="1" x14ac:dyDescent="0.25">
      <c r="A1437" s="543" t="s">
        <v>34419</v>
      </c>
      <c r="B1437" s="544" t="s">
        <v>34420</v>
      </c>
      <c r="C1437" s="544" t="s">
        <v>227</v>
      </c>
      <c r="D1437" s="543">
        <v>1005.83</v>
      </c>
      <c r="E1437" s="545">
        <v>876.35</v>
      </c>
      <c r="F1437" s="546">
        <v>129.47999999999999</v>
      </c>
      <c r="G1437" s="543">
        <v>1005.83</v>
      </c>
    </row>
    <row r="1438" spans="1:7" ht="12.6" customHeight="1" x14ac:dyDescent="0.25">
      <c r="A1438" s="551" t="s">
        <v>34421</v>
      </c>
      <c r="B1438" s="551" t="s">
        <v>34422</v>
      </c>
      <c r="C1438" s="552" t="s">
        <v>227</v>
      </c>
      <c r="D1438" s="557">
        <v>696.27</v>
      </c>
      <c r="E1438" s="557">
        <v>566.79</v>
      </c>
      <c r="F1438" s="557">
        <v>129.47999999999999</v>
      </c>
      <c r="G1438" s="557">
        <v>696.27</v>
      </c>
    </row>
    <row r="1439" spans="1:7" ht="12.6" customHeight="1" x14ac:dyDescent="0.25">
      <c r="A1439" s="551" t="s">
        <v>34423</v>
      </c>
      <c r="B1439" s="551" t="s">
        <v>34424</v>
      </c>
      <c r="C1439" s="552" t="s">
        <v>227</v>
      </c>
      <c r="D1439" s="557">
        <v>1064.03</v>
      </c>
      <c r="E1439" s="557">
        <v>934.55</v>
      </c>
      <c r="F1439" s="557">
        <v>129.47999999999999</v>
      </c>
      <c r="G1439" s="557">
        <v>1064.03</v>
      </c>
    </row>
    <row r="1440" spans="1:7" ht="12.6" customHeight="1" x14ac:dyDescent="0.25">
      <c r="A1440" s="551" t="s">
        <v>34425</v>
      </c>
      <c r="B1440" s="551" t="s">
        <v>34426</v>
      </c>
      <c r="C1440" s="552" t="s">
        <v>227</v>
      </c>
      <c r="D1440" s="557">
        <v>610.54</v>
      </c>
      <c r="E1440" s="557">
        <v>481.06</v>
      </c>
      <c r="F1440" s="557">
        <v>129.47999999999999</v>
      </c>
      <c r="G1440" s="557">
        <v>610.54</v>
      </c>
    </row>
    <row r="1441" spans="1:7" ht="24.95" customHeight="1" x14ac:dyDescent="0.25">
      <c r="A1441" s="551" t="s">
        <v>34427</v>
      </c>
      <c r="B1441" s="342" t="s">
        <v>34428</v>
      </c>
      <c r="C1441" s="552" t="s">
        <v>227</v>
      </c>
      <c r="D1441" s="557">
        <v>793.04</v>
      </c>
      <c r="E1441" s="557">
        <v>663.56</v>
      </c>
      <c r="F1441" s="557">
        <v>129.47999999999999</v>
      </c>
      <c r="G1441" s="557">
        <v>793.04</v>
      </c>
    </row>
    <row r="1442" spans="1:7" ht="24.95" customHeight="1" x14ac:dyDescent="0.25">
      <c r="A1442" s="551" t="s">
        <v>34429</v>
      </c>
      <c r="B1442" s="342" t="s">
        <v>34430</v>
      </c>
      <c r="C1442" s="552" t="s">
        <v>227</v>
      </c>
      <c r="D1442" s="553">
        <v>1234.94</v>
      </c>
      <c r="E1442" s="553">
        <v>1170.19</v>
      </c>
      <c r="F1442" s="557">
        <v>64.75</v>
      </c>
      <c r="G1442" s="553">
        <v>1234.94</v>
      </c>
    </row>
    <row r="1443" spans="1:7" ht="12.6" customHeight="1" x14ac:dyDescent="0.2">
      <c r="A1443" s="559" t="s">
        <v>34431</v>
      </c>
      <c r="B1443" s="548" t="s">
        <v>34432</v>
      </c>
      <c r="C1443" s="550" t="s">
        <v>227</v>
      </c>
      <c r="D1443" s="550">
        <v>1040.02</v>
      </c>
      <c r="E1443" s="550">
        <v>975.27</v>
      </c>
      <c r="F1443" s="550">
        <v>64.75</v>
      </c>
      <c r="G1443" s="550">
        <v>1040.02</v>
      </c>
    </row>
    <row r="1444" spans="1:7" ht="12.6" customHeight="1" x14ac:dyDescent="0.2">
      <c r="A1444" s="548" t="s">
        <v>34433</v>
      </c>
      <c r="B1444" s="548" t="s">
        <v>34434</v>
      </c>
      <c r="C1444" s="550" t="s">
        <v>227</v>
      </c>
      <c r="D1444" s="550">
        <v>1106.52</v>
      </c>
      <c r="E1444" s="550">
        <v>1041.77</v>
      </c>
      <c r="F1444" s="550">
        <v>64.75</v>
      </c>
      <c r="G1444" s="550">
        <v>1106.52</v>
      </c>
    </row>
    <row r="1445" spans="1:7" ht="12.6" customHeight="1" x14ac:dyDescent="0.25">
      <c r="A1445" s="551" t="s">
        <v>34435</v>
      </c>
      <c r="B1445" s="551" t="s">
        <v>34436</v>
      </c>
      <c r="C1445" s="552" t="s">
        <v>227</v>
      </c>
      <c r="D1445" s="557">
        <v>1342.43</v>
      </c>
      <c r="E1445" s="557">
        <v>1277.68</v>
      </c>
      <c r="F1445" s="557">
        <v>64.75</v>
      </c>
      <c r="G1445" s="557">
        <v>1342.43</v>
      </c>
    </row>
    <row r="1446" spans="1:7" ht="12.6" customHeight="1" x14ac:dyDescent="0.25">
      <c r="A1446" s="551" t="s">
        <v>34437</v>
      </c>
      <c r="B1446" s="551" t="s">
        <v>34438</v>
      </c>
      <c r="C1446" s="552" t="s">
        <v>227</v>
      </c>
      <c r="D1446" s="557">
        <v>1193.45</v>
      </c>
      <c r="E1446" s="557">
        <v>1063.97</v>
      </c>
      <c r="F1446" s="557">
        <v>129.47999999999999</v>
      </c>
      <c r="G1446" s="557">
        <v>1193.45</v>
      </c>
    </row>
    <row r="1447" spans="1:7" ht="12.6" customHeight="1" x14ac:dyDescent="0.25">
      <c r="A1447" s="551" t="s">
        <v>34439</v>
      </c>
      <c r="B1447" s="551" t="s">
        <v>34440</v>
      </c>
      <c r="C1447" s="552" t="s">
        <v>227</v>
      </c>
      <c r="D1447" s="553">
        <v>1322.79</v>
      </c>
      <c r="E1447" s="553">
        <v>1193.31</v>
      </c>
      <c r="F1447" s="557">
        <v>129.47999999999999</v>
      </c>
      <c r="G1447" s="553">
        <v>1322.79</v>
      </c>
    </row>
    <row r="1448" spans="1:7" ht="12.6" customHeight="1" x14ac:dyDescent="0.25">
      <c r="A1448" s="551" t="s">
        <v>34441</v>
      </c>
      <c r="B1448" s="551" t="s">
        <v>34442</v>
      </c>
      <c r="C1448" s="552"/>
      <c r="D1448" s="557"/>
      <c r="E1448" s="557"/>
      <c r="F1448" s="557"/>
      <c r="G1448" s="557"/>
    </row>
    <row r="1449" spans="1:7" ht="12.6" customHeight="1" x14ac:dyDescent="0.25">
      <c r="A1449" s="551" t="s">
        <v>34443</v>
      </c>
      <c r="B1449" s="551" t="s">
        <v>34444</v>
      </c>
      <c r="C1449" s="552" t="s">
        <v>227</v>
      </c>
      <c r="D1449" s="557">
        <v>166.06</v>
      </c>
      <c r="E1449" s="557">
        <v>166.06</v>
      </c>
      <c r="F1449" s="557"/>
      <c r="G1449" s="557">
        <v>166.06</v>
      </c>
    </row>
    <row r="1450" spans="1:7" ht="12.6" customHeight="1" x14ac:dyDescent="0.25">
      <c r="A1450" s="551" t="s">
        <v>34445</v>
      </c>
      <c r="B1450" s="551" t="s">
        <v>34446</v>
      </c>
      <c r="C1450" s="552"/>
      <c r="D1450" s="557"/>
      <c r="E1450" s="557"/>
      <c r="F1450" s="557"/>
      <c r="G1450" s="557"/>
    </row>
    <row r="1451" spans="1:7" ht="12.6" customHeight="1" x14ac:dyDescent="0.25">
      <c r="A1451" s="551" t="s">
        <v>34447</v>
      </c>
      <c r="B1451" s="551" t="s">
        <v>34448</v>
      </c>
      <c r="C1451" s="552"/>
      <c r="D1451" s="557"/>
      <c r="E1451" s="557"/>
      <c r="F1451" s="557"/>
      <c r="G1451" s="557"/>
    </row>
    <row r="1452" spans="1:7" ht="12.6" customHeight="1" x14ac:dyDescent="0.25">
      <c r="A1452" s="551" t="s">
        <v>34449</v>
      </c>
      <c r="B1452" s="551" t="s">
        <v>34450</v>
      </c>
      <c r="C1452" s="552" t="s">
        <v>227</v>
      </c>
      <c r="D1452" s="557">
        <v>141.61000000000001</v>
      </c>
      <c r="E1452" s="557">
        <v>120.93</v>
      </c>
      <c r="F1452" s="557">
        <v>20.68</v>
      </c>
      <c r="G1452" s="557">
        <v>141.61000000000001</v>
      </c>
    </row>
    <row r="1453" spans="1:7" ht="12.6" customHeight="1" x14ac:dyDescent="0.25">
      <c r="A1453" s="551" t="s">
        <v>34451</v>
      </c>
      <c r="B1453" s="551" t="s">
        <v>34452</v>
      </c>
      <c r="C1453" s="552" t="s">
        <v>227</v>
      </c>
      <c r="D1453" s="553">
        <v>168.94</v>
      </c>
      <c r="E1453" s="553">
        <v>148.26</v>
      </c>
      <c r="F1453" s="557">
        <v>20.68</v>
      </c>
      <c r="G1453" s="553">
        <v>168.94</v>
      </c>
    </row>
    <row r="1454" spans="1:7" ht="12.6" customHeight="1" x14ac:dyDescent="0.25">
      <c r="A1454" s="551" t="s">
        <v>34453</v>
      </c>
      <c r="B1454" s="551" t="s">
        <v>34454</v>
      </c>
      <c r="C1454" s="552" t="s">
        <v>227</v>
      </c>
      <c r="D1454" s="553">
        <v>171.49</v>
      </c>
      <c r="E1454" s="553">
        <v>150.81</v>
      </c>
      <c r="F1454" s="557">
        <v>20.68</v>
      </c>
      <c r="G1454" s="553">
        <v>171.49</v>
      </c>
    </row>
    <row r="1455" spans="1:7" ht="24.95" customHeight="1" x14ac:dyDescent="0.25">
      <c r="A1455" s="551" t="s">
        <v>34455</v>
      </c>
      <c r="B1455" s="342" t="s">
        <v>34456</v>
      </c>
      <c r="C1455" s="552" t="s">
        <v>227</v>
      </c>
      <c r="D1455" s="557">
        <v>218.44</v>
      </c>
      <c r="E1455" s="557">
        <v>191.38</v>
      </c>
      <c r="F1455" s="344">
        <v>27.06</v>
      </c>
      <c r="G1455" s="557">
        <v>218.44</v>
      </c>
    </row>
    <row r="1456" spans="1:7" ht="12.6" customHeight="1" x14ac:dyDescent="0.25">
      <c r="A1456" s="551" t="s">
        <v>34457</v>
      </c>
      <c r="B1456" s="551" t="s">
        <v>34458</v>
      </c>
      <c r="C1456" s="552" t="s">
        <v>227</v>
      </c>
      <c r="D1456" s="553">
        <v>437.21</v>
      </c>
      <c r="E1456" s="553">
        <v>410.15</v>
      </c>
      <c r="F1456" s="557">
        <v>27.06</v>
      </c>
      <c r="G1456" s="553">
        <v>437.21</v>
      </c>
    </row>
    <row r="1457" spans="1:7" ht="12.6" customHeight="1" x14ac:dyDescent="0.25">
      <c r="A1457" s="551" t="s">
        <v>34459</v>
      </c>
      <c r="B1457" s="551" t="s">
        <v>34460</v>
      </c>
      <c r="C1457" s="552" t="s">
        <v>227</v>
      </c>
      <c r="D1457" s="553">
        <v>443.26</v>
      </c>
      <c r="E1457" s="553">
        <v>412.23</v>
      </c>
      <c r="F1457" s="557">
        <v>31.03</v>
      </c>
      <c r="G1457" s="553">
        <v>443.26</v>
      </c>
    </row>
    <row r="1458" spans="1:7" ht="12.6" customHeight="1" x14ac:dyDescent="0.25">
      <c r="A1458" s="551" t="s">
        <v>34461</v>
      </c>
      <c r="B1458" s="551" t="s">
        <v>34462</v>
      </c>
      <c r="C1458" s="552" t="s">
        <v>227</v>
      </c>
      <c r="D1458" s="553">
        <v>509.03</v>
      </c>
      <c r="E1458" s="553">
        <v>476.38</v>
      </c>
      <c r="F1458" s="557">
        <v>32.65</v>
      </c>
      <c r="G1458" s="553">
        <v>509.03</v>
      </c>
    </row>
    <row r="1459" spans="1:7" ht="12.6" customHeight="1" x14ac:dyDescent="0.25">
      <c r="A1459" s="551" t="s">
        <v>34463</v>
      </c>
      <c r="B1459" s="551" t="s">
        <v>34464</v>
      </c>
      <c r="C1459" s="552" t="s">
        <v>227</v>
      </c>
      <c r="D1459" s="557">
        <v>499.32</v>
      </c>
      <c r="E1459" s="557">
        <v>472.26</v>
      </c>
      <c r="F1459" s="557">
        <v>27.06</v>
      </c>
      <c r="G1459" s="557">
        <v>499.32</v>
      </c>
    </row>
    <row r="1460" spans="1:7" ht="12.6" customHeight="1" x14ac:dyDescent="0.25">
      <c r="A1460" s="551" t="s">
        <v>34465</v>
      </c>
      <c r="B1460" s="551" t="s">
        <v>34466</v>
      </c>
      <c r="C1460" s="552" t="s">
        <v>227</v>
      </c>
      <c r="D1460" s="557">
        <v>316.32</v>
      </c>
      <c r="E1460" s="557">
        <v>289.26</v>
      </c>
      <c r="F1460" s="557">
        <v>27.06</v>
      </c>
      <c r="G1460" s="557">
        <v>316.32</v>
      </c>
    </row>
    <row r="1461" spans="1:7" ht="12.6" customHeight="1" x14ac:dyDescent="0.25">
      <c r="A1461" s="551" t="s">
        <v>34467</v>
      </c>
      <c r="B1461" s="551" t="s">
        <v>34468</v>
      </c>
      <c r="C1461" s="552" t="s">
        <v>227</v>
      </c>
      <c r="D1461" s="553">
        <v>360.13</v>
      </c>
      <c r="E1461" s="557">
        <v>329.1</v>
      </c>
      <c r="F1461" s="557">
        <v>31.03</v>
      </c>
      <c r="G1461" s="553">
        <v>360.13</v>
      </c>
    </row>
    <row r="1462" spans="1:7" ht="12.6" customHeight="1" x14ac:dyDescent="0.25">
      <c r="A1462" s="551" t="s">
        <v>34469</v>
      </c>
      <c r="B1462" s="551" t="s">
        <v>34470</v>
      </c>
      <c r="C1462" s="552" t="s">
        <v>227</v>
      </c>
      <c r="D1462" s="557">
        <v>450.62</v>
      </c>
      <c r="E1462" s="557">
        <v>417.98</v>
      </c>
      <c r="F1462" s="557">
        <v>32.64</v>
      </c>
      <c r="G1462" s="557">
        <v>450.62</v>
      </c>
    </row>
    <row r="1463" spans="1:7" ht="12.6" customHeight="1" x14ac:dyDescent="0.25">
      <c r="A1463" s="551" t="s">
        <v>34471</v>
      </c>
      <c r="B1463" s="551" t="s">
        <v>34472</v>
      </c>
      <c r="C1463" s="552" t="s">
        <v>227</v>
      </c>
      <c r="D1463" s="557">
        <v>610.30999999999995</v>
      </c>
      <c r="E1463" s="557">
        <v>583.25</v>
      </c>
      <c r="F1463" s="557">
        <v>27.06</v>
      </c>
      <c r="G1463" s="557">
        <v>610.30999999999995</v>
      </c>
    </row>
    <row r="1464" spans="1:7" ht="12.6" customHeight="1" x14ac:dyDescent="0.25">
      <c r="A1464" s="551" t="s">
        <v>34473</v>
      </c>
      <c r="B1464" s="551" t="s">
        <v>34474</v>
      </c>
      <c r="C1464" s="552" t="s">
        <v>227</v>
      </c>
      <c r="D1464" s="557">
        <v>180.44</v>
      </c>
      <c r="E1464" s="557">
        <v>159.76</v>
      </c>
      <c r="F1464" s="557">
        <v>20.68</v>
      </c>
      <c r="G1464" s="557">
        <v>180.44</v>
      </c>
    </row>
    <row r="1465" spans="1:7" ht="12.6" customHeight="1" x14ac:dyDescent="0.2">
      <c r="A1465" s="551" t="s">
        <v>34475</v>
      </c>
      <c r="B1465" s="551" t="s">
        <v>34476</v>
      </c>
      <c r="C1465" s="552" t="s">
        <v>227</v>
      </c>
      <c r="D1465" s="557">
        <v>3657.88</v>
      </c>
      <c r="E1465" s="557">
        <v>3657.88</v>
      </c>
      <c r="F1465" s="343"/>
      <c r="G1465" s="557">
        <v>3657.88</v>
      </c>
    </row>
    <row r="1466" spans="1:7" ht="23.1" customHeight="1" x14ac:dyDescent="0.25">
      <c r="A1466" s="551" t="s">
        <v>34477</v>
      </c>
      <c r="B1466" s="551" t="s">
        <v>34478</v>
      </c>
      <c r="C1466" s="552" t="s">
        <v>227</v>
      </c>
      <c r="D1466" s="553">
        <v>5702.9</v>
      </c>
      <c r="E1466" s="553">
        <v>5621.46</v>
      </c>
      <c r="F1466" s="344">
        <v>81.44</v>
      </c>
      <c r="G1466" s="553">
        <v>5702.9</v>
      </c>
    </row>
    <row r="1467" spans="1:7" ht="24.95" customHeight="1" x14ac:dyDescent="0.25">
      <c r="A1467" s="551" t="s">
        <v>34479</v>
      </c>
      <c r="B1467" s="342" t="s">
        <v>34480</v>
      </c>
      <c r="C1467" s="552" t="s">
        <v>227</v>
      </c>
      <c r="D1467" s="557">
        <v>240.19</v>
      </c>
      <c r="E1467" s="557">
        <v>213.13</v>
      </c>
      <c r="F1467" s="344">
        <v>27.06</v>
      </c>
      <c r="G1467" s="557">
        <v>240.19</v>
      </c>
    </row>
    <row r="1468" spans="1:7" ht="24.95" customHeight="1" x14ac:dyDescent="0.25">
      <c r="A1468" s="551" t="s">
        <v>34481</v>
      </c>
      <c r="B1468" s="342" t="s">
        <v>34482</v>
      </c>
      <c r="C1468" s="552"/>
      <c r="D1468" s="557"/>
      <c r="E1468" s="557"/>
      <c r="F1468" s="344"/>
      <c r="G1468" s="557"/>
    </row>
    <row r="1469" spans="1:7" ht="12.6" customHeight="1" x14ac:dyDescent="0.25">
      <c r="A1469" s="551" t="s">
        <v>34483</v>
      </c>
      <c r="B1469" s="551" t="s">
        <v>34484</v>
      </c>
      <c r="C1469" s="552" t="s">
        <v>227</v>
      </c>
      <c r="D1469" s="557">
        <v>264.89</v>
      </c>
      <c r="E1469" s="557">
        <v>237.83</v>
      </c>
      <c r="F1469" s="557">
        <v>27.06</v>
      </c>
      <c r="G1469" s="557">
        <v>264.89</v>
      </c>
    </row>
    <row r="1470" spans="1:7" ht="23.1" customHeight="1" x14ac:dyDescent="0.25">
      <c r="A1470" s="551" t="s">
        <v>34485</v>
      </c>
      <c r="B1470" s="551" t="s">
        <v>34486</v>
      </c>
      <c r="C1470" s="552" t="s">
        <v>227</v>
      </c>
      <c r="D1470" s="553">
        <v>294.81</v>
      </c>
      <c r="E1470" s="553">
        <v>263.77999999999997</v>
      </c>
      <c r="F1470" s="557">
        <v>31.03</v>
      </c>
      <c r="G1470" s="553">
        <v>294.81</v>
      </c>
    </row>
    <row r="1471" spans="1:7" ht="23.1" customHeight="1" x14ac:dyDescent="0.25">
      <c r="A1471" s="551" t="s">
        <v>34487</v>
      </c>
      <c r="B1471" s="551" t="s">
        <v>34488</v>
      </c>
      <c r="C1471" s="552" t="s">
        <v>227</v>
      </c>
      <c r="D1471" s="553">
        <v>324.37</v>
      </c>
      <c r="E1471" s="553">
        <v>291.73</v>
      </c>
      <c r="F1471" s="557">
        <v>32.64</v>
      </c>
      <c r="G1471" s="553">
        <v>324.37</v>
      </c>
    </row>
    <row r="1472" spans="1:7" ht="23.1" customHeight="1" x14ac:dyDescent="0.25">
      <c r="A1472" s="551" t="s">
        <v>34489</v>
      </c>
      <c r="B1472" s="551" t="s">
        <v>34490</v>
      </c>
      <c r="C1472" s="552" t="s">
        <v>227</v>
      </c>
      <c r="D1472" s="553">
        <v>333.26</v>
      </c>
      <c r="E1472" s="553">
        <v>306.22000000000003</v>
      </c>
      <c r="F1472" s="557">
        <v>27.04</v>
      </c>
      <c r="G1472" s="553">
        <v>333.26</v>
      </c>
    </row>
    <row r="1473" spans="1:7" ht="12.6" customHeight="1" x14ac:dyDescent="0.2">
      <c r="A1473" s="548" t="s">
        <v>34491</v>
      </c>
      <c r="B1473" s="548" t="s">
        <v>34492</v>
      </c>
      <c r="C1473" s="550" t="s">
        <v>227</v>
      </c>
      <c r="D1473" s="550">
        <v>390.89</v>
      </c>
      <c r="E1473" s="550">
        <v>359.86</v>
      </c>
      <c r="F1473" s="550">
        <v>31.03</v>
      </c>
      <c r="G1473" s="550">
        <v>390.89</v>
      </c>
    </row>
    <row r="1474" spans="1:7" ht="12.6" customHeight="1" x14ac:dyDescent="0.25">
      <c r="A1474" s="551" t="s">
        <v>34493</v>
      </c>
      <c r="B1474" s="551" t="s">
        <v>34494</v>
      </c>
      <c r="C1474" s="552" t="s">
        <v>227</v>
      </c>
      <c r="D1474" s="557">
        <v>494.69</v>
      </c>
      <c r="E1474" s="557">
        <v>462.05</v>
      </c>
      <c r="F1474" s="557">
        <v>32.64</v>
      </c>
      <c r="G1474" s="557">
        <v>494.69</v>
      </c>
    </row>
    <row r="1475" spans="1:7" ht="12.6" customHeight="1" x14ac:dyDescent="0.25">
      <c r="A1475" s="551" t="s">
        <v>34495</v>
      </c>
      <c r="B1475" s="551" t="s">
        <v>34496</v>
      </c>
      <c r="C1475" s="552" t="s">
        <v>227</v>
      </c>
      <c r="D1475" s="553">
        <v>662.22</v>
      </c>
      <c r="E1475" s="553">
        <v>631.19000000000005</v>
      </c>
      <c r="F1475" s="557">
        <v>31.03</v>
      </c>
      <c r="G1475" s="553">
        <v>662.22</v>
      </c>
    </row>
    <row r="1476" spans="1:7" ht="12.6" customHeight="1" x14ac:dyDescent="0.25">
      <c r="A1476" s="551" t="s">
        <v>34497</v>
      </c>
      <c r="B1476" s="551" t="s">
        <v>34498</v>
      </c>
      <c r="C1476" s="552" t="s">
        <v>227</v>
      </c>
      <c r="D1476" s="553">
        <v>541.28</v>
      </c>
      <c r="E1476" s="553">
        <v>508.64</v>
      </c>
      <c r="F1476" s="557">
        <v>32.64</v>
      </c>
      <c r="G1476" s="553">
        <v>541.28</v>
      </c>
    </row>
    <row r="1477" spans="1:7" ht="12.6" customHeight="1" x14ac:dyDescent="0.25">
      <c r="A1477" s="551" t="s">
        <v>34499</v>
      </c>
      <c r="B1477" s="551" t="s">
        <v>34500</v>
      </c>
      <c r="C1477" s="552"/>
      <c r="D1477" s="557"/>
      <c r="E1477" s="557"/>
      <c r="F1477" s="557"/>
      <c r="G1477" s="557"/>
    </row>
    <row r="1478" spans="1:7" ht="12.6" customHeight="1" x14ac:dyDescent="0.25">
      <c r="A1478" s="551" t="s">
        <v>34501</v>
      </c>
      <c r="B1478" s="551" t="s">
        <v>34502</v>
      </c>
      <c r="C1478" s="552" t="s">
        <v>227</v>
      </c>
      <c r="D1478" s="557">
        <v>557.51</v>
      </c>
      <c r="E1478" s="557">
        <v>526.48</v>
      </c>
      <c r="F1478" s="557">
        <v>31.03</v>
      </c>
      <c r="G1478" s="557">
        <v>557.51</v>
      </c>
    </row>
    <row r="1479" spans="1:7" ht="12.6" customHeight="1" x14ac:dyDescent="0.25">
      <c r="A1479" s="551" t="s">
        <v>34503</v>
      </c>
      <c r="B1479" s="551" t="s">
        <v>34504</v>
      </c>
      <c r="C1479" s="552" t="s">
        <v>227</v>
      </c>
      <c r="D1479" s="557">
        <v>1234.94</v>
      </c>
      <c r="E1479" s="557">
        <v>1193.56</v>
      </c>
      <c r="F1479" s="557">
        <v>41.38</v>
      </c>
      <c r="G1479" s="557">
        <v>1234.94</v>
      </c>
    </row>
    <row r="1480" spans="1:7" ht="12.6" customHeight="1" x14ac:dyDescent="0.25">
      <c r="A1480" s="551" t="s">
        <v>34505</v>
      </c>
      <c r="B1480" s="551" t="s">
        <v>34506</v>
      </c>
      <c r="C1480" s="552" t="s">
        <v>227</v>
      </c>
      <c r="D1480" s="557">
        <v>573.87</v>
      </c>
      <c r="E1480" s="557">
        <v>542.84</v>
      </c>
      <c r="F1480" s="557">
        <v>31.03</v>
      </c>
      <c r="G1480" s="557">
        <v>573.87</v>
      </c>
    </row>
    <row r="1481" spans="1:7" ht="12.6" customHeight="1" x14ac:dyDescent="0.25">
      <c r="A1481" s="551" t="s">
        <v>34507</v>
      </c>
      <c r="B1481" s="551" t="s">
        <v>34508</v>
      </c>
      <c r="C1481" s="552"/>
      <c r="D1481" s="553"/>
      <c r="E1481" s="557"/>
      <c r="F1481" s="557"/>
      <c r="G1481" s="553"/>
    </row>
    <row r="1482" spans="1:7" ht="12.6" customHeight="1" x14ac:dyDescent="0.25">
      <c r="A1482" s="551" t="s">
        <v>34509</v>
      </c>
      <c r="B1482" s="551" t="s">
        <v>34510</v>
      </c>
      <c r="C1482" s="552" t="s">
        <v>227</v>
      </c>
      <c r="D1482" s="557">
        <v>522.51</v>
      </c>
      <c r="E1482" s="557">
        <v>522.51</v>
      </c>
      <c r="F1482" s="557"/>
      <c r="G1482" s="557">
        <v>522.51</v>
      </c>
    </row>
    <row r="1483" spans="1:7" ht="12.6" customHeight="1" x14ac:dyDescent="0.25">
      <c r="A1483" s="551" t="s">
        <v>34511</v>
      </c>
      <c r="B1483" s="551" t="s">
        <v>34512</v>
      </c>
      <c r="C1483" s="552" t="s">
        <v>227</v>
      </c>
      <c r="D1483" s="553">
        <v>717.29</v>
      </c>
      <c r="E1483" s="557">
        <v>695.7</v>
      </c>
      <c r="F1483" s="557">
        <v>21.59</v>
      </c>
      <c r="G1483" s="553">
        <v>717.29</v>
      </c>
    </row>
    <row r="1484" spans="1:7" ht="12.6" customHeight="1" x14ac:dyDescent="0.25">
      <c r="A1484" s="551" t="s">
        <v>34513</v>
      </c>
      <c r="B1484" s="551" t="s">
        <v>34514</v>
      </c>
      <c r="C1484" s="552"/>
      <c r="D1484" s="553"/>
      <c r="E1484" s="553"/>
      <c r="F1484" s="557"/>
      <c r="G1484" s="553"/>
    </row>
    <row r="1485" spans="1:7" ht="12.6" customHeight="1" x14ac:dyDescent="0.25">
      <c r="A1485" s="551" t="s">
        <v>34515</v>
      </c>
      <c r="B1485" s="551" t="s">
        <v>34516</v>
      </c>
      <c r="C1485" s="552" t="s">
        <v>158</v>
      </c>
      <c r="D1485" s="553">
        <v>5.8</v>
      </c>
      <c r="E1485" s="557">
        <v>1.54</v>
      </c>
      <c r="F1485" s="557">
        <v>4.26</v>
      </c>
      <c r="G1485" s="553">
        <v>5.8</v>
      </c>
    </row>
    <row r="1486" spans="1:7" ht="11.45" customHeight="1" x14ac:dyDescent="0.25">
      <c r="A1486" s="543" t="s">
        <v>34517</v>
      </c>
      <c r="B1486" s="544" t="s">
        <v>34518</v>
      </c>
      <c r="C1486" s="544" t="s">
        <v>227</v>
      </c>
      <c r="D1486" s="543">
        <v>64.5</v>
      </c>
      <c r="E1486" s="545">
        <v>7.72</v>
      </c>
      <c r="F1486" s="546">
        <v>56.78</v>
      </c>
      <c r="G1486" s="543">
        <v>64.5</v>
      </c>
    </row>
    <row r="1487" spans="1:7" ht="24.95" customHeight="1" x14ac:dyDescent="0.25">
      <c r="A1487" s="551" t="s">
        <v>34519</v>
      </c>
      <c r="B1487" s="342" t="s">
        <v>34520</v>
      </c>
      <c r="C1487" s="552"/>
      <c r="D1487" s="553"/>
      <c r="E1487" s="553"/>
      <c r="F1487" s="557"/>
      <c r="G1487" s="553"/>
    </row>
    <row r="1488" spans="1:7" ht="24.95" customHeight="1" x14ac:dyDescent="0.25">
      <c r="A1488" s="551" t="s">
        <v>34521</v>
      </c>
      <c r="B1488" s="342" t="s">
        <v>34522</v>
      </c>
      <c r="C1488" s="552"/>
      <c r="D1488" s="553"/>
      <c r="E1488" s="553"/>
      <c r="F1488" s="557"/>
      <c r="G1488" s="553"/>
    </row>
    <row r="1489" spans="1:7" ht="23.1" customHeight="1" x14ac:dyDescent="0.25">
      <c r="A1489" s="551" t="s">
        <v>34523</v>
      </c>
      <c r="B1489" s="551" t="s">
        <v>34524</v>
      </c>
      <c r="C1489" s="552" t="s">
        <v>227</v>
      </c>
      <c r="D1489" s="553">
        <v>695.66</v>
      </c>
      <c r="E1489" s="553">
        <v>595.97</v>
      </c>
      <c r="F1489" s="557">
        <v>99.69</v>
      </c>
      <c r="G1489" s="553">
        <v>695.66</v>
      </c>
    </row>
    <row r="1490" spans="1:7" ht="12.6" customHeight="1" x14ac:dyDescent="0.25">
      <c r="A1490" s="551" t="s">
        <v>34525</v>
      </c>
      <c r="B1490" s="551" t="s">
        <v>34526</v>
      </c>
      <c r="C1490" s="552" t="s">
        <v>227</v>
      </c>
      <c r="D1490" s="553">
        <v>586.12</v>
      </c>
      <c r="E1490" s="553">
        <v>486.43</v>
      </c>
      <c r="F1490" s="557">
        <v>99.69</v>
      </c>
      <c r="G1490" s="553">
        <v>586.12</v>
      </c>
    </row>
    <row r="1491" spans="1:7" ht="12.6" customHeight="1" x14ac:dyDescent="0.2">
      <c r="A1491" s="548" t="s">
        <v>34527</v>
      </c>
      <c r="B1491" s="548" t="s">
        <v>34528</v>
      </c>
      <c r="C1491" s="550" t="s">
        <v>227</v>
      </c>
      <c r="D1491" s="550">
        <v>911.16</v>
      </c>
      <c r="E1491" s="550">
        <v>811.47</v>
      </c>
      <c r="F1491" s="550">
        <v>99.69</v>
      </c>
      <c r="G1491" s="550">
        <v>911.16</v>
      </c>
    </row>
    <row r="1492" spans="1:7" ht="24.95" customHeight="1" x14ac:dyDescent="0.25">
      <c r="A1492" s="551" t="s">
        <v>34529</v>
      </c>
      <c r="B1492" s="342" t="s">
        <v>34530</v>
      </c>
      <c r="C1492" s="552" t="s">
        <v>227</v>
      </c>
      <c r="D1492" s="557">
        <v>180.31</v>
      </c>
      <c r="E1492" s="557">
        <v>80.62</v>
      </c>
      <c r="F1492" s="344">
        <v>99.69</v>
      </c>
      <c r="G1492" s="557">
        <v>180.31</v>
      </c>
    </row>
    <row r="1493" spans="1:7" ht="12.6" customHeight="1" x14ac:dyDescent="0.2">
      <c r="A1493" s="559" t="s">
        <v>34531</v>
      </c>
      <c r="B1493" s="548" t="s">
        <v>34532</v>
      </c>
      <c r="C1493" s="550"/>
      <c r="D1493" s="550"/>
      <c r="E1493" s="550"/>
      <c r="F1493" s="550"/>
      <c r="G1493" s="550"/>
    </row>
    <row r="1494" spans="1:7" ht="12.6" customHeight="1" x14ac:dyDescent="0.2">
      <c r="A1494" s="548" t="s">
        <v>34533</v>
      </c>
      <c r="B1494" s="548" t="s">
        <v>34534</v>
      </c>
      <c r="C1494" s="550" t="s">
        <v>227</v>
      </c>
      <c r="D1494" s="550">
        <v>233.34</v>
      </c>
      <c r="E1494" s="550">
        <v>176.56</v>
      </c>
      <c r="F1494" s="550">
        <v>56.78</v>
      </c>
      <c r="G1494" s="550">
        <v>233.34</v>
      </c>
    </row>
    <row r="1495" spans="1:7" ht="12.6" customHeight="1" x14ac:dyDescent="0.25">
      <c r="A1495" s="551" t="s">
        <v>34535</v>
      </c>
      <c r="B1495" s="551" t="s">
        <v>34536</v>
      </c>
      <c r="C1495" s="552"/>
      <c r="D1495" s="557"/>
      <c r="E1495" s="557"/>
      <c r="F1495" s="557"/>
      <c r="G1495" s="557"/>
    </row>
    <row r="1496" spans="1:7" ht="12.6" customHeight="1" x14ac:dyDescent="0.25">
      <c r="A1496" s="551" t="s">
        <v>34537</v>
      </c>
      <c r="B1496" s="551" t="s">
        <v>34538</v>
      </c>
      <c r="C1496" s="552" t="s">
        <v>227</v>
      </c>
      <c r="D1496" s="557">
        <v>2690.26</v>
      </c>
      <c r="E1496" s="557">
        <v>2591.79</v>
      </c>
      <c r="F1496" s="557">
        <v>98.47</v>
      </c>
      <c r="G1496" s="557">
        <v>2690.26</v>
      </c>
    </row>
    <row r="1497" spans="1:7" ht="12.6" customHeight="1" x14ac:dyDescent="0.25">
      <c r="A1497" s="551" t="s">
        <v>34539</v>
      </c>
      <c r="B1497" s="551" t="s">
        <v>34540</v>
      </c>
      <c r="C1497" s="552" t="s">
        <v>158</v>
      </c>
      <c r="D1497" s="557">
        <v>495.15</v>
      </c>
      <c r="E1497" s="557">
        <v>415.52</v>
      </c>
      <c r="F1497" s="557">
        <v>79.63</v>
      </c>
      <c r="G1497" s="557">
        <v>495.15</v>
      </c>
    </row>
    <row r="1498" spans="1:7" ht="12.6" customHeight="1" x14ac:dyDescent="0.25">
      <c r="A1498" s="551" t="s">
        <v>34541</v>
      </c>
      <c r="B1498" s="551" t="s">
        <v>34542</v>
      </c>
      <c r="C1498" s="552" t="s">
        <v>158</v>
      </c>
      <c r="D1498" s="557">
        <v>129.49</v>
      </c>
      <c r="E1498" s="557">
        <v>103.6</v>
      </c>
      <c r="F1498" s="557">
        <v>25.89</v>
      </c>
      <c r="G1498" s="557">
        <v>129.49</v>
      </c>
    </row>
    <row r="1499" spans="1:7" ht="12.6" customHeight="1" x14ac:dyDescent="0.25">
      <c r="A1499" s="551" t="s">
        <v>34543</v>
      </c>
      <c r="B1499" s="551" t="s">
        <v>34544</v>
      </c>
      <c r="C1499" s="552" t="s">
        <v>158</v>
      </c>
      <c r="D1499" s="557">
        <v>110.88</v>
      </c>
      <c r="E1499" s="557">
        <v>99.03</v>
      </c>
      <c r="F1499" s="557">
        <v>11.85</v>
      </c>
      <c r="G1499" s="557">
        <v>110.88</v>
      </c>
    </row>
    <row r="1500" spans="1:7" ht="12.6" customHeight="1" x14ac:dyDescent="0.25">
      <c r="A1500" s="551" t="s">
        <v>34545</v>
      </c>
      <c r="B1500" s="551" t="s">
        <v>34546</v>
      </c>
      <c r="C1500" s="552" t="s">
        <v>158</v>
      </c>
      <c r="D1500" s="557">
        <v>70.92</v>
      </c>
      <c r="E1500" s="557">
        <v>64.45</v>
      </c>
      <c r="F1500" s="557">
        <v>6.47</v>
      </c>
      <c r="G1500" s="557">
        <v>70.92</v>
      </c>
    </row>
    <row r="1501" spans="1:7" ht="12.6" customHeight="1" x14ac:dyDescent="0.25">
      <c r="A1501" s="551" t="s">
        <v>34547</v>
      </c>
      <c r="B1501" s="551" t="s">
        <v>34548</v>
      </c>
      <c r="C1501" s="552" t="s">
        <v>158</v>
      </c>
      <c r="D1501" s="557">
        <v>245.62</v>
      </c>
      <c r="E1501" s="557">
        <v>175.03</v>
      </c>
      <c r="F1501" s="557">
        <v>70.59</v>
      </c>
      <c r="G1501" s="557">
        <v>245.62</v>
      </c>
    </row>
    <row r="1502" spans="1:7" ht="12.6" customHeight="1" x14ac:dyDescent="0.25">
      <c r="A1502" s="551" t="s">
        <v>34549</v>
      </c>
      <c r="B1502" s="551" t="s">
        <v>34550</v>
      </c>
      <c r="C1502" s="552" t="s">
        <v>158</v>
      </c>
      <c r="D1502" s="557">
        <v>169.21</v>
      </c>
      <c r="E1502" s="557">
        <v>133.16</v>
      </c>
      <c r="F1502" s="557">
        <v>36.049999999999997</v>
      </c>
      <c r="G1502" s="557">
        <v>169.21</v>
      </c>
    </row>
    <row r="1503" spans="1:7" ht="12.6" customHeight="1" x14ac:dyDescent="0.25">
      <c r="A1503" s="551" t="s">
        <v>34551</v>
      </c>
      <c r="B1503" s="551" t="s">
        <v>34552</v>
      </c>
      <c r="C1503" s="552"/>
      <c r="D1503" s="557"/>
      <c r="E1503" s="557"/>
      <c r="F1503" s="557"/>
      <c r="G1503" s="557"/>
    </row>
    <row r="1504" spans="1:7" ht="12.6" customHeight="1" x14ac:dyDescent="0.25">
      <c r="A1504" s="551" t="s">
        <v>34553</v>
      </c>
      <c r="B1504" s="551" t="s">
        <v>34554</v>
      </c>
      <c r="C1504" s="552"/>
      <c r="D1504" s="557"/>
      <c r="E1504" s="557"/>
      <c r="F1504" s="557"/>
      <c r="G1504" s="557"/>
    </row>
    <row r="1505" spans="1:7" ht="12.6" customHeight="1" x14ac:dyDescent="0.25">
      <c r="A1505" s="551" t="s">
        <v>34555</v>
      </c>
      <c r="B1505" s="551" t="s">
        <v>34556</v>
      </c>
      <c r="C1505" s="552" t="s">
        <v>19518</v>
      </c>
      <c r="D1505" s="557">
        <v>454.87</v>
      </c>
      <c r="E1505" s="557">
        <v>390.12</v>
      </c>
      <c r="F1505" s="557">
        <v>64.75</v>
      </c>
      <c r="G1505" s="557">
        <v>454.87</v>
      </c>
    </row>
    <row r="1506" spans="1:7" ht="12.6" customHeight="1" x14ac:dyDescent="0.25">
      <c r="A1506" s="551" t="s">
        <v>34557</v>
      </c>
      <c r="B1506" s="551" t="s">
        <v>34558</v>
      </c>
      <c r="C1506" s="552" t="s">
        <v>19518</v>
      </c>
      <c r="D1506" s="557">
        <v>794.76</v>
      </c>
      <c r="E1506" s="557">
        <v>708.44</v>
      </c>
      <c r="F1506" s="557">
        <v>86.32</v>
      </c>
      <c r="G1506" s="557">
        <v>794.76</v>
      </c>
    </row>
    <row r="1507" spans="1:7" ht="12.6" customHeight="1" x14ac:dyDescent="0.25">
      <c r="A1507" s="551" t="s">
        <v>34559</v>
      </c>
      <c r="B1507" s="551" t="s">
        <v>34560</v>
      </c>
      <c r="C1507" s="552" t="s">
        <v>19518</v>
      </c>
      <c r="D1507" s="557">
        <v>330.57</v>
      </c>
      <c r="E1507" s="557">
        <v>265.82</v>
      </c>
      <c r="F1507" s="557">
        <v>64.75</v>
      </c>
      <c r="G1507" s="557">
        <v>330.57</v>
      </c>
    </row>
    <row r="1508" spans="1:7" ht="12.6" customHeight="1" x14ac:dyDescent="0.2">
      <c r="A1508" s="551" t="s">
        <v>34561</v>
      </c>
      <c r="B1508" s="551" t="s">
        <v>34562</v>
      </c>
      <c r="C1508" s="552" t="s">
        <v>19518</v>
      </c>
      <c r="D1508" s="553">
        <v>612.83000000000004</v>
      </c>
      <c r="E1508" s="553">
        <v>526.51</v>
      </c>
      <c r="F1508" s="343">
        <v>86.32</v>
      </c>
      <c r="G1508" s="553">
        <v>612.83000000000004</v>
      </c>
    </row>
    <row r="1509" spans="1:7" ht="24.95" customHeight="1" x14ac:dyDescent="0.25">
      <c r="A1509" s="551" t="s">
        <v>34563</v>
      </c>
      <c r="B1509" s="342" t="s">
        <v>34564</v>
      </c>
      <c r="C1509" s="552" t="s">
        <v>19518</v>
      </c>
      <c r="D1509" s="553">
        <v>283.43</v>
      </c>
      <c r="E1509" s="553">
        <v>218.68</v>
      </c>
      <c r="F1509" s="344">
        <v>64.75</v>
      </c>
      <c r="G1509" s="553">
        <v>283.43</v>
      </c>
    </row>
    <row r="1510" spans="1:7" ht="12.6" customHeight="1" x14ac:dyDescent="0.25">
      <c r="A1510" s="551" t="s">
        <v>34565</v>
      </c>
      <c r="B1510" s="551" t="s">
        <v>34566</v>
      </c>
      <c r="C1510" s="552" t="s">
        <v>19518</v>
      </c>
      <c r="D1510" s="557">
        <v>241.74</v>
      </c>
      <c r="E1510" s="557">
        <v>241.74</v>
      </c>
      <c r="F1510" s="557"/>
      <c r="G1510" s="557">
        <v>241.74</v>
      </c>
    </row>
    <row r="1511" spans="1:7" ht="12.6" customHeight="1" x14ac:dyDescent="0.2">
      <c r="A1511" s="548" t="s">
        <v>34567</v>
      </c>
      <c r="B1511" s="548" t="s">
        <v>34568</v>
      </c>
      <c r="C1511" s="550" t="s">
        <v>19518</v>
      </c>
      <c r="D1511" s="550">
        <v>362.61</v>
      </c>
      <c r="E1511" s="550">
        <v>362.61</v>
      </c>
      <c r="F1511" s="550"/>
      <c r="G1511" s="550">
        <v>362.61</v>
      </c>
    </row>
    <row r="1512" spans="1:7" ht="12.6" customHeight="1" x14ac:dyDescent="0.2">
      <c r="A1512" s="551" t="s">
        <v>34569</v>
      </c>
      <c r="B1512" s="551" t="s">
        <v>34570</v>
      </c>
      <c r="C1512" s="552" t="s">
        <v>226</v>
      </c>
      <c r="D1512" s="557">
        <v>405.75</v>
      </c>
      <c r="E1512" s="557">
        <v>333.95</v>
      </c>
      <c r="F1512" s="343">
        <v>71.8</v>
      </c>
      <c r="G1512" s="557">
        <v>405.75</v>
      </c>
    </row>
    <row r="1513" spans="1:7" ht="12.6" customHeight="1" x14ac:dyDescent="0.2">
      <c r="A1513" s="551" t="s">
        <v>34571</v>
      </c>
      <c r="B1513" s="551" t="s">
        <v>34572</v>
      </c>
      <c r="C1513" s="552" t="s">
        <v>19518</v>
      </c>
      <c r="D1513" s="557">
        <v>571.41</v>
      </c>
      <c r="E1513" s="557">
        <v>499.61</v>
      </c>
      <c r="F1513" s="343">
        <v>71.8</v>
      </c>
      <c r="G1513" s="557">
        <v>571.41</v>
      </c>
    </row>
    <row r="1514" spans="1:7" ht="12.6" customHeight="1" x14ac:dyDescent="0.2">
      <c r="A1514" s="551" t="s">
        <v>34573</v>
      </c>
      <c r="B1514" s="551" t="s">
        <v>34574</v>
      </c>
      <c r="C1514" s="552" t="s">
        <v>226</v>
      </c>
      <c r="D1514" s="557">
        <v>324.20999999999998</v>
      </c>
      <c r="E1514" s="557">
        <v>303.97000000000003</v>
      </c>
      <c r="F1514" s="343">
        <v>20.239999999999998</v>
      </c>
      <c r="G1514" s="557">
        <v>324.20999999999998</v>
      </c>
    </row>
    <row r="1515" spans="1:7" ht="12.6" customHeight="1" x14ac:dyDescent="0.2">
      <c r="A1515" s="551" t="s">
        <v>34575</v>
      </c>
      <c r="B1515" s="551" t="s">
        <v>34576</v>
      </c>
      <c r="C1515" s="552" t="s">
        <v>226</v>
      </c>
      <c r="D1515" s="557">
        <v>313.98</v>
      </c>
      <c r="E1515" s="557">
        <v>293.74</v>
      </c>
      <c r="F1515" s="343">
        <v>20.239999999999998</v>
      </c>
      <c r="G1515" s="557">
        <v>313.98</v>
      </c>
    </row>
    <row r="1516" spans="1:7" ht="12.6" customHeight="1" x14ac:dyDescent="0.2">
      <c r="A1516" s="551" t="s">
        <v>34577</v>
      </c>
      <c r="B1516" s="551" t="s">
        <v>34578</v>
      </c>
      <c r="C1516" s="552" t="s">
        <v>226</v>
      </c>
      <c r="D1516" s="557">
        <v>2696.39</v>
      </c>
      <c r="E1516" s="557">
        <v>2645.79</v>
      </c>
      <c r="F1516" s="343">
        <v>50.6</v>
      </c>
      <c r="G1516" s="557">
        <v>2696.39</v>
      </c>
    </row>
    <row r="1517" spans="1:7" ht="12.6" customHeight="1" x14ac:dyDescent="0.2">
      <c r="A1517" s="551" t="s">
        <v>34579</v>
      </c>
      <c r="B1517" s="551" t="s">
        <v>34580</v>
      </c>
      <c r="C1517" s="552" t="s">
        <v>226</v>
      </c>
      <c r="D1517" s="557">
        <v>481.98</v>
      </c>
      <c r="E1517" s="557">
        <v>444.03</v>
      </c>
      <c r="F1517" s="343">
        <v>37.950000000000003</v>
      </c>
      <c r="G1517" s="557">
        <v>481.98</v>
      </c>
    </row>
    <row r="1518" spans="1:7" ht="12.6" customHeight="1" x14ac:dyDescent="0.2">
      <c r="A1518" s="551" t="s">
        <v>34581</v>
      </c>
      <c r="B1518" s="551" t="s">
        <v>34582</v>
      </c>
      <c r="C1518" s="552" t="s">
        <v>226</v>
      </c>
      <c r="D1518" s="557">
        <v>41.13</v>
      </c>
      <c r="E1518" s="557">
        <v>28.18</v>
      </c>
      <c r="F1518" s="343">
        <v>12.95</v>
      </c>
      <c r="G1518" s="557">
        <v>41.13</v>
      </c>
    </row>
    <row r="1519" spans="1:7" ht="12.6" customHeight="1" x14ac:dyDescent="0.2">
      <c r="A1519" s="551" t="s">
        <v>34583</v>
      </c>
      <c r="B1519" s="551" t="s">
        <v>34584</v>
      </c>
      <c r="C1519" s="552" t="s">
        <v>226</v>
      </c>
      <c r="D1519" s="557">
        <v>1092.95</v>
      </c>
      <c r="E1519" s="557">
        <v>1042.3499999999999</v>
      </c>
      <c r="F1519" s="343">
        <v>50.6</v>
      </c>
      <c r="G1519" s="557">
        <v>1092.95</v>
      </c>
    </row>
    <row r="1520" spans="1:7" ht="12.6" customHeight="1" x14ac:dyDescent="0.2">
      <c r="A1520" s="548" t="s">
        <v>34585</v>
      </c>
      <c r="B1520" s="548" t="s">
        <v>34586</v>
      </c>
      <c r="C1520" s="550" t="s">
        <v>226</v>
      </c>
      <c r="D1520" s="550">
        <v>1203.43</v>
      </c>
      <c r="E1520" s="550">
        <v>1102.23</v>
      </c>
      <c r="F1520" s="550">
        <v>101.2</v>
      </c>
      <c r="G1520" s="550">
        <v>1203.43</v>
      </c>
    </row>
    <row r="1521" spans="1:7" ht="12.6" customHeight="1" x14ac:dyDescent="0.2">
      <c r="A1521" s="551" t="s">
        <v>34587</v>
      </c>
      <c r="B1521" s="551" t="s">
        <v>34588</v>
      </c>
      <c r="C1521" s="552" t="s">
        <v>226</v>
      </c>
      <c r="D1521" s="557">
        <v>394.67</v>
      </c>
      <c r="E1521" s="557">
        <v>329.92</v>
      </c>
      <c r="F1521" s="343">
        <v>64.75</v>
      </c>
      <c r="G1521" s="557">
        <v>394.67</v>
      </c>
    </row>
    <row r="1522" spans="1:7" ht="12.6" customHeight="1" x14ac:dyDescent="0.2">
      <c r="A1522" s="551" t="s">
        <v>34589</v>
      </c>
      <c r="B1522" s="551" t="s">
        <v>34590</v>
      </c>
      <c r="C1522" s="552"/>
      <c r="D1522" s="553"/>
      <c r="E1522" s="553"/>
      <c r="F1522" s="343"/>
      <c r="G1522" s="553"/>
    </row>
    <row r="1523" spans="1:7" ht="12.6" customHeight="1" x14ac:dyDescent="0.2">
      <c r="A1523" s="551" t="s">
        <v>34591</v>
      </c>
      <c r="B1523" s="551" t="s">
        <v>34592</v>
      </c>
      <c r="C1523" s="552" t="s">
        <v>226</v>
      </c>
      <c r="D1523" s="557">
        <v>20.420000000000002</v>
      </c>
      <c r="E1523" s="557">
        <v>20.420000000000002</v>
      </c>
      <c r="F1523" s="343"/>
      <c r="G1523" s="557">
        <v>20.420000000000002</v>
      </c>
    </row>
    <row r="1524" spans="1:7" ht="12.6" customHeight="1" x14ac:dyDescent="0.2">
      <c r="A1524" s="551" t="s">
        <v>34593</v>
      </c>
      <c r="B1524" s="551" t="s">
        <v>34594</v>
      </c>
      <c r="C1524" s="552" t="s">
        <v>226</v>
      </c>
      <c r="D1524" s="553">
        <v>32.6</v>
      </c>
      <c r="E1524" s="553">
        <v>32.6</v>
      </c>
      <c r="F1524" s="343"/>
      <c r="G1524" s="553">
        <v>32.6</v>
      </c>
    </row>
    <row r="1525" spans="1:7" ht="12.6" customHeight="1" x14ac:dyDescent="0.2">
      <c r="A1525" s="548" t="s">
        <v>34595</v>
      </c>
      <c r="B1525" s="548" t="s">
        <v>34596</v>
      </c>
      <c r="C1525" s="550" t="s">
        <v>226</v>
      </c>
      <c r="D1525" s="550">
        <v>52.32</v>
      </c>
      <c r="E1525" s="550">
        <v>52.32</v>
      </c>
      <c r="F1525" s="550"/>
      <c r="G1525" s="550">
        <v>52.32</v>
      </c>
    </row>
    <row r="1526" spans="1:7" ht="12.6" customHeight="1" x14ac:dyDescent="0.2">
      <c r="A1526" s="551" t="s">
        <v>34597</v>
      </c>
      <c r="B1526" s="551" t="s">
        <v>34598</v>
      </c>
      <c r="C1526" s="552" t="s">
        <v>226</v>
      </c>
      <c r="D1526" s="557">
        <v>199.29</v>
      </c>
      <c r="E1526" s="557">
        <v>199.29</v>
      </c>
      <c r="F1526" s="343"/>
      <c r="G1526" s="557">
        <v>199.29</v>
      </c>
    </row>
    <row r="1527" spans="1:7" ht="12.6" customHeight="1" x14ac:dyDescent="0.25">
      <c r="A1527" s="551" t="s">
        <v>34599</v>
      </c>
      <c r="B1527" s="551" t="s">
        <v>34600</v>
      </c>
      <c r="C1527" s="552" t="s">
        <v>226</v>
      </c>
      <c r="D1527" s="557">
        <v>84.54</v>
      </c>
      <c r="E1527" s="557">
        <v>84.54</v>
      </c>
      <c r="F1527" s="557"/>
      <c r="G1527" s="557">
        <v>84.54</v>
      </c>
    </row>
    <row r="1528" spans="1:7" ht="12.6" customHeight="1" x14ac:dyDescent="0.2">
      <c r="A1528" s="548" t="s">
        <v>34601</v>
      </c>
      <c r="B1528" s="548" t="s">
        <v>34602</v>
      </c>
      <c r="C1528" s="550"/>
      <c r="D1528" s="550"/>
      <c r="E1528" s="550"/>
      <c r="F1528" s="550"/>
      <c r="G1528" s="550"/>
    </row>
    <row r="1529" spans="1:7" ht="12.6" customHeight="1" x14ac:dyDescent="0.25">
      <c r="A1529" s="551" t="s">
        <v>34603</v>
      </c>
      <c r="B1529" s="551" t="s">
        <v>34604</v>
      </c>
      <c r="C1529" s="552" t="s">
        <v>226</v>
      </c>
      <c r="D1529" s="557">
        <v>64.75</v>
      </c>
      <c r="E1529" s="557"/>
      <c r="F1529" s="557">
        <v>64.75</v>
      </c>
      <c r="G1529" s="557">
        <v>64.75</v>
      </c>
    </row>
    <row r="1530" spans="1:7" ht="23.1" customHeight="1" x14ac:dyDescent="0.25">
      <c r="A1530" s="551" t="s">
        <v>34605</v>
      </c>
      <c r="B1530" s="551" t="s">
        <v>34606</v>
      </c>
      <c r="C1530" s="552" t="s">
        <v>226</v>
      </c>
      <c r="D1530" s="557">
        <v>950.41</v>
      </c>
      <c r="E1530" s="557">
        <v>899.81</v>
      </c>
      <c r="F1530" s="557">
        <v>50.6</v>
      </c>
      <c r="G1530" s="557">
        <v>950.41</v>
      </c>
    </row>
    <row r="1531" spans="1:7" ht="12.6" customHeight="1" x14ac:dyDescent="0.2">
      <c r="A1531" s="559" t="s">
        <v>34607</v>
      </c>
      <c r="B1531" s="548" t="s">
        <v>34608</v>
      </c>
      <c r="C1531" s="550" t="s">
        <v>226</v>
      </c>
      <c r="D1531" s="550">
        <v>55.68</v>
      </c>
      <c r="E1531" s="550"/>
      <c r="F1531" s="550">
        <v>55.68</v>
      </c>
      <c r="G1531" s="550">
        <v>55.68</v>
      </c>
    </row>
    <row r="1532" spans="1:7" ht="12.6" customHeight="1" x14ac:dyDescent="0.2">
      <c r="A1532" s="548" t="s">
        <v>34609</v>
      </c>
      <c r="B1532" s="548" t="s">
        <v>34610</v>
      </c>
      <c r="C1532" s="550" t="s">
        <v>19518</v>
      </c>
      <c r="D1532" s="550">
        <v>1367.95</v>
      </c>
      <c r="E1532" s="550">
        <v>1302.17</v>
      </c>
      <c r="F1532" s="550">
        <v>65.78</v>
      </c>
      <c r="G1532" s="550">
        <v>1367.95</v>
      </c>
    </row>
    <row r="1533" spans="1:7" ht="12.6" customHeight="1" x14ac:dyDescent="0.25">
      <c r="A1533" s="551" t="s">
        <v>34611</v>
      </c>
      <c r="B1533" s="551" t="s">
        <v>34612</v>
      </c>
      <c r="C1533" s="552" t="s">
        <v>226</v>
      </c>
      <c r="D1533" s="557">
        <v>7.34</v>
      </c>
      <c r="E1533" s="557"/>
      <c r="F1533" s="557">
        <v>7.34</v>
      </c>
      <c r="G1533" s="557">
        <v>7.34</v>
      </c>
    </row>
    <row r="1534" spans="1:7" ht="12.6" customHeight="1" x14ac:dyDescent="0.25">
      <c r="A1534" s="551" t="s">
        <v>34613</v>
      </c>
      <c r="B1534" s="551" t="s">
        <v>34614</v>
      </c>
      <c r="C1534" s="552" t="s">
        <v>19518</v>
      </c>
      <c r="D1534" s="557">
        <v>665.86</v>
      </c>
      <c r="E1534" s="557">
        <v>536.38</v>
      </c>
      <c r="F1534" s="557">
        <v>129.47999999999999</v>
      </c>
      <c r="G1534" s="557">
        <v>665.86</v>
      </c>
    </row>
    <row r="1535" spans="1:7" ht="12.6" customHeight="1" x14ac:dyDescent="0.25">
      <c r="A1535" s="551" t="s">
        <v>34615</v>
      </c>
      <c r="B1535" s="551" t="s">
        <v>34616</v>
      </c>
      <c r="C1535" s="552" t="s">
        <v>226</v>
      </c>
      <c r="D1535" s="557">
        <v>181.07</v>
      </c>
      <c r="E1535" s="557">
        <v>156.54</v>
      </c>
      <c r="F1535" s="557">
        <v>24.53</v>
      </c>
      <c r="G1535" s="557">
        <v>181.07</v>
      </c>
    </row>
    <row r="1536" spans="1:7" ht="12.6" customHeight="1" x14ac:dyDescent="0.25">
      <c r="A1536" s="551" t="s">
        <v>34617</v>
      </c>
      <c r="B1536" s="551" t="s">
        <v>34618</v>
      </c>
      <c r="C1536" s="552" t="s">
        <v>19518</v>
      </c>
      <c r="D1536" s="557">
        <v>4719.33</v>
      </c>
      <c r="E1536" s="557">
        <v>4567.53</v>
      </c>
      <c r="F1536" s="557">
        <v>151.80000000000001</v>
      </c>
      <c r="G1536" s="557">
        <v>4719.33</v>
      </c>
    </row>
    <row r="1537" spans="1:7" ht="12.6" customHeight="1" x14ac:dyDescent="0.2">
      <c r="A1537" s="548" t="s">
        <v>34619</v>
      </c>
      <c r="B1537" s="548" t="s">
        <v>34620</v>
      </c>
      <c r="C1537" s="550" t="s">
        <v>226</v>
      </c>
      <c r="D1537" s="550">
        <v>494.8</v>
      </c>
      <c r="E1537" s="550">
        <v>444.2</v>
      </c>
      <c r="F1537" s="550">
        <v>50.6</v>
      </c>
      <c r="G1537" s="550">
        <v>494.8</v>
      </c>
    </row>
    <row r="1538" spans="1:7" ht="11.45" customHeight="1" x14ac:dyDescent="0.25">
      <c r="A1538" s="543" t="s">
        <v>34621</v>
      </c>
      <c r="B1538" s="544" t="s">
        <v>34622</v>
      </c>
      <c r="C1538" s="544" t="s">
        <v>226</v>
      </c>
      <c r="D1538" s="543">
        <v>219.39</v>
      </c>
      <c r="E1538" s="545">
        <v>181.44</v>
      </c>
      <c r="F1538" s="546">
        <v>37.950000000000003</v>
      </c>
      <c r="G1538" s="543">
        <v>219.39</v>
      </c>
    </row>
    <row r="1539" spans="1:7" ht="12.6" customHeight="1" x14ac:dyDescent="0.25">
      <c r="A1539" s="551" t="s">
        <v>34623</v>
      </c>
      <c r="B1539" s="551" t="s">
        <v>34624</v>
      </c>
      <c r="C1539" s="552" t="s">
        <v>226</v>
      </c>
      <c r="D1539" s="557">
        <v>113.68</v>
      </c>
      <c r="E1539" s="557">
        <v>105.08</v>
      </c>
      <c r="F1539" s="557">
        <v>8.6</v>
      </c>
      <c r="G1539" s="557">
        <v>113.68</v>
      </c>
    </row>
    <row r="1540" spans="1:7" ht="12.6" customHeight="1" x14ac:dyDescent="0.2">
      <c r="A1540" s="548" t="s">
        <v>34625</v>
      </c>
      <c r="B1540" s="548" t="s">
        <v>34626</v>
      </c>
      <c r="C1540" s="550" t="s">
        <v>226</v>
      </c>
      <c r="D1540" s="550">
        <v>79.14</v>
      </c>
      <c r="E1540" s="550">
        <v>70.540000000000006</v>
      </c>
      <c r="F1540" s="550">
        <v>8.6</v>
      </c>
      <c r="G1540" s="550">
        <v>79.14</v>
      </c>
    </row>
    <row r="1541" spans="1:7" ht="12.6" customHeight="1" x14ac:dyDescent="0.25">
      <c r="A1541" s="551" t="s">
        <v>34627</v>
      </c>
      <c r="B1541" s="551" t="s">
        <v>34628</v>
      </c>
      <c r="C1541" s="552" t="s">
        <v>226</v>
      </c>
      <c r="D1541" s="553">
        <v>183.12</v>
      </c>
      <c r="E1541" s="553">
        <v>174.52</v>
      </c>
      <c r="F1541" s="557">
        <v>8.6</v>
      </c>
      <c r="G1541" s="553">
        <v>183.12</v>
      </c>
    </row>
    <row r="1542" spans="1:7" ht="24.95" customHeight="1" x14ac:dyDescent="0.25">
      <c r="A1542" s="551" t="s">
        <v>34629</v>
      </c>
      <c r="B1542" s="342" t="s">
        <v>34630</v>
      </c>
      <c r="C1542" s="552" t="s">
        <v>19518</v>
      </c>
      <c r="D1542" s="557">
        <v>36.369999999999997</v>
      </c>
      <c r="E1542" s="557">
        <v>29.03</v>
      </c>
      <c r="F1542" s="557">
        <v>7.34</v>
      </c>
      <c r="G1542" s="557">
        <v>36.369999999999997</v>
      </c>
    </row>
    <row r="1543" spans="1:7" ht="24.95" customHeight="1" x14ac:dyDescent="0.25">
      <c r="A1543" s="551" t="s">
        <v>34631</v>
      </c>
      <c r="B1543" s="342" t="s">
        <v>34632</v>
      </c>
      <c r="C1543" s="552" t="s">
        <v>226</v>
      </c>
      <c r="D1543" s="557">
        <v>49.75</v>
      </c>
      <c r="E1543" s="557">
        <v>42.41</v>
      </c>
      <c r="F1543" s="557">
        <v>7.34</v>
      </c>
      <c r="G1543" s="557">
        <v>49.75</v>
      </c>
    </row>
    <row r="1544" spans="1:7" ht="24.95" customHeight="1" x14ac:dyDescent="0.25">
      <c r="A1544" s="551" t="s">
        <v>34633</v>
      </c>
      <c r="B1544" s="342" t="s">
        <v>34634</v>
      </c>
      <c r="C1544" s="552" t="s">
        <v>226</v>
      </c>
      <c r="D1544" s="557">
        <v>81.28</v>
      </c>
      <c r="E1544" s="557">
        <v>73.94</v>
      </c>
      <c r="F1544" s="557">
        <v>7.34</v>
      </c>
      <c r="G1544" s="557">
        <v>81.28</v>
      </c>
    </row>
    <row r="1545" spans="1:7" ht="12.6" customHeight="1" x14ac:dyDescent="0.25">
      <c r="A1545" s="551" t="s">
        <v>34635</v>
      </c>
      <c r="B1545" s="551" t="s">
        <v>34636</v>
      </c>
      <c r="C1545" s="552" t="s">
        <v>19518</v>
      </c>
      <c r="D1545" s="557">
        <v>280.2</v>
      </c>
      <c r="E1545" s="557">
        <v>264.66000000000003</v>
      </c>
      <c r="F1545" s="557">
        <v>15.54</v>
      </c>
      <c r="G1545" s="557">
        <v>280.2</v>
      </c>
    </row>
    <row r="1546" spans="1:7" ht="24.95" customHeight="1" x14ac:dyDescent="0.25">
      <c r="A1546" s="551" t="s">
        <v>34637</v>
      </c>
      <c r="B1546" s="342" t="s">
        <v>34638</v>
      </c>
      <c r="C1546" s="552" t="s">
        <v>226</v>
      </c>
      <c r="D1546" s="557">
        <v>81.290000000000006</v>
      </c>
      <c r="E1546" s="557">
        <v>72.69</v>
      </c>
      <c r="F1546" s="557">
        <v>8.6</v>
      </c>
      <c r="G1546" s="557">
        <v>81.290000000000006</v>
      </c>
    </row>
    <row r="1547" spans="1:7" ht="24.95" customHeight="1" x14ac:dyDescent="0.25">
      <c r="A1547" s="551" t="s">
        <v>34639</v>
      </c>
      <c r="B1547" s="342" t="s">
        <v>34640</v>
      </c>
      <c r="C1547" s="552" t="s">
        <v>226</v>
      </c>
      <c r="D1547" s="557">
        <v>98.02</v>
      </c>
      <c r="E1547" s="557">
        <v>89.42</v>
      </c>
      <c r="F1547" s="557">
        <v>8.6</v>
      </c>
      <c r="G1547" s="557">
        <v>98.02</v>
      </c>
    </row>
    <row r="1548" spans="1:7" ht="12.6" customHeight="1" x14ac:dyDescent="0.2">
      <c r="A1548" s="559" t="s">
        <v>34641</v>
      </c>
      <c r="B1548" s="548" t="s">
        <v>34642</v>
      </c>
      <c r="C1548" s="550" t="s">
        <v>226</v>
      </c>
      <c r="D1548" s="550">
        <v>197.1</v>
      </c>
      <c r="E1548" s="550">
        <v>190.87</v>
      </c>
      <c r="F1548" s="550">
        <v>6.23</v>
      </c>
      <c r="G1548" s="550">
        <v>197.1</v>
      </c>
    </row>
    <row r="1549" spans="1:7" ht="12.6" customHeight="1" x14ac:dyDescent="0.2">
      <c r="A1549" s="548" t="s">
        <v>34643</v>
      </c>
      <c r="B1549" s="548" t="s">
        <v>34644</v>
      </c>
      <c r="C1549" s="550" t="s">
        <v>226</v>
      </c>
      <c r="D1549" s="550">
        <v>225.64</v>
      </c>
      <c r="E1549" s="550">
        <v>217.04</v>
      </c>
      <c r="F1549" s="550">
        <v>8.6</v>
      </c>
      <c r="G1549" s="550">
        <v>225.64</v>
      </c>
    </row>
    <row r="1550" spans="1:7" ht="24.95" customHeight="1" x14ac:dyDescent="0.25">
      <c r="A1550" s="551" t="s">
        <v>34645</v>
      </c>
      <c r="B1550" s="342" t="s">
        <v>34646</v>
      </c>
      <c r="C1550" s="552" t="s">
        <v>226</v>
      </c>
      <c r="D1550" s="557">
        <v>608.26</v>
      </c>
      <c r="E1550" s="557">
        <v>532.35</v>
      </c>
      <c r="F1550" s="557">
        <v>75.91</v>
      </c>
      <c r="G1550" s="557">
        <v>608.26</v>
      </c>
    </row>
    <row r="1551" spans="1:7" ht="24.95" customHeight="1" x14ac:dyDescent="0.25">
      <c r="A1551" s="551" t="s">
        <v>34647</v>
      </c>
      <c r="B1551" s="342" t="s">
        <v>34648</v>
      </c>
      <c r="C1551" s="552" t="s">
        <v>226</v>
      </c>
      <c r="D1551" s="557">
        <v>235.08</v>
      </c>
      <c r="E1551" s="557">
        <v>159.16999999999999</v>
      </c>
      <c r="F1551" s="557">
        <v>75.91</v>
      </c>
      <c r="G1551" s="557">
        <v>235.08</v>
      </c>
    </row>
    <row r="1552" spans="1:7" ht="24.95" customHeight="1" x14ac:dyDescent="0.25">
      <c r="A1552" s="551" t="s">
        <v>34649</v>
      </c>
      <c r="B1552" s="342" t="s">
        <v>34650</v>
      </c>
      <c r="C1552" s="552" t="s">
        <v>226</v>
      </c>
      <c r="D1552" s="557">
        <v>76.209999999999994</v>
      </c>
      <c r="E1552" s="557">
        <v>27.16</v>
      </c>
      <c r="F1552" s="557">
        <v>49.05</v>
      </c>
      <c r="G1552" s="557">
        <v>76.209999999999994</v>
      </c>
    </row>
    <row r="1553" spans="1:7" ht="24.95" customHeight="1" x14ac:dyDescent="0.25">
      <c r="A1553" s="551" t="s">
        <v>34651</v>
      </c>
      <c r="B1553" s="342" t="s">
        <v>34652</v>
      </c>
      <c r="C1553" s="552" t="s">
        <v>226</v>
      </c>
      <c r="D1553" s="557">
        <v>186.59</v>
      </c>
      <c r="E1553" s="557">
        <v>177.99</v>
      </c>
      <c r="F1553" s="557">
        <v>8.6</v>
      </c>
      <c r="G1553" s="557">
        <v>186.59</v>
      </c>
    </row>
    <row r="1554" spans="1:7" ht="12.6" customHeight="1" x14ac:dyDescent="0.25">
      <c r="A1554" s="551" t="s">
        <v>34653</v>
      </c>
      <c r="B1554" s="551" t="s">
        <v>34654</v>
      </c>
      <c r="C1554" s="552" t="s">
        <v>226</v>
      </c>
      <c r="D1554" s="557">
        <v>11955.16</v>
      </c>
      <c r="E1554" s="557">
        <v>11955.16</v>
      </c>
      <c r="F1554" s="557"/>
      <c r="G1554" s="557">
        <v>11955.16</v>
      </c>
    </row>
    <row r="1555" spans="1:7" ht="12.6" customHeight="1" x14ac:dyDescent="0.2">
      <c r="A1555" s="551" t="s">
        <v>34655</v>
      </c>
      <c r="B1555" s="551" t="s">
        <v>34656</v>
      </c>
      <c r="C1555" s="552" t="s">
        <v>226</v>
      </c>
      <c r="D1555" s="557">
        <v>15278.05</v>
      </c>
      <c r="E1555" s="557">
        <v>15278.05</v>
      </c>
      <c r="F1555" s="343"/>
      <c r="G1555" s="557">
        <v>15278.05</v>
      </c>
    </row>
    <row r="1556" spans="1:7" ht="12.6" customHeight="1" x14ac:dyDescent="0.2">
      <c r="A1556" s="551" t="s">
        <v>34657</v>
      </c>
      <c r="B1556" s="551" t="s">
        <v>34658</v>
      </c>
      <c r="C1556" s="552" t="s">
        <v>19518</v>
      </c>
      <c r="D1556" s="557">
        <v>706.04</v>
      </c>
      <c r="E1556" s="557">
        <v>604.84</v>
      </c>
      <c r="F1556" s="343">
        <v>101.2</v>
      </c>
      <c r="G1556" s="557">
        <v>706.04</v>
      </c>
    </row>
    <row r="1557" spans="1:7" ht="12.6" customHeight="1" x14ac:dyDescent="0.25">
      <c r="A1557" s="551" t="s">
        <v>34659</v>
      </c>
      <c r="B1557" s="551" t="s">
        <v>34660</v>
      </c>
      <c r="C1557" s="552" t="s">
        <v>19518</v>
      </c>
      <c r="D1557" s="557">
        <v>1615.1</v>
      </c>
      <c r="E1557" s="557">
        <v>1412.7</v>
      </c>
      <c r="F1557" s="557">
        <v>202.4</v>
      </c>
      <c r="G1557" s="557">
        <v>1615.1</v>
      </c>
    </row>
    <row r="1558" spans="1:7" ht="23.1" customHeight="1" x14ac:dyDescent="0.25">
      <c r="A1558" s="551" t="s">
        <v>34661</v>
      </c>
      <c r="B1558" s="551" t="s">
        <v>34662</v>
      </c>
      <c r="C1558" s="552" t="s">
        <v>19518</v>
      </c>
      <c r="D1558" s="557">
        <v>1401.69</v>
      </c>
      <c r="E1558" s="557">
        <v>1199.29</v>
      </c>
      <c r="F1558" s="557">
        <v>202.4</v>
      </c>
      <c r="G1558" s="557">
        <v>1401.69</v>
      </c>
    </row>
    <row r="1559" spans="1:7" ht="12.6" customHeight="1" x14ac:dyDescent="0.25">
      <c r="A1559" s="551" t="s">
        <v>34663</v>
      </c>
      <c r="B1559" s="551" t="s">
        <v>34664</v>
      </c>
      <c r="C1559" s="552" t="s">
        <v>19518</v>
      </c>
      <c r="D1559" s="557">
        <v>1489.71</v>
      </c>
      <c r="E1559" s="557">
        <v>1287.31</v>
      </c>
      <c r="F1559" s="557">
        <v>202.4</v>
      </c>
      <c r="G1559" s="557">
        <v>1489.71</v>
      </c>
    </row>
    <row r="1560" spans="1:7" ht="12.6" customHeight="1" x14ac:dyDescent="0.25">
      <c r="A1560" s="551" t="s">
        <v>34665</v>
      </c>
      <c r="B1560" s="551" t="s">
        <v>34666</v>
      </c>
      <c r="C1560" s="552" t="s">
        <v>158</v>
      </c>
      <c r="D1560" s="557">
        <v>64.66</v>
      </c>
      <c r="E1560" s="557">
        <v>52.81</v>
      </c>
      <c r="F1560" s="557">
        <v>11.85</v>
      </c>
      <c r="G1560" s="557">
        <v>64.66</v>
      </c>
    </row>
    <row r="1561" spans="1:7" ht="12.6" customHeight="1" x14ac:dyDescent="0.25">
      <c r="A1561" s="551" t="s">
        <v>34667</v>
      </c>
      <c r="B1561" s="551" t="s">
        <v>34668</v>
      </c>
      <c r="C1561" s="552"/>
      <c r="D1561" s="553"/>
      <c r="E1561" s="553"/>
      <c r="F1561" s="557"/>
      <c r="G1561" s="553"/>
    </row>
    <row r="1562" spans="1:7" ht="12.6" customHeight="1" x14ac:dyDescent="0.25">
      <c r="A1562" s="551" t="s">
        <v>34669</v>
      </c>
      <c r="B1562" s="551" t="s">
        <v>34670</v>
      </c>
      <c r="C1562" s="552"/>
      <c r="D1562" s="557"/>
      <c r="E1562" s="557"/>
      <c r="F1562" s="557"/>
      <c r="G1562" s="557"/>
    </row>
    <row r="1563" spans="1:7" ht="12.6" customHeight="1" x14ac:dyDescent="0.25">
      <c r="A1563" s="551" t="s">
        <v>34671</v>
      </c>
      <c r="B1563" s="551" t="s">
        <v>34672</v>
      </c>
      <c r="C1563" s="552" t="s">
        <v>158</v>
      </c>
      <c r="D1563" s="557">
        <v>20.96</v>
      </c>
      <c r="E1563" s="557">
        <v>5.64</v>
      </c>
      <c r="F1563" s="557">
        <v>15.32</v>
      </c>
      <c r="G1563" s="557">
        <v>20.96</v>
      </c>
    </row>
    <row r="1564" spans="1:7" ht="23.1" customHeight="1" x14ac:dyDescent="0.25">
      <c r="A1564" s="551" t="s">
        <v>34673</v>
      </c>
      <c r="B1564" s="551" t="s">
        <v>34674</v>
      </c>
      <c r="C1564" s="552" t="s">
        <v>6008</v>
      </c>
      <c r="D1564" s="553">
        <v>104.6</v>
      </c>
      <c r="E1564" s="553">
        <v>36.090000000000003</v>
      </c>
      <c r="F1564" s="557">
        <v>68.510000000000005</v>
      </c>
      <c r="G1564" s="553">
        <v>104.6</v>
      </c>
    </row>
    <row r="1565" spans="1:7" ht="24.95" customHeight="1" x14ac:dyDescent="0.25">
      <c r="A1565" s="551" t="s">
        <v>34675</v>
      </c>
      <c r="B1565" s="342" t="s">
        <v>34676</v>
      </c>
      <c r="C1565" s="552" t="s">
        <v>158</v>
      </c>
      <c r="D1565" s="553">
        <v>22</v>
      </c>
      <c r="E1565" s="557">
        <v>6.68</v>
      </c>
      <c r="F1565" s="557">
        <v>15.32</v>
      </c>
      <c r="G1565" s="553">
        <v>22</v>
      </c>
    </row>
    <row r="1566" spans="1:7" ht="23.1" customHeight="1" x14ac:dyDescent="0.25">
      <c r="A1566" s="551" t="s">
        <v>34677</v>
      </c>
      <c r="B1566" s="551" t="s">
        <v>34678</v>
      </c>
      <c r="C1566" s="552" t="s">
        <v>6008</v>
      </c>
      <c r="D1566" s="557">
        <v>33.11</v>
      </c>
      <c r="E1566" s="557">
        <v>17.79</v>
      </c>
      <c r="F1566" s="557">
        <v>15.32</v>
      </c>
      <c r="G1566" s="557">
        <v>33.11</v>
      </c>
    </row>
    <row r="1567" spans="1:7" ht="12.6" customHeight="1" x14ac:dyDescent="0.2">
      <c r="A1567" s="548" t="s">
        <v>34679</v>
      </c>
      <c r="B1567" s="548" t="s">
        <v>34680</v>
      </c>
      <c r="C1567" s="550" t="s">
        <v>6008</v>
      </c>
      <c r="D1567" s="550">
        <v>27.87</v>
      </c>
      <c r="E1567" s="550">
        <v>12.55</v>
      </c>
      <c r="F1567" s="550">
        <v>15.32</v>
      </c>
      <c r="G1567" s="550">
        <v>27.87</v>
      </c>
    </row>
    <row r="1568" spans="1:7" ht="12.6" customHeight="1" x14ac:dyDescent="0.2">
      <c r="A1568" s="551" t="s">
        <v>34681</v>
      </c>
      <c r="B1568" s="551" t="s">
        <v>34682</v>
      </c>
      <c r="C1568" s="552"/>
      <c r="D1568" s="557"/>
      <c r="E1568" s="557"/>
      <c r="F1568" s="343"/>
      <c r="G1568" s="557"/>
    </row>
    <row r="1569" spans="1:7" ht="12.6" customHeight="1" x14ac:dyDescent="0.2">
      <c r="A1569" s="551" t="s">
        <v>34683</v>
      </c>
      <c r="B1569" s="551" t="s">
        <v>34684</v>
      </c>
      <c r="C1569" s="552" t="s">
        <v>158</v>
      </c>
      <c r="D1569" s="557">
        <v>21.43</v>
      </c>
      <c r="E1569" s="557">
        <v>8.48</v>
      </c>
      <c r="F1569" s="343">
        <v>12.95</v>
      </c>
      <c r="G1569" s="557">
        <v>21.43</v>
      </c>
    </row>
    <row r="1570" spans="1:7" ht="12.6" customHeight="1" x14ac:dyDescent="0.2">
      <c r="A1570" s="551" t="s">
        <v>34685</v>
      </c>
      <c r="B1570" s="551" t="s">
        <v>34686</v>
      </c>
      <c r="C1570" s="552" t="s">
        <v>158</v>
      </c>
      <c r="D1570" s="557">
        <v>26.96</v>
      </c>
      <c r="E1570" s="557">
        <v>14.01</v>
      </c>
      <c r="F1570" s="343">
        <v>12.95</v>
      </c>
      <c r="G1570" s="557">
        <v>26.96</v>
      </c>
    </row>
    <row r="1571" spans="1:7" ht="24.95" customHeight="1" x14ac:dyDescent="0.25">
      <c r="A1571" s="551" t="s">
        <v>34687</v>
      </c>
      <c r="B1571" s="342" t="s">
        <v>34688</v>
      </c>
      <c r="C1571" s="552" t="s">
        <v>158</v>
      </c>
      <c r="D1571" s="557">
        <v>22.36</v>
      </c>
      <c r="E1571" s="557">
        <v>9.41</v>
      </c>
      <c r="F1571" s="344">
        <v>12.95</v>
      </c>
      <c r="G1571" s="557">
        <v>22.36</v>
      </c>
    </row>
    <row r="1572" spans="1:7" ht="12.6" customHeight="1" x14ac:dyDescent="0.2">
      <c r="A1572" s="551" t="s">
        <v>34689</v>
      </c>
      <c r="B1572" s="551" t="s">
        <v>34690</v>
      </c>
      <c r="C1572" s="552" t="s">
        <v>158</v>
      </c>
      <c r="D1572" s="557">
        <v>31.75</v>
      </c>
      <c r="E1572" s="557">
        <v>18.8</v>
      </c>
      <c r="F1572" s="343">
        <v>12.95</v>
      </c>
      <c r="G1572" s="557">
        <v>31.75</v>
      </c>
    </row>
    <row r="1573" spans="1:7" ht="12.6" customHeight="1" x14ac:dyDescent="0.2">
      <c r="A1573" s="548" t="s">
        <v>34691</v>
      </c>
      <c r="B1573" s="548" t="s">
        <v>34692</v>
      </c>
      <c r="C1573" s="550"/>
      <c r="D1573" s="550"/>
      <c r="E1573" s="550"/>
      <c r="F1573" s="550"/>
      <c r="G1573" s="550"/>
    </row>
    <row r="1574" spans="1:7" ht="12.6" customHeight="1" x14ac:dyDescent="0.2">
      <c r="A1574" s="551" t="s">
        <v>34693</v>
      </c>
      <c r="B1574" s="551" t="s">
        <v>34694</v>
      </c>
      <c r="C1574" s="552" t="s">
        <v>6008</v>
      </c>
      <c r="D1574" s="557">
        <v>64.42</v>
      </c>
      <c r="E1574" s="343">
        <v>48.65</v>
      </c>
      <c r="F1574" s="557">
        <v>15.77</v>
      </c>
      <c r="G1574" s="557">
        <v>64.42</v>
      </c>
    </row>
    <row r="1575" spans="1:7" ht="12.6" customHeight="1" x14ac:dyDescent="0.25">
      <c r="A1575" s="551" t="s">
        <v>34695</v>
      </c>
      <c r="B1575" s="551" t="s">
        <v>34696</v>
      </c>
      <c r="C1575" s="552"/>
      <c r="D1575" s="557"/>
      <c r="E1575" s="557"/>
      <c r="F1575" s="557"/>
      <c r="G1575" s="557"/>
    </row>
    <row r="1576" spans="1:7" ht="12.6" customHeight="1" x14ac:dyDescent="0.2">
      <c r="A1576" s="551" t="s">
        <v>34697</v>
      </c>
      <c r="B1576" s="551" t="s">
        <v>34698</v>
      </c>
      <c r="C1576" s="552"/>
      <c r="D1576" s="557"/>
      <c r="E1576" s="343"/>
      <c r="F1576" s="557"/>
      <c r="G1576" s="557"/>
    </row>
    <row r="1577" spans="1:7" ht="12.6" customHeight="1" x14ac:dyDescent="0.25">
      <c r="A1577" s="551" t="s">
        <v>34699</v>
      </c>
      <c r="B1577" s="551" t="s">
        <v>34700</v>
      </c>
      <c r="C1577" s="552" t="s">
        <v>158</v>
      </c>
      <c r="D1577" s="553">
        <v>198.09</v>
      </c>
      <c r="E1577" s="553">
        <v>185.14</v>
      </c>
      <c r="F1577" s="557">
        <v>12.95</v>
      </c>
      <c r="G1577" s="553">
        <v>198.09</v>
      </c>
    </row>
    <row r="1578" spans="1:7" ht="12.6" customHeight="1" x14ac:dyDescent="0.2">
      <c r="A1578" s="551" t="s">
        <v>34701</v>
      </c>
      <c r="B1578" s="551" t="s">
        <v>34702</v>
      </c>
      <c r="C1578" s="552" t="s">
        <v>226</v>
      </c>
      <c r="D1578" s="557">
        <v>127.71</v>
      </c>
      <c r="E1578" s="343">
        <v>114.76</v>
      </c>
      <c r="F1578" s="557">
        <v>12.95</v>
      </c>
      <c r="G1578" s="557">
        <v>127.71</v>
      </c>
    </row>
    <row r="1579" spans="1:7" ht="12.6" customHeight="1" x14ac:dyDescent="0.25">
      <c r="A1579" s="551" t="s">
        <v>34703</v>
      </c>
      <c r="B1579" s="551" t="s">
        <v>34704</v>
      </c>
      <c r="C1579" s="552" t="s">
        <v>226</v>
      </c>
      <c r="D1579" s="557">
        <v>167.23</v>
      </c>
      <c r="E1579" s="557">
        <v>154.28</v>
      </c>
      <c r="F1579" s="557">
        <v>12.95</v>
      </c>
      <c r="G1579" s="557">
        <v>167.23</v>
      </c>
    </row>
    <row r="1580" spans="1:7" ht="12.6" customHeight="1" x14ac:dyDescent="0.25">
      <c r="A1580" s="551" t="s">
        <v>34705</v>
      </c>
      <c r="B1580" s="551" t="s">
        <v>34706</v>
      </c>
      <c r="C1580" s="552" t="s">
        <v>226</v>
      </c>
      <c r="D1580" s="557">
        <v>375.98</v>
      </c>
      <c r="E1580" s="557">
        <v>363.03</v>
      </c>
      <c r="F1580" s="557">
        <v>12.95</v>
      </c>
      <c r="G1580" s="557">
        <v>375.98</v>
      </c>
    </row>
    <row r="1581" spans="1:7" ht="12.6" customHeight="1" x14ac:dyDescent="0.25">
      <c r="A1581" s="551" t="s">
        <v>34707</v>
      </c>
      <c r="B1581" s="551" t="s">
        <v>34708</v>
      </c>
      <c r="C1581" s="552" t="s">
        <v>226</v>
      </c>
      <c r="D1581" s="553">
        <v>196.4</v>
      </c>
      <c r="E1581" s="553">
        <v>183.45</v>
      </c>
      <c r="F1581" s="557">
        <v>12.95</v>
      </c>
      <c r="G1581" s="553">
        <v>196.4</v>
      </c>
    </row>
    <row r="1582" spans="1:7" ht="11.45" customHeight="1" x14ac:dyDescent="0.25">
      <c r="A1582" s="543" t="s">
        <v>34709</v>
      </c>
      <c r="B1582" s="544" t="s">
        <v>34710</v>
      </c>
      <c r="C1582" s="544" t="s">
        <v>226</v>
      </c>
      <c r="D1582" s="543">
        <v>151.29</v>
      </c>
      <c r="E1582" s="545">
        <v>138.34</v>
      </c>
      <c r="F1582" s="546">
        <v>12.95</v>
      </c>
      <c r="G1582" s="543">
        <v>151.29</v>
      </c>
    </row>
    <row r="1583" spans="1:7" ht="12.6" customHeight="1" x14ac:dyDescent="0.25">
      <c r="A1583" s="551" t="s">
        <v>34711</v>
      </c>
      <c r="B1583" s="551" t="s">
        <v>34712</v>
      </c>
      <c r="C1583" s="552" t="s">
        <v>226</v>
      </c>
      <c r="D1583" s="557">
        <v>313.60000000000002</v>
      </c>
      <c r="E1583" s="557">
        <v>300.64999999999998</v>
      </c>
      <c r="F1583" s="557">
        <v>12.95</v>
      </c>
      <c r="G1583" s="557">
        <v>313.60000000000002</v>
      </c>
    </row>
    <row r="1584" spans="1:7" ht="23.1" customHeight="1" x14ac:dyDescent="0.25">
      <c r="A1584" s="551" t="s">
        <v>34713</v>
      </c>
      <c r="B1584" s="551" t="s">
        <v>34714</v>
      </c>
      <c r="C1584" s="552" t="s">
        <v>226</v>
      </c>
      <c r="D1584" s="557">
        <v>310.64999999999998</v>
      </c>
      <c r="E1584" s="557">
        <v>297.7</v>
      </c>
      <c r="F1584" s="557">
        <v>12.95</v>
      </c>
      <c r="G1584" s="557">
        <v>310.64999999999998</v>
      </c>
    </row>
    <row r="1585" spans="1:7" ht="12.6" customHeight="1" x14ac:dyDescent="0.25">
      <c r="A1585" s="551" t="s">
        <v>34715</v>
      </c>
      <c r="B1585" s="551" t="s">
        <v>34716</v>
      </c>
      <c r="C1585" s="552" t="s">
        <v>226</v>
      </c>
      <c r="D1585" s="557">
        <v>153.01</v>
      </c>
      <c r="E1585" s="557">
        <v>140.06</v>
      </c>
      <c r="F1585" s="557">
        <v>12.95</v>
      </c>
      <c r="G1585" s="557">
        <v>153.01</v>
      </c>
    </row>
    <row r="1586" spans="1:7" ht="12.6" customHeight="1" x14ac:dyDescent="0.25">
      <c r="A1586" s="551" t="s">
        <v>34717</v>
      </c>
      <c r="B1586" s="551" t="s">
        <v>34718</v>
      </c>
      <c r="C1586" s="552" t="s">
        <v>226</v>
      </c>
      <c r="D1586" s="557">
        <v>401.74</v>
      </c>
      <c r="E1586" s="557">
        <v>380.15</v>
      </c>
      <c r="F1586" s="557">
        <v>21.59</v>
      </c>
      <c r="G1586" s="557">
        <v>401.74</v>
      </c>
    </row>
    <row r="1587" spans="1:7" ht="12.6" customHeight="1" x14ac:dyDescent="0.25">
      <c r="A1587" s="551" t="s">
        <v>34719</v>
      </c>
      <c r="B1587" s="551" t="s">
        <v>34720</v>
      </c>
      <c r="C1587" s="552"/>
      <c r="D1587" s="557"/>
      <c r="E1587" s="557"/>
      <c r="F1587" s="557"/>
      <c r="G1587" s="557"/>
    </row>
    <row r="1588" spans="1:7" ht="12.6" customHeight="1" x14ac:dyDescent="0.25">
      <c r="A1588" s="551" t="s">
        <v>34721</v>
      </c>
      <c r="B1588" s="551" t="s">
        <v>34722</v>
      </c>
      <c r="C1588" s="552" t="s">
        <v>226</v>
      </c>
      <c r="D1588" s="557">
        <v>2887.07</v>
      </c>
      <c r="E1588" s="557">
        <v>2819.74</v>
      </c>
      <c r="F1588" s="557">
        <v>67.33</v>
      </c>
      <c r="G1588" s="557">
        <v>2887.07</v>
      </c>
    </row>
    <row r="1589" spans="1:7" ht="12.6" customHeight="1" x14ac:dyDescent="0.25">
      <c r="A1589" s="551" t="s">
        <v>34723</v>
      </c>
      <c r="B1589" s="551" t="s">
        <v>34724</v>
      </c>
      <c r="C1589" s="552" t="s">
        <v>226</v>
      </c>
      <c r="D1589" s="557">
        <v>3587.23</v>
      </c>
      <c r="E1589" s="557">
        <v>3519.9</v>
      </c>
      <c r="F1589" s="557">
        <v>67.33</v>
      </c>
      <c r="G1589" s="557">
        <v>3587.23</v>
      </c>
    </row>
    <row r="1590" spans="1:7" ht="23.1" customHeight="1" x14ac:dyDescent="0.25">
      <c r="A1590" s="551" t="s">
        <v>34725</v>
      </c>
      <c r="B1590" s="551" t="s">
        <v>34726</v>
      </c>
      <c r="C1590" s="552"/>
      <c r="D1590" s="557"/>
      <c r="E1590" s="557"/>
      <c r="F1590" s="557"/>
      <c r="G1590" s="557"/>
    </row>
    <row r="1591" spans="1:7" ht="12.6" customHeight="1" x14ac:dyDescent="0.25">
      <c r="A1591" s="551" t="s">
        <v>34727</v>
      </c>
      <c r="B1591" s="551" t="s">
        <v>34728</v>
      </c>
      <c r="C1591" s="552" t="s">
        <v>227</v>
      </c>
      <c r="D1591" s="557">
        <v>383.64</v>
      </c>
      <c r="E1591" s="557">
        <v>359.91</v>
      </c>
      <c r="F1591" s="557">
        <v>23.73</v>
      </c>
      <c r="G1591" s="557">
        <v>383.64</v>
      </c>
    </row>
    <row r="1592" spans="1:7" ht="12.6" customHeight="1" x14ac:dyDescent="0.25">
      <c r="A1592" s="551" t="s">
        <v>34729</v>
      </c>
      <c r="B1592" s="551" t="s">
        <v>34730</v>
      </c>
      <c r="C1592" s="552" t="s">
        <v>227</v>
      </c>
      <c r="D1592" s="557">
        <v>196.9</v>
      </c>
      <c r="E1592" s="557">
        <v>186.97</v>
      </c>
      <c r="F1592" s="557">
        <v>9.93</v>
      </c>
      <c r="G1592" s="557">
        <v>196.9</v>
      </c>
    </row>
    <row r="1593" spans="1:7" ht="12.6" customHeight="1" x14ac:dyDescent="0.25">
      <c r="A1593" s="551" t="s">
        <v>34731</v>
      </c>
      <c r="B1593" s="551" t="s">
        <v>34732</v>
      </c>
      <c r="C1593" s="552" t="s">
        <v>227</v>
      </c>
      <c r="D1593" s="557">
        <v>143.54</v>
      </c>
      <c r="E1593" s="557">
        <v>115.7</v>
      </c>
      <c r="F1593" s="557">
        <v>27.84</v>
      </c>
      <c r="G1593" s="557">
        <v>143.54</v>
      </c>
    </row>
    <row r="1594" spans="1:7" ht="12.6" customHeight="1" x14ac:dyDescent="0.25">
      <c r="A1594" s="551" t="s">
        <v>34733</v>
      </c>
      <c r="B1594" s="551" t="s">
        <v>34734</v>
      </c>
      <c r="C1594" s="552" t="s">
        <v>227</v>
      </c>
      <c r="D1594" s="557">
        <v>158.99</v>
      </c>
      <c r="E1594" s="557">
        <v>131.15</v>
      </c>
      <c r="F1594" s="557">
        <v>27.84</v>
      </c>
      <c r="G1594" s="557">
        <v>158.99</v>
      </c>
    </row>
    <row r="1595" spans="1:7" ht="12.6" customHeight="1" x14ac:dyDescent="0.25">
      <c r="A1595" s="551" t="s">
        <v>34735</v>
      </c>
      <c r="B1595" s="551" t="s">
        <v>34736</v>
      </c>
      <c r="C1595" s="552" t="s">
        <v>226</v>
      </c>
      <c r="D1595" s="557">
        <v>6.07</v>
      </c>
      <c r="E1595" s="557">
        <v>4.5599999999999996</v>
      </c>
      <c r="F1595" s="557">
        <v>1.51</v>
      </c>
      <c r="G1595" s="557">
        <v>6.07</v>
      </c>
    </row>
    <row r="1596" spans="1:7" ht="24.95" customHeight="1" x14ac:dyDescent="0.25">
      <c r="A1596" s="551" t="s">
        <v>34737</v>
      </c>
      <c r="B1596" s="342" t="s">
        <v>34738</v>
      </c>
      <c r="C1596" s="552" t="s">
        <v>158</v>
      </c>
      <c r="D1596" s="557">
        <v>445.65</v>
      </c>
      <c r="E1596" s="557">
        <v>445.65</v>
      </c>
      <c r="F1596" s="557"/>
      <c r="G1596" s="557">
        <v>445.65</v>
      </c>
    </row>
    <row r="1597" spans="1:7" ht="12.6" customHeight="1" x14ac:dyDescent="0.25">
      <c r="A1597" s="551" t="s">
        <v>34739</v>
      </c>
      <c r="B1597" s="551" t="s">
        <v>34740</v>
      </c>
      <c r="C1597" s="552" t="s">
        <v>227</v>
      </c>
      <c r="D1597" s="557">
        <v>15.48</v>
      </c>
      <c r="E1597" s="557">
        <v>5.67</v>
      </c>
      <c r="F1597" s="557">
        <v>9.81</v>
      </c>
      <c r="G1597" s="557">
        <v>15.48</v>
      </c>
    </row>
    <row r="1598" spans="1:7" ht="12.6" customHeight="1" x14ac:dyDescent="0.25">
      <c r="A1598" s="551" t="s">
        <v>34741</v>
      </c>
      <c r="B1598" s="551" t="s">
        <v>34742</v>
      </c>
      <c r="C1598" s="552" t="s">
        <v>226</v>
      </c>
      <c r="D1598" s="557">
        <v>16.36</v>
      </c>
      <c r="E1598" s="557">
        <v>0.56000000000000005</v>
      </c>
      <c r="F1598" s="557">
        <v>15.8</v>
      </c>
      <c r="G1598" s="557">
        <v>16.36</v>
      </c>
    </row>
    <row r="1599" spans="1:7" ht="12.6" customHeight="1" x14ac:dyDescent="0.25">
      <c r="A1599" s="551" t="s">
        <v>34743</v>
      </c>
      <c r="B1599" s="551" t="s">
        <v>34744</v>
      </c>
      <c r="C1599" s="552" t="s">
        <v>227</v>
      </c>
      <c r="D1599" s="557">
        <v>109.35</v>
      </c>
      <c r="E1599" s="557">
        <v>93.97</v>
      </c>
      <c r="F1599" s="557">
        <v>15.38</v>
      </c>
      <c r="G1599" s="557">
        <v>109.35</v>
      </c>
    </row>
    <row r="1600" spans="1:7" ht="12.6" customHeight="1" x14ac:dyDescent="0.2">
      <c r="A1600" s="551" t="s">
        <v>34745</v>
      </c>
      <c r="B1600" s="551" t="s">
        <v>34746</v>
      </c>
      <c r="C1600" s="552"/>
      <c r="D1600" s="553"/>
      <c r="E1600" s="553"/>
      <c r="F1600" s="343"/>
      <c r="G1600" s="553"/>
    </row>
    <row r="1601" spans="1:7" ht="24.95" customHeight="1" x14ac:dyDescent="0.25">
      <c r="A1601" s="551" t="s">
        <v>34747</v>
      </c>
      <c r="B1601" s="342" t="s">
        <v>34748</v>
      </c>
      <c r="C1601" s="552" t="s">
        <v>226</v>
      </c>
      <c r="D1601" s="553">
        <v>12.86</v>
      </c>
      <c r="E1601" s="553">
        <v>11.35</v>
      </c>
      <c r="F1601" s="344">
        <v>1.51</v>
      </c>
      <c r="G1601" s="553">
        <v>12.86</v>
      </c>
    </row>
    <row r="1602" spans="1:7" ht="24.95" customHeight="1" x14ac:dyDescent="0.25">
      <c r="A1602" s="551" t="s">
        <v>34749</v>
      </c>
      <c r="B1602" s="342" t="s">
        <v>34750</v>
      </c>
      <c r="C1602" s="552" t="s">
        <v>226</v>
      </c>
      <c r="D1602" s="557">
        <v>12.76</v>
      </c>
      <c r="E1602" s="557">
        <v>11.25</v>
      </c>
      <c r="F1602" s="557">
        <v>1.51</v>
      </c>
      <c r="G1602" s="557">
        <v>12.76</v>
      </c>
    </row>
    <row r="1603" spans="1:7" ht="24.95" customHeight="1" x14ac:dyDescent="0.25">
      <c r="A1603" s="551" t="s">
        <v>34751</v>
      </c>
      <c r="B1603" s="342" t="s">
        <v>34752</v>
      </c>
      <c r="C1603" s="552" t="s">
        <v>226</v>
      </c>
      <c r="D1603" s="553">
        <v>24.79</v>
      </c>
      <c r="E1603" s="553">
        <v>23.28</v>
      </c>
      <c r="F1603" s="557">
        <v>1.51</v>
      </c>
      <c r="G1603" s="553">
        <v>24.79</v>
      </c>
    </row>
    <row r="1604" spans="1:7" ht="34.5" customHeight="1" x14ac:dyDescent="0.25">
      <c r="A1604" s="554" t="s">
        <v>34753</v>
      </c>
      <c r="B1604" s="551" t="s">
        <v>34754</v>
      </c>
      <c r="C1604" s="555" t="s">
        <v>158</v>
      </c>
      <c r="D1604" s="556">
        <v>60.25</v>
      </c>
      <c r="E1604" s="556">
        <v>36.31</v>
      </c>
      <c r="F1604" s="558">
        <v>23.94</v>
      </c>
      <c r="G1604" s="556">
        <v>60.25</v>
      </c>
    </row>
    <row r="1605" spans="1:7" ht="34.5" customHeight="1" x14ac:dyDescent="0.25">
      <c r="A1605" s="554" t="s">
        <v>34755</v>
      </c>
      <c r="B1605" s="551" t="s">
        <v>34756</v>
      </c>
      <c r="C1605" s="555" t="s">
        <v>19518</v>
      </c>
      <c r="D1605" s="556">
        <v>335.38</v>
      </c>
      <c r="E1605" s="556">
        <v>311.44</v>
      </c>
      <c r="F1605" s="558">
        <v>23.94</v>
      </c>
      <c r="G1605" s="556">
        <v>335.38</v>
      </c>
    </row>
    <row r="1606" spans="1:7" ht="12.6" customHeight="1" x14ac:dyDescent="0.25">
      <c r="A1606" s="551" t="s">
        <v>34757</v>
      </c>
      <c r="B1606" s="551" t="s">
        <v>34758</v>
      </c>
      <c r="C1606" s="552" t="s">
        <v>19518</v>
      </c>
      <c r="D1606" s="557">
        <v>738.41</v>
      </c>
      <c r="E1606" s="557">
        <v>714.47</v>
      </c>
      <c r="F1606" s="557">
        <v>23.94</v>
      </c>
      <c r="G1606" s="557">
        <v>738.41</v>
      </c>
    </row>
    <row r="1607" spans="1:7" ht="12.6" customHeight="1" x14ac:dyDescent="0.2">
      <c r="A1607" s="559" t="s">
        <v>34759</v>
      </c>
      <c r="B1607" s="548" t="s">
        <v>34760</v>
      </c>
      <c r="C1607" s="550" t="s">
        <v>226</v>
      </c>
      <c r="D1607" s="550">
        <v>31.42</v>
      </c>
      <c r="E1607" s="550">
        <v>27.53</v>
      </c>
      <c r="F1607" s="550">
        <v>3.89</v>
      </c>
      <c r="G1607" s="550">
        <v>31.42</v>
      </c>
    </row>
    <row r="1608" spans="1:7" ht="12.6" customHeight="1" x14ac:dyDescent="0.2">
      <c r="A1608" s="548" t="s">
        <v>34761</v>
      </c>
      <c r="B1608" s="548" t="s">
        <v>34762</v>
      </c>
      <c r="C1608" s="550" t="s">
        <v>226</v>
      </c>
      <c r="D1608" s="550">
        <v>795.28</v>
      </c>
      <c r="E1608" s="550">
        <v>790.41</v>
      </c>
      <c r="F1608" s="550">
        <v>4.87</v>
      </c>
      <c r="G1608" s="550">
        <v>795.28</v>
      </c>
    </row>
    <row r="1609" spans="1:7" ht="12.6" customHeight="1" x14ac:dyDescent="0.25">
      <c r="A1609" s="551" t="s">
        <v>34763</v>
      </c>
      <c r="B1609" s="551" t="s">
        <v>34764</v>
      </c>
      <c r="C1609" s="552" t="s">
        <v>226</v>
      </c>
      <c r="D1609" s="557">
        <v>233.46</v>
      </c>
      <c r="E1609" s="557">
        <v>149.71</v>
      </c>
      <c r="F1609" s="557">
        <v>83.75</v>
      </c>
      <c r="G1609" s="557">
        <v>233.46</v>
      </c>
    </row>
    <row r="1610" spans="1:7" ht="12.6" customHeight="1" x14ac:dyDescent="0.25">
      <c r="A1610" s="551" t="s">
        <v>34765</v>
      </c>
      <c r="B1610" s="551" t="s">
        <v>34766</v>
      </c>
      <c r="C1610" s="552" t="s">
        <v>226</v>
      </c>
      <c r="D1610" s="557">
        <v>492.08</v>
      </c>
      <c r="E1610" s="557">
        <v>300.64</v>
      </c>
      <c r="F1610" s="557">
        <v>191.44</v>
      </c>
      <c r="G1610" s="557">
        <v>492.08</v>
      </c>
    </row>
    <row r="1611" spans="1:7" ht="12.6" customHeight="1" x14ac:dyDescent="0.25">
      <c r="A1611" s="551" t="s">
        <v>34767</v>
      </c>
      <c r="B1611" s="551" t="s">
        <v>34768</v>
      </c>
      <c r="C1611" s="552" t="s">
        <v>226</v>
      </c>
      <c r="D1611" s="557">
        <v>229.05</v>
      </c>
      <c r="E1611" s="557">
        <v>207.46</v>
      </c>
      <c r="F1611" s="557">
        <v>21.59</v>
      </c>
      <c r="G1611" s="557">
        <v>229.05</v>
      </c>
    </row>
    <row r="1612" spans="1:7" ht="12.6" customHeight="1" x14ac:dyDescent="0.25">
      <c r="A1612" s="551" t="s">
        <v>34769</v>
      </c>
      <c r="B1612" s="551" t="s">
        <v>34770</v>
      </c>
      <c r="C1612" s="552" t="s">
        <v>226</v>
      </c>
      <c r="D1612" s="557">
        <v>27.07</v>
      </c>
      <c r="E1612" s="557">
        <v>23.18</v>
      </c>
      <c r="F1612" s="557">
        <v>3.89</v>
      </c>
      <c r="G1612" s="557">
        <v>27.07</v>
      </c>
    </row>
    <row r="1613" spans="1:7" ht="12.6" customHeight="1" x14ac:dyDescent="0.25">
      <c r="A1613" s="551" t="s">
        <v>34771</v>
      </c>
      <c r="B1613" s="551" t="s">
        <v>34772</v>
      </c>
      <c r="C1613" s="552"/>
      <c r="D1613" s="557"/>
      <c r="E1613" s="557"/>
      <c r="F1613" s="557"/>
      <c r="G1613" s="557"/>
    </row>
    <row r="1614" spans="1:7" ht="12.6" customHeight="1" x14ac:dyDescent="0.2">
      <c r="A1614" s="548" t="s">
        <v>34773</v>
      </c>
      <c r="B1614" s="548" t="s">
        <v>34774</v>
      </c>
      <c r="C1614" s="550" t="s">
        <v>226</v>
      </c>
      <c r="D1614" s="550">
        <v>976.54</v>
      </c>
      <c r="E1614" s="550">
        <v>971.67</v>
      </c>
      <c r="F1614" s="550">
        <v>4.87</v>
      </c>
      <c r="G1614" s="550">
        <v>976.54</v>
      </c>
    </row>
    <row r="1615" spans="1:7" ht="23.1" customHeight="1" x14ac:dyDescent="0.25">
      <c r="A1615" s="551" t="s">
        <v>34775</v>
      </c>
      <c r="B1615" s="551" t="s">
        <v>34776</v>
      </c>
      <c r="C1615" s="552" t="s">
        <v>226</v>
      </c>
      <c r="D1615" s="557">
        <v>1659.19</v>
      </c>
      <c r="E1615" s="557">
        <v>1591.86</v>
      </c>
      <c r="F1615" s="557">
        <v>67.33</v>
      </c>
      <c r="G1615" s="557">
        <v>1659.19</v>
      </c>
    </row>
    <row r="1616" spans="1:7" ht="23.1" customHeight="1" x14ac:dyDescent="0.25">
      <c r="A1616" s="551" t="s">
        <v>34777</v>
      </c>
      <c r="B1616" s="551" t="s">
        <v>34778</v>
      </c>
      <c r="C1616" s="552" t="s">
        <v>226</v>
      </c>
      <c r="D1616" s="557">
        <v>3622.17</v>
      </c>
      <c r="E1616" s="557">
        <v>3271.1</v>
      </c>
      <c r="F1616" s="557">
        <v>351.07</v>
      </c>
      <c r="G1616" s="557">
        <v>3622.17</v>
      </c>
    </row>
    <row r="1617" spans="1:7" ht="12.6" customHeight="1" x14ac:dyDescent="0.25">
      <c r="A1617" s="551" t="s">
        <v>34779</v>
      </c>
      <c r="B1617" s="551" t="s">
        <v>34780</v>
      </c>
      <c r="C1617" s="552" t="s">
        <v>226</v>
      </c>
      <c r="D1617" s="557">
        <v>1124.5</v>
      </c>
      <c r="E1617" s="557">
        <v>1066.9000000000001</v>
      </c>
      <c r="F1617" s="557">
        <v>57.6</v>
      </c>
      <c r="G1617" s="557">
        <v>1124.5</v>
      </c>
    </row>
    <row r="1618" spans="1:7" ht="23.1" customHeight="1" x14ac:dyDescent="0.25">
      <c r="A1618" s="551" t="s">
        <v>34781</v>
      </c>
      <c r="B1618" s="551" t="s">
        <v>34782</v>
      </c>
      <c r="C1618" s="552"/>
      <c r="D1618" s="557"/>
      <c r="E1618" s="557"/>
      <c r="F1618" s="557"/>
      <c r="G1618" s="557"/>
    </row>
    <row r="1619" spans="1:7" ht="12.6" customHeight="1" x14ac:dyDescent="0.2">
      <c r="A1619" s="548" t="s">
        <v>34783</v>
      </c>
      <c r="B1619" s="548" t="s">
        <v>34784</v>
      </c>
      <c r="C1619" s="550" t="s">
        <v>19518</v>
      </c>
      <c r="D1619" s="550">
        <v>125206.24</v>
      </c>
      <c r="E1619" s="550">
        <v>125206.24</v>
      </c>
      <c r="F1619" s="550"/>
      <c r="G1619" s="550">
        <v>125206.24</v>
      </c>
    </row>
    <row r="1620" spans="1:7" ht="12.6" customHeight="1" x14ac:dyDescent="0.25">
      <c r="A1620" s="551" t="s">
        <v>34785</v>
      </c>
      <c r="B1620" s="551" t="s">
        <v>34786</v>
      </c>
      <c r="C1620" s="552" t="s">
        <v>19518</v>
      </c>
      <c r="D1620" s="557">
        <v>131039.07</v>
      </c>
      <c r="E1620" s="557">
        <v>131039.07</v>
      </c>
      <c r="F1620" s="557"/>
      <c r="G1620" s="557">
        <v>131039.07</v>
      </c>
    </row>
    <row r="1621" spans="1:7" ht="12.6" customHeight="1" x14ac:dyDescent="0.2">
      <c r="A1621" s="559" t="s">
        <v>34787</v>
      </c>
      <c r="B1621" s="548" t="s">
        <v>34788</v>
      </c>
      <c r="C1621" s="550" t="s">
        <v>19518</v>
      </c>
      <c r="D1621" s="550">
        <v>25814.89</v>
      </c>
      <c r="E1621" s="550">
        <v>25814.89</v>
      </c>
      <c r="F1621" s="550"/>
      <c r="G1621" s="550">
        <v>25814.89</v>
      </c>
    </row>
    <row r="1622" spans="1:7" ht="12.6" customHeight="1" x14ac:dyDescent="0.2">
      <c r="A1622" s="548" t="s">
        <v>34789</v>
      </c>
      <c r="B1622" s="548" t="s">
        <v>34790</v>
      </c>
      <c r="C1622" s="550" t="s">
        <v>19518</v>
      </c>
      <c r="D1622" s="550">
        <v>27405.39</v>
      </c>
      <c r="E1622" s="550">
        <v>27405.39</v>
      </c>
      <c r="F1622" s="550"/>
      <c r="G1622" s="550">
        <v>27405.39</v>
      </c>
    </row>
    <row r="1623" spans="1:7" ht="24.95" customHeight="1" x14ac:dyDescent="0.25">
      <c r="A1623" s="551" t="s">
        <v>34791</v>
      </c>
      <c r="B1623" s="342" t="s">
        <v>34792</v>
      </c>
      <c r="C1623" s="552"/>
      <c r="D1623" s="557"/>
      <c r="E1623" s="557"/>
      <c r="F1623" s="557"/>
      <c r="G1623" s="557"/>
    </row>
    <row r="1624" spans="1:7" ht="24.95" customHeight="1" x14ac:dyDescent="0.25">
      <c r="A1624" s="551" t="s">
        <v>34793</v>
      </c>
      <c r="B1624" s="342" t="s">
        <v>34794</v>
      </c>
      <c r="C1624" s="552"/>
      <c r="D1624" s="557"/>
      <c r="E1624" s="557"/>
      <c r="F1624" s="557"/>
      <c r="G1624" s="557"/>
    </row>
    <row r="1625" spans="1:7" ht="11.45" customHeight="1" x14ac:dyDescent="0.25">
      <c r="A1625" s="543" t="s">
        <v>34795</v>
      </c>
      <c r="B1625" s="544" t="s">
        <v>34796</v>
      </c>
      <c r="C1625" s="544" t="s">
        <v>227</v>
      </c>
      <c r="D1625" s="543">
        <v>24.57</v>
      </c>
      <c r="E1625" s="545">
        <v>20.68</v>
      </c>
      <c r="F1625" s="546">
        <v>3.89</v>
      </c>
      <c r="G1625" s="543">
        <v>24.57</v>
      </c>
    </row>
    <row r="1626" spans="1:7" ht="24.95" customHeight="1" x14ac:dyDescent="0.25">
      <c r="A1626" s="551" t="s">
        <v>34797</v>
      </c>
      <c r="B1626" s="342" t="s">
        <v>34798</v>
      </c>
      <c r="C1626" s="552" t="s">
        <v>227</v>
      </c>
      <c r="D1626" s="557">
        <v>31.09</v>
      </c>
      <c r="E1626" s="557">
        <v>27.2</v>
      </c>
      <c r="F1626" s="557">
        <v>3.89</v>
      </c>
      <c r="G1626" s="557">
        <v>31.09</v>
      </c>
    </row>
    <row r="1627" spans="1:7" ht="24.95" customHeight="1" x14ac:dyDescent="0.25">
      <c r="A1627" s="551" t="s">
        <v>34799</v>
      </c>
      <c r="B1627" s="342" t="s">
        <v>34800</v>
      </c>
      <c r="C1627" s="552" t="s">
        <v>159</v>
      </c>
      <c r="D1627" s="557">
        <v>651.9</v>
      </c>
      <c r="E1627" s="557">
        <v>597.38</v>
      </c>
      <c r="F1627" s="557">
        <v>54.52</v>
      </c>
      <c r="G1627" s="557">
        <v>651.9</v>
      </c>
    </row>
    <row r="1628" spans="1:7" ht="34.5" customHeight="1" x14ac:dyDescent="0.25">
      <c r="A1628" s="554" t="s">
        <v>34801</v>
      </c>
      <c r="B1628" s="551" t="s">
        <v>34802</v>
      </c>
      <c r="C1628" s="555" t="s">
        <v>227</v>
      </c>
      <c r="D1628" s="558">
        <v>155.55000000000001</v>
      </c>
      <c r="E1628" s="558">
        <v>148.38999999999999</v>
      </c>
      <c r="F1628" s="558">
        <v>7.16</v>
      </c>
      <c r="G1628" s="558">
        <v>155.55000000000001</v>
      </c>
    </row>
    <row r="1629" spans="1:7" ht="34.5" customHeight="1" x14ac:dyDescent="0.25">
      <c r="A1629" s="554" t="s">
        <v>34803</v>
      </c>
      <c r="B1629" s="551" t="s">
        <v>34804</v>
      </c>
      <c r="C1629" s="555" t="s">
        <v>227</v>
      </c>
      <c r="D1629" s="558">
        <v>27.96</v>
      </c>
      <c r="E1629" s="558">
        <v>17.38</v>
      </c>
      <c r="F1629" s="558">
        <v>10.58</v>
      </c>
      <c r="G1629" s="558">
        <v>27.96</v>
      </c>
    </row>
    <row r="1630" spans="1:7" ht="34.5" customHeight="1" x14ac:dyDescent="0.25">
      <c r="A1630" s="554" t="s">
        <v>34805</v>
      </c>
      <c r="B1630" s="551" t="s">
        <v>34806</v>
      </c>
      <c r="C1630" s="555" t="s">
        <v>227</v>
      </c>
      <c r="D1630" s="558">
        <v>92.02</v>
      </c>
      <c r="E1630" s="558">
        <v>92.02</v>
      </c>
      <c r="F1630" s="558"/>
      <c r="G1630" s="558">
        <v>92.02</v>
      </c>
    </row>
    <row r="1631" spans="1:7" ht="24.95" customHeight="1" x14ac:dyDescent="0.25">
      <c r="A1631" s="551" t="s">
        <v>34807</v>
      </c>
      <c r="B1631" s="342" t="s">
        <v>34808</v>
      </c>
      <c r="C1631" s="552" t="s">
        <v>227</v>
      </c>
      <c r="D1631" s="557">
        <v>1151.5999999999999</v>
      </c>
      <c r="E1631" s="557">
        <v>1151.5999999999999</v>
      </c>
      <c r="F1631" s="557"/>
      <c r="G1631" s="557">
        <v>1151.5999999999999</v>
      </c>
    </row>
    <row r="1632" spans="1:7" ht="24.95" customHeight="1" x14ac:dyDescent="0.25">
      <c r="A1632" s="551" t="s">
        <v>34809</v>
      </c>
      <c r="B1632" s="342" t="s">
        <v>34810</v>
      </c>
      <c r="C1632" s="552" t="s">
        <v>227</v>
      </c>
      <c r="D1632" s="557">
        <v>108.35</v>
      </c>
      <c r="E1632" s="557">
        <v>79.64</v>
      </c>
      <c r="F1632" s="557">
        <v>28.71</v>
      </c>
      <c r="G1632" s="557">
        <v>108.35</v>
      </c>
    </row>
    <row r="1633" spans="1:7" ht="24.95" customHeight="1" x14ac:dyDescent="0.25">
      <c r="A1633" s="551" t="s">
        <v>34811</v>
      </c>
      <c r="B1633" s="342" t="s">
        <v>34812</v>
      </c>
      <c r="C1633" s="552" t="s">
        <v>227</v>
      </c>
      <c r="D1633" s="557">
        <v>531.5</v>
      </c>
      <c r="E1633" s="557">
        <v>531.5</v>
      </c>
      <c r="F1633" s="557"/>
      <c r="G1633" s="557">
        <v>531.5</v>
      </c>
    </row>
    <row r="1634" spans="1:7" ht="12.6" customHeight="1" x14ac:dyDescent="0.2">
      <c r="A1634" s="548" t="s">
        <v>34813</v>
      </c>
      <c r="B1634" s="548" t="s">
        <v>34814</v>
      </c>
      <c r="C1634" s="550"/>
      <c r="D1634" s="550"/>
      <c r="E1634" s="550"/>
      <c r="F1634" s="550"/>
      <c r="G1634" s="550"/>
    </row>
    <row r="1635" spans="1:7" ht="24.95" customHeight="1" x14ac:dyDescent="0.25">
      <c r="A1635" s="551" t="s">
        <v>34815</v>
      </c>
      <c r="B1635" s="342" t="s">
        <v>34816</v>
      </c>
      <c r="C1635" s="552" t="s">
        <v>158</v>
      </c>
      <c r="D1635" s="553">
        <v>8.74</v>
      </c>
      <c r="E1635" s="553">
        <v>1.64</v>
      </c>
      <c r="F1635" s="557">
        <v>7.1</v>
      </c>
      <c r="G1635" s="553">
        <v>8.74</v>
      </c>
    </row>
    <row r="1636" spans="1:7" ht="24.95" customHeight="1" x14ac:dyDescent="0.25">
      <c r="A1636" s="551" t="s">
        <v>34817</v>
      </c>
      <c r="B1636" s="342" t="s">
        <v>34818</v>
      </c>
      <c r="C1636" s="552" t="s">
        <v>158</v>
      </c>
      <c r="D1636" s="553">
        <v>80.39</v>
      </c>
      <c r="E1636" s="553">
        <v>73.290000000000006</v>
      </c>
      <c r="F1636" s="557">
        <v>7.1</v>
      </c>
      <c r="G1636" s="553">
        <v>80.39</v>
      </c>
    </row>
    <row r="1637" spans="1:7" ht="12.6" customHeight="1" x14ac:dyDescent="0.2">
      <c r="A1637" s="548" t="s">
        <v>34819</v>
      </c>
      <c r="B1637" s="548" t="s">
        <v>34820</v>
      </c>
      <c r="C1637" s="550" t="s">
        <v>158</v>
      </c>
      <c r="D1637" s="550">
        <v>9.02</v>
      </c>
      <c r="E1637" s="550">
        <v>6.06</v>
      </c>
      <c r="F1637" s="550">
        <v>2.96</v>
      </c>
      <c r="G1637" s="550">
        <v>9.02</v>
      </c>
    </row>
    <row r="1638" spans="1:7" ht="24.95" customHeight="1" x14ac:dyDescent="0.25">
      <c r="A1638" s="551" t="s">
        <v>34821</v>
      </c>
      <c r="B1638" s="342" t="s">
        <v>34822</v>
      </c>
      <c r="C1638" s="552" t="s">
        <v>34823</v>
      </c>
      <c r="D1638" s="557">
        <v>0.23</v>
      </c>
      <c r="E1638" s="557">
        <v>0.17</v>
      </c>
      <c r="F1638" s="557">
        <v>0.06</v>
      </c>
      <c r="G1638" s="557">
        <v>0.23</v>
      </c>
    </row>
    <row r="1639" spans="1:7" ht="24.95" customHeight="1" x14ac:dyDescent="0.25">
      <c r="A1639" s="551" t="s">
        <v>34824</v>
      </c>
      <c r="B1639" s="342" t="s">
        <v>34825</v>
      </c>
      <c r="C1639" s="552" t="s">
        <v>158</v>
      </c>
      <c r="D1639" s="557">
        <v>11.68</v>
      </c>
      <c r="E1639" s="557">
        <v>6.94</v>
      </c>
      <c r="F1639" s="557">
        <v>4.74</v>
      </c>
      <c r="G1639" s="557">
        <v>11.68</v>
      </c>
    </row>
    <row r="1640" spans="1:7" ht="24.95" customHeight="1" x14ac:dyDescent="0.25">
      <c r="A1640" s="551" t="s">
        <v>34826</v>
      </c>
      <c r="B1640" s="342" t="s">
        <v>34827</v>
      </c>
      <c r="C1640" s="552" t="s">
        <v>34823</v>
      </c>
      <c r="D1640" s="557">
        <v>0.31</v>
      </c>
      <c r="E1640" s="557">
        <v>0.19</v>
      </c>
      <c r="F1640" s="557">
        <v>0.12</v>
      </c>
      <c r="G1640" s="557">
        <v>0.31</v>
      </c>
    </row>
    <row r="1641" spans="1:7" ht="24.95" customHeight="1" x14ac:dyDescent="0.25">
      <c r="A1641" s="551" t="s">
        <v>34828</v>
      </c>
      <c r="B1641" s="342" t="s">
        <v>34829</v>
      </c>
      <c r="C1641" s="552" t="s">
        <v>158</v>
      </c>
      <c r="D1641" s="557">
        <v>216.39</v>
      </c>
      <c r="E1641" s="557">
        <v>212.07</v>
      </c>
      <c r="F1641" s="557">
        <v>4.32</v>
      </c>
      <c r="G1641" s="557">
        <v>216.39</v>
      </c>
    </row>
    <row r="1642" spans="1:7" ht="24.95" customHeight="1" x14ac:dyDescent="0.25">
      <c r="A1642" s="551" t="s">
        <v>34830</v>
      </c>
      <c r="B1642" s="342" t="s">
        <v>34831</v>
      </c>
      <c r="C1642" s="552" t="s">
        <v>158</v>
      </c>
      <c r="D1642" s="557">
        <v>297.61</v>
      </c>
      <c r="E1642" s="557">
        <v>293.29000000000002</v>
      </c>
      <c r="F1642" s="557">
        <v>4.32</v>
      </c>
      <c r="G1642" s="557">
        <v>297.61</v>
      </c>
    </row>
    <row r="1643" spans="1:7" ht="24.95" customHeight="1" x14ac:dyDescent="0.25">
      <c r="A1643" s="551" t="s">
        <v>34832</v>
      </c>
      <c r="B1643" s="342" t="s">
        <v>34833</v>
      </c>
      <c r="C1643" s="552" t="s">
        <v>158</v>
      </c>
      <c r="D1643" s="557">
        <v>108.12</v>
      </c>
      <c r="E1643" s="557">
        <v>103.8</v>
      </c>
      <c r="F1643" s="344">
        <v>4.32</v>
      </c>
      <c r="G1643" s="557">
        <v>108.12</v>
      </c>
    </row>
    <row r="1644" spans="1:7" ht="24.95" customHeight="1" x14ac:dyDescent="0.25">
      <c r="A1644" s="551" t="s">
        <v>34834</v>
      </c>
      <c r="B1644" s="342" t="s">
        <v>34835</v>
      </c>
      <c r="C1644" s="552" t="s">
        <v>158</v>
      </c>
      <c r="D1644" s="557">
        <v>108.41</v>
      </c>
      <c r="E1644" s="557">
        <v>104.09</v>
      </c>
      <c r="F1644" s="557">
        <v>4.32</v>
      </c>
      <c r="G1644" s="557">
        <v>108.41</v>
      </c>
    </row>
    <row r="1645" spans="1:7" ht="24.95" customHeight="1" x14ac:dyDescent="0.25">
      <c r="A1645" s="551" t="s">
        <v>34836</v>
      </c>
      <c r="B1645" s="342" t="s">
        <v>34837</v>
      </c>
      <c r="C1645" s="552"/>
      <c r="D1645" s="557"/>
      <c r="E1645" s="557"/>
      <c r="F1645" s="557"/>
      <c r="G1645" s="557"/>
    </row>
    <row r="1646" spans="1:7" ht="24.95" customHeight="1" x14ac:dyDescent="0.25">
      <c r="A1646" s="551" t="s">
        <v>34838</v>
      </c>
      <c r="B1646" s="342" t="s">
        <v>34839</v>
      </c>
      <c r="C1646" s="552" t="s">
        <v>227</v>
      </c>
      <c r="D1646" s="557">
        <v>12.63</v>
      </c>
      <c r="E1646" s="557">
        <v>9.7100000000000009</v>
      </c>
      <c r="F1646" s="557">
        <v>2.92</v>
      </c>
      <c r="G1646" s="557">
        <v>12.63</v>
      </c>
    </row>
    <row r="1647" spans="1:7" ht="12.6" customHeight="1" x14ac:dyDescent="0.2">
      <c r="A1647" s="548" t="s">
        <v>34840</v>
      </c>
      <c r="B1647" s="548" t="s">
        <v>34841</v>
      </c>
      <c r="C1647" s="550" t="s">
        <v>227</v>
      </c>
      <c r="D1647" s="550">
        <v>22.69</v>
      </c>
      <c r="E1647" s="550">
        <v>19.77</v>
      </c>
      <c r="F1647" s="550">
        <v>2.92</v>
      </c>
      <c r="G1647" s="550">
        <v>22.69</v>
      </c>
    </row>
    <row r="1648" spans="1:7" ht="12.6" customHeight="1" x14ac:dyDescent="0.25">
      <c r="A1648" s="551" t="s">
        <v>34842</v>
      </c>
      <c r="B1648" s="551" t="s">
        <v>34843</v>
      </c>
      <c r="C1648" s="552" t="s">
        <v>158</v>
      </c>
      <c r="D1648" s="557">
        <v>69.33</v>
      </c>
      <c r="E1648" s="557">
        <v>49.28</v>
      </c>
      <c r="F1648" s="557">
        <v>20.05</v>
      </c>
      <c r="G1648" s="557">
        <v>69.33</v>
      </c>
    </row>
    <row r="1649" spans="1:7" ht="12.6" customHeight="1" x14ac:dyDescent="0.25">
      <c r="A1649" s="551" t="s">
        <v>34844</v>
      </c>
      <c r="B1649" s="551" t="s">
        <v>34845</v>
      </c>
      <c r="C1649" s="552" t="s">
        <v>158</v>
      </c>
      <c r="D1649" s="557">
        <v>122.37</v>
      </c>
      <c r="E1649" s="557">
        <v>102.32</v>
      </c>
      <c r="F1649" s="557">
        <v>20.05</v>
      </c>
      <c r="G1649" s="557">
        <v>122.37</v>
      </c>
    </row>
    <row r="1650" spans="1:7" ht="23.1" customHeight="1" x14ac:dyDescent="0.25">
      <c r="A1650" s="551" t="s">
        <v>34846</v>
      </c>
      <c r="B1650" s="551" t="s">
        <v>34847</v>
      </c>
      <c r="C1650" s="552" t="s">
        <v>158</v>
      </c>
      <c r="D1650" s="557">
        <v>177.85</v>
      </c>
      <c r="E1650" s="557">
        <v>177.85</v>
      </c>
      <c r="F1650" s="557"/>
      <c r="G1650" s="557">
        <v>177.85</v>
      </c>
    </row>
    <row r="1651" spans="1:7" ht="24.95" customHeight="1" x14ac:dyDescent="0.25">
      <c r="A1651" s="551" t="s">
        <v>34848</v>
      </c>
      <c r="B1651" s="342" t="s">
        <v>34849</v>
      </c>
      <c r="C1651" s="552" t="s">
        <v>158</v>
      </c>
      <c r="D1651" s="557">
        <v>351.33</v>
      </c>
      <c r="E1651" s="557">
        <v>351.33</v>
      </c>
      <c r="F1651" s="557"/>
      <c r="G1651" s="557">
        <v>351.33</v>
      </c>
    </row>
    <row r="1652" spans="1:7" ht="24.95" customHeight="1" x14ac:dyDescent="0.25">
      <c r="A1652" s="551" t="s">
        <v>34850</v>
      </c>
      <c r="B1652" s="342" t="s">
        <v>34851</v>
      </c>
      <c r="C1652" s="552" t="s">
        <v>158</v>
      </c>
      <c r="D1652" s="557">
        <v>781.4</v>
      </c>
      <c r="E1652" s="557">
        <v>771.66</v>
      </c>
      <c r="F1652" s="557">
        <v>9.74</v>
      </c>
      <c r="G1652" s="557">
        <v>781.4</v>
      </c>
    </row>
    <row r="1653" spans="1:7" ht="24.95" customHeight="1" x14ac:dyDescent="0.25">
      <c r="A1653" s="551" t="s">
        <v>34852</v>
      </c>
      <c r="B1653" s="342" t="s">
        <v>34853</v>
      </c>
      <c r="C1653" s="552" t="s">
        <v>158</v>
      </c>
      <c r="D1653" s="557">
        <v>1113.8900000000001</v>
      </c>
      <c r="E1653" s="557">
        <v>1104.1500000000001</v>
      </c>
      <c r="F1653" s="557">
        <v>9.74</v>
      </c>
      <c r="G1653" s="557">
        <v>1113.8900000000001</v>
      </c>
    </row>
    <row r="1654" spans="1:7" ht="24.95" customHeight="1" x14ac:dyDescent="0.25">
      <c r="A1654" s="551" t="s">
        <v>34854</v>
      </c>
      <c r="B1654" s="342" t="s">
        <v>34855</v>
      </c>
      <c r="C1654" s="552" t="s">
        <v>158</v>
      </c>
      <c r="D1654" s="557">
        <v>259.97000000000003</v>
      </c>
      <c r="E1654" s="557">
        <v>259.97000000000003</v>
      </c>
      <c r="F1654" s="557"/>
      <c r="G1654" s="557">
        <v>259.97000000000003</v>
      </c>
    </row>
    <row r="1655" spans="1:7" ht="11.45" customHeight="1" x14ac:dyDescent="0.25">
      <c r="A1655" s="543" t="s">
        <v>34856</v>
      </c>
      <c r="B1655" s="544" t="s">
        <v>34857</v>
      </c>
      <c r="C1655" s="560"/>
      <c r="D1655" s="543"/>
      <c r="E1655" s="545"/>
      <c r="F1655" s="546"/>
      <c r="G1655" s="543"/>
    </row>
    <row r="1656" spans="1:7" ht="24.95" customHeight="1" x14ac:dyDescent="0.25">
      <c r="A1656" s="551" t="s">
        <v>34858</v>
      </c>
      <c r="B1656" s="342" t="s">
        <v>34859</v>
      </c>
      <c r="C1656" s="561" t="s">
        <v>6008</v>
      </c>
      <c r="D1656" s="557">
        <v>26.27</v>
      </c>
      <c r="E1656" s="557">
        <v>13.32</v>
      </c>
      <c r="F1656" s="557">
        <v>12.95</v>
      </c>
      <c r="G1656" s="557">
        <v>26.27</v>
      </c>
    </row>
    <row r="1657" spans="1:7" ht="12.6" customHeight="1" x14ac:dyDescent="0.25">
      <c r="A1657" s="551" t="s">
        <v>34860</v>
      </c>
      <c r="B1657" s="551" t="s">
        <v>34861</v>
      </c>
      <c r="C1657" s="561" t="s">
        <v>18765</v>
      </c>
      <c r="D1657" s="557">
        <v>137.49</v>
      </c>
      <c r="E1657" s="557">
        <v>128.86000000000001</v>
      </c>
      <c r="F1657" s="557">
        <v>8.6300000000000008</v>
      </c>
      <c r="G1657" s="557">
        <v>137.49</v>
      </c>
    </row>
    <row r="1658" spans="1:7" ht="24.95" customHeight="1" x14ac:dyDescent="0.25">
      <c r="A1658" s="551" t="s">
        <v>34862</v>
      </c>
      <c r="B1658" s="342" t="s">
        <v>34863</v>
      </c>
      <c r="C1658" s="561"/>
      <c r="D1658" s="557"/>
      <c r="E1658" s="557"/>
      <c r="F1658" s="557"/>
      <c r="G1658" s="557"/>
    </row>
    <row r="1659" spans="1:7" ht="24.95" customHeight="1" x14ac:dyDescent="0.25">
      <c r="A1659" s="551" t="s">
        <v>34864</v>
      </c>
      <c r="B1659" s="342" t="s">
        <v>34865</v>
      </c>
      <c r="C1659" s="561" t="s">
        <v>158</v>
      </c>
      <c r="D1659" s="557">
        <v>7.26</v>
      </c>
      <c r="E1659" s="557">
        <v>4.6399999999999997</v>
      </c>
      <c r="F1659" s="557">
        <v>2.62</v>
      </c>
      <c r="G1659" s="557">
        <v>7.26</v>
      </c>
    </row>
    <row r="1660" spans="1:7" ht="24.95" customHeight="1" x14ac:dyDescent="0.25">
      <c r="A1660" s="551" t="s">
        <v>34866</v>
      </c>
      <c r="B1660" s="342" t="s">
        <v>34867</v>
      </c>
      <c r="C1660" s="561" t="s">
        <v>158</v>
      </c>
      <c r="D1660" s="557">
        <v>14.55</v>
      </c>
      <c r="E1660" s="557">
        <v>9.2899999999999991</v>
      </c>
      <c r="F1660" s="557">
        <v>5.26</v>
      </c>
      <c r="G1660" s="557">
        <v>14.55</v>
      </c>
    </row>
    <row r="1661" spans="1:7" ht="12.6" customHeight="1" x14ac:dyDescent="0.2">
      <c r="A1661" s="548" t="s">
        <v>34868</v>
      </c>
      <c r="B1661" s="548" t="s">
        <v>34869</v>
      </c>
      <c r="C1661" s="550" t="s">
        <v>158</v>
      </c>
      <c r="D1661" s="550">
        <v>21.82</v>
      </c>
      <c r="E1661" s="550">
        <v>13.94</v>
      </c>
      <c r="F1661" s="550">
        <v>7.88</v>
      </c>
      <c r="G1661" s="550">
        <v>21.82</v>
      </c>
    </row>
    <row r="1662" spans="1:7" ht="24.95" customHeight="1" x14ac:dyDescent="0.25">
      <c r="A1662" s="551" t="s">
        <v>34870</v>
      </c>
      <c r="B1662" s="342" t="s">
        <v>34871</v>
      </c>
      <c r="C1662" s="561" t="s">
        <v>158</v>
      </c>
      <c r="D1662" s="557">
        <v>29.1</v>
      </c>
      <c r="E1662" s="557">
        <v>18.579999999999998</v>
      </c>
      <c r="F1662" s="557">
        <v>10.52</v>
      </c>
      <c r="G1662" s="557">
        <v>29.1</v>
      </c>
    </row>
    <row r="1663" spans="1:7" ht="24.95" customHeight="1" x14ac:dyDescent="0.25">
      <c r="A1663" s="551" t="s">
        <v>34872</v>
      </c>
      <c r="B1663" s="342" t="s">
        <v>34873</v>
      </c>
      <c r="C1663" s="561" t="s">
        <v>158</v>
      </c>
      <c r="D1663" s="553">
        <v>43.68</v>
      </c>
      <c r="E1663" s="553">
        <v>27.9</v>
      </c>
      <c r="F1663" s="557">
        <v>15.78</v>
      </c>
      <c r="G1663" s="553">
        <v>43.68</v>
      </c>
    </row>
    <row r="1664" spans="1:7" ht="24.95" customHeight="1" x14ac:dyDescent="0.25">
      <c r="A1664" s="551" t="s">
        <v>34874</v>
      </c>
      <c r="B1664" s="342" t="s">
        <v>34875</v>
      </c>
      <c r="C1664" s="561" t="s">
        <v>158</v>
      </c>
      <c r="D1664" s="553">
        <v>27.99</v>
      </c>
      <c r="E1664" s="553">
        <v>26.37</v>
      </c>
      <c r="F1664" s="557">
        <v>1.62</v>
      </c>
      <c r="G1664" s="553">
        <v>27.99</v>
      </c>
    </row>
    <row r="1665" spans="1:7" ht="24.95" customHeight="1" x14ac:dyDescent="0.25">
      <c r="A1665" s="551" t="s">
        <v>34876</v>
      </c>
      <c r="B1665" s="342" t="s">
        <v>34877</v>
      </c>
      <c r="C1665" s="561" t="s">
        <v>158</v>
      </c>
      <c r="D1665" s="553">
        <v>49.83</v>
      </c>
      <c r="E1665" s="557">
        <v>47.56</v>
      </c>
      <c r="F1665" s="557">
        <v>2.27</v>
      </c>
      <c r="G1665" s="553">
        <v>49.83</v>
      </c>
    </row>
    <row r="1666" spans="1:7" ht="12.6" customHeight="1" x14ac:dyDescent="0.2">
      <c r="A1666" s="548" t="s">
        <v>34878</v>
      </c>
      <c r="B1666" s="548" t="s">
        <v>34879</v>
      </c>
      <c r="C1666" s="550" t="s">
        <v>158</v>
      </c>
      <c r="D1666" s="550">
        <v>75.94</v>
      </c>
      <c r="E1666" s="550">
        <v>73.02</v>
      </c>
      <c r="F1666" s="550">
        <v>2.92</v>
      </c>
      <c r="G1666" s="550">
        <v>75.94</v>
      </c>
    </row>
    <row r="1667" spans="1:7" ht="24.95" customHeight="1" x14ac:dyDescent="0.25">
      <c r="A1667" s="551" t="s">
        <v>34880</v>
      </c>
      <c r="B1667" s="342" t="s">
        <v>34881</v>
      </c>
      <c r="C1667" s="561"/>
      <c r="D1667" s="553"/>
      <c r="E1667" s="553"/>
      <c r="F1667" s="344"/>
      <c r="G1667" s="553"/>
    </row>
    <row r="1668" spans="1:7" ht="24.95" customHeight="1" x14ac:dyDescent="0.25">
      <c r="A1668" s="551" t="s">
        <v>34882</v>
      </c>
      <c r="B1668" s="342" t="s">
        <v>34883</v>
      </c>
      <c r="C1668" s="561" t="s">
        <v>227</v>
      </c>
      <c r="D1668" s="553">
        <v>42.6</v>
      </c>
      <c r="E1668" s="553">
        <v>31.59</v>
      </c>
      <c r="F1668" s="344">
        <v>11.01</v>
      </c>
      <c r="G1668" s="553">
        <v>42.6</v>
      </c>
    </row>
    <row r="1669" spans="1:7" ht="24.95" customHeight="1" x14ac:dyDescent="0.25">
      <c r="A1669" s="551" t="s">
        <v>34884</v>
      </c>
      <c r="B1669" s="342" t="s">
        <v>34885</v>
      </c>
      <c r="C1669" s="561" t="s">
        <v>158</v>
      </c>
      <c r="D1669" s="553">
        <v>12.45</v>
      </c>
      <c r="E1669" s="553">
        <v>1.44</v>
      </c>
      <c r="F1669" s="344">
        <v>11.01</v>
      </c>
      <c r="G1669" s="553">
        <v>12.45</v>
      </c>
    </row>
    <row r="1670" spans="1:7" ht="24.95" customHeight="1" x14ac:dyDescent="0.25">
      <c r="A1670" s="551" t="s">
        <v>34886</v>
      </c>
      <c r="B1670" s="342" t="s">
        <v>34887</v>
      </c>
      <c r="C1670" s="561" t="s">
        <v>158</v>
      </c>
      <c r="D1670" s="553">
        <v>13.11</v>
      </c>
      <c r="E1670" s="553">
        <v>2.1</v>
      </c>
      <c r="F1670" s="344">
        <v>11.01</v>
      </c>
      <c r="G1670" s="553">
        <v>13.11</v>
      </c>
    </row>
    <row r="1671" spans="1:7" ht="12.6" customHeight="1" x14ac:dyDescent="0.2">
      <c r="A1671" s="559" t="s">
        <v>34888</v>
      </c>
      <c r="B1671" s="548" t="s">
        <v>34889</v>
      </c>
      <c r="C1671" s="550" t="s">
        <v>158</v>
      </c>
      <c r="D1671" s="550">
        <v>13.69</v>
      </c>
      <c r="E1671" s="550">
        <v>2.68</v>
      </c>
      <c r="F1671" s="550">
        <v>11.01</v>
      </c>
      <c r="G1671" s="550">
        <v>13.69</v>
      </c>
    </row>
    <row r="1672" spans="1:7" ht="12.6" customHeight="1" x14ac:dyDescent="0.2">
      <c r="A1672" s="548" t="s">
        <v>34890</v>
      </c>
      <c r="B1672" s="548" t="s">
        <v>34891</v>
      </c>
      <c r="C1672" s="550" t="s">
        <v>158</v>
      </c>
      <c r="D1672" s="550">
        <v>13.86</v>
      </c>
      <c r="E1672" s="550">
        <v>2.85</v>
      </c>
      <c r="F1672" s="550">
        <v>11.01</v>
      </c>
      <c r="G1672" s="550">
        <v>13.86</v>
      </c>
    </row>
    <row r="1673" spans="1:7" ht="12.6" customHeight="1" x14ac:dyDescent="0.25">
      <c r="A1673" s="551" t="s">
        <v>34892</v>
      </c>
      <c r="B1673" s="551" t="s">
        <v>34893</v>
      </c>
      <c r="C1673" s="562" t="s">
        <v>158</v>
      </c>
      <c r="D1673" s="557">
        <v>16.489999999999998</v>
      </c>
      <c r="E1673" s="557">
        <v>5.48</v>
      </c>
      <c r="F1673" s="557">
        <v>11.01</v>
      </c>
      <c r="G1673" s="557">
        <v>16.489999999999998</v>
      </c>
    </row>
    <row r="1674" spans="1:7" ht="12.6" customHeight="1" x14ac:dyDescent="0.25">
      <c r="A1674" s="551" t="s">
        <v>34894</v>
      </c>
      <c r="B1674" s="551" t="s">
        <v>34895</v>
      </c>
      <c r="C1674" s="562" t="s">
        <v>158</v>
      </c>
      <c r="D1674" s="557">
        <v>18.32</v>
      </c>
      <c r="E1674" s="557">
        <v>7.31</v>
      </c>
      <c r="F1674" s="557">
        <v>11.01</v>
      </c>
      <c r="G1674" s="557">
        <v>18.32</v>
      </c>
    </row>
    <row r="1675" spans="1:7" ht="12.6" customHeight="1" x14ac:dyDescent="0.25">
      <c r="A1675" s="551" t="s">
        <v>34896</v>
      </c>
      <c r="B1675" s="551" t="s">
        <v>34897</v>
      </c>
      <c r="C1675" s="562" t="s">
        <v>158</v>
      </c>
      <c r="D1675" s="557">
        <v>17.66</v>
      </c>
      <c r="E1675" s="557">
        <v>6.65</v>
      </c>
      <c r="F1675" s="557">
        <v>11.01</v>
      </c>
      <c r="G1675" s="557">
        <v>17.66</v>
      </c>
    </row>
    <row r="1676" spans="1:7" ht="24.95" customHeight="1" x14ac:dyDescent="0.25">
      <c r="A1676" s="551" t="s">
        <v>34898</v>
      </c>
      <c r="B1676" s="342" t="s">
        <v>34899</v>
      </c>
      <c r="C1676" s="562" t="s">
        <v>158</v>
      </c>
      <c r="D1676" s="557">
        <v>17.86</v>
      </c>
      <c r="E1676" s="557">
        <v>6.85</v>
      </c>
      <c r="F1676" s="557">
        <v>11.01</v>
      </c>
      <c r="G1676" s="557">
        <v>17.86</v>
      </c>
    </row>
    <row r="1677" spans="1:7" ht="24.95" customHeight="1" x14ac:dyDescent="0.25">
      <c r="A1677" s="551" t="s">
        <v>34900</v>
      </c>
      <c r="B1677" s="342" t="s">
        <v>34901</v>
      </c>
      <c r="C1677" s="562" t="s">
        <v>158</v>
      </c>
      <c r="D1677" s="557">
        <v>19.059999999999999</v>
      </c>
      <c r="E1677" s="557">
        <v>8.0500000000000007</v>
      </c>
      <c r="F1677" s="557">
        <v>11.01</v>
      </c>
      <c r="G1677" s="557">
        <v>19.059999999999999</v>
      </c>
    </row>
    <row r="1678" spans="1:7" ht="23.1" customHeight="1" x14ac:dyDescent="0.25">
      <c r="A1678" s="551" t="s">
        <v>34902</v>
      </c>
      <c r="B1678" s="551" t="s">
        <v>34903</v>
      </c>
      <c r="C1678" s="562" t="s">
        <v>158</v>
      </c>
      <c r="D1678" s="557">
        <v>20.02</v>
      </c>
      <c r="E1678" s="557">
        <v>9.01</v>
      </c>
      <c r="F1678" s="344">
        <v>11.01</v>
      </c>
      <c r="G1678" s="557">
        <v>20.02</v>
      </c>
    </row>
    <row r="1679" spans="1:7" ht="24.95" customHeight="1" x14ac:dyDescent="0.25">
      <c r="A1679" s="551" t="s">
        <v>34904</v>
      </c>
      <c r="B1679" s="342" t="s">
        <v>34905</v>
      </c>
      <c r="C1679" s="562" t="s">
        <v>158</v>
      </c>
      <c r="D1679" s="557">
        <v>31.52</v>
      </c>
      <c r="E1679" s="557">
        <v>20.51</v>
      </c>
      <c r="F1679" s="344">
        <v>11.01</v>
      </c>
      <c r="G1679" s="557">
        <v>31.52</v>
      </c>
    </row>
    <row r="1680" spans="1:7" ht="23.1" customHeight="1" x14ac:dyDescent="0.25">
      <c r="A1680" s="551" t="s">
        <v>34906</v>
      </c>
      <c r="B1680" s="551" t="s">
        <v>34907</v>
      </c>
      <c r="C1680" s="562" t="s">
        <v>158</v>
      </c>
      <c r="D1680" s="557">
        <v>36.950000000000003</v>
      </c>
      <c r="E1680" s="557">
        <v>25.94</v>
      </c>
      <c r="F1680" s="557">
        <v>11.01</v>
      </c>
      <c r="G1680" s="557">
        <v>36.950000000000003</v>
      </c>
    </row>
    <row r="1681" spans="1:7" ht="34.5" customHeight="1" x14ac:dyDescent="0.25">
      <c r="A1681" s="554" t="s">
        <v>34908</v>
      </c>
      <c r="B1681" s="551" t="s">
        <v>34909</v>
      </c>
      <c r="C1681" s="563" t="s">
        <v>158</v>
      </c>
      <c r="D1681" s="558">
        <v>40.61</v>
      </c>
      <c r="E1681" s="558">
        <v>29.6</v>
      </c>
      <c r="F1681" s="342">
        <v>11.01</v>
      </c>
      <c r="G1681" s="558">
        <v>40.61</v>
      </c>
    </row>
    <row r="1682" spans="1:7" ht="12.6" customHeight="1" x14ac:dyDescent="0.2">
      <c r="A1682" s="548" t="s">
        <v>34910</v>
      </c>
      <c r="B1682" s="548" t="s">
        <v>34911</v>
      </c>
      <c r="C1682" s="550" t="s">
        <v>158</v>
      </c>
      <c r="D1682" s="550">
        <v>44.33</v>
      </c>
      <c r="E1682" s="550">
        <v>33.32</v>
      </c>
      <c r="F1682" s="550">
        <v>11.01</v>
      </c>
      <c r="G1682" s="550">
        <v>44.33</v>
      </c>
    </row>
    <row r="1683" spans="1:7" ht="12.6" customHeight="1" x14ac:dyDescent="0.25">
      <c r="A1683" s="551" t="s">
        <v>34912</v>
      </c>
      <c r="B1683" s="551" t="s">
        <v>34913</v>
      </c>
      <c r="C1683" s="561" t="s">
        <v>158</v>
      </c>
      <c r="D1683" s="557">
        <v>49.2</v>
      </c>
      <c r="E1683" s="557">
        <v>38.19</v>
      </c>
      <c r="F1683" s="557">
        <v>11.01</v>
      </c>
      <c r="G1683" s="557">
        <v>49.2</v>
      </c>
    </row>
    <row r="1684" spans="1:7" ht="12.6" customHeight="1" x14ac:dyDescent="0.25">
      <c r="A1684" s="551" t="s">
        <v>34914</v>
      </c>
      <c r="B1684" s="551" t="s">
        <v>34915</v>
      </c>
      <c r="C1684" s="561" t="s">
        <v>158</v>
      </c>
      <c r="D1684" s="557">
        <v>55.14</v>
      </c>
      <c r="E1684" s="557">
        <v>44.13</v>
      </c>
      <c r="F1684" s="557">
        <v>11.01</v>
      </c>
      <c r="G1684" s="557">
        <v>55.14</v>
      </c>
    </row>
    <row r="1685" spans="1:7" ht="24.95" customHeight="1" x14ac:dyDescent="0.25">
      <c r="A1685" s="551" t="s">
        <v>34916</v>
      </c>
      <c r="B1685" s="342" t="s">
        <v>34917</v>
      </c>
      <c r="C1685" s="561" t="s">
        <v>158</v>
      </c>
      <c r="D1685" s="557">
        <v>64.14</v>
      </c>
      <c r="E1685" s="557">
        <v>53.13</v>
      </c>
      <c r="F1685" s="557">
        <v>11.01</v>
      </c>
      <c r="G1685" s="557">
        <v>64.14</v>
      </c>
    </row>
    <row r="1686" spans="1:7" ht="12.6" customHeight="1" x14ac:dyDescent="0.25">
      <c r="A1686" s="551" t="s">
        <v>34918</v>
      </c>
      <c r="B1686" s="551" t="s">
        <v>34919</v>
      </c>
      <c r="C1686" s="562" t="s">
        <v>158</v>
      </c>
      <c r="D1686" s="557">
        <v>70.17</v>
      </c>
      <c r="E1686" s="557">
        <v>59.16</v>
      </c>
      <c r="F1686" s="557">
        <v>11.01</v>
      </c>
      <c r="G1686" s="557">
        <v>70.17</v>
      </c>
    </row>
    <row r="1687" spans="1:7" ht="12.6" customHeight="1" x14ac:dyDescent="0.25">
      <c r="A1687" s="551" t="s">
        <v>34920</v>
      </c>
      <c r="B1687" s="551" t="s">
        <v>34921</v>
      </c>
      <c r="C1687" s="561" t="s">
        <v>158</v>
      </c>
      <c r="D1687" s="557">
        <v>92.39</v>
      </c>
      <c r="E1687" s="557">
        <v>81.38</v>
      </c>
      <c r="F1687" s="557">
        <v>11.01</v>
      </c>
      <c r="G1687" s="557">
        <v>92.39</v>
      </c>
    </row>
    <row r="1688" spans="1:7" ht="12.6" customHeight="1" x14ac:dyDescent="0.25">
      <c r="A1688" s="551" t="s">
        <v>34922</v>
      </c>
      <c r="B1688" s="551" t="s">
        <v>34923</v>
      </c>
      <c r="C1688" s="562" t="s">
        <v>158</v>
      </c>
      <c r="D1688" s="557">
        <v>111.87</v>
      </c>
      <c r="E1688" s="557">
        <v>100.86</v>
      </c>
      <c r="F1688" s="557">
        <v>11.01</v>
      </c>
      <c r="G1688" s="557">
        <v>111.87</v>
      </c>
    </row>
    <row r="1689" spans="1:7" ht="24.95" customHeight="1" x14ac:dyDescent="0.25">
      <c r="A1689" s="551" t="s">
        <v>34924</v>
      </c>
      <c r="B1689" s="342" t="s">
        <v>34925</v>
      </c>
      <c r="C1689" s="561" t="s">
        <v>158</v>
      </c>
      <c r="D1689" s="557">
        <v>142.55000000000001</v>
      </c>
      <c r="E1689" s="557">
        <v>131.54</v>
      </c>
      <c r="F1689" s="557">
        <v>11.01</v>
      </c>
      <c r="G1689" s="557">
        <v>142.55000000000001</v>
      </c>
    </row>
    <row r="1690" spans="1:7" ht="24.95" customHeight="1" x14ac:dyDescent="0.25">
      <c r="A1690" s="551" t="s">
        <v>34926</v>
      </c>
      <c r="B1690" s="342" t="s">
        <v>34927</v>
      </c>
      <c r="C1690" s="561" t="s">
        <v>227</v>
      </c>
      <c r="D1690" s="557">
        <v>221.16</v>
      </c>
      <c r="E1690" s="557">
        <v>200.96</v>
      </c>
      <c r="F1690" s="557">
        <v>20.2</v>
      </c>
      <c r="G1690" s="557">
        <v>221.16</v>
      </c>
    </row>
    <row r="1691" spans="1:7" ht="11.45" customHeight="1" x14ac:dyDescent="0.25">
      <c r="A1691" s="543" t="s">
        <v>34928</v>
      </c>
      <c r="B1691" s="544" t="s">
        <v>34929</v>
      </c>
      <c r="C1691" s="560" t="s">
        <v>158</v>
      </c>
      <c r="D1691" s="543">
        <v>26.82</v>
      </c>
      <c r="E1691" s="545">
        <v>15.81</v>
      </c>
      <c r="F1691" s="546">
        <v>11.01</v>
      </c>
      <c r="G1691" s="543">
        <v>26.82</v>
      </c>
    </row>
    <row r="1692" spans="1:7" ht="34.5" customHeight="1" x14ac:dyDescent="0.25">
      <c r="A1692" s="551" t="s">
        <v>34930</v>
      </c>
      <c r="B1692" s="551" t="s">
        <v>34931</v>
      </c>
      <c r="C1692" s="561" t="s">
        <v>158</v>
      </c>
      <c r="D1692" s="557">
        <v>29.7</v>
      </c>
      <c r="E1692" s="557">
        <v>18.690000000000001</v>
      </c>
      <c r="F1692" s="557">
        <v>11.01</v>
      </c>
      <c r="G1692" s="557">
        <v>29.7</v>
      </c>
    </row>
    <row r="1693" spans="1:7" ht="34.5" customHeight="1" x14ac:dyDescent="0.25">
      <c r="A1693" s="554" t="s">
        <v>34932</v>
      </c>
      <c r="B1693" s="342" t="s">
        <v>34933</v>
      </c>
      <c r="C1693" s="564"/>
      <c r="D1693" s="558"/>
      <c r="E1693" s="558"/>
      <c r="F1693" s="558"/>
      <c r="G1693" s="558"/>
    </row>
    <row r="1694" spans="1:7" ht="12.6" customHeight="1" x14ac:dyDescent="0.2">
      <c r="A1694" s="548" t="s">
        <v>34934</v>
      </c>
      <c r="B1694" s="548" t="s">
        <v>34935</v>
      </c>
      <c r="C1694" s="550" t="s">
        <v>227</v>
      </c>
      <c r="D1694" s="550">
        <v>81.569999999999993</v>
      </c>
      <c r="E1694" s="550">
        <v>62.78</v>
      </c>
      <c r="F1694" s="550">
        <v>18.79</v>
      </c>
      <c r="G1694" s="550">
        <v>81.569999999999993</v>
      </c>
    </row>
    <row r="1695" spans="1:7" ht="24.95" customHeight="1" x14ac:dyDescent="0.25">
      <c r="A1695" s="551" t="s">
        <v>34936</v>
      </c>
      <c r="B1695" s="342" t="s">
        <v>34937</v>
      </c>
      <c r="C1695" s="562" t="s">
        <v>227</v>
      </c>
      <c r="D1695" s="557">
        <v>87.07</v>
      </c>
      <c r="E1695" s="557">
        <v>68.28</v>
      </c>
      <c r="F1695" s="557">
        <v>18.79</v>
      </c>
      <c r="G1695" s="557">
        <v>87.07</v>
      </c>
    </row>
    <row r="1696" spans="1:7" ht="24.95" customHeight="1" x14ac:dyDescent="0.25">
      <c r="A1696" s="551" t="s">
        <v>34938</v>
      </c>
      <c r="B1696" s="342" t="s">
        <v>34939</v>
      </c>
      <c r="C1696" s="562" t="s">
        <v>227</v>
      </c>
      <c r="D1696" s="557">
        <v>165.64</v>
      </c>
      <c r="E1696" s="557">
        <v>141.97999999999999</v>
      </c>
      <c r="F1696" s="557">
        <v>23.66</v>
      </c>
      <c r="G1696" s="557">
        <v>165.64</v>
      </c>
    </row>
    <row r="1697" spans="1:7" ht="12.6" customHeight="1" x14ac:dyDescent="0.25">
      <c r="A1697" s="551" t="s">
        <v>34940</v>
      </c>
      <c r="B1697" s="551" t="s">
        <v>34941</v>
      </c>
      <c r="C1697" s="561" t="s">
        <v>227</v>
      </c>
      <c r="D1697" s="557">
        <v>169.5</v>
      </c>
      <c r="E1697" s="557">
        <v>145.84</v>
      </c>
      <c r="F1697" s="557">
        <v>23.66</v>
      </c>
      <c r="G1697" s="557">
        <v>169.5</v>
      </c>
    </row>
    <row r="1698" spans="1:7" ht="12.6" customHeight="1" x14ac:dyDescent="0.25">
      <c r="A1698" s="551" t="s">
        <v>34942</v>
      </c>
      <c r="B1698" s="551" t="s">
        <v>34943</v>
      </c>
      <c r="C1698" s="561" t="s">
        <v>227</v>
      </c>
      <c r="D1698" s="557">
        <v>108.92</v>
      </c>
      <c r="E1698" s="557">
        <v>108.92</v>
      </c>
      <c r="F1698" s="557"/>
      <c r="G1698" s="557">
        <v>108.92</v>
      </c>
    </row>
    <row r="1699" spans="1:7" ht="24.95" customHeight="1" x14ac:dyDescent="0.25">
      <c r="A1699" s="551" t="s">
        <v>34944</v>
      </c>
      <c r="B1699" s="342" t="s">
        <v>34945</v>
      </c>
      <c r="C1699" s="561"/>
      <c r="D1699" s="557"/>
      <c r="E1699" s="557"/>
      <c r="F1699" s="344"/>
      <c r="G1699" s="557"/>
    </row>
    <row r="1700" spans="1:7" ht="24.95" customHeight="1" x14ac:dyDescent="0.25">
      <c r="A1700" s="551" t="s">
        <v>34946</v>
      </c>
      <c r="B1700" s="342" t="s">
        <v>34947</v>
      </c>
      <c r="C1700" s="561" t="s">
        <v>227</v>
      </c>
      <c r="D1700" s="557">
        <v>19.22</v>
      </c>
      <c r="E1700" s="557">
        <v>11.43</v>
      </c>
      <c r="F1700" s="344">
        <v>7.79</v>
      </c>
      <c r="G1700" s="557">
        <v>19.22</v>
      </c>
    </row>
    <row r="1701" spans="1:7" ht="24.95" customHeight="1" x14ac:dyDescent="0.25">
      <c r="A1701" s="551" t="s">
        <v>34948</v>
      </c>
      <c r="B1701" s="342" t="s">
        <v>34949</v>
      </c>
      <c r="C1701" s="561" t="s">
        <v>227</v>
      </c>
      <c r="D1701" s="557">
        <v>15.79</v>
      </c>
      <c r="E1701" s="557">
        <v>8</v>
      </c>
      <c r="F1701" s="557">
        <v>7.79</v>
      </c>
      <c r="G1701" s="557">
        <v>15.79</v>
      </c>
    </row>
    <row r="1702" spans="1:7" ht="24.95" customHeight="1" x14ac:dyDescent="0.25">
      <c r="A1702" s="551" t="s">
        <v>34950</v>
      </c>
      <c r="B1702" s="342" t="s">
        <v>34951</v>
      </c>
      <c r="C1702" s="561" t="s">
        <v>227</v>
      </c>
      <c r="D1702" s="553">
        <v>61.22</v>
      </c>
      <c r="E1702" s="553">
        <v>53.43</v>
      </c>
      <c r="F1702" s="557">
        <v>7.79</v>
      </c>
      <c r="G1702" s="553">
        <v>61.22</v>
      </c>
    </row>
    <row r="1703" spans="1:7" ht="12.6" customHeight="1" x14ac:dyDescent="0.2">
      <c r="A1703" s="551" t="s">
        <v>34952</v>
      </c>
      <c r="B1703" s="551" t="s">
        <v>34953</v>
      </c>
      <c r="C1703" s="561" t="s">
        <v>227</v>
      </c>
      <c r="D1703" s="557">
        <v>101.08</v>
      </c>
      <c r="E1703" s="557">
        <v>79.489999999999995</v>
      </c>
      <c r="F1703" s="343">
        <v>21.59</v>
      </c>
      <c r="G1703" s="557">
        <v>101.08</v>
      </c>
    </row>
    <row r="1704" spans="1:7" ht="12.6" customHeight="1" x14ac:dyDescent="0.2">
      <c r="A1704" s="548" t="s">
        <v>34954</v>
      </c>
      <c r="B1704" s="548" t="s">
        <v>34955</v>
      </c>
      <c r="C1704" s="550" t="s">
        <v>227</v>
      </c>
      <c r="D1704" s="550">
        <v>59.89</v>
      </c>
      <c r="E1704" s="550">
        <v>52.1</v>
      </c>
      <c r="F1704" s="550">
        <v>7.79</v>
      </c>
      <c r="G1704" s="550">
        <v>59.89</v>
      </c>
    </row>
    <row r="1705" spans="1:7" ht="12.6" customHeight="1" x14ac:dyDescent="0.25">
      <c r="A1705" s="551" t="s">
        <v>34956</v>
      </c>
      <c r="B1705" s="551" t="s">
        <v>34957</v>
      </c>
      <c r="C1705" s="561" t="s">
        <v>227</v>
      </c>
      <c r="D1705" s="557">
        <v>99.22</v>
      </c>
      <c r="E1705" s="557">
        <v>77.63</v>
      </c>
      <c r="F1705" s="557">
        <v>21.59</v>
      </c>
      <c r="G1705" s="557">
        <v>99.22</v>
      </c>
    </row>
    <row r="1706" spans="1:7" ht="12.6" customHeight="1" x14ac:dyDescent="0.25">
      <c r="A1706" s="551" t="s">
        <v>34958</v>
      </c>
      <c r="B1706" s="551" t="s">
        <v>34959</v>
      </c>
      <c r="C1706" s="562" t="s">
        <v>227</v>
      </c>
      <c r="D1706" s="557">
        <v>67.069999999999993</v>
      </c>
      <c r="E1706" s="557">
        <v>41.59</v>
      </c>
      <c r="F1706" s="557">
        <v>25.48</v>
      </c>
      <c r="G1706" s="557">
        <v>67.069999999999993</v>
      </c>
    </row>
    <row r="1707" spans="1:7" ht="12.6" customHeight="1" x14ac:dyDescent="0.2">
      <c r="A1707" s="548" t="s">
        <v>34960</v>
      </c>
      <c r="B1707" s="548" t="s">
        <v>34961</v>
      </c>
      <c r="C1707" s="550"/>
      <c r="D1707" s="550"/>
      <c r="E1707" s="550"/>
      <c r="F1707" s="550"/>
      <c r="G1707" s="550"/>
    </row>
    <row r="1708" spans="1:7" ht="24.95" customHeight="1" x14ac:dyDescent="0.25">
      <c r="A1708" s="551" t="s">
        <v>34962</v>
      </c>
      <c r="B1708" s="342" t="s">
        <v>34963</v>
      </c>
      <c r="C1708" s="561" t="s">
        <v>159</v>
      </c>
      <c r="D1708" s="557">
        <v>807.56</v>
      </c>
      <c r="E1708" s="557">
        <v>470.72</v>
      </c>
      <c r="F1708" s="557">
        <v>336.84</v>
      </c>
      <c r="G1708" s="557">
        <v>807.56</v>
      </c>
    </row>
    <row r="1709" spans="1:7" ht="24.95" customHeight="1" x14ac:dyDescent="0.25">
      <c r="A1709" s="551" t="s">
        <v>34964</v>
      </c>
      <c r="B1709" s="342" t="s">
        <v>34965</v>
      </c>
      <c r="C1709" s="561" t="s">
        <v>159</v>
      </c>
      <c r="D1709" s="557">
        <v>503.29</v>
      </c>
      <c r="E1709" s="557">
        <v>464.34</v>
      </c>
      <c r="F1709" s="557">
        <v>38.950000000000003</v>
      </c>
      <c r="G1709" s="557">
        <v>503.29</v>
      </c>
    </row>
    <row r="1710" spans="1:7" ht="24.95" customHeight="1" x14ac:dyDescent="0.25">
      <c r="A1710" s="551" t="s">
        <v>34966</v>
      </c>
      <c r="B1710" s="342" t="s">
        <v>34967</v>
      </c>
      <c r="C1710" s="561" t="s">
        <v>227</v>
      </c>
      <c r="D1710" s="557">
        <v>13.97</v>
      </c>
      <c r="E1710" s="557">
        <v>5.76</v>
      </c>
      <c r="F1710" s="557">
        <v>8.2100000000000009</v>
      </c>
      <c r="G1710" s="557">
        <v>13.97</v>
      </c>
    </row>
    <row r="1711" spans="1:7" ht="24.95" customHeight="1" x14ac:dyDescent="0.25">
      <c r="A1711" s="551" t="s">
        <v>34968</v>
      </c>
      <c r="B1711" s="342" t="s">
        <v>34969</v>
      </c>
      <c r="C1711" s="561" t="s">
        <v>227</v>
      </c>
      <c r="D1711" s="557">
        <v>32.630000000000003</v>
      </c>
      <c r="E1711" s="557">
        <v>16.21</v>
      </c>
      <c r="F1711" s="557">
        <v>16.420000000000002</v>
      </c>
      <c r="G1711" s="557">
        <v>32.630000000000003</v>
      </c>
    </row>
    <row r="1712" spans="1:7" ht="24.95" customHeight="1" x14ac:dyDescent="0.25">
      <c r="A1712" s="551" t="s">
        <v>34970</v>
      </c>
      <c r="B1712" s="342" t="s">
        <v>34971</v>
      </c>
      <c r="C1712" s="561" t="s">
        <v>227</v>
      </c>
      <c r="D1712" s="557">
        <v>63.29</v>
      </c>
      <c r="E1712" s="557">
        <v>55.08</v>
      </c>
      <c r="F1712" s="557">
        <v>8.2100000000000009</v>
      </c>
      <c r="G1712" s="557">
        <v>63.29</v>
      </c>
    </row>
    <row r="1713" spans="1:7" ht="24.95" customHeight="1" x14ac:dyDescent="0.25">
      <c r="A1713" s="551" t="s">
        <v>34972</v>
      </c>
      <c r="B1713" s="342" t="s">
        <v>34973</v>
      </c>
      <c r="C1713" s="561"/>
      <c r="D1713" s="557"/>
      <c r="E1713" s="557"/>
      <c r="F1713" s="557"/>
      <c r="G1713" s="557"/>
    </row>
    <row r="1714" spans="1:7" ht="24.95" customHeight="1" x14ac:dyDescent="0.25">
      <c r="A1714" s="551" t="s">
        <v>34974</v>
      </c>
      <c r="B1714" s="342" t="s">
        <v>34975</v>
      </c>
      <c r="C1714" s="561" t="s">
        <v>159</v>
      </c>
      <c r="D1714" s="557">
        <v>77.88</v>
      </c>
      <c r="E1714" s="557"/>
      <c r="F1714" s="557">
        <v>77.88</v>
      </c>
      <c r="G1714" s="557">
        <v>77.88</v>
      </c>
    </row>
    <row r="1715" spans="1:7" ht="24.95" customHeight="1" x14ac:dyDescent="0.25">
      <c r="A1715" s="551" t="s">
        <v>34976</v>
      </c>
      <c r="B1715" s="342" t="s">
        <v>34977</v>
      </c>
      <c r="C1715" s="561" t="s">
        <v>227</v>
      </c>
      <c r="D1715" s="557">
        <v>8.4700000000000006</v>
      </c>
      <c r="E1715" s="557">
        <v>4.58</v>
      </c>
      <c r="F1715" s="557">
        <v>3.89</v>
      </c>
      <c r="G1715" s="557">
        <v>8.4700000000000006</v>
      </c>
    </row>
    <row r="1716" spans="1:7" ht="12.6" customHeight="1" x14ac:dyDescent="0.2">
      <c r="A1716" s="548" t="s">
        <v>34978</v>
      </c>
      <c r="B1716" s="548" t="s">
        <v>34979</v>
      </c>
      <c r="C1716" s="550" t="s">
        <v>227</v>
      </c>
      <c r="D1716" s="550">
        <v>7.89</v>
      </c>
      <c r="E1716" s="550">
        <v>4</v>
      </c>
      <c r="F1716" s="550">
        <v>3.89</v>
      </c>
      <c r="G1716" s="550">
        <v>7.89</v>
      </c>
    </row>
    <row r="1717" spans="1:7" ht="12.6" customHeight="1" x14ac:dyDescent="0.25">
      <c r="A1717" s="551" t="s">
        <v>34980</v>
      </c>
      <c r="B1717" s="551" t="s">
        <v>34981</v>
      </c>
      <c r="C1717" s="562" t="s">
        <v>227</v>
      </c>
      <c r="D1717" s="557">
        <v>16.53</v>
      </c>
      <c r="E1717" s="557">
        <v>12.64</v>
      </c>
      <c r="F1717" s="557">
        <v>3.89</v>
      </c>
      <c r="G1717" s="557">
        <v>16.53</v>
      </c>
    </row>
    <row r="1718" spans="1:7" ht="24.95" customHeight="1" x14ac:dyDescent="0.25">
      <c r="A1718" s="551" t="s">
        <v>34982</v>
      </c>
      <c r="B1718" s="342" t="s">
        <v>191</v>
      </c>
      <c r="C1718" s="561"/>
      <c r="D1718" s="557"/>
      <c r="E1718" s="557"/>
      <c r="F1718" s="557"/>
      <c r="G1718" s="557"/>
    </row>
    <row r="1719" spans="1:7" ht="24.95" customHeight="1" x14ac:dyDescent="0.25">
      <c r="A1719" s="551" t="s">
        <v>34983</v>
      </c>
      <c r="B1719" s="342" t="s">
        <v>34984</v>
      </c>
      <c r="C1719" s="561"/>
      <c r="D1719" s="557"/>
      <c r="E1719" s="557"/>
      <c r="F1719" s="557"/>
      <c r="G1719" s="557"/>
    </row>
    <row r="1720" spans="1:7" ht="24.95" customHeight="1" x14ac:dyDescent="0.25">
      <c r="A1720" s="551" t="s">
        <v>34985</v>
      </c>
      <c r="B1720" s="342" t="s">
        <v>34986</v>
      </c>
      <c r="C1720" s="561" t="s">
        <v>227</v>
      </c>
      <c r="D1720" s="557">
        <v>41.19</v>
      </c>
      <c r="E1720" s="557">
        <v>7.76</v>
      </c>
      <c r="F1720" s="557">
        <v>33.43</v>
      </c>
      <c r="G1720" s="557">
        <v>41.19</v>
      </c>
    </row>
    <row r="1721" spans="1:7" ht="24.95" customHeight="1" x14ac:dyDescent="0.25">
      <c r="A1721" s="551" t="s">
        <v>34987</v>
      </c>
      <c r="B1721" s="342" t="s">
        <v>34988</v>
      </c>
      <c r="C1721" s="561" t="s">
        <v>227</v>
      </c>
      <c r="D1721" s="557">
        <v>37.909999999999997</v>
      </c>
      <c r="E1721" s="557">
        <v>4.4800000000000004</v>
      </c>
      <c r="F1721" s="557">
        <v>33.43</v>
      </c>
      <c r="G1721" s="557">
        <v>37.909999999999997</v>
      </c>
    </row>
    <row r="1722" spans="1:7" ht="24.95" customHeight="1" x14ac:dyDescent="0.25">
      <c r="A1722" s="551" t="s">
        <v>34989</v>
      </c>
      <c r="B1722" s="342" t="s">
        <v>34990</v>
      </c>
      <c r="C1722" s="561" t="s">
        <v>227</v>
      </c>
      <c r="D1722" s="557">
        <v>14.44</v>
      </c>
      <c r="E1722" s="557">
        <v>5.92</v>
      </c>
      <c r="F1722" s="557">
        <v>8.52</v>
      </c>
      <c r="G1722" s="557">
        <v>14.44</v>
      </c>
    </row>
    <row r="1723" spans="1:7" ht="24.95" customHeight="1" x14ac:dyDescent="0.25">
      <c r="A1723" s="551" t="s">
        <v>34991</v>
      </c>
      <c r="B1723" s="342" t="s">
        <v>34992</v>
      </c>
      <c r="C1723" s="561" t="s">
        <v>158</v>
      </c>
      <c r="D1723" s="557">
        <v>50.85</v>
      </c>
      <c r="E1723" s="557">
        <v>26.91</v>
      </c>
      <c r="F1723" s="557">
        <v>23.94</v>
      </c>
      <c r="G1723" s="557">
        <v>50.85</v>
      </c>
    </row>
    <row r="1724" spans="1:7" ht="11.45" customHeight="1" x14ac:dyDescent="0.25">
      <c r="A1724" s="543" t="s">
        <v>34993</v>
      </c>
      <c r="B1724" s="544" t="s">
        <v>34994</v>
      </c>
      <c r="C1724" s="544" t="s">
        <v>227</v>
      </c>
      <c r="D1724" s="543">
        <v>17.05</v>
      </c>
      <c r="E1724" s="545">
        <v>7.9</v>
      </c>
      <c r="F1724" s="546">
        <v>9.15</v>
      </c>
      <c r="G1724" s="543">
        <v>17.05</v>
      </c>
    </row>
    <row r="1725" spans="1:7" ht="24.95" customHeight="1" x14ac:dyDescent="0.25">
      <c r="A1725" s="551" t="s">
        <v>34995</v>
      </c>
      <c r="B1725" s="342" t="s">
        <v>34996</v>
      </c>
      <c r="C1725" s="552"/>
      <c r="D1725" s="557"/>
      <c r="E1725" s="557"/>
      <c r="F1725" s="557"/>
      <c r="G1725" s="557"/>
    </row>
    <row r="1726" spans="1:7" ht="24.95" customHeight="1" x14ac:dyDescent="0.25">
      <c r="A1726" s="551" t="s">
        <v>34997</v>
      </c>
      <c r="B1726" s="342" t="s">
        <v>34998</v>
      </c>
      <c r="C1726" s="552" t="s">
        <v>227</v>
      </c>
      <c r="D1726" s="557">
        <v>14.26</v>
      </c>
      <c r="E1726" s="557">
        <v>2.74</v>
      </c>
      <c r="F1726" s="557">
        <v>11.52</v>
      </c>
      <c r="G1726" s="557">
        <v>14.26</v>
      </c>
    </row>
    <row r="1727" spans="1:7" ht="24.95" customHeight="1" x14ac:dyDescent="0.25">
      <c r="A1727" s="551" t="s">
        <v>34999</v>
      </c>
      <c r="B1727" s="342" t="s">
        <v>35000</v>
      </c>
      <c r="C1727" s="552" t="s">
        <v>227</v>
      </c>
      <c r="D1727" s="557">
        <v>16.77</v>
      </c>
      <c r="E1727" s="557">
        <v>5.25</v>
      </c>
      <c r="F1727" s="557">
        <v>11.52</v>
      </c>
      <c r="G1727" s="557">
        <v>16.77</v>
      </c>
    </row>
    <row r="1728" spans="1:7" ht="24.95" customHeight="1" x14ac:dyDescent="0.25">
      <c r="A1728" s="551" t="s">
        <v>35001</v>
      </c>
      <c r="B1728" s="342" t="s">
        <v>35002</v>
      </c>
      <c r="C1728" s="552"/>
      <c r="D1728" s="557"/>
      <c r="E1728" s="557"/>
      <c r="F1728" s="557"/>
      <c r="G1728" s="557"/>
    </row>
    <row r="1729" spans="1:7" ht="24.95" customHeight="1" x14ac:dyDescent="0.25">
      <c r="A1729" s="551" t="s">
        <v>35003</v>
      </c>
      <c r="B1729" s="342" t="s">
        <v>35004</v>
      </c>
      <c r="C1729" s="552" t="s">
        <v>227</v>
      </c>
      <c r="D1729" s="557">
        <v>31.86</v>
      </c>
      <c r="E1729" s="557">
        <v>6.51</v>
      </c>
      <c r="F1729" s="557">
        <v>25.35</v>
      </c>
      <c r="G1729" s="557">
        <v>31.86</v>
      </c>
    </row>
    <row r="1730" spans="1:7" ht="24.95" customHeight="1" x14ac:dyDescent="0.25">
      <c r="A1730" s="551" t="s">
        <v>35005</v>
      </c>
      <c r="B1730" s="342" t="s">
        <v>35006</v>
      </c>
      <c r="C1730" s="552" t="s">
        <v>227</v>
      </c>
      <c r="D1730" s="557">
        <v>29.85</v>
      </c>
      <c r="E1730" s="557">
        <v>8.31</v>
      </c>
      <c r="F1730" s="557">
        <v>21.54</v>
      </c>
      <c r="G1730" s="557">
        <v>29.85</v>
      </c>
    </row>
    <row r="1731" spans="1:7" ht="24.95" customHeight="1" x14ac:dyDescent="0.25">
      <c r="A1731" s="551" t="s">
        <v>35007</v>
      </c>
      <c r="B1731" s="342" t="s">
        <v>35008</v>
      </c>
      <c r="C1731" s="552" t="s">
        <v>227</v>
      </c>
      <c r="D1731" s="557">
        <v>27.49</v>
      </c>
      <c r="E1731" s="557">
        <v>15.52</v>
      </c>
      <c r="F1731" s="557">
        <v>11.97</v>
      </c>
      <c r="G1731" s="557">
        <v>27.49</v>
      </c>
    </row>
    <row r="1732" spans="1:7" ht="24.95" customHeight="1" x14ac:dyDescent="0.25">
      <c r="A1732" s="551" t="s">
        <v>35009</v>
      </c>
      <c r="B1732" s="342" t="s">
        <v>35010</v>
      </c>
      <c r="C1732" s="552" t="s">
        <v>227</v>
      </c>
      <c r="D1732" s="557">
        <v>38.700000000000003</v>
      </c>
      <c r="E1732" s="557">
        <v>18.13</v>
      </c>
      <c r="F1732" s="557">
        <v>20.57</v>
      </c>
      <c r="G1732" s="557">
        <v>38.700000000000003</v>
      </c>
    </row>
    <row r="1733" spans="1:7" ht="24.95" customHeight="1" x14ac:dyDescent="0.25">
      <c r="A1733" s="551" t="s">
        <v>35011</v>
      </c>
      <c r="B1733" s="342" t="s">
        <v>35012</v>
      </c>
      <c r="C1733" s="552" t="s">
        <v>227</v>
      </c>
      <c r="D1733" s="557">
        <v>24.44</v>
      </c>
      <c r="E1733" s="557">
        <v>9.19</v>
      </c>
      <c r="F1733" s="557">
        <v>15.25</v>
      </c>
      <c r="G1733" s="557">
        <v>24.44</v>
      </c>
    </row>
    <row r="1734" spans="1:7" ht="24.95" customHeight="1" x14ac:dyDescent="0.25">
      <c r="A1734" s="551" t="s">
        <v>35013</v>
      </c>
      <c r="B1734" s="342" t="s">
        <v>35014</v>
      </c>
      <c r="C1734" s="552" t="s">
        <v>227</v>
      </c>
      <c r="D1734" s="557">
        <v>59.37</v>
      </c>
      <c r="E1734" s="557">
        <v>44.12</v>
      </c>
      <c r="F1734" s="557">
        <v>15.25</v>
      </c>
      <c r="G1734" s="557">
        <v>59.37</v>
      </c>
    </row>
    <row r="1735" spans="1:7" ht="24.95" customHeight="1" x14ac:dyDescent="0.25">
      <c r="A1735" s="551" t="s">
        <v>35015</v>
      </c>
      <c r="B1735" s="342" t="s">
        <v>35016</v>
      </c>
      <c r="C1735" s="552" t="s">
        <v>227</v>
      </c>
      <c r="D1735" s="557">
        <v>44.51</v>
      </c>
      <c r="E1735" s="557">
        <v>23.94</v>
      </c>
      <c r="F1735" s="557">
        <v>20.57</v>
      </c>
      <c r="G1735" s="557">
        <v>44.51</v>
      </c>
    </row>
    <row r="1736" spans="1:7" ht="24.95" customHeight="1" x14ac:dyDescent="0.25">
      <c r="A1736" s="551" t="s">
        <v>35017</v>
      </c>
      <c r="B1736" s="342" t="s">
        <v>35018</v>
      </c>
      <c r="C1736" s="552"/>
      <c r="D1736" s="557"/>
      <c r="E1736" s="557"/>
      <c r="F1736" s="557"/>
      <c r="G1736" s="557"/>
    </row>
    <row r="1737" spans="1:7" ht="24.95" customHeight="1" x14ac:dyDescent="0.25">
      <c r="A1737" s="551" t="s">
        <v>35019</v>
      </c>
      <c r="B1737" s="342" t="s">
        <v>35020</v>
      </c>
      <c r="C1737" s="552" t="s">
        <v>227</v>
      </c>
      <c r="D1737" s="557">
        <v>23.1</v>
      </c>
      <c r="E1737" s="557">
        <v>7.85</v>
      </c>
      <c r="F1737" s="557">
        <v>15.25</v>
      </c>
      <c r="G1737" s="557">
        <v>23.1</v>
      </c>
    </row>
    <row r="1738" spans="1:7" ht="24.95" customHeight="1" x14ac:dyDescent="0.25">
      <c r="A1738" s="551" t="s">
        <v>35021</v>
      </c>
      <c r="B1738" s="342" t="s">
        <v>35022</v>
      </c>
      <c r="C1738" s="552" t="s">
        <v>158</v>
      </c>
      <c r="D1738" s="557">
        <v>5.77</v>
      </c>
      <c r="E1738" s="557">
        <v>2.93</v>
      </c>
      <c r="F1738" s="557">
        <v>2.84</v>
      </c>
      <c r="G1738" s="557">
        <v>5.77</v>
      </c>
    </row>
    <row r="1739" spans="1:7" ht="24.95" customHeight="1" x14ac:dyDescent="0.25">
      <c r="A1739" s="551" t="s">
        <v>35023</v>
      </c>
      <c r="B1739" s="342" t="s">
        <v>35024</v>
      </c>
      <c r="C1739" s="552" t="s">
        <v>227</v>
      </c>
      <c r="D1739" s="557">
        <v>27.45</v>
      </c>
      <c r="E1739" s="557">
        <v>10.25</v>
      </c>
      <c r="F1739" s="557">
        <v>17.2</v>
      </c>
      <c r="G1739" s="557">
        <v>27.45</v>
      </c>
    </row>
    <row r="1740" spans="1:7" ht="24.95" customHeight="1" x14ac:dyDescent="0.25">
      <c r="A1740" s="551" t="s">
        <v>35025</v>
      </c>
      <c r="B1740" s="342" t="s">
        <v>35026</v>
      </c>
      <c r="C1740" s="552" t="s">
        <v>158</v>
      </c>
      <c r="D1740" s="557">
        <v>4.9800000000000004</v>
      </c>
      <c r="E1740" s="557">
        <v>2.71</v>
      </c>
      <c r="F1740" s="557">
        <v>2.27</v>
      </c>
      <c r="G1740" s="557">
        <v>4.9800000000000004</v>
      </c>
    </row>
    <row r="1741" spans="1:7" ht="24.95" customHeight="1" x14ac:dyDescent="0.25">
      <c r="A1741" s="551" t="s">
        <v>35027</v>
      </c>
      <c r="B1741" s="342" t="s">
        <v>35028</v>
      </c>
      <c r="C1741" s="552"/>
      <c r="D1741" s="557"/>
      <c r="E1741" s="557"/>
      <c r="F1741" s="557"/>
      <c r="G1741" s="557"/>
    </row>
    <row r="1742" spans="1:7" ht="24.95" customHeight="1" x14ac:dyDescent="0.25">
      <c r="A1742" s="551" t="s">
        <v>35029</v>
      </c>
      <c r="B1742" s="342" t="s">
        <v>35030</v>
      </c>
      <c r="C1742" s="552" t="s">
        <v>227</v>
      </c>
      <c r="D1742" s="557">
        <v>24.78</v>
      </c>
      <c r="E1742" s="557">
        <v>4.21</v>
      </c>
      <c r="F1742" s="557">
        <v>20.57</v>
      </c>
      <c r="G1742" s="557">
        <v>24.78</v>
      </c>
    </row>
    <row r="1743" spans="1:7" ht="12.6" customHeight="1" x14ac:dyDescent="0.2">
      <c r="A1743" s="548" t="s">
        <v>35031</v>
      </c>
      <c r="B1743" s="548" t="s">
        <v>35032</v>
      </c>
      <c r="C1743" s="550"/>
      <c r="D1743" s="550"/>
      <c r="E1743" s="550"/>
      <c r="F1743" s="550"/>
      <c r="G1743" s="550"/>
    </row>
    <row r="1744" spans="1:7" ht="24.95" customHeight="1" x14ac:dyDescent="0.25">
      <c r="A1744" s="551" t="s">
        <v>35033</v>
      </c>
      <c r="B1744" s="342" t="s">
        <v>35034</v>
      </c>
      <c r="C1744" s="552" t="s">
        <v>227</v>
      </c>
      <c r="D1744" s="557">
        <v>49.54</v>
      </c>
      <c r="E1744" s="557">
        <v>11.25</v>
      </c>
      <c r="F1744" s="557">
        <v>38.29</v>
      </c>
      <c r="G1744" s="557">
        <v>49.54</v>
      </c>
    </row>
    <row r="1745" spans="1:7" ht="24.95" customHeight="1" x14ac:dyDescent="0.25">
      <c r="A1745" s="551" t="s">
        <v>35035</v>
      </c>
      <c r="B1745" s="342" t="s">
        <v>35036</v>
      </c>
      <c r="C1745" s="552" t="s">
        <v>6008</v>
      </c>
      <c r="D1745" s="557">
        <v>3.71</v>
      </c>
      <c r="E1745" s="557">
        <v>3.71</v>
      </c>
      <c r="F1745" s="557"/>
      <c r="G1745" s="557">
        <v>3.71</v>
      </c>
    </row>
    <row r="1746" spans="1:7" ht="24.95" customHeight="1" x14ac:dyDescent="0.25">
      <c r="A1746" s="551" t="s">
        <v>35037</v>
      </c>
      <c r="B1746" s="342" t="s">
        <v>35038</v>
      </c>
      <c r="C1746" s="552" t="s">
        <v>6008</v>
      </c>
      <c r="D1746" s="557">
        <v>3.86</v>
      </c>
      <c r="E1746" s="557">
        <v>3.86</v>
      </c>
      <c r="F1746" s="557"/>
      <c r="G1746" s="557">
        <v>3.86</v>
      </c>
    </row>
    <row r="1747" spans="1:7" ht="34.5" customHeight="1" x14ac:dyDescent="0.25">
      <c r="A1747" s="554" t="s">
        <v>35039</v>
      </c>
      <c r="B1747" s="551" t="s">
        <v>35040</v>
      </c>
      <c r="C1747" s="555" t="s">
        <v>227</v>
      </c>
      <c r="D1747" s="558">
        <v>396.18</v>
      </c>
      <c r="E1747" s="558">
        <v>205.95</v>
      </c>
      <c r="F1747" s="558">
        <v>190.23</v>
      </c>
      <c r="G1747" s="558">
        <v>396.18</v>
      </c>
    </row>
    <row r="1748" spans="1:7" ht="23.1" customHeight="1" x14ac:dyDescent="0.25">
      <c r="A1748" s="551" t="s">
        <v>35041</v>
      </c>
      <c r="B1748" s="551" t="s">
        <v>35042</v>
      </c>
      <c r="C1748" s="552" t="s">
        <v>227</v>
      </c>
      <c r="D1748" s="557">
        <v>1223.93</v>
      </c>
      <c r="E1748" s="557">
        <v>1003.4</v>
      </c>
      <c r="F1748" s="344">
        <v>220.53</v>
      </c>
      <c r="G1748" s="557">
        <v>1223.93</v>
      </c>
    </row>
    <row r="1749" spans="1:7" ht="12.6" customHeight="1" x14ac:dyDescent="0.2">
      <c r="A1749" s="548" t="s">
        <v>35043</v>
      </c>
      <c r="B1749" s="548" t="s">
        <v>35044</v>
      </c>
      <c r="C1749" s="550"/>
      <c r="D1749" s="550"/>
      <c r="E1749" s="550"/>
      <c r="F1749" s="550"/>
      <c r="G1749" s="550"/>
    </row>
    <row r="1750" spans="1:7" ht="24.95" customHeight="1" x14ac:dyDescent="0.25">
      <c r="A1750" s="551" t="s">
        <v>35045</v>
      </c>
      <c r="B1750" s="342" t="s">
        <v>35046</v>
      </c>
      <c r="C1750" s="552" t="s">
        <v>158</v>
      </c>
      <c r="D1750" s="557">
        <v>3.17</v>
      </c>
      <c r="E1750" s="557">
        <v>1.62</v>
      </c>
      <c r="F1750" s="557">
        <v>1.55</v>
      </c>
      <c r="G1750" s="557">
        <v>3.17</v>
      </c>
    </row>
    <row r="1751" spans="1:7" ht="24.95" customHeight="1" x14ac:dyDescent="0.25">
      <c r="A1751" s="551" t="s">
        <v>35047</v>
      </c>
      <c r="B1751" s="342" t="s">
        <v>35048</v>
      </c>
      <c r="C1751" s="552" t="s">
        <v>158</v>
      </c>
      <c r="D1751" s="557">
        <v>4.0999999999999996</v>
      </c>
      <c r="E1751" s="557">
        <v>1.01</v>
      </c>
      <c r="F1751" s="557">
        <v>3.09</v>
      </c>
      <c r="G1751" s="557">
        <v>4.0999999999999996</v>
      </c>
    </row>
    <row r="1752" spans="1:7" ht="24.95" customHeight="1" x14ac:dyDescent="0.25">
      <c r="A1752" s="551" t="s">
        <v>35049</v>
      </c>
      <c r="B1752" s="342" t="s">
        <v>35050</v>
      </c>
      <c r="C1752" s="552"/>
      <c r="D1752" s="557"/>
      <c r="E1752" s="557"/>
      <c r="F1752" s="557"/>
      <c r="G1752" s="557"/>
    </row>
    <row r="1753" spans="1:7" ht="24.95" customHeight="1" x14ac:dyDescent="0.25">
      <c r="A1753" s="551" t="s">
        <v>35051</v>
      </c>
      <c r="B1753" s="342" t="s">
        <v>35052</v>
      </c>
      <c r="C1753" s="552" t="s">
        <v>227</v>
      </c>
      <c r="D1753" s="557">
        <v>28</v>
      </c>
      <c r="E1753" s="557">
        <v>7.43</v>
      </c>
      <c r="F1753" s="557">
        <v>20.57</v>
      </c>
      <c r="G1753" s="557">
        <v>28</v>
      </c>
    </row>
    <row r="1754" spans="1:7" ht="11.45" customHeight="1" x14ac:dyDescent="0.25">
      <c r="A1754" s="543" t="s">
        <v>35053</v>
      </c>
      <c r="B1754" s="544" t="s">
        <v>35054</v>
      </c>
      <c r="C1754" s="544" t="s">
        <v>227</v>
      </c>
      <c r="D1754" s="543">
        <v>30.09</v>
      </c>
      <c r="E1754" s="545">
        <v>9.52</v>
      </c>
      <c r="F1754" s="546">
        <v>20.57</v>
      </c>
      <c r="G1754" s="543">
        <v>30.09</v>
      </c>
    </row>
    <row r="1755" spans="1:7" ht="23.1" customHeight="1" x14ac:dyDescent="0.25">
      <c r="A1755" s="551" t="s">
        <v>35055</v>
      </c>
      <c r="B1755" s="551" t="s">
        <v>35056</v>
      </c>
      <c r="C1755" s="552" t="s">
        <v>227</v>
      </c>
      <c r="D1755" s="557">
        <v>31.15</v>
      </c>
      <c r="E1755" s="557">
        <v>10.58</v>
      </c>
      <c r="F1755" s="557">
        <v>20.57</v>
      </c>
      <c r="G1755" s="557">
        <v>31.15</v>
      </c>
    </row>
    <row r="1756" spans="1:7" ht="24.95" customHeight="1" x14ac:dyDescent="0.25">
      <c r="A1756" s="551" t="s">
        <v>35057</v>
      </c>
      <c r="B1756" s="342" t="s">
        <v>35058</v>
      </c>
      <c r="C1756" s="552" t="s">
        <v>227</v>
      </c>
      <c r="D1756" s="557">
        <v>33.909999999999997</v>
      </c>
      <c r="E1756" s="557">
        <v>13.34</v>
      </c>
      <c r="F1756" s="557">
        <v>20.57</v>
      </c>
      <c r="G1756" s="557">
        <v>33.909999999999997</v>
      </c>
    </row>
    <row r="1757" spans="1:7" ht="24.95" customHeight="1" x14ac:dyDescent="0.25">
      <c r="A1757" s="551" t="s">
        <v>35059</v>
      </c>
      <c r="B1757" s="342" t="s">
        <v>35060</v>
      </c>
      <c r="C1757" s="552" t="s">
        <v>227</v>
      </c>
      <c r="D1757" s="557">
        <v>31.09</v>
      </c>
      <c r="E1757" s="557">
        <v>10.52</v>
      </c>
      <c r="F1757" s="557">
        <v>20.57</v>
      </c>
      <c r="G1757" s="557">
        <v>31.09</v>
      </c>
    </row>
    <row r="1758" spans="1:7" ht="12.6" customHeight="1" x14ac:dyDescent="0.2">
      <c r="A1758" s="548" t="s">
        <v>35061</v>
      </c>
      <c r="B1758" s="548" t="s">
        <v>35062</v>
      </c>
      <c r="C1758" s="550" t="s">
        <v>227</v>
      </c>
      <c r="D1758" s="550">
        <v>119.53</v>
      </c>
      <c r="E1758" s="550">
        <v>76.459999999999994</v>
      </c>
      <c r="F1758" s="550">
        <v>43.07</v>
      </c>
      <c r="G1758" s="550">
        <v>119.53</v>
      </c>
    </row>
    <row r="1759" spans="1:7" ht="23.1" customHeight="1" x14ac:dyDescent="0.25">
      <c r="A1759" s="551" t="s">
        <v>35063</v>
      </c>
      <c r="B1759" s="551" t="s">
        <v>35064</v>
      </c>
      <c r="C1759" s="552" t="s">
        <v>227</v>
      </c>
      <c r="D1759" s="557">
        <v>39.270000000000003</v>
      </c>
      <c r="E1759" s="557">
        <v>18.7</v>
      </c>
      <c r="F1759" s="557">
        <v>20.57</v>
      </c>
      <c r="G1759" s="557">
        <v>39.270000000000003</v>
      </c>
    </row>
    <row r="1760" spans="1:7" ht="24.95" customHeight="1" x14ac:dyDescent="0.25">
      <c r="A1760" s="551" t="s">
        <v>35065</v>
      </c>
      <c r="B1760" s="342" t="s">
        <v>35066</v>
      </c>
      <c r="C1760" s="552" t="s">
        <v>227</v>
      </c>
      <c r="D1760" s="557">
        <v>43.49</v>
      </c>
      <c r="E1760" s="557">
        <v>14.78</v>
      </c>
      <c r="F1760" s="344">
        <v>28.71</v>
      </c>
      <c r="G1760" s="557">
        <v>43.49</v>
      </c>
    </row>
    <row r="1761" spans="1:7" ht="24.95" customHeight="1" x14ac:dyDescent="0.25">
      <c r="A1761" s="551" t="s">
        <v>35067</v>
      </c>
      <c r="B1761" s="342" t="s">
        <v>35068</v>
      </c>
      <c r="C1761" s="552" t="s">
        <v>227</v>
      </c>
      <c r="D1761" s="557">
        <v>238.1</v>
      </c>
      <c r="E1761" s="557">
        <v>238.1</v>
      </c>
      <c r="F1761" s="557"/>
      <c r="G1761" s="557">
        <v>238.1</v>
      </c>
    </row>
    <row r="1762" spans="1:7" ht="24.95" customHeight="1" x14ac:dyDescent="0.25">
      <c r="A1762" s="551" t="s">
        <v>35069</v>
      </c>
      <c r="B1762" s="342" t="s">
        <v>35070</v>
      </c>
      <c r="C1762" s="552" t="s">
        <v>227</v>
      </c>
      <c r="D1762" s="557">
        <v>472.1</v>
      </c>
      <c r="E1762" s="557">
        <v>472.1</v>
      </c>
      <c r="F1762" s="557"/>
      <c r="G1762" s="557">
        <v>472.1</v>
      </c>
    </row>
    <row r="1763" spans="1:7" ht="24.95" customHeight="1" x14ac:dyDescent="0.25">
      <c r="A1763" s="551" t="s">
        <v>35071</v>
      </c>
      <c r="B1763" s="342" t="s">
        <v>35072</v>
      </c>
      <c r="C1763" s="552"/>
      <c r="D1763" s="557"/>
      <c r="E1763" s="557"/>
      <c r="F1763" s="557"/>
      <c r="G1763" s="557"/>
    </row>
    <row r="1764" spans="1:7" ht="12.6" customHeight="1" x14ac:dyDescent="0.2">
      <c r="A1764" s="548" t="s">
        <v>35073</v>
      </c>
      <c r="B1764" s="548" t="s">
        <v>35074</v>
      </c>
      <c r="C1764" s="550" t="s">
        <v>227</v>
      </c>
      <c r="D1764" s="550">
        <v>45.77</v>
      </c>
      <c r="E1764" s="550">
        <v>17.059999999999999</v>
      </c>
      <c r="F1764" s="550">
        <v>28.71</v>
      </c>
      <c r="G1764" s="550">
        <v>45.77</v>
      </c>
    </row>
    <row r="1765" spans="1:7" ht="12.6" customHeight="1" x14ac:dyDescent="0.2">
      <c r="A1765" s="551" t="s">
        <v>35075</v>
      </c>
      <c r="B1765" s="551" t="s">
        <v>35076</v>
      </c>
      <c r="C1765" s="552"/>
      <c r="D1765" s="557"/>
      <c r="E1765" s="343"/>
      <c r="F1765" s="557"/>
      <c r="G1765" s="557"/>
    </row>
    <row r="1766" spans="1:7" ht="12.6" customHeight="1" x14ac:dyDescent="0.25">
      <c r="A1766" s="551" t="s">
        <v>35077</v>
      </c>
      <c r="B1766" s="551" t="s">
        <v>35078</v>
      </c>
      <c r="C1766" s="552" t="s">
        <v>227</v>
      </c>
      <c r="D1766" s="557">
        <v>46.14</v>
      </c>
      <c r="E1766" s="557">
        <v>17.43</v>
      </c>
      <c r="F1766" s="557">
        <v>28.71</v>
      </c>
      <c r="G1766" s="557">
        <v>46.14</v>
      </c>
    </row>
    <row r="1767" spans="1:7" ht="23.1" customHeight="1" x14ac:dyDescent="0.25">
      <c r="A1767" s="551" t="s">
        <v>35079</v>
      </c>
      <c r="B1767" s="551" t="s">
        <v>35080</v>
      </c>
      <c r="C1767" s="552"/>
      <c r="D1767" s="557"/>
      <c r="E1767" s="557"/>
      <c r="F1767" s="557"/>
      <c r="G1767" s="557"/>
    </row>
    <row r="1768" spans="1:7" ht="24.95" customHeight="1" x14ac:dyDescent="0.25">
      <c r="A1768" s="551" t="s">
        <v>35081</v>
      </c>
      <c r="B1768" s="342" t="s">
        <v>35082</v>
      </c>
      <c r="C1768" s="552"/>
      <c r="D1768" s="557"/>
      <c r="E1768" s="557"/>
      <c r="F1768" s="557"/>
      <c r="G1768" s="557"/>
    </row>
    <row r="1769" spans="1:7" ht="12.6" customHeight="1" x14ac:dyDescent="0.2">
      <c r="A1769" s="559" t="s">
        <v>35083</v>
      </c>
      <c r="B1769" s="548" t="s">
        <v>35084</v>
      </c>
      <c r="C1769" s="550" t="s">
        <v>159</v>
      </c>
      <c r="D1769" s="550">
        <v>222.85</v>
      </c>
      <c r="E1769" s="550">
        <v>174.17</v>
      </c>
      <c r="F1769" s="550">
        <v>48.68</v>
      </c>
      <c r="G1769" s="550">
        <v>222.85</v>
      </c>
    </row>
    <row r="1770" spans="1:7" ht="12.6" customHeight="1" x14ac:dyDescent="0.2">
      <c r="A1770" s="548" t="s">
        <v>35085</v>
      </c>
      <c r="B1770" s="548" t="s">
        <v>35086</v>
      </c>
      <c r="C1770" s="550" t="s">
        <v>227</v>
      </c>
      <c r="D1770" s="550">
        <v>1.95</v>
      </c>
      <c r="E1770" s="550"/>
      <c r="F1770" s="550">
        <v>1.95</v>
      </c>
      <c r="G1770" s="550">
        <v>1.95</v>
      </c>
    </row>
    <row r="1771" spans="1:7" ht="12.6" customHeight="1" x14ac:dyDescent="0.25">
      <c r="A1771" s="551" t="s">
        <v>35087</v>
      </c>
      <c r="B1771" s="551" t="s">
        <v>35088</v>
      </c>
      <c r="C1771" s="552"/>
      <c r="D1771" s="557"/>
      <c r="E1771" s="557"/>
      <c r="F1771" s="557"/>
      <c r="G1771" s="557"/>
    </row>
    <row r="1772" spans="1:7" ht="12.6" customHeight="1" x14ac:dyDescent="0.25">
      <c r="A1772" s="551" t="s">
        <v>35089</v>
      </c>
      <c r="B1772" s="551" t="s">
        <v>35090</v>
      </c>
      <c r="C1772" s="552" t="s">
        <v>227</v>
      </c>
      <c r="D1772" s="557">
        <v>14.23</v>
      </c>
      <c r="E1772" s="557">
        <v>10.94</v>
      </c>
      <c r="F1772" s="557">
        <v>3.29</v>
      </c>
      <c r="G1772" s="557">
        <v>14.23</v>
      </c>
    </row>
    <row r="1773" spans="1:7" ht="12.6" customHeight="1" x14ac:dyDescent="0.25">
      <c r="A1773" s="551" t="s">
        <v>35091</v>
      </c>
      <c r="B1773" s="551" t="s">
        <v>35092</v>
      </c>
      <c r="C1773" s="552" t="s">
        <v>227</v>
      </c>
      <c r="D1773" s="557">
        <v>15.03</v>
      </c>
      <c r="E1773" s="557">
        <v>10.11</v>
      </c>
      <c r="F1773" s="557">
        <v>4.92</v>
      </c>
      <c r="G1773" s="557">
        <v>15.03</v>
      </c>
    </row>
    <row r="1774" spans="1:7" ht="12.6" customHeight="1" x14ac:dyDescent="0.25">
      <c r="A1774" s="551" t="s">
        <v>35093</v>
      </c>
      <c r="B1774" s="551" t="s">
        <v>35094</v>
      </c>
      <c r="C1774" s="552" t="s">
        <v>227</v>
      </c>
      <c r="D1774" s="557">
        <v>79.17</v>
      </c>
      <c r="E1774" s="557">
        <v>72.91</v>
      </c>
      <c r="F1774" s="557">
        <v>6.26</v>
      </c>
      <c r="G1774" s="557">
        <v>79.17</v>
      </c>
    </row>
    <row r="1775" spans="1:7" ht="12.6" customHeight="1" x14ac:dyDescent="0.25">
      <c r="A1775" s="551" t="s">
        <v>35095</v>
      </c>
      <c r="B1775" s="551" t="s">
        <v>35096</v>
      </c>
      <c r="C1775" s="552" t="s">
        <v>227</v>
      </c>
      <c r="D1775" s="557">
        <v>23</v>
      </c>
      <c r="E1775" s="557">
        <v>18.079999999999998</v>
      </c>
      <c r="F1775" s="557">
        <v>4.92</v>
      </c>
      <c r="G1775" s="557">
        <v>23</v>
      </c>
    </row>
    <row r="1776" spans="1:7" ht="12.6" customHeight="1" x14ac:dyDescent="0.2">
      <c r="A1776" s="548" t="s">
        <v>35097</v>
      </c>
      <c r="B1776" s="548" t="s">
        <v>35098</v>
      </c>
      <c r="C1776" s="550" t="s">
        <v>227</v>
      </c>
      <c r="D1776" s="550">
        <v>54.33</v>
      </c>
      <c r="E1776" s="550">
        <v>48.07</v>
      </c>
      <c r="F1776" s="550">
        <v>6.26</v>
      </c>
      <c r="G1776" s="550">
        <v>54.33</v>
      </c>
    </row>
    <row r="1777" spans="1:7" ht="12.6" customHeight="1" x14ac:dyDescent="0.25">
      <c r="A1777" s="551" t="s">
        <v>35099</v>
      </c>
      <c r="B1777" s="551" t="s">
        <v>35100</v>
      </c>
      <c r="C1777" s="552" t="s">
        <v>227</v>
      </c>
      <c r="D1777" s="557">
        <v>16.399999999999999</v>
      </c>
      <c r="E1777" s="557">
        <v>11.48</v>
      </c>
      <c r="F1777" s="557">
        <v>4.92</v>
      </c>
      <c r="G1777" s="557">
        <v>16.399999999999999</v>
      </c>
    </row>
    <row r="1778" spans="1:7" ht="12.6" customHeight="1" x14ac:dyDescent="0.25">
      <c r="A1778" s="551" t="s">
        <v>35101</v>
      </c>
      <c r="B1778" s="551" t="s">
        <v>35102</v>
      </c>
      <c r="C1778" s="552" t="s">
        <v>227</v>
      </c>
      <c r="D1778" s="557">
        <v>57.69</v>
      </c>
      <c r="E1778" s="557">
        <v>51.43</v>
      </c>
      <c r="F1778" s="557">
        <v>6.26</v>
      </c>
      <c r="G1778" s="557">
        <v>57.69</v>
      </c>
    </row>
    <row r="1779" spans="1:7" ht="12.6" customHeight="1" x14ac:dyDescent="0.2">
      <c r="A1779" s="548" t="s">
        <v>35103</v>
      </c>
      <c r="B1779" s="548" t="s">
        <v>35104</v>
      </c>
      <c r="C1779" s="550" t="s">
        <v>227</v>
      </c>
      <c r="D1779" s="550">
        <v>9.1</v>
      </c>
      <c r="E1779" s="550">
        <v>9.1</v>
      </c>
      <c r="F1779" s="550"/>
      <c r="G1779" s="550">
        <v>9.1</v>
      </c>
    </row>
    <row r="1780" spans="1:7" ht="12.6" customHeight="1" x14ac:dyDescent="0.25">
      <c r="A1780" s="551" t="s">
        <v>35105</v>
      </c>
      <c r="B1780" s="551" t="s">
        <v>35106</v>
      </c>
      <c r="C1780" s="552"/>
      <c r="D1780" s="557"/>
      <c r="E1780" s="557"/>
      <c r="F1780" s="557"/>
      <c r="G1780" s="557"/>
    </row>
    <row r="1781" spans="1:7" ht="12.6" customHeight="1" x14ac:dyDescent="0.25">
      <c r="A1781" s="551" t="s">
        <v>35107</v>
      </c>
      <c r="B1781" s="551" t="s">
        <v>35108</v>
      </c>
      <c r="C1781" s="552" t="s">
        <v>226</v>
      </c>
      <c r="D1781" s="557">
        <v>56.31</v>
      </c>
      <c r="E1781" s="557">
        <v>52.7</v>
      </c>
      <c r="F1781" s="557">
        <v>3.61</v>
      </c>
      <c r="G1781" s="557">
        <v>56.31</v>
      </c>
    </row>
    <row r="1782" spans="1:7" ht="12.6" customHeight="1" x14ac:dyDescent="0.25">
      <c r="A1782" s="551" t="s">
        <v>35109</v>
      </c>
      <c r="B1782" s="551" t="s">
        <v>35110</v>
      </c>
      <c r="C1782" s="552" t="s">
        <v>226</v>
      </c>
      <c r="D1782" s="557">
        <v>40.74</v>
      </c>
      <c r="E1782" s="557">
        <v>37.130000000000003</v>
      </c>
      <c r="F1782" s="557">
        <v>3.61</v>
      </c>
      <c r="G1782" s="557">
        <v>40.74</v>
      </c>
    </row>
    <row r="1783" spans="1:7" ht="12.6" customHeight="1" x14ac:dyDescent="0.25">
      <c r="A1783" s="551" t="s">
        <v>35111</v>
      </c>
      <c r="B1783" s="551" t="s">
        <v>35112</v>
      </c>
      <c r="C1783" s="552" t="s">
        <v>226</v>
      </c>
      <c r="D1783" s="557">
        <v>42.19</v>
      </c>
      <c r="E1783" s="557">
        <v>38.58</v>
      </c>
      <c r="F1783" s="557">
        <v>3.61</v>
      </c>
      <c r="G1783" s="557">
        <v>42.19</v>
      </c>
    </row>
    <row r="1784" spans="1:7" ht="24.95" customHeight="1" x14ac:dyDescent="0.25">
      <c r="A1784" s="551" t="s">
        <v>35113</v>
      </c>
      <c r="B1784" s="342" t="s">
        <v>35114</v>
      </c>
      <c r="C1784" s="552" t="s">
        <v>226</v>
      </c>
      <c r="D1784" s="557">
        <v>59.3</v>
      </c>
      <c r="E1784" s="557">
        <v>55.69</v>
      </c>
      <c r="F1784" s="557">
        <v>3.61</v>
      </c>
      <c r="G1784" s="557">
        <v>59.3</v>
      </c>
    </row>
    <row r="1785" spans="1:7" ht="24.95" customHeight="1" x14ac:dyDescent="0.25">
      <c r="A1785" s="551" t="s">
        <v>35115</v>
      </c>
      <c r="B1785" s="342" t="s">
        <v>35116</v>
      </c>
      <c r="C1785" s="552"/>
      <c r="D1785" s="557"/>
      <c r="E1785" s="557"/>
      <c r="F1785" s="557"/>
      <c r="G1785" s="557"/>
    </row>
    <row r="1786" spans="1:7" ht="12.6" customHeight="1" x14ac:dyDescent="0.25">
      <c r="A1786" s="551" t="s">
        <v>35117</v>
      </c>
      <c r="B1786" s="551" t="s">
        <v>35118</v>
      </c>
      <c r="C1786" s="552" t="s">
        <v>226</v>
      </c>
      <c r="D1786" s="557">
        <v>113.55</v>
      </c>
      <c r="E1786" s="557">
        <v>82.23</v>
      </c>
      <c r="F1786" s="557">
        <v>31.32</v>
      </c>
      <c r="G1786" s="557">
        <v>113.55</v>
      </c>
    </row>
    <row r="1787" spans="1:7" ht="12.6" customHeight="1" x14ac:dyDescent="0.2">
      <c r="A1787" s="548" t="s">
        <v>35119</v>
      </c>
      <c r="B1787" s="548" t="s">
        <v>35120</v>
      </c>
      <c r="C1787" s="550" t="s">
        <v>226</v>
      </c>
      <c r="D1787" s="550">
        <v>127.51</v>
      </c>
      <c r="E1787" s="550">
        <v>96.19</v>
      </c>
      <c r="F1787" s="550">
        <v>31.32</v>
      </c>
      <c r="G1787" s="550">
        <v>127.51</v>
      </c>
    </row>
    <row r="1788" spans="1:7" ht="12.6" customHeight="1" x14ac:dyDescent="0.25">
      <c r="A1788" s="551" t="s">
        <v>35121</v>
      </c>
      <c r="B1788" s="551" t="s">
        <v>35122</v>
      </c>
      <c r="C1788" s="552" t="s">
        <v>226</v>
      </c>
      <c r="D1788" s="557">
        <v>164.06</v>
      </c>
      <c r="E1788" s="557">
        <v>132.74</v>
      </c>
      <c r="F1788" s="557">
        <v>31.32</v>
      </c>
      <c r="G1788" s="557">
        <v>164.06</v>
      </c>
    </row>
    <row r="1789" spans="1:7" ht="12.6" customHeight="1" x14ac:dyDescent="0.25">
      <c r="A1789" s="551" t="s">
        <v>35123</v>
      </c>
      <c r="B1789" s="551" t="s">
        <v>35124</v>
      </c>
      <c r="C1789" s="552" t="s">
        <v>226</v>
      </c>
      <c r="D1789" s="557">
        <v>220.6</v>
      </c>
      <c r="E1789" s="557">
        <v>217.07</v>
      </c>
      <c r="F1789" s="557">
        <v>3.53</v>
      </c>
      <c r="G1789" s="557">
        <v>220.6</v>
      </c>
    </row>
    <row r="1790" spans="1:7" ht="12.6" customHeight="1" x14ac:dyDescent="0.25">
      <c r="A1790" s="551" t="s">
        <v>35125</v>
      </c>
      <c r="B1790" s="551" t="s">
        <v>35126</v>
      </c>
      <c r="C1790" s="552" t="s">
        <v>226</v>
      </c>
      <c r="D1790" s="557">
        <v>110.68</v>
      </c>
      <c r="E1790" s="557">
        <v>107.15</v>
      </c>
      <c r="F1790" s="557">
        <v>3.53</v>
      </c>
      <c r="G1790" s="557">
        <v>110.68</v>
      </c>
    </row>
    <row r="1791" spans="1:7" ht="12.6" customHeight="1" x14ac:dyDescent="0.25">
      <c r="A1791" s="551" t="s">
        <v>35127</v>
      </c>
      <c r="B1791" s="551" t="s">
        <v>35128</v>
      </c>
      <c r="C1791" s="552" t="s">
        <v>226</v>
      </c>
      <c r="D1791" s="557">
        <v>163.75</v>
      </c>
      <c r="E1791" s="557">
        <v>132.43</v>
      </c>
      <c r="F1791" s="557">
        <v>31.32</v>
      </c>
      <c r="G1791" s="557">
        <v>163.75</v>
      </c>
    </row>
    <row r="1792" spans="1:7" ht="12.6" customHeight="1" x14ac:dyDescent="0.2">
      <c r="A1792" s="548" t="s">
        <v>35129</v>
      </c>
      <c r="B1792" s="548" t="s">
        <v>35130</v>
      </c>
      <c r="C1792" s="550" t="s">
        <v>226</v>
      </c>
      <c r="D1792" s="550">
        <v>362.35</v>
      </c>
      <c r="E1792" s="550">
        <v>331.03</v>
      </c>
      <c r="F1792" s="550">
        <v>31.32</v>
      </c>
      <c r="G1792" s="550">
        <v>362.35</v>
      </c>
    </row>
    <row r="1793" spans="1:7" ht="12.6" customHeight="1" x14ac:dyDescent="0.25">
      <c r="A1793" s="551" t="s">
        <v>35131</v>
      </c>
      <c r="B1793" s="551" t="s">
        <v>35132</v>
      </c>
      <c r="C1793" s="552" t="s">
        <v>226</v>
      </c>
      <c r="D1793" s="557">
        <v>88.45</v>
      </c>
      <c r="E1793" s="557">
        <v>57.13</v>
      </c>
      <c r="F1793" s="557">
        <v>31.32</v>
      </c>
      <c r="G1793" s="557">
        <v>88.45</v>
      </c>
    </row>
    <row r="1794" spans="1:7" ht="12.6" customHeight="1" x14ac:dyDescent="0.2">
      <c r="A1794" s="548" t="s">
        <v>35133</v>
      </c>
      <c r="B1794" s="548" t="s">
        <v>35134</v>
      </c>
      <c r="C1794" s="550"/>
      <c r="D1794" s="550"/>
      <c r="E1794" s="550"/>
      <c r="F1794" s="550"/>
      <c r="G1794" s="550"/>
    </row>
    <row r="1795" spans="1:7" ht="12.6" customHeight="1" x14ac:dyDescent="0.25">
      <c r="A1795" s="551" t="s">
        <v>35135</v>
      </c>
      <c r="B1795" s="551" t="s">
        <v>35136</v>
      </c>
      <c r="C1795" s="552" t="s">
        <v>158</v>
      </c>
      <c r="D1795" s="557">
        <v>62.65</v>
      </c>
      <c r="E1795" s="557">
        <v>31.33</v>
      </c>
      <c r="F1795" s="557">
        <v>31.32</v>
      </c>
      <c r="G1795" s="557">
        <v>62.65</v>
      </c>
    </row>
    <row r="1796" spans="1:7" ht="12.6" customHeight="1" x14ac:dyDescent="0.2">
      <c r="A1796" s="551" t="s">
        <v>35137</v>
      </c>
      <c r="B1796" s="551" t="s">
        <v>35138</v>
      </c>
      <c r="C1796" s="552" t="s">
        <v>158</v>
      </c>
      <c r="D1796" s="557">
        <v>76.17</v>
      </c>
      <c r="E1796" s="557">
        <v>44.85</v>
      </c>
      <c r="F1796" s="343">
        <v>31.32</v>
      </c>
      <c r="G1796" s="557">
        <v>76.17</v>
      </c>
    </row>
    <row r="1797" spans="1:7" ht="12.6" customHeight="1" x14ac:dyDescent="0.2">
      <c r="A1797" s="551" t="s">
        <v>35139</v>
      </c>
      <c r="B1797" s="551" t="s">
        <v>35140</v>
      </c>
      <c r="C1797" s="552" t="s">
        <v>158</v>
      </c>
      <c r="D1797" s="557">
        <v>81.53</v>
      </c>
      <c r="E1797" s="557">
        <v>50.21</v>
      </c>
      <c r="F1797" s="343">
        <v>31.32</v>
      </c>
      <c r="G1797" s="557">
        <v>81.53</v>
      </c>
    </row>
    <row r="1798" spans="1:7" ht="11.45" customHeight="1" x14ac:dyDescent="0.25">
      <c r="A1798" s="543" t="s">
        <v>35141</v>
      </c>
      <c r="B1798" s="544" t="s">
        <v>35142</v>
      </c>
      <c r="C1798" s="544" t="s">
        <v>158</v>
      </c>
      <c r="D1798" s="543">
        <v>222.27</v>
      </c>
      <c r="E1798" s="545">
        <v>172.03</v>
      </c>
      <c r="F1798" s="546">
        <v>50.24</v>
      </c>
      <c r="G1798" s="543">
        <v>222.27</v>
      </c>
    </row>
    <row r="1799" spans="1:7" ht="34.5" customHeight="1" x14ac:dyDescent="0.25">
      <c r="A1799" s="551" t="s">
        <v>35143</v>
      </c>
      <c r="B1799" s="342" t="s">
        <v>35144</v>
      </c>
      <c r="C1799" s="552" t="s">
        <v>227</v>
      </c>
      <c r="D1799" s="557">
        <v>238.41</v>
      </c>
      <c r="E1799" s="557">
        <v>238.41</v>
      </c>
      <c r="F1799" s="557"/>
      <c r="G1799" s="557">
        <v>238.41</v>
      </c>
    </row>
    <row r="1800" spans="1:7" ht="34.5" customHeight="1" x14ac:dyDescent="0.25">
      <c r="A1800" s="554" t="s">
        <v>35145</v>
      </c>
      <c r="B1800" s="342" t="s">
        <v>35146</v>
      </c>
      <c r="C1800" s="555" t="s">
        <v>227</v>
      </c>
      <c r="D1800" s="558">
        <v>268.73</v>
      </c>
      <c r="E1800" s="558">
        <v>268.73</v>
      </c>
      <c r="F1800" s="558"/>
      <c r="G1800" s="558">
        <v>268.73</v>
      </c>
    </row>
    <row r="1801" spans="1:7" ht="12.6" customHeight="1" x14ac:dyDescent="0.2">
      <c r="A1801" s="548" t="s">
        <v>35147</v>
      </c>
      <c r="B1801" s="548" t="s">
        <v>35148</v>
      </c>
      <c r="C1801" s="550" t="s">
        <v>227</v>
      </c>
      <c r="D1801" s="550">
        <v>255.12</v>
      </c>
      <c r="E1801" s="550">
        <v>255.12</v>
      </c>
      <c r="F1801" s="550"/>
      <c r="G1801" s="550">
        <v>255.12</v>
      </c>
    </row>
    <row r="1802" spans="1:7" ht="12.6" customHeight="1" x14ac:dyDescent="0.25">
      <c r="A1802" s="551" t="s">
        <v>35149</v>
      </c>
      <c r="B1802" s="551" t="s">
        <v>35150</v>
      </c>
      <c r="C1802" s="552" t="s">
        <v>158</v>
      </c>
      <c r="D1802" s="557">
        <v>37.08</v>
      </c>
      <c r="E1802" s="557">
        <v>37.08</v>
      </c>
      <c r="F1802" s="557"/>
      <c r="G1802" s="557">
        <v>37.08</v>
      </c>
    </row>
    <row r="1803" spans="1:7" ht="12.6" customHeight="1" x14ac:dyDescent="0.25">
      <c r="A1803" s="551" t="s">
        <v>35151</v>
      </c>
      <c r="B1803" s="551" t="s">
        <v>35152</v>
      </c>
      <c r="C1803" s="552" t="s">
        <v>227</v>
      </c>
      <c r="D1803" s="557">
        <v>365.98</v>
      </c>
      <c r="E1803" s="557">
        <v>365.98</v>
      </c>
      <c r="F1803" s="557"/>
      <c r="G1803" s="557">
        <v>365.98</v>
      </c>
    </row>
    <row r="1804" spans="1:7" ht="23.1" customHeight="1" x14ac:dyDescent="0.25">
      <c r="A1804" s="548" t="s">
        <v>35153</v>
      </c>
      <c r="B1804" s="548" t="s">
        <v>35154</v>
      </c>
      <c r="C1804" s="549" t="s">
        <v>227</v>
      </c>
      <c r="D1804" s="549">
        <v>462.05</v>
      </c>
      <c r="E1804" s="549">
        <v>397.44</v>
      </c>
      <c r="F1804" s="549">
        <v>64.61</v>
      </c>
      <c r="G1804" s="549">
        <v>462.05</v>
      </c>
    </row>
    <row r="1805" spans="1:7" ht="12.6" customHeight="1" x14ac:dyDescent="0.25">
      <c r="A1805" s="551" t="s">
        <v>35155</v>
      </c>
      <c r="B1805" s="551" t="s">
        <v>35156</v>
      </c>
      <c r="C1805" s="552" t="s">
        <v>227</v>
      </c>
      <c r="D1805" s="557">
        <v>275.39</v>
      </c>
      <c r="E1805" s="557">
        <v>275.39</v>
      </c>
      <c r="F1805" s="557"/>
      <c r="G1805" s="557">
        <v>275.39</v>
      </c>
    </row>
    <row r="1806" spans="1:7" ht="12.6" customHeight="1" x14ac:dyDescent="0.25">
      <c r="A1806" s="551" t="s">
        <v>35157</v>
      </c>
      <c r="B1806" s="551" t="s">
        <v>35158</v>
      </c>
      <c r="C1806" s="552" t="s">
        <v>227</v>
      </c>
      <c r="D1806" s="557">
        <v>2182.98</v>
      </c>
      <c r="E1806" s="557">
        <v>2086.5</v>
      </c>
      <c r="F1806" s="557">
        <v>96.48</v>
      </c>
      <c r="G1806" s="557">
        <v>2182.98</v>
      </c>
    </row>
    <row r="1807" spans="1:7" ht="12.6" customHeight="1" x14ac:dyDescent="0.25">
      <c r="A1807" s="551" t="s">
        <v>35159</v>
      </c>
      <c r="B1807" s="551" t="s">
        <v>35160</v>
      </c>
      <c r="C1807" s="552" t="s">
        <v>227</v>
      </c>
      <c r="D1807" s="557">
        <v>1924.02</v>
      </c>
      <c r="E1807" s="557">
        <v>1827.54</v>
      </c>
      <c r="F1807" s="557">
        <v>96.48</v>
      </c>
      <c r="G1807" s="557">
        <v>1924.02</v>
      </c>
    </row>
    <row r="1808" spans="1:7" ht="12.6" customHeight="1" x14ac:dyDescent="0.25">
      <c r="A1808" s="551" t="s">
        <v>35161</v>
      </c>
      <c r="B1808" s="551" t="s">
        <v>35162</v>
      </c>
      <c r="C1808" s="552" t="s">
        <v>227</v>
      </c>
      <c r="D1808" s="557">
        <v>649.62</v>
      </c>
      <c r="E1808" s="557">
        <v>611.72</v>
      </c>
      <c r="F1808" s="557">
        <v>37.9</v>
      </c>
      <c r="G1808" s="557">
        <v>649.62</v>
      </c>
    </row>
    <row r="1809" spans="1:7" ht="12.6" customHeight="1" x14ac:dyDescent="0.25">
      <c r="A1809" s="551" t="s">
        <v>35163</v>
      </c>
      <c r="B1809" s="551" t="s">
        <v>35164</v>
      </c>
      <c r="C1809" s="552" t="s">
        <v>227</v>
      </c>
      <c r="D1809" s="557">
        <v>883.31</v>
      </c>
      <c r="E1809" s="557">
        <v>850.43</v>
      </c>
      <c r="F1809" s="557">
        <v>32.880000000000003</v>
      </c>
      <c r="G1809" s="557">
        <v>883.31</v>
      </c>
    </row>
    <row r="1810" spans="1:7" ht="12.6" customHeight="1" x14ac:dyDescent="0.25">
      <c r="A1810" s="551" t="s">
        <v>35165</v>
      </c>
      <c r="B1810" s="551" t="s">
        <v>35166</v>
      </c>
      <c r="C1810" s="552" t="s">
        <v>227</v>
      </c>
      <c r="D1810" s="557">
        <v>1480.01</v>
      </c>
      <c r="E1810" s="557">
        <v>1402.16</v>
      </c>
      <c r="F1810" s="557">
        <v>77.849999999999994</v>
      </c>
      <c r="G1810" s="557">
        <v>1480.01</v>
      </c>
    </row>
    <row r="1811" spans="1:7" ht="12.6" customHeight="1" x14ac:dyDescent="0.25">
      <c r="A1811" s="551" t="s">
        <v>35167</v>
      </c>
      <c r="B1811" s="551" t="s">
        <v>35168</v>
      </c>
      <c r="C1811" s="552" t="s">
        <v>227</v>
      </c>
      <c r="D1811" s="557">
        <v>210.94</v>
      </c>
      <c r="E1811" s="557">
        <v>115.75</v>
      </c>
      <c r="F1811" s="557">
        <v>95.19</v>
      </c>
      <c r="G1811" s="557">
        <v>210.94</v>
      </c>
    </row>
    <row r="1812" spans="1:7" ht="12.6" customHeight="1" x14ac:dyDescent="0.25">
      <c r="A1812" s="551" t="s">
        <v>35169</v>
      </c>
      <c r="B1812" s="551" t="s">
        <v>35170</v>
      </c>
      <c r="C1812" s="552" t="s">
        <v>158</v>
      </c>
      <c r="D1812" s="557">
        <v>227.3</v>
      </c>
      <c r="E1812" s="557">
        <v>176.72</v>
      </c>
      <c r="F1812" s="557">
        <v>50.58</v>
      </c>
      <c r="G1812" s="557">
        <v>227.3</v>
      </c>
    </row>
    <row r="1813" spans="1:7" ht="34.5" customHeight="1" x14ac:dyDescent="0.25">
      <c r="A1813" s="554" t="s">
        <v>35171</v>
      </c>
      <c r="B1813" s="342" t="s">
        <v>35172</v>
      </c>
      <c r="C1813" s="555"/>
      <c r="D1813" s="558"/>
      <c r="E1813" s="558"/>
      <c r="F1813" s="342"/>
      <c r="G1813" s="558"/>
    </row>
    <row r="1814" spans="1:7" ht="34.5" customHeight="1" x14ac:dyDescent="0.25">
      <c r="A1814" s="554" t="s">
        <v>35173</v>
      </c>
      <c r="B1814" s="342" t="s">
        <v>35174</v>
      </c>
      <c r="C1814" s="555" t="s">
        <v>226</v>
      </c>
      <c r="D1814" s="558">
        <v>255.09</v>
      </c>
      <c r="E1814" s="558">
        <v>103.13</v>
      </c>
      <c r="F1814" s="342">
        <v>151.96</v>
      </c>
      <c r="G1814" s="558">
        <v>255.09</v>
      </c>
    </row>
    <row r="1815" spans="1:7" ht="12.6" customHeight="1" x14ac:dyDescent="0.2">
      <c r="A1815" s="548" t="s">
        <v>35175</v>
      </c>
      <c r="B1815" s="548" t="s">
        <v>35176</v>
      </c>
      <c r="C1815" s="550" t="s">
        <v>226</v>
      </c>
      <c r="D1815" s="550">
        <v>738.01</v>
      </c>
      <c r="E1815" s="550">
        <v>550.91</v>
      </c>
      <c r="F1815" s="550">
        <v>187.1</v>
      </c>
      <c r="G1815" s="550">
        <v>738.01</v>
      </c>
    </row>
    <row r="1816" spans="1:7" ht="12.6" customHeight="1" x14ac:dyDescent="0.25">
      <c r="A1816" s="551" t="s">
        <v>35177</v>
      </c>
      <c r="B1816" s="551" t="s">
        <v>35178</v>
      </c>
      <c r="C1816" s="552" t="s">
        <v>226</v>
      </c>
      <c r="D1816" s="557">
        <v>2239.62</v>
      </c>
      <c r="E1816" s="557">
        <v>1900.56</v>
      </c>
      <c r="F1816" s="557">
        <v>339.06</v>
      </c>
      <c r="G1816" s="557">
        <v>2239.62</v>
      </c>
    </row>
    <row r="1817" spans="1:7" ht="12.6" customHeight="1" x14ac:dyDescent="0.2">
      <c r="A1817" s="548" t="s">
        <v>35179</v>
      </c>
      <c r="B1817" s="548" t="s">
        <v>35180</v>
      </c>
      <c r="C1817" s="550" t="s">
        <v>226</v>
      </c>
      <c r="D1817" s="550">
        <v>3788.47</v>
      </c>
      <c r="E1817" s="550">
        <v>2869.11</v>
      </c>
      <c r="F1817" s="550">
        <v>919.36</v>
      </c>
      <c r="G1817" s="550">
        <v>3788.47</v>
      </c>
    </row>
    <row r="1818" spans="1:7" ht="12.6" customHeight="1" x14ac:dyDescent="0.25">
      <c r="A1818" s="551" t="s">
        <v>35181</v>
      </c>
      <c r="B1818" s="551" t="s">
        <v>35182</v>
      </c>
      <c r="C1818" s="552" t="s">
        <v>226</v>
      </c>
      <c r="D1818" s="557">
        <v>7798.76</v>
      </c>
      <c r="E1818" s="557">
        <v>5960.04</v>
      </c>
      <c r="F1818" s="557">
        <v>1838.72</v>
      </c>
      <c r="G1818" s="557">
        <v>7798.76</v>
      </c>
    </row>
    <row r="1819" spans="1:7" ht="12.6" customHeight="1" x14ac:dyDescent="0.2">
      <c r="A1819" s="559" t="s">
        <v>35183</v>
      </c>
      <c r="B1819" s="548" t="s">
        <v>35184</v>
      </c>
      <c r="C1819" s="550" t="s">
        <v>226</v>
      </c>
      <c r="D1819" s="550">
        <v>10921.77</v>
      </c>
      <c r="E1819" s="550">
        <v>8786.73</v>
      </c>
      <c r="F1819" s="550">
        <v>2135.04</v>
      </c>
      <c r="G1819" s="550">
        <v>10921.77</v>
      </c>
    </row>
    <row r="1820" spans="1:7" ht="12.6" customHeight="1" x14ac:dyDescent="0.2">
      <c r="A1820" s="548" t="s">
        <v>35185</v>
      </c>
      <c r="B1820" s="548" t="s">
        <v>35186</v>
      </c>
      <c r="C1820" s="550"/>
      <c r="D1820" s="550"/>
      <c r="E1820" s="550"/>
      <c r="F1820" s="550"/>
      <c r="G1820" s="550"/>
    </row>
    <row r="1821" spans="1:7" ht="12.6" customHeight="1" x14ac:dyDescent="0.25">
      <c r="A1821" s="551" t="s">
        <v>35187</v>
      </c>
      <c r="B1821" s="551" t="s">
        <v>35188</v>
      </c>
      <c r="C1821" s="552" t="s">
        <v>227</v>
      </c>
      <c r="D1821" s="557">
        <v>17.13</v>
      </c>
      <c r="E1821" s="557">
        <v>9.5399999999999991</v>
      </c>
      <c r="F1821" s="557">
        <v>7.59</v>
      </c>
      <c r="G1821" s="557">
        <v>17.13</v>
      </c>
    </row>
    <row r="1822" spans="1:7" ht="23.1" customHeight="1" x14ac:dyDescent="0.25">
      <c r="A1822" s="551" t="s">
        <v>35189</v>
      </c>
      <c r="B1822" s="551" t="s">
        <v>35190</v>
      </c>
      <c r="C1822" s="552" t="s">
        <v>227</v>
      </c>
      <c r="D1822" s="557">
        <v>84.11</v>
      </c>
      <c r="E1822" s="344">
        <v>73.599999999999994</v>
      </c>
      <c r="F1822" s="557">
        <v>10.51</v>
      </c>
      <c r="G1822" s="557">
        <v>84.11</v>
      </c>
    </row>
    <row r="1823" spans="1:7" ht="12.6" customHeight="1" x14ac:dyDescent="0.2">
      <c r="A1823" s="548" t="s">
        <v>35191</v>
      </c>
      <c r="B1823" s="548" t="s">
        <v>35192</v>
      </c>
      <c r="C1823" s="550" t="s">
        <v>158</v>
      </c>
      <c r="D1823" s="550">
        <v>11.03</v>
      </c>
      <c r="E1823" s="550">
        <v>11.03</v>
      </c>
      <c r="F1823" s="550"/>
      <c r="G1823" s="550">
        <v>11.03</v>
      </c>
    </row>
    <row r="1824" spans="1:7" ht="12.6" customHeight="1" x14ac:dyDescent="0.25">
      <c r="A1824" s="551" t="s">
        <v>35193</v>
      </c>
      <c r="B1824" s="551" t="s">
        <v>35194</v>
      </c>
      <c r="C1824" s="552" t="s">
        <v>227</v>
      </c>
      <c r="D1824" s="557">
        <v>18.079999999999998</v>
      </c>
      <c r="E1824" s="557">
        <v>2.15</v>
      </c>
      <c r="F1824" s="557">
        <v>15.93</v>
      </c>
      <c r="G1824" s="557">
        <v>18.079999999999998</v>
      </c>
    </row>
    <row r="1825" spans="1:7" ht="12.6" customHeight="1" x14ac:dyDescent="0.25">
      <c r="A1825" s="551" t="s">
        <v>35195</v>
      </c>
      <c r="B1825" s="551" t="s">
        <v>35196</v>
      </c>
      <c r="C1825" s="552" t="s">
        <v>227</v>
      </c>
      <c r="D1825" s="557">
        <v>23.58</v>
      </c>
      <c r="E1825" s="557">
        <v>2.23</v>
      </c>
      <c r="F1825" s="557">
        <v>21.35</v>
      </c>
      <c r="G1825" s="557">
        <v>23.58</v>
      </c>
    </row>
    <row r="1826" spans="1:7" ht="12.6" customHeight="1" x14ac:dyDescent="0.25">
      <c r="A1826" s="551" t="s">
        <v>35197</v>
      </c>
      <c r="B1826" s="551" t="s">
        <v>35198</v>
      </c>
      <c r="C1826" s="552" t="s">
        <v>226</v>
      </c>
      <c r="D1826" s="557">
        <v>631.17999999999995</v>
      </c>
      <c r="E1826" s="557">
        <v>457.79</v>
      </c>
      <c r="F1826" s="557">
        <v>173.39</v>
      </c>
      <c r="G1826" s="557">
        <v>631.17999999999995</v>
      </c>
    </row>
    <row r="1827" spans="1:7" ht="12.6" customHeight="1" x14ac:dyDescent="0.25">
      <c r="A1827" s="551" t="s">
        <v>35199</v>
      </c>
      <c r="B1827" s="551" t="s">
        <v>35200</v>
      </c>
      <c r="C1827" s="552" t="s">
        <v>227</v>
      </c>
      <c r="D1827" s="557">
        <v>954.46</v>
      </c>
      <c r="E1827" s="557">
        <v>932.87</v>
      </c>
      <c r="F1827" s="557">
        <v>21.59</v>
      </c>
      <c r="G1827" s="557">
        <v>954.46</v>
      </c>
    </row>
    <row r="1828" spans="1:7" ht="12.6" customHeight="1" x14ac:dyDescent="0.25">
      <c r="A1828" s="551" t="s">
        <v>35201</v>
      </c>
      <c r="B1828" s="551" t="s">
        <v>35202</v>
      </c>
      <c r="C1828" s="552"/>
      <c r="D1828" s="557"/>
      <c r="E1828" s="557"/>
      <c r="F1828" s="557"/>
      <c r="G1828" s="557"/>
    </row>
    <row r="1829" spans="1:7" ht="12.6" customHeight="1" x14ac:dyDescent="0.25">
      <c r="A1829" s="551" t="s">
        <v>35203</v>
      </c>
      <c r="B1829" s="551" t="s">
        <v>35204</v>
      </c>
      <c r="C1829" s="552"/>
      <c r="D1829" s="557"/>
      <c r="E1829" s="557"/>
      <c r="F1829" s="557"/>
      <c r="G1829" s="557"/>
    </row>
    <row r="1830" spans="1:7" ht="12.6" customHeight="1" x14ac:dyDescent="0.25">
      <c r="A1830" s="551" t="s">
        <v>35205</v>
      </c>
      <c r="B1830" s="551" t="s">
        <v>35206</v>
      </c>
      <c r="C1830" s="552" t="s">
        <v>227</v>
      </c>
      <c r="D1830" s="557">
        <v>56.73</v>
      </c>
      <c r="E1830" s="557">
        <v>50.26</v>
      </c>
      <c r="F1830" s="557">
        <v>6.47</v>
      </c>
      <c r="G1830" s="557">
        <v>56.73</v>
      </c>
    </row>
    <row r="1831" spans="1:7" ht="12.6" customHeight="1" x14ac:dyDescent="0.2">
      <c r="A1831" s="551" t="s">
        <v>35207</v>
      </c>
      <c r="B1831" s="551" t="s">
        <v>35208</v>
      </c>
      <c r="C1831" s="552" t="s">
        <v>19518</v>
      </c>
      <c r="D1831" s="557">
        <v>2077.69</v>
      </c>
      <c r="E1831" s="557">
        <v>1922.32</v>
      </c>
      <c r="F1831" s="343">
        <v>155.37</v>
      </c>
      <c r="G1831" s="557">
        <v>2077.69</v>
      </c>
    </row>
    <row r="1832" spans="1:7" ht="12.6" customHeight="1" x14ac:dyDescent="0.2">
      <c r="A1832" s="548" t="s">
        <v>35209</v>
      </c>
      <c r="B1832" s="548" t="s">
        <v>35210</v>
      </c>
      <c r="C1832" s="550" t="s">
        <v>226</v>
      </c>
      <c r="D1832" s="550">
        <v>4199.9399999999996</v>
      </c>
      <c r="E1832" s="550">
        <v>2242.94</v>
      </c>
      <c r="F1832" s="550">
        <v>1957</v>
      </c>
      <c r="G1832" s="550">
        <v>4199.9399999999996</v>
      </c>
    </row>
    <row r="1833" spans="1:7" ht="12.6" customHeight="1" x14ac:dyDescent="0.25">
      <c r="A1833" s="551" t="s">
        <v>35211</v>
      </c>
      <c r="B1833" s="551" t="s">
        <v>35212</v>
      </c>
      <c r="C1833" s="552" t="s">
        <v>19518</v>
      </c>
      <c r="D1833" s="557">
        <v>1861.37</v>
      </c>
      <c r="E1833" s="557">
        <v>1706</v>
      </c>
      <c r="F1833" s="557">
        <v>155.37</v>
      </c>
      <c r="G1833" s="557">
        <v>1861.37</v>
      </c>
    </row>
    <row r="1834" spans="1:7" ht="12.6" customHeight="1" x14ac:dyDescent="0.25">
      <c r="A1834" s="551" t="s">
        <v>35213</v>
      </c>
      <c r="B1834" s="551" t="s">
        <v>35214</v>
      </c>
      <c r="C1834" s="552" t="s">
        <v>227</v>
      </c>
      <c r="D1834" s="557">
        <v>170.63</v>
      </c>
      <c r="E1834" s="557">
        <v>138.65</v>
      </c>
      <c r="F1834" s="557">
        <v>31.98</v>
      </c>
      <c r="G1834" s="557">
        <v>170.63</v>
      </c>
    </row>
    <row r="1835" spans="1:7" ht="12.6" customHeight="1" x14ac:dyDescent="0.25">
      <c r="A1835" s="551" t="s">
        <v>35215</v>
      </c>
      <c r="B1835" s="551" t="s">
        <v>35216</v>
      </c>
      <c r="C1835" s="552"/>
      <c r="D1835" s="557"/>
      <c r="E1835" s="557"/>
      <c r="F1835" s="557"/>
      <c r="G1835" s="557"/>
    </row>
    <row r="1836" spans="1:7" ht="12.6" customHeight="1" x14ac:dyDescent="0.25">
      <c r="A1836" s="551" t="s">
        <v>35217</v>
      </c>
      <c r="B1836" s="551" t="s">
        <v>35218</v>
      </c>
      <c r="C1836" s="552" t="s">
        <v>226</v>
      </c>
      <c r="D1836" s="557">
        <v>4732.87</v>
      </c>
      <c r="E1836" s="557">
        <v>4640.9799999999996</v>
      </c>
      <c r="F1836" s="557">
        <v>91.89</v>
      </c>
      <c r="G1836" s="557">
        <v>4732.87</v>
      </c>
    </row>
    <row r="1837" spans="1:7" ht="12.6" customHeight="1" x14ac:dyDescent="0.2">
      <c r="A1837" s="548" t="s">
        <v>35219</v>
      </c>
      <c r="B1837" s="548" t="s">
        <v>35220</v>
      </c>
      <c r="C1837" s="550"/>
      <c r="D1837" s="550"/>
      <c r="E1837" s="550"/>
      <c r="F1837" s="550"/>
      <c r="G1837" s="550"/>
    </row>
    <row r="1838" spans="1:7" ht="12.6" customHeight="1" x14ac:dyDescent="0.25">
      <c r="A1838" s="551" t="s">
        <v>35221</v>
      </c>
      <c r="B1838" s="551" t="s">
        <v>35222</v>
      </c>
      <c r="C1838" s="552" t="s">
        <v>158</v>
      </c>
      <c r="D1838" s="557">
        <v>224.05</v>
      </c>
      <c r="E1838" s="557">
        <v>130.34</v>
      </c>
      <c r="F1838" s="557">
        <v>93.71</v>
      </c>
      <c r="G1838" s="557">
        <v>224.05</v>
      </c>
    </row>
    <row r="1839" spans="1:7" ht="12.6" customHeight="1" x14ac:dyDescent="0.25">
      <c r="A1839" s="551" t="s">
        <v>35223</v>
      </c>
      <c r="B1839" s="551" t="s">
        <v>35224</v>
      </c>
      <c r="C1839" s="552" t="s">
        <v>226</v>
      </c>
      <c r="D1839" s="557">
        <v>584.07000000000005</v>
      </c>
      <c r="E1839" s="557">
        <v>563.21</v>
      </c>
      <c r="F1839" s="557">
        <v>20.86</v>
      </c>
      <c r="G1839" s="557">
        <v>584.07000000000005</v>
      </c>
    </row>
    <row r="1840" spans="1:7" ht="12.6" customHeight="1" x14ac:dyDescent="0.25">
      <c r="A1840" s="551" t="s">
        <v>35225</v>
      </c>
      <c r="B1840" s="551" t="s">
        <v>35226</v>
      </c>
      <c r="C1840" s="552" t="s">
        <v>227</v>
      </c>
      <c r="D1840" s="557">
        <v>247.8</v>
      </c>
      <c r="E1840" s="557">
        <v>189.39</v>
      </c>
      <c r="F1840" s="557">
        <v>58.41</v>
      </c>
      <c r="G1840" s="557">
        <v>247.8</v>
      </c>
    </row>
    <row r="1841" spans="1:7" ht="12.6" customHeight="1" x14ac:dyDescent="0.25">
      <c r="A1841" s="551" t="s">
        <v>35227</v>
      </c>
      <c r="B1841" s="551" t="s">
        <v>35228</v>
      </c>
      <c r="C1841" s="552" t="s">
        <v>226</v>
      </c>
      <c r="D1841" s="557">
        <v>628.23</v>
      </c>
      <c r="E1841" s="557">
        <v>598.9</v>
      </c>
      <c r="F1841" s="557">
        <v>29.33</v>
      </c>
      <c r="G1841" s="557">
        <v>628.23</v>
      </c>
    </row>
    <row r="1842" spans="1:7" ht="12.6" customHeight="1" x14ac:dyDescent="0.25">
      <c r="A1842" s="551" t="s">
        <v>35229</v>
      </c>
      <c r="B1842" s="551" t="s">
        <v>35230</v>
      </c>
      <c r="C1842" s="552" t="s">
        <v>226</v>
      </c>
      <c r="D1842" s="557">
        <v>929.57</v>
      </c>
      <c r="E1842" s="557">
        <v>885.57</v>
      </c>
      <c r="F1842" s="557">
        <v>44</v>
      </c>
      <c r="G1842" s="557">
        <v>929.57</v>
      </c>
    </row>
    <row r="1843" spans="1:7" ht="12.6" customHeight="1" x14ac:dyDescent="0.25">
      <c r="A1843" s="551" t="s">
        <v>35231</v>
      </c>
      <c r="B1843" s="551" t="s">
        <v>35232</v>
      </c>
      <c r="C1843" s="552"/>
      <c r="D1843" s="557"/>
      <c r="E1843" s="557"/>
      <c r="F1843" s="557"/>
      <c r="G1843" s="557"/>
    </row>
    <row r="1844" spans="1:7" ht="12.6" customHeight="1" x14ac:dyDescent="0.25">
      <c r="A1844" s="551" t="s">
        <v>35233</v>
      </c>
      <c r="B1844" s="551" t="s">
        <v>35234</v>
      </c>
      <c r="C1844" s="552" t="s">
        <v>19518</v>
      </c>
      <c r="D1844" s="557">
        <v>5346.76</v>
      </c>
      <c r="E1844" s="557">
        <v>5139.59</v>
      </c>
      <c r="F1844" s="557">
        <v>207.17</v>
      </c>
      <c r="G1844" s="557">
        <v>5346.76</v>
      </c>
    </row>
    <row r="1845" spans="1:7" ht="11.45" customHeight="1" x14ac:dyDescent="0.25">
      <c r="A1845" s="543" t="s">
        <v>35235</v>
      </c>
      <c r="B1845" s="544" t="s">
        <v>35236</v>
      </c>
      <c r="C1845" s="544" t="s">
        <v>19518</v>
      </c>
      <c r="D1845" s="543">
        <v>2107.08</v>
      </c>
      <c r="E1845" s="545">
        <v>1899.91</v>
      </c>
      <c r="F1845" s="546">
        <v>207.17</v>
      </c>
      <c r="G1845" s="543">
        <v>2107.08</v>
      </c>
    </row>
    <row r="1846" spans="1:7" ht="24.95" customHeight="1" x14ac:dyDescent="0.25">
      <c r="A1846" s="551" t="s">
        <v>35237</v>
      </c>
      <c r="B1846" s="342" t="s">
        <v>35238</v>
      </c>
      <c r="C1846" s="552" t="s">
        <v>19518</v>
      </c>
      <c r="D1846" s="557">
        <v>1483.13</v>
      </c>
      <c r="E1846" s="557">
        <v>1275.96</v>
      </c>
      <c r="F1846" s="557">
        <v>207.17</v>
      </c>
      <c r="G1846" s="557">
        <v>1483.13</v>
      </c>
    </row>
    <row r="1847" spans="1:7" ht="12.6" customHeight="1" x14ac:dyDescent="0.2">
      <c r="A1847" s="548" t="s">
        <v>35239</v>
      </c>
      <c r="B1847" s="548" t="s">
        <v>35240</v>
      </c>
      <c r="C1847" s="550" t="s">
        <v>19518</v>
      </c>
      <c r="D1847" s="550">
        <v>2322.85</v>
      </c>
      <c r="E1847" s="550">
        <v>2115.6799999999998</v>
      </c>
      <c r="F1847" s="550">
        <v>207.17</v>
      </c>
      <c r="G1847" s="550">
        <v>2322.85</v>
      </c>
    </row>
    <row r="1848" spans="1:7" ht="12.6" customHeight="1" x14ac:dyDescent="0.25">
      <c r="A1848" s="551" t="s">
        <v>35241</v>
      </c>
      <c r="B1848" s="551" t="s">
        <v>35242</v>
      </c>
      <c r="C1848" s="552"/>
      <c r="D1848" s="557"/>
      <c r="E1848" s="557"/>
      <c r="F1848" s="557"/>
      <c r="G1848" s="557"/>
    </row>
    <row r="1849" spans="1:7" ht="23.1" customHeight="1" x14ac:dyDescent="0.25">
      <c r="A1849" s="551" t="s">
        <v>35243</v>
      </c>
      <c r="B1849" s="551" t="s">
        <v>35244</v>
      </c>
      <c r="C1849" s="552" t="s">
        <v>19518</v>
      </c>
      <c r="D1849" s="557">
        <v>6222.88</v>
      </c>
      <c r="E1849" s="557">
        <v>5893.56</v>
      </c>
      <c r="F1849" s="557">
        <v>329.32</v>
      </c>
      <c r="G1849" s="557">
        <v>6222.88</v>
      </c>
    </row>
    <row r="1850" spans="1:7" ht="24.95" customHeight="1" x14ac:dyDescent="0.25">
      <c r="A1850" s="551" t="s">
        <v>35245</v>
      </c>
      <c r="B1850" s="342" t="s">
        <v>35246</v>
      </c>
      <c r="C1850" s="552" t="s">
        <v>19518</v>
      </c>
      <c r="D1850" s="557">
        <v>9783.92</v>
      </c>
      <c r="E1850" s="557">
        <v>9454.6</v>
      </c>
      <c r="F1850" s="557">
        <v>329.32</v>
      </c>
      <c r="G1850" s="557">
        <v>9783.92</v>
      </c>
    </row>
    <row r="1851" spans="1:7" ht="24.95" customHeight="1" x14ac:dyDescent="0.25">
      <c r="A1851" s="551" t="s">
        <v>35247</v>
      </c>
      <c r="B1851" s="342" t="s">
        <v>35248</v>
      </c>
      <c r="C1851" s="552" t="s">
        <v>226</v>
      </c>
      <c r="D1851" s="557">
        <v>3178.01</v>
      </c>
      <c r="E1851" s="557">
        <v>3129.37</v>
      </c>
      <c r="F1851" s="557">
        <v>48.64</v>
      </c>
      <c r="G1851" s="557">
        <v>3178.01</v>
      </c>
    </row>
    <row r="1852" spans="1:7" ht="24.95" customHeight="1" x14ac:dyDescent="0.25">
      <c r="A1852" s="551" t="s">
        <v>35249</v>
      </c>
      <c r="B1852" s="342" t="s">
        <v>35250</v>
      </c>
      <c r="C1852" s="552" t="s">
        <v>226</v>
      </c>
      <c r="D1852" s="557">
        <v>1991.04</v>
      </c>
      <c r="E1852" s="557">
        <v>1942.4</v>
      </c>
      <c r="F1852" s="344">
        <v>48.64</v>
      </c>
      <c r="G1852" s="557">
        <v>1991.04</v>
      </c>
    </row>
    <row r="1853" spans="1:7" ht="24.95" customHeight="1" x14ac:dyDescent="0.25">
      <c r="A1853" s="551" t="s">
        <v>35251</v>
      </c>
      <c r="B1853" s="342" t="s">
        <v>35252</v>
      </c>
      <c r="C1853" s="552"/>
      <c r="D1853" s="557"/>
      <c r="E1853" s="557"/>
      <c r="F1853" s="344"/>
      <c r="G1853" s="557"/>
    </row>
    <row r="1854" spans="1:7" ht="24.95" customHeight="1" x14ac:dyDescent="0.25">
      <c r="A1854" s="551" t="s">
        <v>35253</v>
      </c>
      <c r="B1854" s="342" t="s">
        <v>35254</v>
      </c>
      <c r="C1854" s="552" t="s">
        <v>227</v>
      </c>
      <c r="D1854" s="557">
        <v>12.29</v>
      </c>
      <c r="E1854" s="557">
        <v>12.29</v>
      </c>
      <c r="F1854" s="344"/>
      <c r="G1854" s="557">
        <v>12.29</v>
      </c>
    </row>
    <row r="1855" spans="1:7" ht="12.6" customHeight="1" x14ac:dyDescent="0.2">
      <c r="A1855" s="551" t="s">
        <v>35255</v>
      </c>
      <c r="B1855" s="551" t="s">
        <v>35256</v>
      </c>
      <c r="C1855" s="552" t="s">
        <v>226</v>
      </c>
      <c r="D1855" s="557">
        <v>1232.96</v>
      </c>
      <c r="E1855" s="557">
        <v>1200.5899999999999</v>
      </c>
      <c r="F1855" s="343">
        <v>32.369999999999997</v>
      </c>
      <c r="G1855" s="557">
        <v>1232.96</v>
      </c>
    </row>
    <row r="1856" spans="1:7" ht="34.5" customHeight="1" x14ac:dyDescent="0.25">
      <c r="A1856" s="554" t="s">
        <v>35257</v>
      </c>
      <c r="B1856" s="551" t="s">
        <v>35258</v>
      </c>
      <c r="C1856" s="555"/>
      <c r="D1856" s="558"/>
      <c r="E1856" s="558"/>
      <c r="F1856" s="342"/>
      <c r="G1856" s="558"/>
    </row>
    <row r="1857" spans="1:7" ht="24.95" customHeight="1" x14ac:dyDescent="0.25">
      <c r="A1857" s="551" t="s">
        <v>35259</v>
      </c>
      <c r="B1857" s="342" t="s">
        <v>35260</v>
      </c>
      <c r="C1857" s="552"/>
      <c r="D1857" s="557"/>
      <c r="E1857" s="557"/>
      <c r="F1857" s="557"/>
      <c r="G1857" s="557"/>
    </row>
    <row r="1858" spans="1:7" ht="23.1" customHeight="1" x14ac:dyDescent="0.25">
      <c r="A1858" s="551" t="s">
        <v>35261</v>
      </c>
      <c r="B1858" s="551" t="s">
        <v>35262</v>
      </c>
      <c r="C1858" s="552" t="s">
        <v>19518</v>
      </c>
      <c r="D1858" s="557">
        <v>140778.68</v>
      </c>
      <c r="E1858" s="557">
        <v>140524.89000000001</v>
      </c>
      <c r="F1858" s="344">
        <v>253.79</v>
      </c>
      <c r="G1858" s="557">
        <v>140778.68</v>
      </c>
    </row>
    <row r="1859" spans="1:7" ht="24.95" customHeight="1" x14ac:dyDescent="0.25">
      <c r="A1859" s="551" t="s">
        <v>35263</v>
      </c>
      <c r="B1859" s="342" t="s">
        <v>35264</v>
      </c>
      <c r="C1859" s="552" t="s">
        <v>19518</v>
      </c>
      <c r="D1859" s="553">
        <v>113682.81</v>
      </c>
      <c r="E1859" s="553">
        <v>113429.02</v>
      </c>
      <c r="F1859" s="557">
        <v>253.79</v>
      </c>
      <c r="G1859" s="553">
        <v>113682.81</v>
      </c>
    </row>
    <row r="1860" spans="1:7" ht="24.95" customHeight="1" x14ac:dyDescent="0.25">
      <c r="A1860" s="551" t="s">
        <v>35265</v>
      </c>
      <c r="B1860" s="342" t="s">
        <v>35266</v>
      </c>
      <c r="C1860" s="552" t="s">
        <v>19518</v>
      </c>
      <c r="D1860" s="553">
        <v>137426.82999999999</v>
      </c>
      <c r="E1860" s="553">
        <v>136919.25</v>
      </c>
      <c r="F1860" s="557">
        <v>507.58</v>
      </c>
      <c r="G1860" s="553">
        <v>137426.82999999999</v>
      </c>
    </row>
    <row r="1861" spans="1:7" ht="12.6" customHeight="1" x14ac:dyDescent="0.25">
      <c r="A1861" s="551" t="s">
        <v>35267</v>
      </c>
      <c r="B1861" s="551" t="s">
        <v>35268</v>
      </c>
      <c r="C1861" s="552"/>
      <c r="D1861" s="557"/>
      <c r="E1861" s="557"/>
      <c r="F1861" s="557"/>
      <c r="G1861" s="557"/>
    </row>
    <row r="1862" spans="1:7" ht="12.6" customHeight="1" x14ac:dyDescent="0.25">
      <c r="A1862" s="551" t="s">
        <v>35269</v>
      </c>
      <c r="B1862" s="551" t="s">
        <v>35270</v>
      </c>
      <c r="C1862" s="552" t="s">
        <v>226</v>
      </c>
      <c r="D1862" s="557">
        <v>303.83999999999997</v>
      </c>
      <c r="E1862" s="557">
        <v>138</v>
      </c>
      <c r="F1862" s="557">
        <v>165.84</v>
      </c>
      <c r="G1862" s="557">
        <v>303.83999999999997</v>
      </c>
    </row>
    <row r="1863" spans="1:7" ht="12.6" customHeight="1" x14ac:dyDescent="0.25">
      <c r="A1863" s="551" t="s">
        <v>35271</v>
      </c>
      <c r="B1863" s="551" t="s">
        <v>35272</v>
      </c>
      <c r="C1863" s="552" t="s">
        <v>226</v>
      </c>
      <c r="D1863" s="553">
        <v>422.33</v>
      </c>
      <c r="E1863" s="553">
        <v>256.49</v>
      </c>
      <c r="F1863" s="557">
        <v>165.84</v>
      </c>
      <c r="G1863" s="553">
        <v>422.33</v>
      </c>
    </row>
    <row r="1864" spans="1:7" ht="12.6" customHeight="1" x14ac:dyDescent="0.25">
      <c r="A1864" s="551" t="s">
        <v>35273</v>
      </c>
      <c r="B1864" s="551" t="s">
        <v>35274</v>
      </c>
      <c r="C1864" s="552" t="s">
        <v>226</v>
      </c>
      <c r="D1864" s="557">
        <v>1229.71</v>
      </c>
      <c r="E1864" s="557">
        <v>1038.27</v>
      </c>
      <c r="F1864" s="557">
        <v>191.44</v>
      </c>
      <c r="G1864" s="557">
        <v>1229.71</v>
      </c>
    </row>
    <row r="1865" spans="1:7" ht="12.6" customHeight="1" x14ac:dyDescent="0.25">
      <c r="A1865" s="551" t="s">
        <v>35275</v>
      </c>
      <c r="B1865" s="551" t="s">
        <v>35276</v>
      </c>
      <c r="C1865" s="552" t="s">
        <v>226</v>
      </c>
      <c r="D1865" s="557">
        <v>2780.8</v>
      </c>
      <c r="E1865" s="557">
        <v>2589.36</v>
      </c>
      <c r="F1865" s="557">
        <v>191.44</v>
      </c>
      <c r="G1865" s="557">
        <v>2780.8</v>
      </c>
    </row>
    <row r="1866" spans="1:7" ht="12.6" customHeight="1" x14ac:dyDescent="0.2">
      <c r="A1866" s="548" t="s">
        <v>35277</v>
      </c>
      <c r="B1866" s="548" t="s">
        <v>35278</v>
      </c>
      <c r="C1866" s="550" t="s">
        <v>226</v>
      </c>
      <c r="D1866" s="550">
        <v>1746.33</v>
      </c>
      <c r="E1866" s="550">
        <v>1554.89</v>
      </c>
      <c r="F1866" s="550">
        <v>191.44</v>
      </c>
      <c r="G1866" s="550">
        <v>1746.33</v>
      </c>
    </row>
    <row r="1867" spans="1:7" ht="24.95" customHeight="1" x14ac:dyDescent="0.25">
      <c r="A1867" s="551" t="s">
        <v>35279</v>
      </c>
      <c r="B1867" s="342" t="s">
        <v>35280</v>
      </c>
      <c r="C1867" s="552" t="s">
        <v>226</v>
      </c>
      <c r="D1867" s="557">
        <v>766.18</v>
      </c>
      <c r="E1867" s="557">
        <v>622.6</v>
      </c>
      <c r="F1867" s="557">
        <v>143.58000000000001</v>
      </c>
      <c r="G1867" s="557">
        <v>766.18</v>
      </c>
    </row>
    <row r="1868" spans="1:7" ht="24.95" customHeight="1" x14ac:dyDescent="0.25">
      <c r="A1868" s="551" t="s">
        <v>35281</v>
      </c>
      <c r="B1868" s="342" t="s">
        <v>35282</v>
      </c>
      <c r="C1868" s="552" t="s">
        <v>226</v>
      </c>
      <c r="D1868" s="557">
        <v>2591.09</v>
      </c>
      <c r="E1868" s="557">
        <v>2391.58</v>
      </c>
      <c r="F1868" s="557">
        <v>199.51</v>
      </c>
      <c r="G1868" s="557">
        <v>2591.09</v>
      </c>
    </row>
    <row r="1869" spans="1:7" ht="24.95" customHeight="1" x14ac:dyDescent="0.25">
      <c r="A1869" s="551" t="s">
        <v>35283</v>
      </c>
      <c r="B1869" s="342" t="s">
        <v>35284</v>
      </c>
      <c r="C1869" s="552" t="s">
        <v>226</v>
      </c>
      <c r="D1869" s="553">
        <v>1240.8399999999999</v>
      </c>
      <c r="E1869" s="553">
        <v>1049.4000000000001</v>
      </c>
      <c r="F1869" s="557">
        <v>191.44</v>
      </c>
      <c r="G1869" s="553">
        <v>1240.8399999999999</v>
      </c>
    </row>
    <row r="1870" spans="1:7" ht="24.95" customHeight="1" x14ac:dyDescent="0.25">
      <c r="A1870" s="551" t="s">
        <v>35285</v>
      </c>
      <c r="B1870" s="342" t="s">
        <v>35286</v>
      </c>
      <c r="C1870" s="552" t="s">
        <v>226</v>
      </c>
      <c r="D1870" s="553">
        <v>227.99</v>
      </c>
      <c r="E1870" s="553">
        <v>132.27000000000001</v>
      </c>
      <c r="F1870" s="557">
        <v>95.72</v>
      </c>
      <c r="G1870" s="553">
        <v>227.99</v>
      </c>
    </row>
    <row r="1871" spans="1:7" ht="24.95" customHeight="1" x14ac:dyDescent="0.25">
      <c r="A1871" s="551" t="s">
        <v>35287</v>
      </c>
      <c r="B1871" s="342" t="s">
        <v>35288</v>
      </c>
      <c r="C1871" s="552" t="s">
        <v>226</v>
      </c>
      <c r="D1871" s="553">
        <v>401.6</v>
      </c>
      <c r="E1871" s="553">
        <v>235.76</v>
      </c>
      <c r="F1871" s="553">
        <v>165.84</v>
      </c>
      <c r="G1871" s="553">
        <v>401.6</v>
      </c>
    </row>
    <row r="1872" spans="1:7" ht="24.95" customHeight="1" x14ac:dyDescent="0.25">
      <c r="A1872" s="551" t="s">
        <v>35289</v>
      </c>
      <c r="B1872" s="342" t="s">
        <v>35290</v>
      </c>
      <c r="C1872" s="552" t="s">
        <v>226</v>
      </c>
      <c r="D1872" s="553">
        <v>922.09</v>
      </c>
      <c r="E1872" s="553">
        <v>730.65</v>
      </c>
      <c r="F1872" s="553">
        <v>191.44</v>
      </c>
      <c r="G1872" s="553">
        <v>922.09</v>
      </c>
    </row>
    <row r="1873" spans="1:7" ht="12.6" customHeight="1" x14ac:dyDescent="0.2">
      <c r="A1873" s="548" t="s">
        <v>35291</v>
      </c>
      <c r="B1873" s="548" t="s">
        <v>35292</v>
      </c>
      <c r="C1873" s="550"/>
      <c r="D1873" s="550"/>
      <c r="E1873" s="550"/>
      <c r="F1873" s="550"/>
      <c r="G1873" s="550"/>
    </row>
    <row r="1874" spans="1:7" ht="23.1" customHeight="1" x14ac:dyDescent="0.25">
      <c r="A1874" s="551" t="s">
        <v>35293</v>
      </c>
      <c r="B1874" s="551" t="s">
        <v>35294</v>
      </c>
      <c r="C1874" s="552" t="s">
        <v>226</v>
      </c>
      <c r="D1874" s="557">
        <v>47.61</v>
      </c>
      <c r="E1874" s="557">
        <v>33.25</v>
      </c>
      <c r="F1874" s="557">
        <v>14.36</v>
      </c>
      <c r="G1874" s="557">
        <v>47.61</v>
      </c>
    </row>
    <row r="1875" spans="1:7" ht="24.95" customHeight="1" x14ac:dyDescent="0.25">
      <c r="A1875" s="551" t="s">
        <v>35295</v>
      </c>
      <c r="B1875" s="342" t="s">
        <v>35296</v>
      </c>
      <c r="C1875" s="552" t="s">
        <v>226</v>
      </c>
      <c r="D1875" s="557">
        <v>59.53</v>
      </c>
      <c r="E1875" s="557">
        <v>45.17</v>
      </c>
      <c r="F1875" s="557">
        <v>14.36</v>
      </c>
      <c r="G1875" s="557">
        <v>59.53</v>
      </c>
    </row>
    <row r="1876" spans="1:7" ht="12.6" customHeight="1" x14ac:dyDescent="0.2">
      <c r="A1876" s="551" t="s">
        <v>35297</v>
      </c>
      <c r="B1876" s="551" t="s">
        <v>35298</v>
      </c>
      <c r="C1876" s="552" t="s">
        <v>226</v>
      </c>
      <c r="D1876" s="557">
        <v>72.599999999999994</v>
      </c>
      <c r="E1876" s="557">
        <v>58.24</v>
      </c>
      <c r="F1876" s="343">
        <v>14.36</v>
      </c>
      <c r="G1876" s="557">
        <v>72.599999999999994</v>
      </c>
    </row>
    <row r="1877" spans="1:7" ht="12.6" customHeight="1" x14ac:dyDescent="0.25">
      <c r="A1877" s="551" t="s">
        <v>35299</v>
      </c>
      <c r="B1877" s="551" t="s">
        <v>35300</v>
      </c>
      <c r="C1877" s="552" t="s">
        <v>226</v>
      </c>
      <c r="D1877" s="557">
        <v>120.56</v>
      </c>
      <c r="E1877" s="557">
        <v>106.2</v>
      </c>
      <c r="F1877" s="557">
        <v>14.36</v>
      </c>
      <c r="G1877" s="557">
        <v>120.56</v>
      </c>
    </row>
    <row r="1878" spans="1:7" ht="12.6" customHeight="1" x14ac:dyDescent="0.25">
      <c r="A1878" s="551" t="s">
        <v>35301</v>
      </c>
      <c r="B1878" s="551" t="s">
        <v>35302</v>
      </c>
      <c r="C1878" s="552"/>
      <c r="D1878" s="557"/>
      <c r="E1878" s="557"/>
      <c r="F1878" s="557"/>
      <c r="G1878" s="557"/>
    </row>
    <row r="1879" spans="1:7" ht="24.95" customHeight="1" x14ac:dyDescent="0.25">
      <c r="A1879" s="551" t="s">
        <v>35303</v>
      </c>
      <c r="B1879" s="342" t="s">
        <v>35304</v>
      </c>
      <c r="C1879" s="552" t="s">
        <v>226</v>
      </c>
      <c r="D1879" s="557">
        <v>51.75</v>
      </c>
      <c r="E1879" s="557">
        <v>42.18</v>
      </c>
      <c r="F1879" s="557">
        <v>9.57</v>
      </c>
      <c r="G1879" s="557">
        <v>51.75</v>
      </c>
    </row>
    <row r="1880" spans="1:7" ht="12.6" customHeight="1" x14ac:dyDescent="0.25">
      <c r="A1880" s="551" t="s">
        <v>35305</v>
      </c>
      <c r="B1880" s="551" t="s">
        <v>35306</v>
      </c>
      <c r="C1880" s="552" t="s">
        <v>226</v>
      </c>
      <c r="D1880" s="557">
        <v>98.61</v>
      </c>
      <c r="E1880" s="557">
        <v>89.04</v>
      </c>
      <c r="F1880" s="557">
        <v>9.57</v>
      </c>
      <c r="G1880" s="557">
        <v>98.61</v>
      </c>
    </row>
    <row r="1881" spans="1:7" ht="11.45" customHeight="1" x14ac:dyDescent="0.25">
      <c r="A1881" s="543" t="s">
        <v>35307</v>
      </c>
      <c r="B1881" s="544" t="s">
        <v>35308</v>
      </c>
      <c r="C1881" s="544" t="s">
        <v>226</v>
      </c>
      <c r="D1881" s="543">
        <v>96.74</v>
      </c>
      <c r="E1881" s="545">
        <v>60.85</v>
      </c>
      <c r="F1881" s="546">
        <v>35.89</v>
      </c>
      <c r="G1881" s="543">
        <v>96.74</v>
      </c>
    </row>
    <row r="1882" spans="1:7" ht="12.6" customHeight="1" x14ac:dyDescent="0.25">
      <c r="A1882" s="559" t="s">
        <v>35309</v>
      </c>
      <c r="B1882" s="548" t="s">
        <v>35310</v>
      </c>
      <c r="C1882" s="549" t="s">
        <v>226</v>
      </c>
      <c r="D1882" s="549">
        <v>132.26</v>
      </c>
      <c r="E1882" s="549">
        <v>122.69</v>
      </c>
      <c r="F1882" s="549">
        <v>9.57</v>
      </c>
      <c r="G1882" s="549">
        <v>132.26</v>
      </c>
    </row>
    <row r="1883" spans="1:7" ht="12.6" customHeight="1" x14ac:dyDescent="0.2">
      <c r="A1883" s="548" t="s">
        <v>35311</v>
      </c>
      <c r="B1883" s="548" t="s">
        <v>35312</v>
      </c>
      <c r="C1883" s="550" t="s">
        <v>226</v>
      </c>
      <c r="D1883" s="550">
        <v>177.03</v>
      </c>
      <c r="E1883" s="550">
        <v>167.46</v>
      </c>
      <c r="F1883" s="550">
        <v>9.57</v>
      </c>
      <c r="G1883" s="550">
        <v>177.03</v>
      </c>
    </row>
    <row r="1884" spans="1:7" ht="12.6" customHeight="1" x14ac:dyDescent="0.25">
      <c r="A1884" s="551" t="s">
        <v>35313</v>
      </c>
      <c r="B1884" s="551" t="s">
        <v>35314</v>
      </c>
      <c r="C1884" s="552"/>
      <c r="D1884" s="557"/>
      <c r="E1884" s="557"/>
      <c r="F1884" s="557"/>
      <c r="G1884" s="557"/>
    </row>
    <row r="1885" spans="1:7" ht="12.6" customHeight="1" x14ac:dyDescent="0.25">
      <c r="A1885" s="551" t="s">
        <v>35315</v>
      </c>
      <c r="B1885" s="551" t="s">
        <v>35316</v>
      </c>
      <c r="C1885" s="552" t="s">
        <v>19518</v>
      </c>
      <c r="D1885" s="553">
        <v>545.66999999999996</v>
      </c>
      <c r="E1885" s="553">
        <v>521.73</v>
      </c>
      <c r="F1885" s="557">
        <v>23.94</v>
      </c>
      <c r="G1885" s="553">
        <v>545.66999999999996</v>
      </c>
    </row>
    <row r="1886" spans="1:7" ht="12.6" customHeight="1" x14ac:dyDescent="0.25">
      <c r="A1886" s="551" t="s">
        <v>35317</v>
      </c>
      <c r="B1886" s="551" t="s">
        <v>35318</v>
      </c>
      <c r="C1886" s="552" t="s">
        <v>19518</v>
      </c>
      <c r="D1886" s="553">
        <v>510.32</v>
      </c>
      <c r="E1886" s="553">
        <v>486.38</v>
      </c>
      <c r="F1886" s="553">
        <v>23.94</v>
      </c>
      <c r="G1886" s="553">
        <v>510.32</v>
      </c>
    </row>
    <row r="1887" spans="1:7" ht="12.6" customHeight="1" x14ac:dyDescent="0.25">
      <c r="A1887" s="551" t="s">
        <v>35319</v>
      </c>
      <c r="B1887" s="551" t="s">
        <v>35320</v>
      </c>
      <c r="C1887" s="552"/>
      <c r="D1887" s="553"/>
      <c r="E1887" s="553"/>
      <c r="F1887" s="557"/>
      <c r="G1887" s="553"/>
    </row>
    <row r="1888" spans="1:7" ht="24.95" customHeight="1" x14ac:dyDescent="0.25">
      <c r="A1888" s="551" t="s">
        <v>35321</v>
      </c>
      <c r="B1888" s="342" t="s">
        <v>35322</v>
      </c>
      <c r="C1888" s="552" t="s">
        <v>226</v>
      </c>
      <c r="D1888" s="557">
        <v>199.25</v>
      </c>
      <c r="E1888" s="557">
        <v>176.8</v>
      </c>
      <c r="F1888" s="557">
        <v>22.45</v>
      </c>
      <c r="G1888" s="557">
        <v>199.25</v>
      </c>
    </row>
    <row r="1889" spans="1:7" ht="12.6" customHeight="1" x14ac:dyDescent="0.2">
      <c r="A1889" s="548" t="s">
        <v>35323</v>
      </c>
      <c r="B1889" s="548" t="s">
        <v>35324</v>
      </c>
      <c r="C1889" s="550" t="s">
        <v>226</v>
      </c>
      <c r="D1889" s="550">
        <v>212.79</v>
      </c>
      <c r="E1889" s="550">
        <v>190.34</v>
      </c>
      <c r="F1889" s="550">
        <v>22.45</v>
      </c>
      <c r="G1889" s="550">
        <v>212.79</v>
      </c>
    </row>
    <row r="1890" spans="1:7" ht="23.1" customHeight="1" x14ac:dyDescent="0.25">
      <c r="A1890" s="551" t="s">
        <v>35325</v>
      </c>
      <c r="B1890" s="551" t="s">
        <v>35326</v>
      </c>
      <c r="C1890" s="552" t="s">
        <v>226</v>
      </c>
      <c r="D1890" s="553">
        <v>215.05</v>
      </c>
      <c r="E1890" s="553">
        <v>192.6</v>
      </c>
      <c r="F1890" s="557">
        <v>22.45</v>
      </c>
      <c r="G1890" s="553">
        <v>215.05</v>
      </c>
    </row>
    <row r="1891" spans="1:7" ht="12.6" customHeight="1" x14ac:dyDescent="0.2">
      <c r="A1891" s="548" t="s">
        <v>35327</v>
      </c>
      <c r="B1891" s="548" t="s">
        <v>35328</v>
      </c>
      <c r="C1891" s="550" t="s">
        <v>226</v>
      </c>
      <c r="D1891" s="550">
        <v>220.55</v>
      </c>
      <c r="E1891" s="550">
        <v>198.1</v>
      </c>
      <c r="F1891" s="550">
        <v>22.45</v>
      </c>
      <c r="G1891" s="550">
        <v>220.55</v>
      </c>
    </row>
    <row r="1892" spans="1:7" ht="12.6" customHeight="1" x14ac:dyDescent="0.25">
      <c r="A1892" s="551" t="s">
        <v>35329</v>
      </c>
      <c r="B1892" s="551" t="s">
        <v>35330</v>
      </c>
      <c r="C1892" s="552"/>
      <c r="D1892" s="557"/>
      <c r="E1892" s="557"/>
      <c r="F1892" s="557"/>
      <c r="G1892" s="557"/>
    </row>
    <row r="1893" spans="1:7" ht="12.6" customHeight="1" x14ac:dyDescent="0.25">
      <c r="A1893" s="551" t="s">
        <v>35331</v>
      </c>
      <c r="B1893" s="551" t="s">
        <v>35332</v>
      </c>
      <c r="C1893" s="552" t="s">
        <v>226</v>
      </c>
      <c r="D1893" s="557">
        <v>196712.7</v>
      </c>
      <c r="E1893" s="557">
        <v>194867.3</v>
      </c>
      <c r="F1893" s="557">
        <v>1845.4</v>
      </c>
      <c r="G1893" s="557">
        <v>196712.7</v>
      </c>
    </row>
    <row r="1894" spans="1:7" ht="12.6" customHeight="1" x14ac:dyDescent="0.25">
      <c r="A1894" s="551" t="s">
        <v>35333</v>
      </c>
      <c r="B1894" s="551" t="s">
        <v>35334</v>
      </c>
      <c r="C1894" s="552" t="s">
        <v>226</v>
      </c>
      <c r="D1894" s="557">
        <v>261896.93</v>
      </c>
      <c r="E1894" s="557">
        <v>260051.53</v>
      </c>
      <c r="F1894" s="557">
        <v>1845.4</v>
      </c>
      <c r="G1894" s="557">
        <v>261896.93</v>
      </c>
    </row>
    <row r="1895" spans="1:7" ht="23.1" customHeight="1" x14ac:dyDescent="0.25">
      <c r="A1895" s="551" t="s">
        <v>35335</v>
      </c>
      <c r="B1895" s="551" t="s">
        <v>35336</v>
      </c>
      <c r="C1895" s="552" t="s">
        <v>226</v>
      </c>
      <c r="D1895" s="557">
        <v>94842.03</v>
      </c>
      <c r="E1895" s="557">
        <v>92996.63</v>
      </c>
      <c r="F1895" s="557">
        <v>1845.4</v>
      </c>
      <c r="G1895" s="557">
        <v>94842.03</v>
      </c>
    </row>
    <row r="1896" spans="1:7" ht="12.6" customHeight="1" x14ac:dyDescent="0.25">
      <c r="A1896" s="551" t="s">
        <v>35337</v>
      </c>
      <c r="B1896" s="551" t="s">
        <v>35338</v>
      </c>
      <c r="C1896" s="552" t="s">
        <v>226</v>
      </c>
      <c r="D1896" s="557">
        <v>135698.71</v>
      </c>
      <c r="E1896" s="557">
        <v>133853.31</v>
      </c>
      <c r="F1896" s="557">
        <v>1845.4</v>
      </c>
      <c r="G1896" s="557">
        <v>135698.71</v>
      </c>
    </row>
    <row r="1897" spans="1:7" ht="12.6" customHeight="1" x14ac:dyDescent="0.2">
      <c r="A1897" s="548" t="s">
        <v>35339</v>
      </c>
      <c r="B1897" s="548" t="s">
        <v>35340</v>
      </c>
      <c r="C1897" s="550" t="s">
        <v>226</v>
      </c>
      <c r="D1897" s="550">
        <v>84108.05</v>
      </c>
      <c r="E1897" s="550">
        <v>83123</v>
      </c>
      <c r="F1897" s="550">
        <v>985.05</v>
      </c>
      <c r="G1897" s="550">
        <v>84108.05</v>
      </c>
    </row>
    <row r="1898" spans="1:7" ht="12.6" customHeight="1" x14ac:dyDescent="0.25">
      <c r="A1898" s="551" t="s">
        <v>35341</v>
      </c>
      <c r="B1898" s="551" t="s">
        <v>35342</v>
      </c>
      <c r="C1898" s="552" t="s">
        <v>226</v>
      </c>
      <c r="D1898" s="553">
        <v>150001.88</v>
      </c>
      <c r="E1898" s="553">
        <v>148156.48000000001</v>
      </c>
      <c r="F1898" s="557">
        <v>1845.4</v>
      </c>
      <c r="G1898" s="553">
        <v>150001.88</v>
      </c>
    </row>
    <row r="1899" spans="1:7" ht="12.6" customHeight="1" x14ac:dyDescent="0.25">
      <c r="A1899" s="551" t="s">
        <v>35343</v>
      </c>
      <c r="B1899" s="551" t="s">
        <v>35344</v>
      </c>
      <c r="C1899" s="552" t="s">
        <v>226</v>
      </c>
      <c r="D1899" s="553">
        <v>390263.03999999998</v>
      </c>
      <c r="E1899" s="553">
        <v>388220.63</v>
      </c>
      <c r="F1899" s="557">
        <v>2042.41</v>
      </c>
      <c r="G1899" s="553">
        <v>390263.03999999998</v>
      </c>
    </row>
    <row r="1900" spans="1:7" ht="12.6" customHeight="1" x14ac:dyDescent="0.25">
      <c r="A1900" s="551" t="s">
        <v>35345</v>
      </c>
      <c r="B1900" s="551" t="s">
        <v>35346</v>
      </c>
      <c r="C1900" s="552" t="s">
        <v>226</v>
      </c>
      <c r="D1900" s="553">
        <v>151812.85</v>
      </c>
      <c r="E1900" s="553">
        <v>149967.45000000001</v>
      </c>
      <c r="F1900" s="557">
        <v>1845.4</v>
      </c>
      <c r="G1900" s="553">
        <v>151812.85</v>
      </c>
    </row>
    <row r="1901" spans="1:7" ht="12.6" customHeight="1" x14ac:dyDescent="0.25">
      <c r="A1901" s="551" t="s">
        <v>35347</v>
      </c>
      <c r="B1901" s="551" t="s">
        <v>35348</v>
      </c>
      <c r="C1901" s="552" t="s">
        <v>226</v>
      </c>
      <c r="D1901" s="553">
        <v>392442.77</v>
      </c>
      <c r="E1901" s="553">
        <v>390418.97</v>
      </c>
      <c r="F1901" s="557">
        <v>2023.8</v>
      </c>
      <c r="G1901" s="553">
        <v>392442.77</v>
      </c>
    </row>
    <row r="1902" spans="1:7" ht="12.6" customHeight="1" x14ac:dyDescent="0.2">
      <c r="A1902" s="548" t="s">
        <v>35349</v>
      </c>
      <c r="B1902" s="548" t="s">
        <v>35350</v>
      </c>
      <c r="C1902" s="550" t="s">
        <v>226</v>
      </c>
      <c r="D1902" s="550">
        <v>301091.40999999997</v>
      </c>
      <c r="E1902" s="550">
        <v>299049</v>
      </c>
      <c r="F1902" s="550">
        <v>2042.41</v>
      </c>
      <c r="G1902" s="550">
        <v>301091.40999999997</v>
      </c>
    </row>
    <row r="1903" spans="1:7" ht="12.6" customHeight="1" x14ac:dyDescent="0.25">
      <c r="A1903" s="551" t="s">
        <v>35351</v>
      </c>
      <c r="B1903" s="551" t="s">
        <v>35352</v>
      </c>
      <c r="C1903" s="552"/>
      <c r="D1903" s="553"/>
      <c r="E1903" s="553"/>
      <c r="F1903" s="557"/>
      <c r="G1903" s="553"/>
    </row>
    <row r="1904" spans="1:7" ht="12.6" customHeight="1" x14ac:dyDescent="0.25">
      <c r="A1904" s="551" t="s">
        <v>35353</v>
      </c>
      <c r="B1904" s="551" t="s">
        <v>35354</v>
      </c>
      <c r="C1904" s="552" t="s">
        <v>226</v>
      </c>
      <c r="D1904" s="553">
        <v>36253.67</v>
      </c>
      <c r="E1904" s="553">
        <v>35268.620000000003</v>
      </c>
      <c r="F1904" s="557">
        <v>985.05</v>
      </c>
      <c r="G1904" s="553">
        <v>36253.67</v>
      </c>
    </row>
    <row r="1905" spans="1:7" ht="12.6" customHeight="1" x14ac:dyDescent="0.25">
      <c r="A1905" s="551" t="s">
        <v>35355</v>
      </c>
      <c r="B1905" s="551" t="s">
        <v>35356</v>
      </c>
      <c r="C1905" s="552" t="s">
        <v>226</v>
      </c>
      <c r="D1905" s="553">
        <v>26387.119999999999</v>
      </c>
      <c r="E1905" s="553">
        <v>25402.07</v>
      </c>
      <c r="F1905" s="557">
        <v>985.05</v>
      </c>
      <c r="G1905" s="553">
        <v>26387.119999999999</v>
      </c>
    </row>
    <row r="1906" spans="1:7" ht="12.6" customHeight="1" x14ac:dyDescent="0.25">
      <c r="A1906" s="551" t="s">
        <v>35357</v>
      </c>
      <c r="B1906" s="551" t="s">
        <v>35358</v>
      </c>
      <c r="C1906" s="552" t="s">
        <v>226</v>
      </c>
      <c r="D1906" s="553">
        <v>67707.72</v>
      </c>
      <c r="E1906" s="553">
        <v>66131.64</v>
      </c>
      <c r="F1906" s="557">
        <v>1576.08</v>
      </c>
      <c r="G1906" s="553">
        <v>67707.72</v>
      </c>
    </row>
    <row r="1907" spans="1:7" ht="12.6" customHeight="1" x14ac:dyDescent="0.2">
      <c r="A1907" s="548" t="s">
        <v>35359</v>
      </c>
      <c r="B1907" s="548" t="s">
        <v>35360</v>
      </c>
      <c r="C1907" s="550" t="s">
        <v>226</v>
      </c>
      <c r="D1907" s="550">
        <v>130904.17</v>
      </c>
      <c r="E1907" s="550">
        <v>129328.09</v>
      </c>
      <c r="F1907" s="550">
        <v>1576.08</v>
      </c>
      <c r="G1907" s="550">
        <v>130904.17</v>
      </c>
    </row>
    <row r="1908" spans="1:7" ht="12.6" customHeight="1" x14ac:dyDescent="0.2">
      <c r="A1908" s="551" t="s">
        <v>35361</v>
      </c>
      <c r="B1908" s="551" t="s">
        <v>35362</v>
      </c>
      <c r="C1908" s="552" t="s">
        <v>226</v>
      </c>
      <c r="D1908" s="557">
        <v>5995.29</v>
      </c>
      <c r="E1908" s="557">
        <v>5601.27</v>
      </c>
      <c r="F1908" s="343">
        <v>394.02</v>
      </c>
      <c r="G1908" s="557">
        <v>5995.29</v>
      </c>
    </row>
    <row r="1909" spans="1:7" ht="24.95" customHeight="1" x14ac:dyDescent="0.25">
      <c r="A1909" s="551" t="s">
        <v>35363</v>
      </c>
      <c r="B1909" s="342" t="s">
        <v>35364</v>
      </c>
      <c r="C1909" s="552" t="s">
        <v>226</v>
      </c>
      <c r="D1909" s="553">
        <v>6574.64</v>
      </c>
      <c r="E1909" s="553">
        <v>6180.62</v>
      </c>
      <c r="F1909" s="557">
        <v>394.02</v>
      </c>
      <c r="G1909" s="553">
        <v>6574.64</v>
      </c>
    </row>
    <row r="1910" spans="1:7" ht="12.6" customHeight="1" x14ac:dyDescent="0.2">
      <c r="A1910" s="559" t="s">
        <v>35365</v>
      </c>
      <c r="B1910" s="548" t="s">
        <v>35366</v>
      </c>
      <c r="C1910" s="550" t="s">
        <v>226</v>
      </c>
      <c r="D1910" s="550">
        <v>22258.46</v>
      </c>
      <c r="E1910" s="550">
        <v>21273.41</v>
      </c>
      <c r="F1910" s="550">
        <v>985.05</v>
      </c>
      <c r="G1910" s="550">
        <v>22258.46</v>
      </c>
    </row>
    <row r="1911" spans="1:7" ht="12.6" customHeight="1" x14ac:dyDescent="0.2">
      <c r="A1911" s="548" t="s">
        <v>35367</v>
      </c>
      <c r="B1911" s="548" t="s">
        <v>35368</v>
      </c>
      <c r="C1911" s="550" t="s">
        <v>226</v>
      </c>
      <c r="D1911" s="550">
        <v>38994.949999999997</v>
      </c>
      <c r="E1911" s="550">
        <v>38009.9</v>
      </c>
      <c r="F1911" s="550">
        <v>985.05</v>
      </c>
      <c r="G1911" s="550">
        <v>38994.949999999997</v>
      </c>
    </row>
    <row r="1912" spans="1:7" ht="12.6" customHeight="1" x14ac:dyDescent="0.25">
      <c r="A1912" s="551" t="s">
        <v>35369</v>
      </c>
      <c r="B1912" s="551" t="s">
        <v>35370</v>
      </c>
      <c r="C1912" s="552" t="s">
        <v>226</v>
      </c>
      <c r="D1912" s="553">
        <v>20046.02</v>
      </c>
      <c r="E1912" s="553">
        <v>19060.97</v>
      </c>
      <c r="F1912" s="557">
        <v>985.05</v>
      </c>
      <c r="G1912" s="553">
        <v>20046.02</v>
      </c>
    </row>
    <row r="1913" spans="1:7" ht="12.6" customHeight="1" x14ac:dyDescent="0.25">
      <c r="A1913" s="551" t="s">
        <v>35371</v>
      </c>
      <c r="B1913" s="551" t="s">
        <v>35372</v>
      </c>
      <c r="C1913" s="552" t="s">
        <v>226</v>
      </c>
      <c r="D1913" s="553">
        <v>93020.01</v>
      </c>
      <c r="E1913" s="553">
        <v>91443.93</v>
      </c>
      <c r="F1913" s="557">
        <v>1576.08</v>
      </c>
      <c r="G1913" s="553">
        <v>93020.01</v>
      </c>
    </row>
    <row r="1914" spans="1:7" ht="12.6" customHeight="1" x14ac:dyDescent="0.25">
      <c r="A1914" s="551" t="s">
        <v>35373</v>
      </c>
      <c r="B1914" s="551" t="s">
        <v>35374</v>
      </c>
      <c r="C1914" s="552" t="s">
        <v>226</v>
      </c>
      <c r="D1914" s="553">
        <v>17394.89</v>
      </c>
      <c r="E1914" s="553">
        <v>17000.87</v>
      </c>
      <c r="F1914" s="557">
        <v>394.02</v>
      </c>
      <c r="G1914" s="553">
        <v>17394.89</v>
      </c>
    </row>
    <row r="1915" spans="1:7" ht="12.6" customHeight="1" x14ac:dyDescent="0.2">
      <c r="A1915" s="548" t="s">
        <v>35375</v>
      </c>
      <c r="B1915" s="548" t="s">
        <v>35376</v>
      </c>
      <c r="C1915" s="550" t="s">
        <v>226</v>
      </c>
      <c r="D1915" s="550">
        <v>62060.98</v>
      </c>
      <c r="E1915" s="550">
        <v>60484.9</v>
      </c>
      <c r="F1915" s="550">
        <v>1576.08</v>
      </c>
      <c r="G1915" s="550">
        <v>62060.98</v>
      </c>
    </row>
    <row r="1916" spans="1:7" ht="23.1" customHeight="1" x14ac:dyDescent="0.25">
      <c r="A1916" s="551" t="s">
        <v>35377</v>
      </c>
      <c r="B1916" s="551" t="s">
        <v>35378</v>
      </c>
      <c r="C1916" s="552" t="s">
        <v>226</v>
      </c>
      <c r="D1916" s="557">
        <v>87021.07</v>
      </c>
      <c r="E1916" s="557">
        <v>85444.99</v>
      </c>
      <c r="F1916" s="557">
        <v>1576.08</v>
      </c>
      <c r="G1916" s="557">
        <v>87021.07</v>
      </c>
    </row>
    <row r="1917" spans="1:7" ht="23.1" customHeight="1" x14ac:dyDescent="0.25">
      <c r="A1917" s="551" t="s">
        <v>35379</v>
      </c>
      <c r="B1917" s="551" t="s">
        <v>35380</v>
      </c>
      <c r="C1917" s="552" t="s">
        <v>226</v>
      </c>
      <c r="D1917" s="557">
        <v>109425.85</v>
      </c>
      <c r="E1917" s="557">
        <v>107849.77</v>
      </c>
      <c r="F1917" s="557">
        <v>1576.08</v>
      </c>
      <c r="G1917" s="557">
        <v>109425.85</v>
      </c>
    </row>
    <row r="1918" spans="1:7" ht="24.95" customHeight="1" x14ac:dyDescent="0.25">
      <c r="A1918" s="551" t="s">
        <v>35381</v>
      </c>
      <c r="B1918" s="342" t="s">
        <v>35382</v>
      </c>
      <c r="C1918" s="552" t="s">
        <v>226</v>
      </c>
      <c r="D1918" s="553">
        <v>67902.28</v>
      </c>
      <c r="E1918" s="553">
        <v>66917.23</v>
      </c>
      <c r="F1918" s="557">
        <v>985.05</v>
      </c>
      <c r="G1918" s="553">
        <v>67902.28</v>
      </c>
    </row>
    <row r="1919" spans="1:7" ht="24.95" customHeight="1" x14ac:dyDescent="0.25">
      <c r="A1919" s="551" t="s">
        <v>35383</v>
      </c>
      <c r="B1919" s="342" t="s">
        <v>35384</v>
      </c>
      <c r="C1919" s="552" t="s">
        <v>226</v>
      </c>
      <c r="D1919" s="553">
        <v>30827.55</v>
      </c>
      <c r="E1919" s="553">
        <v>29842.5</v>
      </c>
      <c r="F1919" s="557">
        <v>985.05</v>
      </c>
      <c r="G1919" s="553">
        <v>30827.55</v>
      </c>
    </row>
    <row r="1920" spans="1:7" ht="24.95" customHeight="1" x14ac:dyDescent="0.25">
      <c r="A1920" s="551" t="s">
        <v>35385</v>
      </c>
      <c r="B1920" s="342" t="s">
        <v>35386</v>
      </c>
      <c r="C1920" s="552" t="s">
        <v>226</v>
      </c>
      <c r="D1920" s="553">
        <v>153047.66</v>
      </c>
      <c r="E1920" s="553">
        <v>151471.57999999999</v>
      </c>
      <c r="F1920" s="557">
        <v>1576.08</v>
      </c>
      <c r="G1920" s="553">
        <v>153047.66</v>
      </c>
    </row>
    <row r="1921" spans="1:7" ht="24.95" customHeight="1" x14ac:dyDescent="0.25">
      <c r="A1921" s="551" t="s">
        <v>35387</v>
      </c>
      <c r="B1921" s="342" t="s">
        <v>35388</v>
      </c>
      <c r="C1921" s="552" t="s">
        <v>226</v>
      </c>
      <c r="D1921" s="557">
        <v>40993.49</v>
      </c>
      <c r="E1921" s="557">
        <v>40008.44</v>
      </c>
      <c r="F1921" s="557">
        <v>985.05</v>
      </c>
      <c r="G1921" s="557">
        <v>40993.49</v>
      </c>
    </row>
    <row r="1922" spans="1:7" ht="24.95" customHeight="1" x14ac:dyDescent="0.25">
      <c r="A1922" s="551" t="s">
        <v>35389</v>
      </c>
      <c r="B1922" s="342" t="s">
        <v>35390</v>
      </c>
      <c r="C1922" s="552" t="s">
        <v>226</v>
      </c>
      <c r="D1922" s="553">
        <v>43896.36</v>
      </c>
      <c r="E1922" s="553">
        <v>42911.31</v>
      </c>
      <c r="F1922" s="557">
        <v>985.05</v>
      </c>
      <c r="G1922" s="553">
        <v>43896.36</v>
      </c>
    </row>
    <row r="1923" spans="1:7" ht="24.95" customHeight="1" x14ac:dyDescent="0.25">
      <c r="A1923" s="551" t="s">
        <v>35391</v>
      </c>
      <c r="B1923" s="342" t="s">
        <v>35392</v>
      </c>
      <c r="C1923" s="552"/>
      <c r="D1923" s="553"/>
      <c r="E1923" s="553"/>
      <c r="F1923" s="557"/>
      <c r="G1923" s="553"/>
    </row>
    <row r="1924" spans="1:7" ht="24.95" customHeight="1" x14ac:dyDescent="0.25">
      <c r="A1924" s="551" t="s">
        <v>35393</v>
      </c>
      <c r="B1924" s="342" t="s">
        <v>35394</v>
      </c>
      <c r="C1924" s="552" t="s">
        <v>158</v>
      </c>
      <c r="D1924" s="557">
        <v>94.48</v>
      </c>
      <c r="E1924" s="557">
        <v>75.33</v>
      </c>
      <c r="F1924" s="557">
        <v>19.149999999999999</v>
      </c>
      <c r="G1924" s="557">
        <v>94.48</v>
      </c>
    </row>
    <row r="1925" spans="1:7" ht="11.45" customHeight="1" x14ac:dyDescent="0.25">
      <c r="A1925" s="543" t="s">
        <v>35395</v>
      </c>
      <c r="B1925" s="544" t="s">
        <v>35396</v>
      </c>
      <c r="C1925" s="544" t="s">
        <v>226</v>
      </c>
      <c r="D1925" s="543">
        <v>57.41</v>
      </c>
      <c r="E1925" s="545">
        <v>47.84</v>
      </c>
      <c r="F1925" s="546">
        <v>9.57</v>
      </c>
      <c r="G1925" s="543">
        <v>57.41</v>
      </c>
    </row>
    <row r="1926" spans="1:7" ht="23.1" customHeight="1" x14ac:dyDescent="0.25">
      <c r="A1926" s="551" t="s">
        <v>35397</v>
      </c>
      <c r="B1926" s="551" t="s">
        <v>35398</v>
      </c>
      <c r="C1926" s="552" t="s">
        <v>226</v>
      </c>
      <c r="D1926" s="557">
        <v>1500.67</v>
      </c>
      <c r="E1926" s="557">
        <v>1438.32</v>
      </c>
      <c r="F1926" s="557">
        <v>62.35</v>
      </c>
      <c r="G1926" s="557">
        <v>1500.67</v>
      </c>
    </row>
    <row r="1927" spans="1:7" ht="12.6" customHeight="1" x14ac:dyDescent="0.25">
      <c r="A1927" s="551" t="s">
        <v>35399</v>
      </c>
      <c r="B1927" s="551" t="s">
        <v>35400</v>
      </c>
      <c r="C1927" s="552" t="s">
        <v>226</v>
      </c>
      <c r="D1927" s="557">
        <v>35.049999999999997</v>
      </c>
      <c r="E1927" s="557">
        <v>25.48</v>
      </c>
      <c r="F1927" s="557">
        <v>9.57</v>
      </c>
      <c r="G1927" s="557">
        <v>35.049999999999997</v>
      </c>
    </row>
    <row r="1928" spans="1:7" ht="12.6" customHeight="1" x14ac:dyDescent="0.2">
      <c r="A1928" s="548" t="s">
        <v>35401</v>
      </c>
      <c r="B1928" s="548" t="s">
        <v>35402</v>
      </c>
      <c r="C1928" s="550" t="s">
        <v>226</v>
      </c>
      <c r="D1928" s="550">
        <v>10.75</v>
      </c>
      <c r="E1928" s="550">
        <v>3.57</v>
      </c>
      <c r="F1928" s="550">
        <v>7.18</v>
      </c>
      <c r="G1928" s="550">
        <v>10.75</v>
      </c>
    </row>
    <row r="1929" spans="1:7" ht="12.6" customHeight="1" x14ac:dyDescent="0.25">
      <c r="A1929" s="551" t="s">
        <v>35403</v>
      </c>
      <c r="B1929" s="551" t="s">
        <v>35404</v>
      </c>
      <c r="C1929" s="552" t="s">
        <v>226</v>
      </c>
      <c r="D1929" s="557">
        <v>28.63</v>
      </c>
      <c r="E1929" s="557">
        <v>19.059999999999999</v>
      </c>
      <c r="F1929" s="557">
        <v>9.57</v>
      </c>
      <c r="G1929" s="557">
        <v>28.63</v>
      </c>
    </row>
    <row r="1930" spans="1:7" ht="12.6" customHeight="1" x14ac:dyDescent="0.25">
      <c r="A1930" s="551" t="s">
        <v>35405</v>
      </c>
      <c r="B1930" s="551" t="s">
        <v>35406</v>
      </c>
      <c r="C1930" s="552" t="s">
        <v>226</v>
      </c>
      <c r="D1930" s="557">
        <v>605.9</v>
      </c>
      <c r="E1930" s="557">
        <v>604.92999999999995</v>
      </c>
      <c r="F1930" s="557">
        <v>0.97</v>
      </c>
      <c r="G1930" s="557">
        <v>605.9</v>
      </c>
    </row>
    <row r="1931" spans="1:7" ht="12.6" customHeight="1" x14ac:dyDescent="0.25">
      <c r="A1931" s="551" t="s">
        <v>35407</v>
      </c>
      <c r="B1931" s="551" t="s">
        <v>35408</v>
      </c>
      <c r="C1931" s="552" t="s">
        <v>226</v>
      </c>
      <c r="D1931" s="557">
        <v>496.03</v>
      </c>
      <c r="E1931" s="557">
        <v>472.09</v>
      </c>
      <c r="F1931" s="557">
        <v>23.94</v>
      </c>
      <c r="G1931" s="557">
        <v>496.03</v>
      </c>
    </row>
    <row r="1932" spans="1:7" ht="12.6" customHeight="1" x14ac:dyDescent="0.25">
      <c r="A1932" s="551" t="s">
        <v>35409</v>
      </c>
      <c r="B1932" s="551" t="s">
        <v>35410</v>
      </c>
      <c r="C1932" s="552" t="s">
        <v>226</v>
      </c>
      <c r="D1932" s="557">
        <v>372.18</v>
      </c>
      <c r="E1932" s="557">
        <v>348.24</v>
      </c>
      <c r="F1932" s="557">
        <v>23.94</v>
      </c>
      <c r="G1932" s="557">
        <v>372.18</v>
      </c>
    </row>
    <row r="1933" spans="1:7" ht="12.6" customHeight="1" x14ac:dyDescent="0.2">
      <c r="A1933" s="548" t="s">
        <v>35411</v>
      </c>
      <c r="B1933" s="548" t="s">
        <v>35412</v>
      </c>
      <c r="C1933" s="550" t="s">
        <v>226</v>
      </c>
      <c r="D1933" s="550">
        <v>442.49</v>
      </c>
      <c r="E1933" s="550">
        <v>307.83</v>
      </c>
      <c r="F1933" s="550">
        <v>134.66</v>
      </c>
      <c r="G1933" s="550">
        <v>442.49</v>
      </c>
    </row>
    <row r="1934" spans="1:7" ht="12.6" customHeight="1" x14ac:dyDescent="0.25">
      <c r="A1934" s="551" t="s">
        <v>35413</v>
      </c>
      <c r="B1934" s="551" t="s">
        <v>35414</v>
      </c>
      <c r="C1934" s="552" t="s">
        <v>19562</v>
      </c>
      <c r="D1934" s="557">
        <v>586.66999999999996</v>
      </c>
      <c r="E1934" s="557">
        <v>585.70000000000005</v>
      </c>
      <c r="F1934" s="557">
        <v>0.97</v>
      </c>
      <c r="G1934" s="557">
        <v>586.66999999999996</v>
      </c>
    </row>
    <row r="1935" spans="1:7" ht="12.6" customHeight="1" x14ac:dyDescent="0.25">
      <c r="A1935" s="551" t="s">
        <v>35415</v>
      </c>
      <c r="B1935" s="551" t="s">
        <v>35416</v>
      </c>
      <c r="C1935" s="552" t="s">
        <v>226</v>
      </c>
      <c r="D1935" s="557">
        <v>71.88</v>
      </c>
      <c r="E1935" s="557">
        <v>24.02</v>
      </c>
      <c r="F1935" s="557">
        <v>47.86</v>
      </c>
      <c r="G1935" s="557">
        <v>71.88</v>
      </c>
    </row>
    <row r="1936" spans="1:7" ht="12.6" customHeight="1" x14ac:dyDescent="0.25">
      <c r="A1936" s="551" t="s">
        <v>35417</v>
      </c>
      <c r="B1936" s="551" t="s">
        <v>35418</v>
      </c>
      <c r="C1936" s="552" t="s">
        <v>19562</v>
      </c>
      <c r="D1936" s="557">
        <v>466.28</v>
      </c>
      <c r="E1936" s="557">
        <v>465.31</v>
      </c>
      <c r="F1936" s="557">
        <v>0.97</v>
      </c>
      <c r="G1936" s="557">
        <v>466.28</v>
      </c>
    </row>
    <row r="1937" spans="1:7" ht="12.6" customHeight="1" x14ac:dyDescent="0.25">
      <c r="A1937" s="551" t="s">
        <v>35419</v>
      </c>
      <c r="B1937" s="551" t="s">
        <v>35420</v>
      </c>
      <c r="C1937" s="552" t="s">
        <v>226</v>
      </c>
      <c r="D1937" s="557">
        <v>269.32</v>
      </c>
      <c r="E1937" s="557"/>
      <c r="F1937" s="557">
        <v>269.32</v>
      </c>
      <c r="G1937" s="557">
        <v>269.32</v>
      </c>
    </row>
    <row r="1938" spans="1:7" ht="12.6" customHeight="1" x14ac:dyDescent="0.25">
      <c r="A1938" s="551" t="s">
        <v>35421</v>
      </c>
      <c r="B1938" s="551" t="s">
        <v>35422</v>
      </c>
      <c r="C1938" s="552" t="s">
        <v>16628</v>
      </c>
      <c r="D1938" s="557">
        <v>19.68</v>
      </c>
      <c r="E1938" s="557">
        <v>18.899999999999999</v>
      </c>
      <c r="F1938" s="557">
        <v>0.78</v>
      </c>
      <c r="G1938" s="557">
        <v>19.68</v>
      </c>
    </row>
    <row r="1939" spans="1:7" ht="12.6" customHeight="1" x14ac:dyDescent="0.2">
      <c r="A1939" s="548" t="s">
        <v>35423</v>
      </c>
      <c r="B1939" s="548" t="s">
        <v>35424</v>
      </c>
      <c r="C1939" s="550" t="s">
        <v>16628</v>
      </c>
      <c r="D1939" s="550">
        <v>20.07</v>
      </c>
      <c r="E1939" s="550">
        <v>18.899999999999999</v>
      </c>
      <c r="F1939" s="550">
        <v>1.17</v>
      </c>
      <c r="G1939" s="550">
        <v>20.07</v>
      </c>
    </row>
    <row r="1940" spans="1:7" ht="23.1" customHeight="1" x14ac:dyDescent="0.25">
      <c r="A1940" s="551" t="s">
        <v>35425</v>
      </c>
      <c r="B1940" s="551" t="s">
        <v>35426</v>
      </c>
      <c r="C1940" s="552" t="s">
        <v>227</v>
      </c>
      <c r="D1940" s="557">
        <v>702.74</v>
      </c>
      <c r="E1940" s="557">
        <v>693</v>
      </c>
      <c r="F1940" s="557">
        <v>9.74</v>
      </c>
      <c r="G1940" s="557">
        <v>702.74</v>
      </c>
    </row>
    <row r="1941" spans="1:7" ht="23.1" customHeight="1" x14ac:dyDescent="0.25">
      <c r="A1941" s="551" t="s">
        <v>35427</v>
      </c>
      <c r="B1941" s="551" t="s">
        <v>35428</v>
      </c>
      <c r="C1941" s="552" t="s">
        <v>227</v>
      </c>
      <c r="D1941" s="557">
        <v>873.74</v>
      </c>
      <c r="E1941" s="557">
        <v>864</v>
      </c>
      <c r="F1941" s="557">
        <v>9.74</v>
      </c>
      <c r="G1941" s="557">
        <v>873.74</v>
      </c>
    </row>
    <row r="1942" spans="1:7" ht="12.6" customHeight="1" x14ac:dyDescent="0.2">
      <c r="A1942" s="548" t="s">
        <v>35429</v>
      </c>
      <c r="B1942" s="548" t="s">
        <v>35430</v>
      </c>
      <c r="C1942" s="550" t="s">
        <v>19562</v>
      </c>
      <c r="D1942" s="550">
        <v>38.24</v>
      </c>
      <c r="E1942" s="550">
        <v>37.270000000000003</v>
      </c>
      <c r="F1942" s="550">
        <v>0.97</v>
      </c>
      <c r="G1942" s="550">
        <v>38.24</v>
      </c>
    </row>
    <row r="1943" spans="1:7" ht="24.95" customHeight="1" x14ac:dyDescent="0.25">
      <c r="A1943" s="551" t="s">
        <v>35431</v>
      </c>
      <c r="B1943" s="342" t="s">
        <v>35432</v>
      </c>
      <c r="C1943" s="552" t="s">
        <v>226</v>
      </c>
      <c r="D1943" s="557">
        <v>85.85</v>
      </c>
      <c r="E1943" s="557">
        <v>18.52</v>
      </c>
      <c r="F1943" s="557">
        <v>67.33</v>
      </c>
      <c r="G1943" s="557">
        <v>85.85</v>
      </c>
    </row>
    <row r="1944" spans="1:7" ht="24.95" customHeight="1" x14ac:dyDescent="0.25">
      <c r="A1944" s="551" t="s">
        <v>35433</v>
      </c>
      <c r="B1944" s="342" t="s">
        <v>35434</v>
      </c>
      <c r="C1944" s="552" t="s">
        <v>226</v>
      </c>
      <c r="D1944" s="557">
        <v>74.06</v>
      </c>
      <c r="E1944" s="557">
        <v>73.09</v>
      </c>
      <c r="F1944" s="557">
        <v>0.97</v>
      </c>
      <c r="G1944" s="557">
        <v>74.06</v>
      </c>
    </row>
    <row r="1945" spans="1:7" ht="24.95" customHeight="1" x14ac:dyDescent="0.25">
      <c r="A1945" s="551" t="s">
        <v>35435</v>
      </c>
      <c r="B1945" s="342" t="s">
        <v>35436</v>
      </c>
      <c r="C1945" s="552" t="s">
        <v>226</v>
      </c>
      <c r="D1945" s="557">
        <v>343.14</v>
      </c>
      <c r="E1945" s="557">
        <v>208.48</v>
      </c>
      <c r="F1945" s="557">
        <v>134.66</v>
      </c>
      <c r="G1945" s="557">
        <v>343.14</v>
      </c>
    </row>
    <row r="1946" spans="1:7" ht="24.95" customHeight="1" x14ac:dyDescent="0.25">
      <c r="A1946" s="551" t="s">
        <v>35437</v>
      </c>
      <c r="B1946" s="342" t="s">
        <v>35438</v>
      </c>
      <c r="C1946" s="552" t="s">
        <v>226</v>
      </c>
      <c r="D1946" s="557">
        <v>319.08999999999997</v>
      </c>
      <c r="E1946" s="557">
        <v>318.12</v>
      </c>
      <c r="F1946" s="557">
        <v>0.97</v>
      </c>
      <c r="G1946" s="557">
        <v>319.08999999999997</v>
      </c>
    </row>
    <row r="1947" spans="1:7" ht="12.6" customHeight="1" x14ac:dyDescent="0.2">
      <c r="A1947" s="548" t="s">
        <v>35439</v>
      </c>
      <c r="B1947" s="548" t="s">
        <v>35440</v>
      </c>
      <c r="C1947" s="550" t="s">
        <v>226</v>
      </c>
      <c r="D1947" s="550">
        <v>638.11</v>
      </c>
      <c r="E1947" s="550">
        <v>503.45</v>
      </c>
      <c r="F1947" s="550">
        <v>134.66</v>
      </c>
      <c r="G1947" s="550">
        <v>638.11</v>
      </c>
    </row>
    <row r="1948" spans="1:7" ht="24.95" customHeight="1" x14ac:dyDescent="0.25">
      <c r="A1948" s="551" t="s">
        <v>35441</v>
      </c>
      <c r="B1948" s="342" t="s">
        <v>35442</v>
      </c>
      <c r="C1948" s="552" t="s">
        <v>226</v>
      </c>
      <c r="D1948" s="553">
        <v>2565.36</v>
      </c>
      <c r="E1948" s="553">
        <v>2517.5</v>
      </c>
      <c r="F1948" s="553">
        <v>47.86</v>
      </c>
      <c r="G1948" s="553">
        <v>2565.36</v>
      </c>
    </row>
    <row r="1949" spans="1:7" ht="24.95" customHeight="1" x14ac:dyDescent="0.25">
      <c r="A1949" s="551" t="s">
        <v>35443</v>
      </c>
      <c r="B1949" s="342" t="s">
        <v>35444</v>
      </c>
      <c r="C1949" s="552" t="s">
        <v>226</v>
      </c>
      <c r="D1949" s="553">
        <v>3841.94</v>
      </c>
      <c r="E1949" s="553">
        <v>3794.08</v>
      </c>
      <c r="F1949" s="553">
        <v>47.86</v>
      </c>
      <c r="G1949" s="553">
        <v>3841.94</v>
      </c>
    </row>
    <row r="1950" spans="1:7" ht="23.1" customHeight="1" x14ac:dyDescent="0.25">
      <c r="A1950" s="551" t="s">
        <v>35445</v>
      </c>
      <c r="B1950" s="551" t="s">
        <v>35446</v>
      </c>
      <c r="C1950" s="552" t="s">
        <v>226</v>
      </c>
      <c r="D1950" s="553">
        <v>4949.6499999999996</v>
      </c>
      <c r="E1950" s="553">
        <v>4901.79</v>
      </c>
      <c r="F1950" s="553">
        <v>47.86</v>
      </c>
      <c r="G1950" s="553">
        <v>4949.6499999999996</v>
      </c>
    </row>
    <row r="1951" spans="1:7" ht="24.95" customHeight="1" x14ac:dyDescent="0.25">
      <c r="A1951" s="551" t="s">
        <v>35447</v>
      </c>
      <c r="B1951" s="342" t="s">
        <v>35448</v>
      </c>
      <c r="C1951" s="552"/>
      <c r="D1951" s="553"/>
      <c r="E1951" s="553"/>
      <c r="F1951" s="553"/>
      <c r="G1951" s="553"/>
    </row>
    <row r="1952" spans="1:7" ht="23.1" customHeight="1" x14ac:dyDescent="0.25">
      <c r="A1952" s="551" t="s">
        <v>35449</v>
      </c>
      <c r="B1952" s="551" t="s">
        <v>35450</v>
      </c>
      <c r="C1952" s="552"/>
      <c r="D1952" s="553"/>
      <c r="E1952" s="553"/>
      <c r="F1952" s="557"/>
      <c r="G1952" s="553"/>
    </row>
    <row r="1953" spans="1:7" ht="24.95" customHeight="1" x14ac:dyDescent="0.25">
      <c r="A1953" s="551" t="s">
        <v>35451</v>
      </c>
      <c r="B1953" s="342" t="s">
        <v>35452</v>
      </c>
      <c r="C1953" s="552" t="s">
        <v>226</v>
      </c>
      <c r="D1953" s="553">
        <v>121.98</v>
      </c>
      <c r="E1953" s="553">
        <v>39.590000000000003</v>
      </c>
      <c r="F1953" s="553">
        <v>82.39</v>
      </c>
      <c r="G1953" s="553">
        <v>121.98</v>
      </c>
    </row>
    <row r="1954" spans="1:7" ht="24.95" customHeight="1" x14ac:dyDescent="0.25">
      <c r="A1954" s="551" t="s">
        <v>35453</v>
      </c>
      <c r="B1954" s="342" t="s">
        <v>35454</v>
      </c>
      <c r="C1954" s="552" t="s">
        <v>226</v>
      </c>
      <c r="D1954" s="553">
        <v>196.09</v>
      </c>
      <c r="E1954" s="553">
        <v>81.13</v>
      </c>
      <c r="F1954" s="553">
        <v>114.96</v>
      </c>
      <c r="G1954" s="553">
        <v>196.09</v>
      </c>
    </row>
    <row r="1955" spans="1:7" ht="24.95" customHeight="1" x14ac:dyDescent="0.25">
      <c r="A1955" s="551" t="s">
        <v>35455</v>
      </c>
      <c r="B1955" s="342" t="s">
        <v>35456</v>
      </c>
      <c r="C1955" s="552" t="s">
        <v>226</v>
      </c>
      <c r="D1955" s="553">
        <v>291.37</v>
      </c>
      <c r="E1955" s="553">
        <v>143.86000000000001</v>
      </c>
      <c r="F1955" s="553">
        <v>147.51</v>
      </c>
      <c r="G1955" s="553">
        <v>291.37</v>
      </c>
    </row>
    <row r="1956" spans="1:7" ht="24.95" customHeight="1" x14ac:dyDescent="0.25">
      <c r="A1956" s="551" t="s">
        <v>35457</v>
      </c>
      <c r="B1956" s="342" t="s">
        <v>35458</v>
      </c>
      <c r="C1956" s="552" t="s">
        <v>226</v>
      </c>
      <c r="D1956" s="553">
        <v>729.35</v>
      </c>
      <c r="E1956" s="553">
        <v>546.42999999999995</v>
      </c>
      <c r="F1956" s="553">
        <v>182.92</v>
      </c>
      <c r="G1956" s="553">
        <v>729.35</v>
      </c>
    </row>
    <row r="1957" spans="1:7" ht="24.95" customHeight="1" x14ac:dyDescent="0.25">
      <c r="A1957" s="551" t="s">
        <v>35459</v>
      </c>
      <c r="B1957" s="342" t="s">
        <v>35460</v>
      </c>
      <c r="C1957" s="552" t="s">
        <v>226</v>
      </c>
      <c r="D1957" s="553">
        <v>1451.13</v>
      </c>
      <c r="E1957" s="553">
        <v>1205.92</v>
      </c>
      <c r="F1957" s="553">
        <v>245.21</v>
      </c>
      <c r="G1957" s="553">
        <v>1451.13</v>
      </c>
    </row>
    <row r="1958" spans="1:7" ht="12.6" customHeight="1" x14ac:dyDescent="0.2">
      <c r="A1958" s="548" t="s">
        <v>35461</v>
      </c>
      <c r="B1958" s="548" t="s">
        <v>35462</v>
      </c>
      <c r="C1958" s="550"/>
      <c r="D1958" s="550"/>
      <c r="E1958" s="550"/>
      <c r="F1958" s="550"/>
      <c r="G1958" s="550"/>
    </row>
    <row r="1959" spans="1:7" ht="12.6" customHeight="1" x14ac:dyDescent="0.25">
      <c r="A1959" s="551" t="s">
        <v>35463</v>
      </c>
      <c r="B1959" s="551" t="s">
        <v>35464</v>
      </c>
      <c r="C1959" s="552" t="s">
        <v>226</v>
      </c>
      <c r="D1959" s="553">
        <v>154.6</v>
      </c>
      <c r="E1959" s="553">
        <v>82.8</v>
      </c>
      <c r="F1959" s="557">
        <v>71.8</v>
      </c>
      <c r="G1959" s="553">
        <v>154.6</v>
      </c>
    </row>
    <row r="1960" spans="1:7" ht="12.6" customHeight="1" x14ac:dyDescent="0.25">
      <c r="A1960" s="551" t="s">
        <v>35465</v>
      </c>
      <c r="B1960" s="551" t="s">
        <v>35466</v>
      </c>
      <c r="C1960" s="552" t="s">
        <v>226</v>
      </c>
      <c r="D1960" s="553">
        <v>266.33</v>
      </c>
      <c r="E1960" s="553">
        <v>170.61</v>
      </c>
      <c r="F1960" s="557">
        <v>95.72</v>
      </c>
      <c r="G1960" s="553">
        <v>266.33</v>
      </c>
    </row>
    <row r="1961" spans="1:7" ht="12.6" customHeight="1" x14ac:dyDescent="0.25">
      <c r="A1961" s="551" t="s">
        <v>35467</v>
      </c>
      <c r="B1961" s="551" t="s">
        <v>35468</v>
      </c>
      <c r="C1961" s="552" t="s">
        <v>226</v>
      </c>
      <c r="D1961" s="553">
        <v>461.5</v>
      </c>
      <c r="E1961" s="553">
        <v>341.84</v>
      </c>
      <c r="F1961" s="553">
        <v>119.66</v>
      </c>
      <c r="G1961" s="553">
        <v>461.5</v>
      </c>
    </row>
    <row r="1962" spans="1:7" ht="24.95" customHeight="1" x14ac:dyDescent="0.25">
      <c r="A1962" s="551" t="s">
        <v>35469</v>
      </c>
      <c r="B1962" s="342" t="s">
        <v>35470</v>
      </c>
      <c r="C1962" s="552" t="s">
        <v>226</v>
      </c>
      <c r="D1962" s="553">
        <v>679.32</v>
      </c>
      <c r="E1962" s="553">
        <v>535.74</v>
      </c>
      <c r="F1962" s="553">
        <v>143.58000000000001</v>
      </c>
      <c r="G1962" s="553">
        <v>679.32</v>
      </c>
    </row>
    <row r="1963" spans="1:7" ht="24.95" customHeight="1" x14ac:dyDescent="0.25">
      <c r="A1963" s="551" t="s">
        <v>35471</v>
      </c>
      <c r="B1963" s="342" t="s">
        <v>35472</v>
      </c>
      <c r="C1963" s="552"/>
      <c r="D1963" s="553"/>
      <c r="E1963" s="553"/>
      <c r="F1963" s="557"/>
      <c r="G1963" s="553"/>
    </row>
    <row r="1964" spans="1:7" ht="11.45" customHeight="1" x14ac:dyDescent="0.25">
      <c r="A1964" s="543" t="s">
        <v>35473</v>
      </c>
      <c r="B1964" s="544" t="s">
        <v>35474</v>
      </c>
      <c r="C1964" s="544" t="s">
        <v>226</v>
      </c>
      <c r="D1964" s="543">
        <v>662.39</v>
      </c>
      <c r="E1964" s="545">
        <v>519.29</v>
      </c>
      <c r="F1964" s="546">
        <v>143.1</v>
      </c>
      <c r="G1964" s="543">
        <v>662.39</v>
      </c>
    </row>
    <row r="1965" spans="1:7" ht="24.95" customHeight="1" x14ac:dyDescent="0.25">
      <c r="A1965" s="551" t="s">
        <v>35475</v>
      </c>
      <c r="B1965" s="342" t="s">
        <v>35476</v>
      </c>
      <c r="C1965" s="552" t="s">
        <v>226</v>
      </c>
      <c r="D1965" s="553">
        <v>654.02</v>
      </c>
      <c r="E1965" s="553">
        <v>510.92</v>
      </c>
      <c r="F1965" s="557">
        <v>143.1</v>
      </c>
      <c r="G1965" s="553">
        <v>654.02</v>
      </c>
    </row>
    <row r="1966" spans="1:7" ht="12.6" customHeight="1" x14ac:dyDescent="0.25">
      <c r="A1966" s="551" t="s">
        <v>35477</v>
      </c>
      <c r="B1966" s="551" t="s">
        <v>35478</v>
      </c>
      <c r="C1966" s="552" t="s">
        <v>226</v>
      </c>
      <c r="D1966" s="553">
        <v>901.38</v>
      </c>
      <c r="E1966" s="553">
        <v>722.49</v>
      </c>
      <c r="F1966" s="557">
        <v>178.89</v>
      </c>
      <c r="G1966" s="553">
        <v>901.38</v>
      </c>
    </row>
    <row r="1967" spans="1:7" ht="12.6" customHeight="1" x14ac:dyDescent="0.25">
      <c r="A1967" s="551" t="s">
        <v>35479</v>
      </c>
      <c r="B1967" s="551" t="s">
        <v>35480</v>
      </c>
      <c r="C1967" s="552" t="s">
        <v>226</v>
      </c>
      <c r="D1967" s="553">
        <v>913.83</v>
      </c>
      <c r="E1967" s="553">
        <v>734.94</v>
      </c>
      <c r="F1967" s="557">
        <v>178.89</v>
      </c>
      <c r="G1967" s="553">
        <v>913.83</v>
      </c>
    </row>
    <row r="1968" spans="1:7" ht="23.1" customHeight="1" x14ac:dyDescent="0.25">
      <c r="A1968" s="551" t="s">
        <v>35481</v>
      </c>
      <c r="B1968" s="551" t="s">
        <v>35482</v>
      </c>
      <c r="C1968" s="552" t="s">
        <v>226</v>
      </c>
      <c r="D1968" s="553">
        <v>1177.99</v>
      </c>
      <c r="E1968" s="553">
        <v>963.34</v>
      </c>
      <c r="F1968" s="557">
        <v>214.65</v>
      </c>
      <c r="G1968" s="553">
        <v>1177.99</v>
      </c>
    </row>
    <row r="1969" spans="1:7" ht="24.95" customHeight="1" x14ac:dyDescent="0.25">
      <c r="A1969" s="551" t="s">
        <v>35483</v>
      </c>
      <c r="B1969" s="342" t="s">
        <v>35484</v>
      </c>
      <c r="C1969" s="552" t="s">
        <v>226</v>
      </c>
      <c r="D1969" s="553">
        <v>1721.17</v>
      </c>
      <c r="E1969" s="553">
        <v>1506.52</v>
      </c>
      <c r="F1969" s="553">
        <v>214.65</v>
      </c>
      <c r="G1969" s="553">
        <v>1721.17</v>
      </c>
    </row>
    <row r="1970" spans="1:7" ht="24.95" customHeight="1" x14ac:dyDescent="0.25">
      <c r="A1970" s="551" t="s">
        <v>35485</v>
      </c>
      <c r="B1970" s="342" t="s">
        <v>35486</v>
      </c>
      <c r="C1970" s="552"/>
      <c r="D1970" s="553"/>
      <c r="E1970" s="553"/>
      <c r="F1970" s="557"/>
      <c r="G1970" s="553"/>
    </row>
    <row r="1971" spans="1:7" ht="12.6" customHeight="1" x14ac:dyDescent="0.25">
      <c r="A1971" s="551" t="s">
        <v>35487</v>
      </c>
      <c r="B1971" s="551" t="s">
        <v>35488</v>
      </c>
      <c r="C1971" s="552" t="s">
        <v>226</v>
      </c>
      <c r="D1971" s="553">
        <v>731.5</v>
      </c>
      <c r="E1971" s="553">
        <v>624.16</v>
      </c>
      <c r="F1971" s="553">
        <v>107.34</v>
      </c>
      <c r="G1971" s="553">
        <v>731.5</v>
      </c>
    </row>
    <row r="1972" spans="1:7" ht="12.6" customHeight="1" x14ac:dyDescent="0.25">
      <c r="A1972" s="551" t="s">
        <v>35489</v>
      </c>
      <c r="B1972" s="551" t="s">
        <v>35490</v>
      </c>
      <c r="C1972" s="552" t="s">
        <v>226</v>
      </c>
      <c r="D1972" s="553">
        <v>853.65</v>
      </c>
      <c r="E1972" s="553">
        <v>746.31</v>
      </c>
      <c r="F1972" s="553">
        <v>107.34</v>
      </c>
      <c r="G1972" s="553">
        <v>853.65</v>
      </c>
    </row>
    <row r="1973" spans="1:7" ht="12.6" customHeight="1" x14ac:dyDescent="0.25">
      <c r="A1973" s="551" t="s">
        <v>35491</v>
      </c>
      <c r="B1973" s="551" t="s">
        <v>35492</v>
      </c>
      <c r="C1973" s="552" t="s">
        <v>226</v>
      </c>
      <c r="D1973" s="553">
        <v>993.91</v>
      </c>
      <c r="E1973" s="553">
        <v>850.81</v>
      </c>
      <c r="F1973" s="553">
        <v>143.1</v>
      </c>
      <c r="G1973" s="553">
        <v>993.91</v>
      </c>
    </row>
    <row r="1974" spans="1:7" ht="12.6" customHeight="1" x14ac:dyDescent="0.25">
      <c r="A1974" s="551" t="s">
        <v>35493</v>
      </c>
      <c r="B1974" s="551" t="s">
        <v>35494</v>
      </c>
      <c r="C1974" s="552" t="s">
        <v>226</v>
      </c>
      <c r="D1974" s="553">
        <v>1088.27</v>
      </c>
      <c r="E1974" s="553">
        <v>945.17</v>
      </c>
      <c r="F1974" s="557">
        <v>143.1</v>
      </c>
      <c r="G1974" s="553">
        <v>1088.27</v>
      </c>
    </row>
    <row r="1975" spans="1:7" ht="12.6" customHeight="1" x14ac:dyDescent="0.25">
      <c r="A1975" s="551" t="s">
        <v>35495</v>
      </c>
      <c r="B1975" s="551" t="s">
        <v>35496</v>
      </c>
      <c r="C1975" s="552" t="s">
        <v>226</v>
      </c>
      <c r="D1975" s="553">
        <v>1463.93</v>
      </c>
      <c r="E1975" s="553">
        <v>1285.04</v>
      </c>
      <c r="F1975" s="557">
        <v>178.89</v>
      </c>
      <c r="G1975" s="553">
        <v>1463.93</v>
      </c>
    </row>
    <row r="1976" spans="1:7" ht="24.95" customHeight="1" x14ac:dyDescent="0.25">
      <c r="A1976" s="551" t="s">
        <v>35497</v>
      </c>
      <c r="B1976" s="342" t="s">
        <v>35498</v>
      </c>
      <c r="C1976" s="552" t="s">
        <v>226</v>
      </c>
      <c r="D1976" s="553">
        <v>2212.6799999999998</v>
      </c>
      <c r="E1976" s="553">
        <v>2033.79</v>
      </c>
      <c r="F1976" s="553">
        <v>178.89</v>
      </c>
      <c r="G1976" s="553">
        <v>2212.6799999999998</v>
      </c>
    </row>
    <row r="1977" spans="1:7" ht="24.95" customHeight="1" x14ac:dyDescent="0.25">
      <c r="A1977" s="551" t="s">
        <v>35499</v>
      </c>
      <c r="B1977" s="342" t="s">
        <v>35500</v>
      </c>
      <c r="C1977" s="552"/>
      <c r="D1977" s="553"/>
      <c r="E1977" s="553"/>
      <c r="F1977" s="557"/>
      <c r="G1977" s="553"/>
    </row>
    <row r="1978" spans="1:7" ht="24.95" customHeight="1" x14ac:dyDescent="0.25">
      <c r="A1978" s="551" t="s">
        <v>35501</v>
      </c>
      <c r="B1978" s="342" t="s">
        <v>35502</v>
      </c>
      <c r="C1978" s="552" t="s">
        <v>227</v>
      </c>
      <c r="D1978" s="553">
        <v>4276.0600000000004</v>
      </c>
      <c r="E1978" s="553">
        <v>4149.16</v>
      </c>
      <c r="F1978" s="557">
        <v>126.9</v>
      </c>
      <c r="G1978" s="553">
        <v>4276.0600000000004</v>
      </c>
    </row>
    <row r="1979" spans="1:7" ht="12.6" customHeight="1" x14ac:dyDescent="0.2">
      <c r="A1979" s="548" t="s">
        <v>35503</v>
      </c>
      <c r="B1979" s="548" t="s">
        <v>35504</v>
      </c>
      <c r="C1979" s="550"/>
      <c r="D1979" s="550"/>
      <c r="E1979" s="550"/>
      <c r="F1979" s="550"/>
      <c r="G1979" s="550"/>
    </row>
    <row r="1980" spans="1:7" ht="12.6" customHeight="1" x14ac:dyDescent="0.25">
      <c r="A1980" s="551" t="s">
        <v>35505</v>
      </c>
      <c r="B1980" s="551" t="s">
        <v>35506</v>
      </c>
      <c r="C1980" s="552" t="s">
        <v>6008</v>
      </c>
      <c r="D1980" s="557">
        <v>111.24</v>
      </c>
      <c r="E1980" s="557">
        <v>102.72</v>
      </c>
      <c r="F1980" s="557">
        <v>8.52</v>
      </c>
      <c r="G1980" s="557">
        <v>111.24</v>
      </c>
    </row>
    <row r="1981" spans="1:7" ht="12.6" customHeight="1" x14ac:dyDescent="0.25">
      <c r="A1981" s="551" t="s">
        <v>35507</v>
      </c>
      <c r="B1981" s="551" t="s">
        <v>35508</v>
      </c>
      <c r="C1981" s="552"/>
      <c r="D1981" s="557"/>
      <c r="E1981" s="557"/>
      <c r="F1981" s="557"/>
      <c r="G1981" s="557"/>
    </row>
    <row r="1982" spans="1:7" ht="12.6" customHeight="1" x14ac:dyDescent="0.25">
      <c r="A1982" s="551" t="s">
        <v>35509</v>
      </c>
      <c r="B1982" s="551" t="s">
        <v>35510</v>
      </c>
      <c r="C1982" s="552" t="s">
        <v>226</v>
      </c>
      <c r="D1982" s="553">
        <v>47.59</v>
      </c>
      <c r="E1982" s="553">
        <v>33.229999999999997</v>
      </c>
      <c r="F1982" s="557">
        <v>14.36</v>
      </c>
      <c r="G1982" s="553">
        <v>47.59</v>
      </c>
    </row>
    <row r="1983" spans="1:7" ht="12.6" customHeight="1" x14ac:dyDescent="0.25">
      <c r="A1983" s="551" t="s">
        <v>35511</v>
      </c>
      <c r="B1983" s="551" t="s">
        <v>35512</v>
      </c>
      <c r="C1983" s="552" t="s">
        <v>226</v>
      </c>
      <c r="D1983" s="557">
        <v>72.599999999999994</v>
      </c>
      <c r="E1983" s="557">
        <v>48.66</v>
      </c>
      <c r="F1983" s="557">
        <v>23.94</v>
      </c>
      <c r="G1983" s="557">
        <v>72.599999999999994</v>
      </c>
    </row>
    <row r="1984" spans="1:7" ht="12.6" customHeight="1" x14ac:dyDescent="0.25">
      <c r="A1984" s="551" t="s">
        <v>35513</v>
      </c>
      <c r="B1984" s="551" t="s">
        <v>35514</v>
      </c>
      <c r="C1984" s="552" t="s">
        <v>226</v>
      </c>
      <c r="D1984" s="557">
        <v>104.17</v>
      </c>
      <c r="E1984" s="557">
        <v>56.31</v>
      </c>
      <c r="F1984" s="557">
        <v>47.86</v>
      </c>
      <c r="G1984" s="557">
        <v>104.17</v>
      </c>
    </row>
    <row r="1985" spans="1:7" ht="12.6" customHeight="1" x14ac:dyDescent="0.25">
      <c r="A1985" s="551" t="s">
        <v>35515</v>
      </c>
      <c r="B1985" s="551" t="s">
        <v>35516</v>
      </c>
      <c r="C1985" s="552" t="s">
        <v>226</v>
      </c>
      <c r="D1985" s="557">
        <v>218.36</v>
      </c>
      <c r="E1985" s="557">
        <v>170.5</v>
      </c>
      <c r="F1985" s="557">
        <v>47.86</v>
      </c>
      <c r="G1985" s="557">
        <v>218.36</v>
      </c>
    </row>
    <row r="1986" spans="1:7" ht="23.1" customHeight="1" x14ac:dyDescent="0.25">
      <c r="A1986" s="551" t="s">
        <v>35517</v>
      </c>
      <c r="B1986" s="551" t="s">
        <v>35518</v>
      </c>
      <c r="C1986" s="552" t="s">
        <v>226</v>
      </c>
      <c r="D1986" s="557">
        <v>301.38</v>
      </c>
      <c r="E1986" s="557">
        <v>253.52</v>
      </c>
      <c r="F1986" s="557">
        <v>47.86</v>
      </c>
      <c r="G1986" s="557">
        <v>301.38</v>
      </c>
    </row>
    <row r="1987" spans="1:7" ht="12.6" customHeight="1" x14ac:dyDescent="0.25">
      <c r="A1987" s="551" t="s">
        <v>35519</v>
      </c>
      <c r="B1987" s="551" t="s">
        <v>35520</v>
      </c>
      <c r="C1987" s="552" t="s">
        <v>226</v>
      </c>
      <c r="D1987" s="557">
        <v>849.79</v>
      </c>
      <c r="E1987" s="557">
        <v>792.36</v>
      </c>
      <c r="F1987" s="557">
        <v>57.43</v>
      </c>
      <c r="G1987" s="557">
        <v>849.79</v>
      </c>
    </row>
    <row r="1988" spans="1:7" ht="12.6" customHeight="1" x14ac:dyDescent="0.25">
      <c r="A1988" s="551" t="s">
        <v>35521</v>
      </c>
      <c r="B1988" s="551" t="s">
        <v>35522</v>
      </c>
      <c r="C1988" s="552" t="s">
        <v>226</v>
      </c>
      <c r="D1988" s="557">
        <v>373.99</v>
      </c>
      <c r="E1988" s="557">
        <v>316.56</v>
      </c>
      <c r="F1988" s="557">
        <v>57.43</v>
      </c>
      <c r="G1988" s="557">
        <v>373.99</v>
      </c>
    </row>
    <row r="1989" spans="1:7" ht="12.6" customHeight="1" x14ac:dyDescent="0.25">
      <c r="A1989" s="551" t="s">
        <v>35523</v>
      </c>
      <c r="B1989" s="551" t="s">
        <v>35524</v>
      </c>
      <c r="C1989" s="552"/>
      <c r="D1989" s="557"/>
      <c r="E1989" s="557"/>
      <c r="F1989" s="557"/>
      <c r="G1989" s="557"/>
    </row>
    <row r="1990" spans="1:7" ht="12.6" customHeight="1" x14ac:dyDescent="0.25">
      <c r="A1990" s="551" t="s">
        <v>35525</v>
      </c>
      <c r="B1990" s="551" t="s">
        <v>35526</v>
      </c>
      <c r="C1990" s="552" t="s">
        <v>226</v>
      </c>
      <c r="D1990" s="557">
        <v>37.619999999999997</v>
      </c>
      <c r="E1990" s="557">
        <v>28.05</v>
      </c>
      <c r="F1990" s="557">
        <v>9.57</v>
      </c>
      <c r="G1990" s="557">
        <v>37.619999999999997</v>
      </c>
    </row>
    <row r="1991" spans="1:7" ht="12.6" customHeight="1" x14ac:dyDescent="0.25">
      <c r="A1991" s="551" t="s">
        <v>35527</v>
      </c>
      <c r="B1991" s="551" t="s">
        <v>35528</v>
      </c>
      <c r="C1991" s="552" t="s">
        <v>226</v>
      </c>
      <c r="D1991" s="557">
        <v>68.12</v>
      </c>
      <c r="E1991" s="557">
        <v>58.55</v>
      </c>
      <c r="F1991" s="557">
        <v>9.57</v>
      </c>
      <c r="G1991" s="557">
        <v>68.12</v>
      </c>
    </row>
    <row r="1992" spans="1:7" ht="12.6" customHeight="1" x14ac:dyDescent="0.25">
      <c r="A1992" s="551" t="s">
        <v>35529</v>
      </c>
      <c r="B1992" s="551" t="s">
        <v>35530</v>
      </c>
      <c r="C1992" s="552" t="s">
        <v>226</v>
      </c>
      <c r="D1992" s="557">
        <v>100.67</v>
      </c>
      <c r="E1992" s="557">
        <v>91.1</v>
      </c>
      <c r="F1992" s="557">
        <v>9.57</v>
      </c>
      <c r="G1992" s="557">
        <v>100.67</v>
      </c>
    </row>
    <row r="1993" spans="1:7" ht="12.6" customHeight="1" x14ac:dyDescent="0.2">
      <c r="A1993" s="551" t="s">
        <v>35531</v>
      </c>
      <c r="B1993" s="551" t="s">
        <v>35532</v>
      </c>
      <c r="C1993" s="552" t="s">
        <v>226</v>
      </c>
      <c r="D1993" s="557">
        <v>138.6</v>
      </c>
      <c r="E1993" s="343">
        <v>129.03</v>
      </c>
      <c r="F1993" s="557">
        <v>9.57</v>
      </c>
      <c r="G1993" s="557">
        <v>138.6</v>
      </c>
    </row>
    <row r="1994" spans="1:7" ht="12.6" customHeight="1" x14ac:dyDescent="0.25">
      <c r="A1994" s="551" t="s">
        <v>35533</v>
      </c>
      <c r="B1994" s="551" t="s">
        <v>35534</v>
      </c>
      <c r="C1994" s="552" t="s">
        <v>226</v>
      </c>
      <c r="D1994" s="557">
        <v>216.99</v>
      </c>
      <c r="E1994" s="557">
        <v>207.42</v>
      </c>
      <c r="F1994" s="557">
        <v>9.57</v>
      </c>
      <c r="G1994" s="557">
        <v>216.99</v>
      </c>
    </row>
    <row r="1995" spans="1:7" ht="12.6" customHeight="1" x14ac:dyDescent="0.25">
      <c r="A1995" s="551" t="s">
        <v>35535</v>
      </c>
      <c r="B1995" s="551" t="s">
        <v>35536</v>
      </c>
      <c r="C1995" s="552" t="s">
        <v>226</v>
      </c>
      <c r="D1995" s="557">
        <v>343.06</v>
      </c>
      <c r="E1995" s="557">
        <v>333.49</v>
      </c>
      <c r="F1995" s="557">
        <v>9.57</v>
      </c>
      <c r="G1995" s="557">
        <v>343.06</v>
      </c>
    </row>
    <row r="1996" spans="1:7" ht="24.95" customHeight="1" x14ac:dyDescent="0.25">
      <c r="A1996" s="551" t="s">
        <v>35537</v>
      </c>
      <c r="B1996" s="342" t="s">
        <v>35538</v>
      </c>
      <c r="C1996" s="552" t="s">
        <v>226</v>
      </c>
      <c r="D1996" s="557">
        <v>18.600000000000001</v>
      </c>
      <c r="E1996" s="557">
        <v>9.0299999999999994</v>
      </c>
      <c r="F1996" s="557">
        <v>9.57</v>
      </c>
      <c r="G1996" s="557">
        <v>18.600000000000001</v>
      </c>
    </row>
    <row r="1997" spans="1:7" ht="24.95" customHeight="1" x14ac:dyDescent="0.25">
      <c r="A1997" s="551" t="s">
        <v>35539</v>
      </c>
      <c r="B1997" s="342" t="s">
        <v>35540</v>
      </c>
      <c r="C1997" s="552" t="s">
        <v>226</v>
      </c>
      <c r="D1997" s="557">
        <v>21.54</v>
      </c>
      <c r="E1997" s="557">
        <v>11.97</v>
      </c>
      <c r="F1997" s="557">
        <v>9.57</v>
      </c>
      <c r="G1997" s="557">
        <v>21.54</v>
      </c>
    </row>
    <row r="1998" spans="1:7" ht="12.6" customHeight="1" x14ac:dyDescent="0.25">
      <c r="A1998" s="551" t="s">
        <v>35541</v>
      </c>
      <c r="B1998" s="551" t="s">
        <v>35542</v>
      </c>
      <c r="C1998" s="552" t="s">
        <v>226</v>
      </c>
      <c r="D1998" s="557">
        <v>35.770000000000003</v>
      </c>
      <c r="E1998" s="557">
        <v>33.380000000000003</v>
      </c>
      <c r="F1998" s="557">
        <v>2.39</v>
      </c>
      <c r="G1998" s="557">
        <v>35.770000000000003</v>
      </c>
    </row>
    <row r="1999" spans="1:7" ht="12.6" customHeight="1" x14ac:dyDescent="0.25">
      <c r="A1999" s="551" t="s">
        <v>35543</v>
      </c>
      <c r="B1999" s="551" t="s">
        <v>35544</v>
      </c>
      <c r="C1999" s="552"/>
      <c r="D1999" s="557"/>
      <c r="E1999" s="557"/>
      <c r="F1999" s="557"/>
      <c r="G1999" s="557"/>
    </row>
    <row r="2000" spans="1:7" ht="12.6" customHeight="1" x14ac:dyDescent="0.25">
      <c r="A2000" s="551" t="s">
        <v>35545</v>
      </c>
      <c r="B2000" s="551" t="s">
        <v>35546</v>
      </c>
      <c r="C2000" s="552" t="s">
        <v>226</v>
      </c>
      <c r="D2000" s="557">
        <v>16318.49</v>
      </c>
      <c r="E2000" s="557">
        <v>16017.99</v>
      </c>
      <c r="F2000" s="557">
        <v>300.5</v>
      </c>
      <c r="G2000" s="557">
        <v>16318.49</v>
      </c>
    </row>
    <row r="2001" spans="1:7" ht="12.6" customHeight="1" x14ac:dyDescent="0.25">
      <c r="A2001" s="551" t="s">
        <v>35547</v>
      </c>
      <c r="B2001" s="551" t="s">
        <v>35548</v>
      </c>
      <c r="C2001" s="552" t="s">
        <v>226</v>
      </c>
      <c r="D2001" s="557">
        <v>32268.01</v>
      </c>
      <c r="E2001" s="557">
        <v>31998.69</v>
      </c>
      <c r="F2001" s="557">
        <v>269.32</v>
      </c>
      <c r="G2001" s="557">
        <v>32268.01</v>
      </c>
    </row>
    <row r="2002" spans="1:7" ht="12.6" customHeight="1" x14ac:dyDescent="0.25">
      <c r="A2002" s="551" t="s">
        <v>35549</v>
      </c>
      <c r="B2002" s="551" t="s">
        <v>35550</v>
      </c>
      <c r="C2002" s="552" t="s">
        <v>19518</v>
      </c>
      <c r="D2002" s="557">
        <v>32956.71</v>
      </c>
      <c r="E2002" s="557">
        <v>32559.71</v>
      </c>
      <c r="F2002" s="557">
        <v>397</v>
      </c>
      <c r="G2002" s="557">
        <v>32956.71</v>
      </c>
    </row>
    <row r="2003" spans="1:7" ht="12.6" customHeight="1" x14ac:dyDescent="0.25">
      <c r="A2003" s="551" t="s">
        <v>35551</v>
      </c>
      <c r="B2003" s="551" t="s">
        <v>35552</v>
      </c>
      <c r="C2003" s="552" t="s">
        <v>226</v>
      </c>
      <c r="D2003" s="557">
        <v>71031.81</v>
      </c>
      <c r="E2003" s="557">
        <v>70983.95</v>
      </c>
      <c r="F2003" s="557">
        <v>47.86</v>
      </c>
      <c r="G2003" s="557">
        <v>71031.81</v>
      </c>
    </row>
    <row r="2004" spans="1:7" ht="12.6" customHeight="1" x14ac:dyDescent="0.25">
      <c r="A2004" s="551" t="s">
        <v>35553</v>
      </c>
      <c r="B2004" s="551" t="s">
        <v>35554</v>
      </c>
      <c r="C2004" s="552" t="s">
        <v>226</v>
      </c>
      <c r="D2004" s="553">
        <v>124959.3</v>
      </c>
      <c r="E2004" s="553">
        <v>124911.44</v>
      </c>
      <c r="F2004" s="557">
        <v>47.86</v>
      </c>
      <c r="G2004" s="553">
        <v>124959.3</v>
      </c>
    </row>
    <row r="2005" spans="1:7" ht="12.6" customHeight="1" x14ac:dyDescent="0.25">
      <c r="A2005" s="551" t="s">
        <v>35555</v>
      </c>
      <c r="B2005" s="551" t="s">
        <v>35556</v>
      </c>
      <c r="C2005" s="552" t="s">
        <v>226</v>
      </c>
      <c r="D2005" s="553">
        <v>30.55</v>
      </c>
      <c r="E2005" s="553">
        <v>16.190000000000001</v>
      </c>
      <c r="F2005" s="557">
        <v>14.36</v>
      </c>
      <c r="G2005" s="553">
        <v>30.55</v>
      </c>
    </row>
    <row r="2006" spans="1:7" ht="12.6" customHeight="1" x14ac:dyDescent="0.25">
      <c r="A2006" s="551" t="s">
        <v>35557</v>
      </c>
      <c r="B2006" s="551" t="s">
        <v>35558</v>
      </c>
      <c r="C2006" s="552" t="s">
        <v>226</v>
      </c>
      <c r="D2006" s="553">
        <v>44.04</v>
      </c>
      <c r="E2006" s="553">
        <v>29.68</v>
      </c>
      <c r="F2006" s="557">
        <v>14.36</v>
      </c>
      <c r="G2006" s="553">
        <v>44.04</v>
      </c>
    </row>
    <row r="2007" spans="1:7" ht="12.6" customHeight="1" x14ac:dyDescent="0.2">
      <c r="A2007" s="559" t="s">
        <v>35559</v>
      </c>
      <c r="B2007" s="548" t="s">
        <v>35560</v>
      </c>
      <c r="C2007" s="550" t="s">
        <v>226</v>
      </c>
      <c r="D2007" s="550">
        <v>137.38999999999999</v>
      </c>
      <c r="E2007" s="550">
        <v>108.68</v>
      </c>
      <c r="F2007" s="550">
        <v>28.71</v>
      </c>
      <c r="G2007" s="550">
        <v>137.38999999999999</v>
      </c>
    </row>
    <row r="2008" spans="1:7" ht="12.6" customHeight="1" x14ac:dyDescent="0.2">
      <c r="A2008" s="548" t="s">
        <v>35561</v>
      </c>
      <c r="B2008" s="548" t="s">
        <v>35562</v>
      </c>
      <c r="C2008" s="550" t="s">
        <v>226</v>
      </c>
      <c r="D2008" s="550">
        <v>179.61</v>
      </c>
      <c r="E2008" s="550">
        <v>150.9</v>
      </c>
      <c r="F2008" s="550">
        <v>28.71</v>
      </c>
      <c r="G2008" s="550">
        <v>179.61</v>
      </c>
    </row>
    <row r="2009" spans="1:7" ht="12.6" customHeight="1" x14ac:dyDescent="0.25">
      <c r="A2009" s="551" t="s">
        <v>35563</v>
      </c>
      <c r="B2009" s="551" t="s">
        <v>35564</v>
      </c>
      <c r="C2009" s="552" t="s">
        <v>226</v>
      </c>
      <c r="D2009" s="557">
        <v>172.91</v>
      </c>
      <c r="E2009" s="557">
        <v>129.84</v>
      </c>
      <c r="F2009" s="557">
        <v>43.07</v>
      </c>
      <c r="G2009" s="557">
        <v>172.91</v>
      </c>
    </row>
    <row r="2010" spans="1:7" ht="12.6" customHeight="1" x14ac:dyDescent="0.25">
      <c r="A2010" s="551" t="s">
        <v>35565</v>
      </c>
      <c r="B2010" s="551" t="s">
        <v>35566</v>
      </c>
      <c r="C2010" s="552" t="s">
        <v>226</v>
      </c>
      <c r="D2010" s="557">
        <v>206.77</v>
      </c>
      <c r="E2010" s="557">
        <v>163.69999999999999</v>
      </c>
      <c r="F2010" s="557">
        <v>43.07</v>
      </c>
      <c r="G2010" s="557">
        <v>206.77</v>
      </c>
    </row>
    <row r="2011" spans="1:7" ht="12.6" customHeight="1" x14ac:dyDescent="0.25">
      <c r="A2011" s="551" t="s">
        <v>35567</v>
      </c>
      <c r="B2011" s="551" t="s">
        <v>35568</v>
      </c>
      <c r="C2011" s="552" t="s">
        <v>226</v>
      </c>
      <c r="D2011" s="557">
        <v>488.71</v>
      </c>
      <c r="E2011" s="557">
        <v>440.85</v>
      </c>
      <c r="F2011" s="557">
        <v>47.86</v>
      </c>
      <c r="G2011" s="557">
        <v>488.71</v>
      </c>
    </row>
    <row r="2012" spans="1:7" ht="11.45" customHeight="1" x14ac:dyDescent="0.25">
      <c r="A2012" s="543" t="s">
        <v>35569</v>
      </c>
      <c r="B2012" s="544" t="s">
        <v>35570</v>
      </c>
      <c r="C2012" s="544" t="s">
        <v>226</v>
      </c>
      <c r="D2012" s="543">
        <v>678.5</v>
      </c>
      <c r="E2012" s="545">
        <v>630.64</v>
      </c>
      <c r="F2012" s="546">
        <v>47.86</v>
      </c>
      <c r="G2012" s="543">
        <v>678.5</v>
      </c>
    </row>
    <row r="2013" spans="1:7" ht="12.6" customHeight="1" x14ac:dyDescent="0.25">
      <c r="A2013" s="551" t="s">
        <v>35571</v>
      </c>
      <c r="B2013" s="551" t="s">
        <v>35572</v>
      </c>
      <c r="C2013" s="552" t="s">
        <v>226</v>
      </c>
      <c r="D2013" s="557">
        <v>3080.48</v>
      </c>
      <c r="E2013" s="557">
        <v>2984.76</v>
      </c>
      <c r="F2013" s="557">
        <v>95.72</v>
      </c>
      <c r="G2013" s="557">
        <v>3080.48</v>
      </c>
    </row>
    <row r="2014" spans="1:7" ht="12.6" customHeight="1" x14ac:dyDescent="0.25">
      <c r="A2014" s="551" t="s">
        <v>35573</v>
      </c>
      <c r="B2014" s="551" t="s">
        <v>35574</v>
      </c>
      <c r="C2014" s="552" t="s">
        <v>226</v>
      </c>
      <c r="D2014" s="553">
        <v>4539.82</v>
      </c>
      <c r="E2014" s="557">
        <v>4444.1000000000004</v>
      </c>
      <c r="F2014" s="557">
        <v>95.72</v>
      </c>
      <c r="G2014" s="553">
        <v>4539.82</v>
      </c>
    </row>
    <row r="2015" spans="1:7" ht="12.6" customHeight="1" x14ac:dyDescent="0.2">
      <c r="A2015" s="548" t="s">
        <v>35575</v>
      </c>
      <c r="B2015" s="548" t="s">
        <v>35576</v>
      </c>
      <c r="C2015" s="550" t="s">
        <v>226</v>
      </c>
      <c r="D2015" s="550">
        <v>6788.92</v>
      </c>
      <c r="E2015" s="550">
        <v>6693.2</v>
      </c>
      <c r="F2015" s="550">
        <v>95.72</v>
      </c>
      <c r="G2015" s="550">
        <v>6788.92</v>
      </c>
    </row>
    <row r="2016" spans="1:7" ht="12.6" customHeight="1" x14ac:dyDescent="0.25">
      <c r="A2016" s="551" t="s">
        <v>35577</v>
      </c>
      <c r="B2016" s="551" t="s">
        <v>35578</v>
      </c>
      <c r="C2016" s="552" t="s">
        <v>226</v>
      </c>
      <c r="D2016" s="557">
        <v>11155.33</v>
      </c>
      <c r="E2016" s="557">
        <v>11059.61</v>
      </c>
      <c r="F2016" s="557">
        <v>95.72</v>
      </c>
      <c r="G2016" s="557">
        <v>11155.33</v>
      </c>
    </row>
    <row r="2017" spans="1:7" ht="12.6" customHeight="1" x14ac:dyDescent="0.25">
      <c r="A2017" s="551" t="s">
        <v>35579</v>
      </c>
      <c r="B2017" s="551" t="s">
        <v>35580</v>
      </c>
      <c r="C2017" s="552" t="s">
        <v>226</v>
      </c>
      <c r="D2017" s="557">
        <v>14500.07</v>
      </c>
      <c r="E2017" s="557">
        <v>14404.35</v>
      </c>
      <c r="F2017" s="557">
        <v>95.72</v>
      </c>
      <c r="G2017" s="557">
        <v>14500.07</v>
      </c>
    </row>
    <row r="2018" spans="1:7" ht="12.6" customHeight="1" x14ac:dyDescent="0.25">
      <c r="A2018" s="551" t="s">
        <v>35581</v>
      </c>
      <c r="B2018" s="551" t="s">
        <v>35582</v>
      </c>
      <c r="C2018" s="552" t="s">
        <v>226</v>
      </c>
      <c r="D2018" s="557">
        <v>18711.099999999999</v>
      </c>
      <c r="E2018" s="557">
        <v>18615.38</v>
      </c>
      <c r="F2018" s="557">
        <v>95.72</v>
      </c>
      <c r="G2018" s="557">
        <v>18711.099999999999</v>
      </c>
    </row>
    <row r="2019" spans="1:7" ht="12.6" customHeight="1" x14ac:dyDescent="0.25">
      <c r="A2019" s="551" t="s">
        <v>35583</v>
      </c>
      <c r="B2019" s="551" t="s">
        <v>35584</v>
      </c>
      <c r="C2019" s="552" t="s">
        <v>226</v>
      </c>
      <c r="D2019" s="557">
        <v>21.79</v>
      </c>
      <c r="E2019" s="557">
        <v>12.22</v>
      </c>
      <c r="F2019" s="557">
        <v>9.57</v>
      </c>
      <c r="G2019" s="557">
        <v>21.79</v>
      </c>
    </row>
    <row r="2020" spans="1:7" ht="12.6" customHeight="1" x14ac:dyDescent="0.2">
      <c r="A2020" s="548" t="s">
        <v>35585</v>
      </c>
      <c r="B2020" s="548" t="s">
        <v>35586</v>
      </c>
      <c r="C2020" s="550" t="s">
        <v>226</v>
      </c>
      <c r="D2020" s="550">
        <v>24.09</v>
      </c>
      <c r="E2020" s="550">
        <v>14.52</v>
      </c>
      <c r="F2020" s="550">
        <v>9.57</v>
      </c>
      <c r="G2020" s="550">
        <v>24.09</v>
      </c>
    </row>
    <row r="2021" spans="1:7" ht="24.95" customHeight="1" x14ac:dyDescent="0.25">
      <c r="A2021" s="551" t="s">
        <v>35587</v>
      </c>
      <c r="B2021" s="342" t="s">
        <v>35588</v>
      </c>
      <c r="C2021" s="552" t="s">
        <v>226</v>
      </c>
      <c r="D2021" s="557">
        <v>52.98</v>
      </c>
      <c r="E2021" s="557">
        <v>43.41</v>
      </c>
      <c r="F2021" s="557">
        <v>9.57</v>
      </c>
      <c r="G2021" s="557">
        <v>52.98</v>
      </c>
    </row>
    <row r="2022" spans="1:7" ht="24.95" customHeight="1" x14ac:dyDescent="0.25">
      <c r="A2022" s="551" t="s">
        <v>35589</v>
      </c>
      <c r="B2022" s="342" t="s">
        <v>35590</v>
      </c>
      <c r="C2022" s="552" t="s">
        <v>226</v>
      </c>
      <c r="D2022" s="557">
        <v>56.63</v>
      </c>
      <c r="E2022" s="557">
        <v>47.06</v>
      </c>
      <c r="F2022" s="557">
        <v>9.57</v>
      </c>
      <c r="G2022" s="557">
        <v>56.63</v>
      </c>
    </row>
    <row r="2023" spans="1:7" ht="24.95" customHeight="1" x14ac:dyDescent="0.25">
      <c r="A2023" s="551" t="s">
        <v>35591</v>
      </c>
      <c r="B2023" s="342" t="s">
        <v>35592</v>
      </c>
      <c r="C2023" s="552" t="s">
        <v>226</v>
      </c>
      <c r="D2023" s="557">
        <v>67.94</v>
      </c>
      <c r="E2023" s="557">
        <v>58.37</v>
      </c>
      <c r="F2023" s="557">
        <v>9.57</v>
      </c>
      <c r="G2023" s="557">
        <v>67.94</v>
      </c>
    </row>
    <row r="2024" spans="1:7" ht="24.95" customHeight="1" x14ac:dyDescent="0.25">
      <c r="A2024" s="551" t="s">
        <v>35593</v>
      </c>
      <c r="B2024" s="342" t="s">
        <v>35594</v>
      </c>
      <c r="C2024" s="552" t="s">
        <v>226</v>
      </c>
      <c r="D2024" s="557">
        <v>148.63</v>
      </c>
      <c r="E2024" s="557">
        <v>139.06</v>
      </c>
      <c r="F2024" s="557">
        <v>9.57</v>
      </c>
      <c r="G2024" s="557">
        <v>148.63</v>
      </c>
    </row>
    <row r="2025" spans="1:7" ht="24.95" customHeight="1" x14ac:dyDescent="0.25">
      <c r="A2025" s="551" t="s">
        <v>35595</v>
      </c>
      <c r="B2025" s="342" t="s">
        <v>35596</v>
      </c>
      <c r="C2025" s="552" t="s">
        <v>226</v>
      </c>
      <c r="D2025" s="553">
        <v>77.38</v>
      </c>
      <c r="E2025" s="553">
        <v>67.81</v>
      </c>
      <c r="F2025" s="557">
        <v>9.57</v>
      </c>
      <c r="G2025" s="553">
        <v>77.38</v>
      </c>
    </row>
    <row r="2026" spans="1:7" ht="24.95" customHeight="1" x14ac:dyDescent="0.25">
      <c r="A2026" s="551" t="s">
        <v>35597</v>
      </c>
      <c r="B2026" s="342" t="s">
        <v>35598</v>
      </c>
      <c r="C2026" s="552" t="s">
        <v>226</v>
      </c>
      <c r="D2026" s="553">
        <v>79.540000000000006</v>
      </c>
      <c r="E2026" s="553">
        <v>69.97</v>
      </c>
      <c r="F2026" s="557">
        <v>9.57</v>
      </c>
      <c r="G2026" s="553">
        <v>79.540000000000006</v>
      </c>
    </row>
    <row r="2027" spans="1:7" ht="12.6" customHeight="1" x14ac:dyDescent="0.2">
      <c r="A2027" s="548" t="s">
        <v>35599</v>
      </c>
      <c r="B2027" s="548" t="s">
        <v>35600</v>
      </c>
      <c r="C2027" s="550" t="s">
        <v>226</v>
      </c>
      <c r="D2027" s="550">
        <v>76.78</v>
      </c>
      <c r="E2027" s="550">
        <v>67.209999999999994</v>
      </c>
      <c r="F2027" s="550">
        <v>9.57</v>
      </c>
      <c r="G2027" s="550">
        <v>76.78</v>
      </c>
    </row>
    <row r="2028" spans="1:7" ht="24.95" customHeight="1" x14ac:dyDescent="0.25">
      <c r="A2028" s="551" t="s">
        <v>35601</v>
      </c>
      <c r="B2028" s="342" t="s">
        <v>35602</v>
      </c>
      <c r="C2028" s="552" t="s">
        <v>226</v>
      </c>
      <c r="D2028" s="557">
        <v>1499.8</v>
      </c>
      <c r="E2028" s="557">
        <v>1490.23</v>
      </c>
      <c r="F2028" s="557">
        <v>9.57</v>
      </c>
      <c r="G2028" s="557">
        <v>1499.8</v>
      </c>
    </row>
    <row r="2029" spans="1:7" ht="24.95" customHeight="1" x14ac:dyDescent="0.25">
      <c r="A2029" s="551" t="s">
        <v>35603</v>
      </c>
      <c r="B2029" s="342" t="s">
        <v>35604</v>
      </c>
      <c r="C2029" s="552" t="s">
        <v>226</v>
      </c>
      <c r="D2029" s="557">
        <v>37946.74</v>
      </c>
      <c r="E2029" s="557">
        <v>37851.019999999997</v>
      </c>
      <c r="F2029" s="557">
        <v>95.72</v>
      </c>
      <c r="G2029" s="557">
        <v>37946.74</v>
      </c>
    </row>
    <row r="2030" spans="1:7" ht="24.95" customHeight="1" x14ac:dyDescent="0.25">
      <c r="A2030" s="551" t="s">
        <v>35605</v>
      </c>
      <c r="B2030" s="342" t="s">
        <v>35606</v>
      </c>
      <c r="C2030" s="552" t="s">
        <v>226</v>
      </c>
      <c r="D2030" s="557">
        <v>58116.99</v>
      </c>
      <c r="E2030" s="557">
        <v>58021.27</v>
      </c>
      <c r="F2030" s="557">
        <v>95.72</v>
      </c>
      <c r="G2030" s="557">
        <v>58116.99</v>
      </c>
    </row>
    <row r="2031" spans="1:7" ht="24.95" customHeight="1" x14ac:dyDescent="0.25">
      <c r="A2031" s="551" t="s">
        <v>35607</v>
      </c>
      <c r="B2031" s="342" t="s">
        <v>35608</v>
      </c>
      <c r="C2031" s="552" t="s">
        <v>226</v>
      </c>
      <c r="D2031" s="557">
        <v>392991.42</v>
      </c>
      <c r="E2031" s="557">
        <v>392943.56</v>
      </c>
      <c r="F2031" s="557">
        <v>47.86</v>
      </c>
      <c r="G2031" s="557">
        <v>392991.42</v>
      </c>
    </row>
    <row r="2032" spans="1:7" ht="24.95" customHeight="1" x14ac:dyDescent="0.25">
      <c r="A2032" s="551" t="s">
        <v>35609</v>
      </c>
      <c r="B2032" s="342" t="s">
        <v>35610</v>
      </c>
      <c r="C2032" s="552"/>
      <c r="D2032" s="553"/>
      <c r="E2032" s="553"/>
      <c r="F2032" s="557"/>
      <c r="G2032" s="553"/>
    </row>
    <row r="2033" spans="1:7" ht="24.95" customHeight="1" x14ac:dyDescent="0.25">
      <c r="A2033" s="551" t="s">
        <v>35611</v>
      </c>
      <c r="B2033" s="342" t="s">
        <v>35612</v>
      </c>
      <c r="C2033" s="552" t="s">
        <v>226</v>
      </c>
      <c r="D2033" s="553">
        <v>2288.86</v>
      </c>
      <c r="E2033" s="553">
        <v>2241</v>
      </c>
      <c r="F2033" s="557">
        <v>47.86</v>
      </c>
      <c r="G2033" s="553">
        <v>2288.86</v>
      </c>
    </row>
    <row r="2034" spans="1:7" ht="12.6" customHeight="1" x14ac:dyDescent="0.2">
      <c r="A2034" s="548" t="s">
        <v>35613</v>
      </c>
      <c r="B2034" s="548" t="s">
        <v>35614</v>
      </c>
      <c r="C2034" s="550" t="s">
        <v>226</v>
      </c>
      <c r="D2034" s="550">
        <v>1968.15</v>
      </c>
      <c r="E2034" s="550">
        <v>1929.86</v>
      </c>
      <c r="F2034" s="550">
        <v>38.29</v>
      </c>
      <c r="G2034" s="550">
        <v>1968.15</v>
      </c>
    </row>
    <row r="2035" spans="1:7" ht="24.95" customHeight="1" x14ac:dyDescent="0.25">
      <c r="A2035" s="551" t="s">
        <v>35615</v>
      </c>
      <c r="B2035" s="342" t="s">
        <v>35616</v>
      </c>
      <c r="C2035" s="552" t="s">
        <v>226</v>
      </c>
      <c r="D2035" s="553">
        <v>1410.66</v>
      </c>
      <c r="E2035" s="553">
        <v>1372.37</v>
      </c>
      <c r="F2035" s="557">
        <v>38.29</v>
      </c>
      <c r="G2035" s="553">
        <v>1410.66</v>
      </c>
    </row>
    <row r="2036" spans="1:7" ht="12.6" customHeight="1" x14ac:dyDescent="0.2">
      <c r="A2036" s="548" t="s">
        <v>35617</v>
      </c>
      <c r="B2036" s="548" t="s">
        <v>35618</v>
      </c>
      <c r="C2036" s="550" t="s">
        <v>226</v>
      </c>
      <c r="D2036" s="550">
        <v>2138.08</v>
      </c>
      <c r="E2036" s="550">
        <v>2090.2199999999998</v>
      </c>
      <c r="F2036" s="550">
        <v>47.86</v>
      </c>
      <c r="G2036" s="550">
        <v>2138.08</v>
      </c>
    </row>
    <row r="2037" spans="1:7" ht="12.6" customHeight="1" x14ac:dyDescent="0.25">
      <c r="A2037" s="551" t="s">
        <v>35619</v>
      </c>
      <c r="B2037" s="551" t="s">
        <v>35620</v>
      </c>
      <c r="C2037" s="552" t="s">
        <v>226</v>
      </c>
      <c r="D2037" s="557">
        <v>2226.06</v>
      </c>
      <c r="E2037" s="557">
        <v>2168.63</v>
      </c>
      <c r="F2037" s="557">
        <v>57.43</v>
      </c>
      <c r="G2037" s="557">
        <v>2226.06</v>
      </c>
    </row>
    <row r="2038" spans="1:7" ht="12.6" customHeight="1" x14ac:dyDescent="0.2">
      <c r="A2038" s="548" t="s">
        <v>35621</v>
      </c>
      <c r="B2038" s="548" t="s">
        <v>35622</v>
      </c>
      <c r="C2038" s="550" t="s">
        <v>226</v>
      </c>
      <c r="D2038" s="550">
        <v>5003.1899999999996</v>
      </c>
      <c r="E2038" s="550">
        <v>4931.3900000000003</v>
      </c>
      <c r="F2038" s="550">
        <v>71.8</v>
      </c>
      <c r="G2038" s="550">
        <v>5003.1899999999996</v>
      </c>
    </row>
    <row r="2039" spans="1:7" ht="12.6" customHeight="1" x14ac:dyDescent="0.25">
      <c r="A2039" s="551" t="s">
        <v>35623</v>
      </c>
      <c r="B2039" s="551" t="s">
        <v>35624</v>
      </c>
      <c r="C2039" s="552" t="s">
        <v>226</v>
      </c>
      <c r="D2039" s="557">
        <v>9435.18</v>
      </c>
      <c r="E2039" s="557">
        <v>9363.3799999999992</v>
      </c>
      <c r="F2039" s="557">
        <v>71.8</v>
      </c>
      <c r="G2039" s="557">
        <v>9435.18</v>
      </c>
    </row>
    <row r="2040" spans="1:7" ht="12.6" customHeight="1" x14ac:dyDescent="0.25">
      <c r="A2040" s="551" t="s">
        <v>35625</v>
      </c>
      <c r="B2040" s="551" t="s">
        <v>35626</v>
      </c>
      <c r="C2040" s="552" t="s">
        <v>226</v>
      </c>
      <c r="D2040" s="557">
        <v>1312.73</v>
      </c>
      <c r="E2040" s="557">
        <v>1274.44</v>
      </c>
      <c r="F2040" s="557">
        <v>38.29</v>
      </c>
      <c r="G2040" s="557">
        <v>1312.73</v>
      </c>
    </row>
    <row r="2041" spans="1:7" ht="12.6" customHeight="1" x14ac:dyDescent="0.25">
      <c r="A2041" s="551" t="s">
        <v>35627</v>
      </c>
      <c r="B2041" s="551" t="s">
        <v>35628</v>
      </c>
      <c r="C2041" s="552" t="s">
        <v>226</v>
      </c>
      <c r="D2041" s="557">
        <v>1854.67</v>
      </c>
      <c r="E2041" s="557">
        <v>1816.38</v>
      </c>
      <c r="F2041" s="557">
        <v>38.29</v>
      </c>
      <c r="G2041" s="557">
        <v>1854.67</v>
      </c>
    </row>
    <row r="2042" spans="1:7" ht="12.6" customHeight="1" x14ac:dyDescent="0.25">
      <c r="A2042" s="551" t="s">
        <v>35629</v>
      </c>
      <c r="B2042" s="551" t="s">
        <v>35630</v>
      </c>
      <c r="C2042" s="552" t="s">
        <v>226</v>
      </c>
      <c r="D2042" s="557">
        <v>3948.91</v>
      </c>
      <c r="E2042" s="557">
        <v>3910.62</v>
      </c>
      <c r="F2042" s="557">
        <v>38.29</v>
      </c>
      <c r="G2042" s="557">
        <v>3948.91</v>
      </c>
    </row>
    <row r="2043" spans="1:7" ht="12.6" customHeight="1" x14ac:dyDescent="0.25">
      <c r="A2043" s="551" t="s">
        <v>35631</v>
      </c>
      <c r="B2043" s="551" t="s">
        <v>35632</v>
      </c>
      <c r="C2043" s="552" t="s">
        <v>226</v>
      </c>
      <c r="D2043" s="557">
        <v>4423.82</v>
      </c>
      <c r="E2043" s="557">
        <v>4375.96</v>
      </c>
      <c r="F2043" s="557">
        <v>47.86</v>
      </c>
      <c r="G2043" s="557">
        <v>4423.82</v>
      </c>
    </row>
    <row r="2044" spans="1:7" ht="12.6" customHeight="1" x14ac:dyDescent="0.25">
      <c r="A2044" s="551" t="s">
        <v>35633</v>
      </c>
      <c r="B2044" s="551" t="s">
        <v>35634</v>
      </c>
      <c r="C2044" s="552" t="s">
        <v>226</v>
      </c>
      <c r="D2044" s="557">
        <v>9193.6200000000008</v>
      </c>
      <c r="E2044" s="557">
        <v>9136.19</v>
      </c>
      <c r="F2044" s="557">
        <v>57.43</v>
      </c>
      <c r="G2044" s="557">
        <v>9193.6200000000008</v>
      </c>
    </row>
    <row r="2045" spans="1:7" ht="12.6" customHeight="1" x14ac:dyDescent="0.25">
      <c r="A2045" s="551" t="s">
        <v>35635</v>
      </c>
      <c r="B2045" s="551" t="s">
        <v>35636</v>
      </c>
      <c r="C2045" s="552" t="s">
        <v>226</v>
      </c>
      <c r="D2045" s="557">
        <v>374.89</v>
      </c>
      <c r="E2045" s="557">
        <v>336.6</v>
      </c>
      <c r="F2045" s="557">
        <v>38.29</v>
      </c>
      <c r="G2045" s="557">
        <v>374.89</v>
      </c>
    </row>
    <row r="2046" spans="1:7" ht="12.6" customHeight="1" x14ac:dyDescent="0.2">
      <c r="A2046" s="548" t="s">
        <v>35637</v>
      </c>
      <c r="B2046" s="548" t="s">
        <v>35638</v>
      </c>
      <c r="C2046" s="550" t="s">
        <v>226</v>
      </c>
      <c r="D2046" s="550">
        <v>699.25</v>
      </c>
      <c r="E2046" s="550">
        <v>660.96</v>
      </c>
      <c r="F2046" s="550">
        <v>38.29</v>
      </c>
      <c r="G2046" s="550">
        <v>699.25</v>
      </c>
    </row>
    <row r="2047" spans="1:7" ht="12.6" customHeight="1" x14ac:dyDescent="0.25">
      <c r="A2047" s="551" t="s">
        <v>35639</v>
      </c>
      <c r="B2047" s="551" t="s">
        <v>35640</v>
      </c>
      <c r="C2047" s="552" t="s">
        <v>226</v>
      </c>
      <c r="D2047" s="557">
        <v>933.86</v>
      </c>
      <c r="E2047" s="557">
        <v>886</v>
      </c>
      <c r="F2047" s="557">
        <v>47.86</v>
      </c>
      <c r="G2047" s="557">
        <v>933.86</v>
      </c>
    </row>
    <row r="2048" spans="1:7" ht="12.6" customHeight="1" x14ac:dyDescent="0.25">
      <c r="A2048" s="551" t="s">
        <v>35641</v>
      </c>
      <c r="B2048" s="551" t="s">
        <v>35642</v>
      </c>
      <c r="C2048" s="552" t="s">
        <v>226</v>
      </c>
      <c r="D2048" s="557">
        <v>1840.34</v>
      </c>
      <c r="E2048" s="557">
        <v>1782.91</v>
      </c>
      <c r="F2048" s="557">
        <v>57.43</v>
      </c>
      <c r="G2048" s="557">
        <v>1840.34</v>
      </c>
    </row>
    <row r="2049" spans="1:7" ht="12.6" customHeight="1" x14ac:dyDescent="0.25">
      <c r="A2049" s="551" t="s">
        <v>35643</v>
      </c>
      <c r="B2049" s="551" t="s">
        <v>35644</v>
      </c>
      <c r="C2049" s="552" t="s">
        <v>226</v>
      </c>
      <c r="D2049" s="557">
        <v>4865.6000000000004</v>
      </c>
      <c r="E2049" s="557">
        <v>4808.17</v>
      </c>
      <c r="F2049" s="557">
        <v>57.43</v>
      </c>
      <c r="G2049" s="557">
        <v>4865.6000000000004</v>
      </c>
    </row>
    <row r="2050" spans="1:7" ht="12.6" customHeight="1" x14ac:dyDescent="0.25">
      <c r="A2050" s="551" t="s">
        <v>35645</v>
      </c>
      <c r="B2050" s="551" t="s">
        <v>35646</v>
      </c>
      <c r="C2050" s="552" t="s">
        <v>226</v>
      </c>
      <c r="D2050" s="557">
        <v>6811.09</v>
      </c>
      <c r="E2050" s="557">
        <v>6739.29</v>
      </c>
      <c r="F2050" s="557">
        <v>71.8</v>
      </c>
      <c r="G2050" s="557">
        <v>6811.09</v>
      </c>
    </row>
    <row r="2051" spans="1:7" ht="12.6" customHeight="1" x14ac:dyDescent="0.25">
      <c r="A2051" s="551" t="s">
        <v>35647</v>
      </c>
      <c r="B2051" s="551" t="s">
        <v>35648</v>
      </c>
      <c r="C2051" s="552" t="s">
        <v>226</v>
      </c>
      <c r="D2051" s="557">
        <v>10309.129999999999</v>
      </c>
      <c r="E2051" s="557">
        <v>10222.98</v>
      </c>
      <c r="F2051" s="557">
        <v>86.15</v>
      </c>
      <c r="G2051" s="557">
        <v>10309.129999999999</v>
      </c>
    </row>
    <row r="2052" spans="1:7" ht="12.6" customHeight="1" x14ac:dyDescent="0.25">
      <c r="A2052" s="551" t="s">
        <v>35649</v>
      </c>
      <c r="B2052" s="551" t="s">
        <v>35650</v>
      </c>
      <c r="C2052" s="552" t="s">
        <v>226</v>
      </c>
      <c r="D2052" s="557">
        <v>9468.49</v>
      </c>
      <c r="E2052" s="557">
        <v>9358.2800000000007</v>
      </c>
      <c r="F2052" s="557">
        <v>110.21</v>
      </c>
      <c r="G2052" s="557">
        <v>9468.49</v>
      </c>
    </row>
    <row r="2053" spans="1:7" ht="12.6" customHeight="1" x14ac:dyDescent="0.25">
      <c r="A2053" s="551" t="s">
        <v>35651</v>
      </c>
      <c r="B2053" s="551" t="s">
        <v>35652</v>
      </c>
      <c r="C2053" s="552" t="s">
        <v>226</v>
      </c>
      <c r="D2053" s="557">
        <v>82.77</v>
      </c>
      <c r="E2053" s="557">
        <v>73.2</v>
      </c>
      <c r="F2053" s="557">
        <v>9.57</v>
      </c>
      <c r="G2053" s="557">
        <v>82.77</v>
      </c>
    </row>
    <row r="2054" spans="1:7" ht="12.6" customHeight="1" x14ac:dyDescent="0.25">
      <c r="A2054" s="551" t="s">
        <v>35653</v>
      </c>
      <c r="B2054" s="551" t="s">
        <v>35654</v>
      </c>
      <c r="C2054" s="552" t="s">
        <v>226</v>
      </c>
      <c r="D2054" s="557">
        <v>839.08</v>
      </c>
      <c r="E2054" s="557">
        <v>800.79</v>
      </c>
      <c r="F2054" s="557">
        <v>38.29</v>
      </c>
      <c r="G2054" s="557">
        <v>839.08</v>
      </c>
    </row>
    <row r="2055" spans="1:7" ht="12.6" customHeight="1" x14ac:dyDescent="0.25">
      <c r="A2055" s="551" t="s">
        <v>35655</v>
      </c>
      <c r="B2055" s="551" t="s">
        <v>35656</v>
      </c>
      <c r="C2055" s="552"/>
      <c r="D2055" s="557"/>
      <c r="E2055" s="557"/>
      <c r="F2055" s="557"/>
      <c r="G2055" s="557"/>
    </row>
    <row r="2056" spans="1:7" ht="12.6" customHeight="1" x14ac:dyDescent="0.2">
      <c r="A2056" s="548" t="s">
        <v>35657</v>
      </c>
      <c r="B2056" s="548" t="s">
        <v>35658</v>
      </c>
      <c r="C2056" s="550" t="s">
        <v>226</v>
      </c>
      <c r="D2056" s="550">
        <v>2610.25</v>
      </c>
      <c r="E2056" s="550">
        <v>2377.08</v>
      </c>
      <c r="F2056" s="550">
        <v>233.17</v>
      </c>
      <c r="G2056" s="550">
        <v>2610.25</v>
      </c>
    </row>
    <row r="2057" spans="1:7" ht="11.45" customHeight="1" x14ac:dyDescent="0.25">
      <c r="A2057" s="543" t="s">
        <v>35659</v>
      </c>
      <c r="B2057" s="544" t="s">
        <v>35660</v>
      </c>
      <c r="C2057" s="544" t="s">
        <v>226</v>
      </c>
      <c r="D2057" s="543">
        <v>1922.67</v>
      </c>
      <c r="E2057" s="545">
        <v>1689.5</v>
      </c>
      <c r="F2057" s="546">
        <v>233.17</v>
      </c>
      <c r="G2057" s="543">
        <v>1922.67</v>
      </c>
    </row>
    <row r="2058" spans="1:7" ht="24.95" customHeight="1" x14ac:dyDescent="0.25">
      <c r="A2058" s="551" t="s">
        <v>35661</v>
      </c>
      <c r="B2058" s="342" t="s">
        <v>35662</v>
      </c>
      <c r="C2058" s="552" t="s">
        <v>226</v>
      </c>
      <c r="D2058" s="553">
        <v>490.23</v>
      </c>
      <c r="E2058" s="553">
        <v>404.19</v>
      </c>
      <c r="F2058" s="557">
        <v>86.04</v>
      </c>
      <c r="G2058" s="553">
        <v>490.23</v>
      </c>
    </row>
    <row r="2059" spans="1:7" ht="23.1" customHeight="1" x14ac:dyDescent="0.25">
      <c r="A2059" s="551" t="s">
        <v>35663</v>
      </c>
      <c r="B2059" s="551" t="s">
        <v>35664</v>
      </c>
      <c r="C2059" s="552" t="s">
        <v>226</v>
      </c>
      <c r="D2059" s="553">
        <v>612.91</v>
      </c>
      <c r="E2059" s="553">
        <v>526.87</v>
      </c>
      <c r="F2059" s="557">
        <v>86.04</v>
      </c>
      <c r="G2059" s="553">
        <v>612.91</v>
      </c>
    </row>
    <row r="2060" spans="1:7" ht="24.95" customHeight="1" x14ac:dyDescent="0.25">
      <c r="A2060" s="551" t="s">
        <v>35665</v>
      </c>
      <c r="B2060" s="342" t="s">
        <v>35666</v>
      </c>
      <c r="C2060" s="552" t="s">
        <v>226</v>
      </c>
      <c r="D2060" s="553">
        <v>512.83000000000004</v>
      </c>
      <c r="E2060" s="553">
        <v>426.79</v>
      </c>
      <c r="F2060" s="557">
        <v>86.04</v>
      </c>
      <c r="G2060" s="553">
        <v>512.83000000000004</v>
      </c>
    </row>
    <row r="2061" spans="1:7" ht="23.1" customHeight="1" x14ac:dyDescent="0.25">
      <c r="A2061" s="551" t="s">
        <v>35667</v>
      </c>
      <c r="B2061" s="551" t="s">
        <v>35668</v>
      </c>
      <c r="C2061" s="552" t="s">
        <v>226</v>
      </c>
      <c r="D2061" s="553">
        <v>1639.74</v>
      </c>
      <c r="E2061" s="553">
        <v>1406.57</v>
      </c>
      <c r="F2061" s="557">
        <v>233.17</v>
      </c>
      <c r="G2061" s="553">
        <v>1639.74</v>
      </c>
    </row>
    <row r="2062" spans="1:7" ht="23.1" customHeight="1" x14ac:dyDescent="0.25">
      <c r="A2062" s="551" t="s">
        <v>35669</v>
      </c>
      <c r="B2062" s="551" t="s">
        <v>35670</v>
      </c>
      <c r="C2062" s="552" t="s">
        <v>226</v>
      </c>
      <c r="D2062" s="553">
        <v>1978.38</v>
      </c>
      <c r="E2062" s="553">
        <v>1745.21</v>
      </c>
      <c r="F2062" s="557">
        <v>233.17</v>
      </c>
      <c r="G2062" s="553">
        <v>1978.38</v>
      </c>
    </row>
    <row r="2063" spans="1:7" ht="23.1" customHeight="1" x14ac:dyDescent="0.25">
      <c r="A2063" s="551" t="s">
        <v>35671</v>
      </c>
      <c r="B2063" s="551" t="s">
        <v>35672</v>
      </c>
      <c r="C2063" s="552"/>
      <c r="D2063" s="557"/>
      <c r="E2063" s="557"/>
      <c r="F2063" s="557"/>
      <c r="G2063" s="557"/>
    </row>
    <row r="2064" spans="1:7" ht="23.1" customHeight="1" x14ac:dyDescent="0.25">
      <c r="A2064" s="551" t="s">
        <v>35673</v>
      </c>
      <c r="B2064" s="551" t="s">
        <v>35674</v>
      </c>
      <c r="C2064" s="552" t="s">
        <v>35675</v>
      </c>
      <c r="D2064" s="557">
        <v>554.88</v>
      </c>
      <c r="E2064" s="557">
        <v>554.29</v>
      </c>
      <c r="F2064" s="557">
        <v>0.59</v>
      </c>
      <c r="G2064" s="557">
        <v>554.88</v>
      </c>
    </row>
    <row r="2065" spans="1:7" ht="23.1" customHeight="1" x14ac:dyDescent="0.25">
      <c r="A2065" s="551" t="s">
        <v>35676</v>
      </c>
      <c r="B2065" s="551" t="s">
        <v>35677</v>
      </c>
      <c r="C2065" s="552" t="s">
        <v>35675</v>
      </c>
      <c r="D2065" s="557">
        <v>173.61</v>
      </c>
      <c r="E2065" s="557">
        <v>173.02</v>
      </c>
      <c r="F2065" s="557">
        <v>0.59</v>
      </c>
      <c r="G2065" s="557">
        <v>173.61</v>
      </c>
    </row>
    <row r="2066" spans="1:7" ht="23.1" customHeight="1" x14ac:dyDescent="0.25">
      <c r="A2066" s="551" t="s">
        <v>35678</v>
      </c>
      <c r="B2066" s="551" t="s">
        <v>35679</v>
      </c>
      <c r="C2066" s="552"/>
      <c r="D2066" s="557"/>
      <c r="E2066" s="557"/>
      <c r="F2066" s="557"/>
      <c r="G2066" s="557"/>
    </row>
    <row r="2067" spans="1:7" ht="23.1" customHeight="1" x14ac:dyDescent="0.25">
      <c r="A2067" s="551" t="s">
        <v>35680</v>
      </c>
      <c r="B2067" s="551" t="s">
        <v>35681</v>
      </c>
      <c r="C2067" s="552" t="s">
        <v>226</v>
      </c>
      <c r="D2067" s="557">
        <v>233.5</v>
      </c>
      <c r="E2067" s="557">
        <v>221.53</v>
      </c>
      <c r="F2067" s="557">
        <v>11.97</v>
      </c>
      <c r="G2067" s="557">
        <v>233.5</v>
      </c>
    </row>
    <row r="2068" spans="1:7" ht="23.1" customHeight="1" x14ac:dyDescent="0.25">
      <c r="A2068" s="551" t="s">
        <v>35682</v>
      </c>
      <c r="B2068" s="551" t="s">
        <v>35683</v>
      </c>
      <c r="C2068" s="552" t="s">
        <v>226</v>
      </c>
      <c r="D2068" s="557">
        <v>254.78</v>
      </c>
      <c r="E2068" s="557">
        <v>242.81</v>
      </c>
      <c r="F2068" s="557">
        <v>11.97</v>
      </c>
      <c r="G2068" s="557">
        <v>254.78</v>
      </c>
    </row>
    <row r="2069" spans="1:7" ht="24.95" customHeight="1" x14ac:dyDescent="0.25">
      <c r="A2069" s="551" t="s">
        <v>35684</v>
      </c>
      <c r="B2069" s="342" t="s">
        <v>35685</v>
      </c>
      <c r="C2069" s="552" t="s">
        <v>226</v>
      </c>
      <c r="D2069" s="557">
        <v>336.26</v>
      </c>
      <c r="E2069" s="557">
        <v>324.29000000000002</v>
      </c>
      <c r="F2069" s="557">
        <v>11.97</v>
      </c>
      <c r="G2069" s="557">
        <v>336.26</v>
      </c>
    </row>
    <row r="2070" spans="1:7" ht="24.95" customHeight="1" x14ac:dyDescent="0.25">
      <c r="A2070" s="551" t="s">
        <v>35686</v>
      </c>
      <c r="B2070" s="342" t="s">
        <v>35687</v>
      </c>
      <c r="C2070" s="552" t="s">
        <v>226</v>
      </c>
      <c r="D2070" s="557">
        <v>322.52999999999997</v>
      </c>
      <c r="E2070" s="557">
        <v>310.56</v>
      </c>
      <c r="F2070" s="557">
        <v>11.97</v>
      </c>
      <c r="G2070" s="557">
        <v>322.52999999999997</v>
      </c>
    </row>
    <row r="2071" spans="1:7" ht="24.95" customHeight="1" x14ac:dyDescent="0.25">
      <c r="A2071" s="551" t="s">
        <v>35688</v>
      </c>
      <c r="B2071" s="342" t="s">
        <v>35689</v>
      </c>
      <c r="C2071" s="552" t="s">
        <v>226</v>
      </c>
      <c r="D2071" s="553">
        <v>368.8</v>
      </c>
      <c r="E2071" s="553">
        <v>356.83</v>
      </c>
      <c r="F2071" s="557">
        <v>11.97</v>
      </c>
      <c r="G2071" s="553">
        <v>368.8</v>
      </c>
    </row>
    <row r="2072" spans="1:7" ht="24.95" customHeight="1" x14ac:dyDescent="0.25">
      <c r="A2072" s="551" t="s">
        <v>35690</v>
      </c>
      <c r="B2072" s="342" t="s">
        <v>35691</v>
      </c>
      <c r="C2072" s="552" t="s">
        <v>226</v>
      </c>
      <c r="D2072" s="553">
        <v>438.83</v>
      </c>
      <c r="E2072" s="553">
        <v>426.86</v>
      </c>
      <c r="F2072" s="557">
        <v>11.97</v>
      </c>
      <c r="G2072" s="553">
        <v>438.83</v>
      </c>
    </row>
    <row r="2073" spans="1:7" ht="24.95" customHeight="1" x14ac:dyDescent="0.25">
      <c r="A2073" s="551" t="s">
        <v>35692</v>
      </c>
      <c r="B2073" s="342" t="s">
        <v>35693</v>
      </c>
      <c r="C2073" s="552" t="s">
        <v>226</v>
      </c>
      <c r="D2073" s="553">
        <v>430.44</v>
      </c>
      <c r="E2073" s="553">
        <v>418.47</v>
      </c>
      <c r="F2073" s="557">
        <v>11.97</v>
      </c>
      <c r="G2073" s="553">
        <v>430.44</v>
      </c>
    </row>
    <row r="2074" spans="1:7" ht="24.95" customHeight="1" x14ac:dyDescent="0.25">
      <c r="A2074" s="551" t="s">
        <v>35694</v>
      </c>
      <c r="B2074" s="342" t="s">
        <v>35695</v>
      </c>
      <c r="C2074" s="552" t="s">
        <v>226</v>
      </c>
      <c r="D2074" s="553">
        <v>2298.2399999999998</v>
      </c>
      <c r="E2074" s="553">
        <v>2286.27</v>
      </c>
      <c r="F2074" s="557">
        <v>11.97</v>
      </c>
      <c r="G2074" s="553">
        <v>2298.2399999999998</v>
      </c>
    </row>
    <row r="2075" spans="1:7" ht="24.95" customHeight="1" x14ac:dyDescent="0.25">
      <c r="A2075" s="551" t="s">
        <v>35696</v>
      </c>
      <c r="B2075" s="342" t="s">
        <v>35697</v>
      </c>
      <c r="C2075" s="552" t="s">
        <v>226</v>
      </c>
      <c r="D2075" s="553">
        <v>327.98</v>
      </c>
      <c r="E2075" s="553">
        <v>316.01</v>
      </c>
      <c r="F2075" s="557">
        <v>11.97</v>
      </c>
      <c r="G2075" s="553">
        <v>327.98</v>
      </c>
    </row>
    <row r="2076" spans="1:7" ht="24.95" customHeight="1" x14ac:dyDescent="0.25">
      <c r="A2076" s="551" t="s">
        <v>35698</v>
      </c>
      <c r="B2076" s="342" t="s">
        <v>35699</v>
      </c>
      <c r="C2076" s="552"/>
      <c r="D2076" s="553"/>
      <c r="E2076" s="553"/>
      <c r="F2076" s="557"/>
      <c r="G2076" s="553"/>
    </row>
    <row r="2077" spans="1:7" ht="24.95" customHeight="1" x14ac:dyDescent="0.25">
      <c r="A2077" s="551" t="s">
        <v>35700</v>
      </c>
      <c r="B2077" s="342" t="s">
        <v>35701</v>
      </c>
      <c r="C2077" s="552" t="s">
        <v>226</v>
      </c>
      <c r="D2077" s="557">
        <v>3427.99</v>
      </c>
      <c r="E2077" s="557">
        <v>3355.42</v>
      </c>
      <c r="F2077" s="557">
        <v>72.569999999999993</v>
      </c>
      <c r="G2077" s="557">
        <v>3427.99</v>
      </c>
    </row>
    <row r="2078" spans="1:7" ht="24.95" customHeight="1" x14ac:dyDescent="0.25">
      <c r="A2078" s="551" t="s">
        <v>35702</v>
      </c>
      <c r="B2078" s="342" t="s">
        <v>35703</v>
      </c>
      <c r="C2078" s="552" t="s">
        <v>226</v>
      </c>
      <c r="D2078" s="557">
        <v>4146.17</v>
      </c>
      <c r="E2078" s="557">
        <v>4073.6</v>
      </c>
      <c r="F2078" s="557">
        <v>72.569999999999993</v>
      </c>
      <c r="G2078" s="557">
        <v>4146.17</v>
      </c>
    </row>
    <row r="2079" spans="1:7" ht="23.1" customHeight="1" x14ac:dyDescent="0.25">
      <c r="A2079" s="551" t="s">
        <v>35704</v>
      </c>
      <c r="B2079" s="551" t="s">
        <v>35705</v>
      </c>
      <c r="C2079" s="552" t="s">
        <v>226</v>
      </c>
      <c r="D2079" s="557">
        <v>2646.41</v>
      </c>
      <c r="E2079" s="557">
        <v>2573.84</v>
      </c>
      <c r="F2079" s="557">
        <v>72.569999999999993</v>
      </c>
      <c r="G2079" s="557">
        <v>2646.41</v>
      </c>
    </row>
    <row r="2080" spans="1:7" ht="23.1" customHeight="1" x14ac:dyDescent="0.25">
      <c r="A2080" s="551" t="s">
        <v>35706</v>
      </c>
      <c r="B2080" s="551" t="s">
        <v>35707</v>
      </c>
      <c r="C2080" s="552"/>
      <c r="D2080" s="557"/>
      <c r="E2080" s="557"/>
      <c r="F2080" s="557"/>
      <c r="G2080" s="557"/>
    </row>
    <row r="2081" spans="1:7" ht="12.6" customHeight="1" x14ac:dyDescent="0.25">
      <c r="A2081" s="551" t="s">
        <v>35708</v>
      </c>
      <c r="B2081" s="551" t="s">
        <v>35709</v>
      </c>
      <c r="C2081" s="552" t="s">
        <v>226</v>
      </c>
      <c r="D2081" s="557">
        <v>343.26</v>
      </c>
      <c r="E2081" s="557">
        <v>270.69</v>
      </c>
      <c r="F2081" s="557">
        <v>72.569999999999993</v>
      </c>
      <c r="G2081" s="557">
        <v>343.26</v>
      </c>
    </row>
    <row r="2082" spans="1:7" ht="23.1" customHeight="1" x14ac:dyDescent="0.25">
      <c r="A2082" s="551" t="s">
        <v>35710</v>
      </c>
      <c r="B2082" s="551" t="s">
        <v>35711</v>
      </c>
      <c r="C2082" s="552" t="s">
        <v>226</v>
      </c>
      <c r="D2082" s="557">
        <v>313.45</v>
      </c>
      <c r="E2082" s="557">
        <v>240.88</v>
      </c>
      <c r="F2082" s="557">
        <v>72.569999999999993</v>
      </c>
      <c r="G2082" s="557">
        <v>313.45</v>
      </c>
    </row>
    <row r="2083" spans="1:7" ht="23.1" customHeight="1" x14ac:dyDescent="0.25">
      <c r="A2083" s="551" t="s">
        <v>35712</v>
      </c>
      <c r="B2083" s="551" t="s">
        <v>35713</v>
      </c>
      <c r="C2083" s="552" t="s">
        <v>226</v>
      </c>
      <c r="D2083" s="557">
        <v>670.2</v>
      </c>
      <c r="E2083" s="557">
        <v>597.63</v>
      </c>
      <c r="F2083" s="557">
        <v>72.569999999999993</v>
      </c>
      <c r="G2083" s="557">
        <v>670.2</v>
      </c>
    </row>
    <row r="2084" spans="1:7" ht="23.1" customHeight="1" x14ac:dyDescent="0.25">
      <c r="A2084" s="551" t="s">
        <v>35714</v>
      </c>
      <c r="B2084" s="551" t="s">
        <v>35715</v>
      </c>
      <c r="C2084" s="552" t="s">
        <v>226</v>
      </c>
      <c r="D2084" s="557">
        <v>262.36</v>
      </c>
      <c r="E2084" s="557">
        <v>189.79</v>
      </c>
      <c r="F2084" s="557">
        <v>72.569999999999993</v>
      </c>
      <c r="G2084" s="557">
        <v>262.36</v>
      </c>
    </row>
    <row r="2085" spans="1:7" ht="12.6" customHeight="1" x14ac:dyDescent="0.25">
      <c r="A2085" s="551" t="s">
        <v>35716</v>
      </c>
      <c r="B2085" s="551" t="s">
        <v>35717</v>
      </c>
      <c r="C2085" s="552"/>
      <c r="D2085" s="557"/>
      <c r="E2085" s="557"/>
      <c r="F2085" s="557"/>
      <c r="G2085" s="557"/>
    </row>
    <row r="2086" spans="1:7" ht="23.1" customHeight="1" x14ac:dyDescent="0.25">
      <c r="A2086" s="551" t="s">
        <v>35718</v>
      </c>
      <c r="B2086" s="551" t="s">
        <v>35719</v>
      </c>
      <c r="C2086" s="552" t="s">
        <v>226</v>
      </c>
      <c r="D2086" s="553">
        <v>36.520000000000003</v>
      </c>
      <c r="E2086" s="553">
        <v>29.34</v>
      </c>
      <c r="F2086" s="557">
        <v>7.18</v>
      </c>
      <c r="G2086" s="553">
        <v>36.520000000000003</v>
      </c>
    </row>
    <row r="2087" spans="1:7" ht="11.45" customHeight="1" x14ac:dyDescent="0.25">
      <c r="A2087" s="543" t="s">
        <v>35720</v>
      </c>
      <c r="B2087" s="544" t="s">
        <v>35721</v>
      </c>
      <c r="C2087" s="544" t="s">
        <v>226</v>
      </c>
      <c r="D2087" s="543">
        <v>44.89</v>
      </c>
      <c r="E2087" s="545">
        <v>42.5</v>
      </c>
      <c r="F2087" s="546">
        <v>2.39</v>
      </c>
      <c r="G2087" s="543">
        <v>44.89</v>
      </c>
    </row>
    <row r="2088" spans="1:7" ht="24.95" customHeight="1" x14ac:dyDescent="0.25">
      <c r="A2088" s="551" t="s">
        <v>35722</v>
      </c>
      <c r="B2088" s="342" t="s">
        <v>35723</v>
      </c>
      <c r="C2088" s="552" t="s">
        <v>226</v>
      </c>
      <c r="D2088" s="553">
        <v>29.46</v>
      </c>
      <c r="E2088" s="553">
        <v>22.28</v>
      </c>
      <c r="F2088" s="557">
        <v>7.18</v>
      </c>
      <c r="G2088" s="553">
        <v>29.46</v>
      </c>
    </row>
    <row r="2089" spans="1:7" ht="24.95" customHeight="1" x14ac:dyDescent="0.25">
      <c r="A2089" s="551" t="s">
        <v>35724</v>
      </c>
      <c r="B2089" s="342" t="s">
        <v>35725</v>
      </c>
      <c r="C2089" s="552" t="s">
        <v>226</v>
      </c>
      <c r="D2089" s="553">
        <v>23.94</v>
      </c>
      <c r="E2089" s="553"/>
      <c r="F2089" s="557">
        <v>23.94</v>
      </c>
      <c r="G2089" s="553">
        <v>23.94</v>
      </c>
    </row>
    <row r="2090" spans="1:7" ht="23.1" customHeight="1" x14ac:dyDescent="0.25">
      <c r="A2090" s="551" t="s">
        <v>35726</v>
      </c>
      <c r="B2090" s="551" t="s">
        <v>35727</v>
      </c>
      <c r="C2090" s="552" t="s">
        <v>227</v>
      </c>
      <c r="D2090" s="553">
        <v>33.67</v>
      </c>
      <c r="E2090" s="553"/>
      <c r="F2090" s="557">
        <v>33.67</v>
      </c>
      <c r="G2090" s="553">
        <v>33.67</v>
      </c>
    </row>
    <row r="2091" spans="1:7" ht="12.6" customHeight="1" x14ac:dyDescent="0.2">
      <c r="A2091" s="548" t="s">
        <v>35728</v>
      </c>
      <c r="B2091" s="548" t="s">
        <v>35729</v>
      </c>
      <c r="C2091" s="550" t="s">
        <v>227</v>
      </c>
      <c r="D2091" s="550">
        <v>67.33</v>
      </c>
      <c r="E2091" s="550"/>
      <c r="F2091" s="550">
        <v>67.33</v>
      </c>
      <c r="G2091" s="550">
        <v>67.33</v>
      </c>
    </row>
    <row r="2092" spans="1:7" ht="24.95" customHeight="1" x14ac:dyDescent="0.25">
      <c r="A2092" s="551" t="s">
        <v>35730</v>
      </c>
      <c r="B2092" s="342" t="s">
        <v>35731</v>
      </c>
      <c r="C2092" s="552" t="s">
        <v>226</v>
      </c>
      <c r="D2092" s="553">
        <v>1127.95</v>
      </c>
      <c r="E2092" s="553">
        <v>1126</v>
      </c>
      <c r="F2092" s="557">
        <v>1.95</v>
      </c>
      <c r="G2092" s="553">
        <v>1127.95</v>
      </c>
    </row>
    <row r="2093" spans="1:7" ht="24.95" customHeight="1" x14ac:dyDescent="0.25">
      <c r="A2093" s="551" t="s">
        <v>35732</v>
      </c>
      <c r="B2093" s="342" t="s">
        <v>35733</v>
      </c>
      <c r="C2093" s="552" t="s">
        <v>226</v>
      </c>
      <c r="D2093" s="553">
        <v>125.24</v>
      </c>
      <c r="E2093" s="553">
        <v>120.37</v>
      </c>
      <c r="F2093" s="557">
        <v>4.87</v>
      </c>
      <c r="G2093" s="553">
        <v>125.24</v>
      </c>
    </row>
    <row r="2094" spans="1:7" ht="24.95" customHeight="1" x14ac:dyDescent="0.25">
      <c r="A2094" s="551" t="s">
        <v>35734</v>
      </c>
      <c r="B2094" s="342" t="s">
        <v>35735</v>
      </c>
      <c r="C2094" s="552" t="s">
        <v>227</v>
      </c>
      <c r="D2094" s="553">
        <v>573.83000000000004</v>
      </c>
      <c r="E2094" s="553">
        <v>540.16</v>
      </c>
      <c r="F2094" s="557">
        <v>33.67</v>
      </c>
      <c r="G2094" s="553">
        <v>573.83000000000004</v>
      </c>
    </row>
    <row r="2095" spans="1:7" ht="24.95" customHeight="1" x14ac:dyDescent="0.25">
      <c r="A2095" s="551" t="s">
        <v>35736</v>
      </c>
      <c r="B2095" s="342" t="s">
        <v>35737</v>
      </c>
      <c r="C2095" s="552" t="s">
        <v>226</v>
      </c>
      <c r="D2095" s="553">
        <v>7792.83</v>
      </c>
      <c r="E2095" s="553">
        <v>7738.97</v>
      </c>
      <c r="F2095" s="557">
        <v>53.86</v>
      </c>
      <c r="G2095" s="553">
        <v>7792.83</v>
      </c>
    </row>
    <row r="2096" spans="1:7" ht="24.95" customHeight="1" x14ac:dyDescent="0.25">
      <c r="A2096" s="551" t="s">
        <v>35738</v>
      </c>
      <c r="B2096" s="342" t="s">
        <v>35739</v>
      </c>
      <c r="C2096" s="552" t="s">
        <v>226</v>
      </c>
      <c r="D2096" s="553">
        <v>16729.419999999998</v>
      </c>
      <c r="E2096" s="553">
        <v>16675.560000000001</v>
      </c>
      <c r="F2096" s="557">
        <v>53.86</v>
      </c>
      <c r="G2096" s="553">
        <v>16729.419999999998</v>
      </c>
    </row>
    <row r="2097" spans="1:7" ht="24.95" customHeight="1" x14ac:dyDescent="0.25">
      <c r="A2097" s="551" t="s">
        <v>35740</v>
      </c>
      <c r="B2097" s="342" t="s">
        <v>35741</v>
      </c>
      <c r="C2097" s="552" t="s">
        <v>226</v>
      </c>
      <c r="D2097" s="553">
        <v>29962.49</v>
      </c>
      <c r="E2097" s="553">
        <v>29908.63</v>
      </c>
      <c r="F2097" s="557">
        <v>53.86</v>
      </c>
      <c r="G2097" s="553">
        <v>29962.49</v>
      </c>
    </row>
    <row r="2098" spans="1:7" ht="24.95" customHeight="1" x14ac:dyDescent="0.25">
      <c r="A2098" s="551" t="s">
        <v>35742</v>
      </c>
      <c r="B2098" s="342" t="s">
        <v>35743</v>
      </c>
      <c r="C2098" s="552" t="s">
        <v>226</v>
      </c>
      <c r="D2098" s="553">
        <v>606.82000000000005</v>
      </c>
      <c r="E2098" s="553">
        <v>582.88</v>
      </c>
      <c r="F2098" s="557">
        <v>23.94</v>
      </c>
      <c r="G2098" s="553">
        <v>606.82000000000005</v>
      </c>
    </row>
    <row r="2099" spans="1:7" ht="24.95" customHeight="1" x14ac:dyDescent="0.25">
      <c r="A2099" s="551" t="s">
        <v>35744</v>
      </c>
      <c r="B2099" s="342" t="s">
        <v>35745</v>
      </c>
      <c r="C2099" s="552"/>
      <c r="D2099" s="553"/>
      <c r="E2099" s="553"/>
      <c r="F2099" s="557"/>
      <c r="G2099" s="553"/>
    </row>
    <row r="2100" spans="1:7" ht="24.95" customHeight="1" x14ac:dyDescent="0.25">
      <c r="A2100" s="551" t="s">
        <v>35746</v>
      </c>
      <c r="B2100" s="342" t="s">
        <v>35747</v>
      </c>
      <c r="C2100" s="552" t="s">
        <v>226</v>
      </c>
      <c r="D2100" s="553">
        <v>995.36</v>
      </c>
      <c r="E2100" s="553">
        <v>971.42</v>
      </c>
      <c r="F2100" s="557">
        <v>23.94</v>
      </c>
      <c r="G2100" s="553">
        <v>995.36</v>
      </c>
    </row>
    <row r="2101" spans="1:7" ht="24.95" customHeight="1" x14ac:dyDescent="0.25">
      <c r="A2101" s="551" t="s">
        <v>35748</v>
      </c>
      <c r="B2101" s="342" t="s">
        <v>35749</v>
      </c>
      <c r="C2101" s="552"/>
      <c r="D2101" s="553"/>
      <c r="E2101" s="553"/>
      <c r="F2101" s="557"/>
      <c r="G2101" s="553"/>
    </row>
    <row r="2102" spans="1:7" ht="24.95" customHeight="1" x14ac:dyDescent="0.25">
      <c r="A2102" s="551" t="s">
        <v>35750</v>
      </c>
      <c r="B2102" s="342" t="s">
        <v>35751</v>
      </c>
      <c r="C2102" s="552" t="s">
        <v>226</v>
      </c>
      <c r="D2102" s="553">
        <v>600.94000000000005</v>
      </c>
      <c r="E2102" s="553">
        <v>528.37</v>
      </c>
      <c r="F2102" s="557">
        <v>72.569999999999993</v>
      </c>
      <c r="G2102" s="553">
        <v>600.94000000000005</v>
      </c>
    </row>
    <row r="2103" spans="1:7" ht="24.95" customHeight="1" x14ac:dyDescent="0.25">
      <c r="A2103" s="551" t="s">
        <v>35752</v>
      </c>
      <c r="B2103" s="342" t="s">
        <v>35753</v>
      </c>
      <c r="C2103" s="552"/>
      <c r="D2103" s="553"/>
      <c r="E2103" s="553"/>
      <c r="F2103" s="557"/>
      <c r="G2103" s="553"/>
    </row>
    <row r="2104" spans="1:7" ht="24.95" customHeight="1" x14ac:dyDescent="0.25">
      <c r="A2104" s="551" t="s">
        <v>35754</v>
      </c>
      <c r="B2104" s="342" t="s">
        <v>35755</v>
      </c>
      <c r="C2104" s="552" t="s">
        <v>226</v>
      </c>
      <c r="D2104" s="557">
        <v>78.27</v>
      </c>
      <c r="E2104" s="557">
        <v>51</v>
      </c>
      <c r="F2104" s="557">
        <v>27.27</v>
      </c>
      <c r="G2104" s="557">
        <v>78.27</v>
      </c>
    </row>
    <row r="2105" spans="1:7" ht="24.95" customHeight="1" x14ac:dyDescent="0.25">
      <c r="A2105" s="551" t="s">
        <v>35756</v>
      </c>
      <c r="B2105" s="342" t="s">
        <v>35757</v>
      </c>
      <c r="C2105" s="552" t="s">
        <v>226</v>
      </c>
      <c r="D2105" s="557">
        <v>230.24</v>
      </c>
      <c r="E2105" s="557">
        <v>202.97</v>
      </c>
      <c r="F2105" s="557">
        <v>27.27</v>
      </c>
      <c r="G2105" s="557">
        <v>230.24</v>
      </c>
    </row>
    <row r="2106" spans="1:7" ht="24.95" customHeight="1" x14ac:dyDescent="0.25">
      <c r="A2106" s="551" t="s">
        <v>35758</v>
      </c>
      <c r="B2106" s="342" t="s">
        <v>35759</v>
      </c>
      <c r="C2106" s="552" t="s">
        <v>226</v>
      </c>
      <c r="D2106" s="557">
        <v>929.38</v>
      </c>
      <c r="E2106" s="557">
        <v>899.14</v>
      </c>
      <c r="F2106" s="557">
        <v>30.24</v>
      </c>
      <c r="G2106" s="557">
        <v>929.38</v>
      </c>
    </row>
    <row r="2107" spans="1:7" ht="24.95" customHeight="1" x14ac:dyDescent="0.25">
      <c r="A2107" s="551" t="s">
        <v>35760</v>
      </c>
      <c r="B2107" s="342" t="s">
        <v>35761</v>
      </c>
      <c r="C2107" s="552" t="s">
        <v>226</v>
      </c>
      <c r="D2107" s="553">
        <v>7854.65</v>
      </c>
      <c r="E2107" s="553">
        <v>7824.41</v>
      </c>
      <c r="F2107" s="557">
        <v>30.24</v>
      </c>
      <c r="G2107" s="553">
        <v>7854.65</v>
      </c>
    </row>
    <row r="2108" spans="1:7" ht="23.1" customHeight="1" x14ac:dyDescent="0.25">
      <c r="A2108" s="551" t="s">
        <v>35762</v>
      </c>
      <c r="B2108" s="551" t="s">
        <v>35763</v>
      </c>
      <c r="C2108" s="552" t="s">
        <v>226</v>
      </c>
      <c r="D2108" s="553">
        <v>2815.99</v>
      </c>
      <c r="E2108" s="553">
        <v>2785.75</v>
      </c>
      <c r="F2108" s="557">
        <v>30.24</v>
      </c>
      <c r="G2108" s="553">
        <v>2815.99</v>
      </c>
    </row>
    <row r="2109" spans="1:7" ht="24.95" customHeight="1" x14ac:dyDescent="0.25">
      <c r="A2109" s="551" t="s">
        <v>35764</v>
      </c>
      <c r="B2109" s="342" t="s">
        <v>35765</v>
      </c>
      <c r="C2109" s="552" t="s">
        <v>226</v>
      </c>
      <c r="D2109" s="553">
        <v>910.85</v>
      </c>
      <c r="E2109" s="553">
        <v>880.61</v>
      </c>
      <c r="F2109" s="557">
        <v>30.24</v>
      </c>
      <c r="G2109" s="553">
        <v>910.85</v>
      </c>
    </row>
    <row r="2110" spans="1:7" ht="24.95" customHeight="1" x14ac:dyDescent="0.25">
      <c r="A2110" s="551" t="s">
        <v>35766</v>
      </c>
      <c r="B2110" s="342" t="s">
        <v>35767</v>
      </c>
      <c r="C2110" s="552"/>
      <c r="D2110" s="553"/>
      <c r="E2110" s="553"/>
      <c r="F2110" s="557"/>
      <c r="G2110" s="553"/>
    </row>
    <row r="2111" spans="1:7" ht="24.95" customHeight="1" x14ac:dyDescent="0.25">
      <c r="A2111" s="551" t="s">
        <v>35768</v>
      </c>
      <c r="B2111" s="342" t="s">
        <v>35769</v>
      </c>
      <c r="C2111" s="552" t="s">
        <v>226</v>
      </c>
      <c r="D2111" s="553">
        <v>604.91999999999996</v>
      </c>
      <c r="E2111" s="553">
        <v>525.88</v>
      </c>
      <c r="F2111" s="557">
        <v>79.040000000000006</v>
      </c>
      <c r="G2111" s="553">
        <v>604.91999999999996</v>
      </c>
    </row>
    <row r="2112" spans="1:7" ht="12.6" customHeight="1" x14ac:dyDescent="0.25">
      <c r="A2112" s="551" t="s">
        <v>35770</v>
      </c>
      <c r="B2112" s="551" t="s">
        <v>35771</v>
      </c>
      <c r="C2112" s="552" t="s">
        <v>226</v>
      </c>
      <c r="D2112" s="557">
        <v>523.76</v>
      </c>
      <c r="E2112" s="557">
        <v>444.72</v>
      </c>
      <c r="F2112" s="557">
        <v>79.040000000000006</v>
      </c>
      <c r="G2112" s="557">
        <v>523.76</v>
      </c>
    </row>
    <row r="2113" spans="1:7" ht="23.1" customHeight="1" x14ac:dyDescent="0.25">
      <c r="A2113" s="551" t="s">
        <v>35772</v>
      </c>
      <c r="B2113" s="551" t="s">
        <v>35773</v>
      </c>
      <c r="C2113" s="552" t="s">
        <v>226</v>
      </c>
      <c r="D2113" s="557">
        <v>701.85</v>
      </c>
      <c r="E2113" s="557">
        <v>622.80999999999995</v>
      </c>
      <c r="F2113" s="557">
        <v>79.040000000000006</v>
      </c>
      <c r="G2113" s="557">
        <v>701.85</v>
      </c>
    </row>
    <row r="2114" spans="1:7" ht="12.6" customHeight="1" x14ac:dyDescent="0.2">
      <c r="A2114" s="548" t="s">
        <v>35774</v>
      </c>
      <c r="B2114" s="548" t="s">
        <v>35775</v>
      </c>
      <c r="C2114" s="550" t="s">
        <v>226</v>
      </c>
      <c r="D2114" s="550">
        <v>515.20000000000005</v>
      </c>
      <c r="E2114" s="550">
        <v>436.16</v>
      </c>
      <c r="F2114" s="550">
        <v>79.040000000000006</v>
      </c>
      <c r="G2114" s="550">
        <v>515.20000000000005</v>
      </c>
    </row>
    <row r="2115" spans="1:7" ht="23.1" customHeight="1" x14ac:dyDescent="0.25">
      <c r="A2115" s="551" t="s">
        <v>35776</v>
      </c>
      <c r="B2115" s="551" t="s">
        <v>35777</v>
      </c>
      <c r="C2115" s="552" t="s">
        <v>226</v>
      </c>
      <c r="D2115" s="553">
        <v>747.38</v>
      </c>
      <c r="E2115" s="553">
        <v>668.34</v>
      </c>
      <c r="F2115" s="557">
        <v>79.040000000000006</v>
      </c>
      <c r="G2115" s="553">
        <v>747.38</v>
      </c>
    </row>
    <row r="2116" spans="1:7" ht="23.1" customHeight="1" x14ac:dyDescent="0.25">
      <c r="A2116" s="551" t="s">
        <v>35778</v>
      </c>
      <c r="B2116" s="551" t="s">
        <v>35779</v>
      </c>
      <c r="C2116" s="552" t="s">
        <v>19518</v>
      </c>
      <c r="D2116" s="553">
        <v>38736.800000000003</v>
      </c>
      <c r="E2116" s="553">
        <v>38626.589999999997</v>
      </c>
      <c r="F2116" s="557">
        <v>110.21</v>
      </c>
      <c r="G2116" s="553">
        <v>38736.800000000003</v>
      </c>
    </row>
    <row r="2117" spans="1:7" ht="24.95" customHeight="1" x14ac:dyDescent="0.25">
      <c r="A2117" s="551" t="s">
        <v>35780</v>
      </c>
      <c r="B2117" s="342" t="s">
        <v>35781</v>
      </c>
      <c r="C2117" s="552"/>
      <c r="D2117" s="557"/>
      <c r="E2117" s="557"/>
      <c r="F2117" s="557"/>
      <c r="G2117" s="557"/>
    </row>
    <row r="2118" spans="1:7" ht="11.45" customHeight="1" x14ac:dyDescent="0.25">
      <c r="A2118" s="543" t="s">
        <v>35782</v>
      </c>
      <c r="B2118" s="544" t="s">
        <v>35783</v>
      </c>
      <c r="C2118" s="544"/>
      <c r="D2118" s="543"/>
      <c r="E2118" s="545"/>
      <c r="F2118" s="546"/>
      <c r="G2118" s="543"/>
    </row>
    <row r="2119" spans="1:7" ht="24.95" customHeight="1" x14ac:dyDescent="0.25">
      <c r="A2119" s="551" t="s">
        <v>35784</v>
      </c>
      <c r="B2119" s="342" t="s">
        <v>35785</v>
      </c>
      <c r="C2119" s="552" t="s">
        <v>158</v>
      </c>
      <c r="D2119" s="557">
        <v>30.5</v>
      </c>
      <c r="E2119" s="557">
        <v>6.56</v>
      </c>
      <c r="F2119" s="557">
        <v>23.94</v>
      </c>
      <c r="G2119" s="557">
        <v>30.5</v>
      </c>
    </row>
    <row r="2120" spans="1:7" ht="24.95" customHeight="1" x14ac:dyDescent="0.25">
      <c r="A2120" s="551" t="s">
        <v>35786</v>
      </c>
      <c r="B2120" s="342" t="s">
        <v>35787</v>
      </c>
      <c r="C2120" s="552" t="s">
        <v>158</v>
      </c>
      <c r="D2120" s="557">
        <v>38.270000000000003</v>
      </c>
      <c r="E2120" s="557">
        <v>9.56</v>
      </c>
      <c r="F2120" s="557">
        <v>28.71</v>
      </c>
      <c r="G2120" s="557">
        <v>38.270000000000003</v>
      </c>
    </row>
    <row r="2121" spans="1:7" ht="23.1" customHeight="1" x14ac:dyDescent="0.25">
      <c r="A2121" s="551" t="s">
        <v>35788</v>
      </c>
      <c r="B2121" s="551" t="s">
        <v>35789</v>
      </c>
      <c r="C2121" s="552" t="s">
        <v>158</v>
      </c>
      <c r="D2121" s="553">
        <v>47.43</v>
      </c>
      <c r="E2121" s="553">
        <v>13.93</v>
      </c>
      <c r="F2121" s="557">
        <v>33.5</v>
      </c>
      <c r="G2121" s="553">
        <v>47.43</v>
      </c>
    </row>
    <row r="2122" spans="1:7" ht="23.1" customHeight="1" x14ac:dyDescent="0.25">
      <c r="A2122" s="551" t="s">
        <v>35790</v>
      </c>
      <c r="B2122" s="551" t="s">
        <v>35791</v>
      </c>
      <c r="C2122" s="552" t="s">
        <v>158</v>
      </c>
      <c r="D2122" s="553">
        <v>53.62</v>
      </c>
      <c r="E2122" s="553">
        <v>15.33</v>
      </c>
      <c r="F2122" s="557">
        <v>38.29</v>
      </c>
      <c r="G2122" s="553">
        <v>53.62</v>
      </c>
    </row>
    <row r="2123" spans="1:7" ht="12.6" customHeight="1" x14ac:dyDescent="0.2">
      <c r="A2123" s="548" t="s">
        <v>35792</v>
      </c>
      <c r="B2123" s="548" t="s">
        <v>35793</v>
      </c>
      <c r="C2123" s="550" t="s">
        <v>158</v>
      </c>
      <c r="D2123" s="550">
        <v>63.27</v>
      </c>
      <c r="E2123" s="550">
        <v>20.2</v>
      </c>
      <c r="F2123" s="550">
        <v>43.07</v>
      </c>
      <c r="G2123" s="550">
        <v>63.27</v>
      </c>
    </row>
    <row r="2124" spans="1:7" ht="23.1" customHeight="1" x14ac:dyDescent="0.25">
      <c r="A2124" s="551" t="s">
        <v>35794</v>
      </c>
      <c r="B2124" s="551" t="s">
        <v>35795</v>
      </c>
      <c r="C2124" s="552" t="s">
        <v>158</v>
      </c>
      <c r="D2124" s="557">
        <v>80.81</v>
      </c>
      <c r="E2124" s="557">
        <v>32.950000000000003</v>
      </c>
      <c r="F2124" s="557">
        <v>47.86</v>
      </c>
      <c r="G2124" s="557">
        <v>80.81</v>
      </c>
    </row>
    <row r="2125" spans="1:7" ht="23.1" customHeight="1" x14ac:dyDescent="0.25">
      <c r="A2125" s="551" t="s">
        <v>35796</v>
      </c>
      <c r="B2125" s="551" t="s">
        <v>35797</v>
      </c>
      <c r="C2125" s="552" t="s">
        <v>158</v>
      </c>
      <c r="D2125" s="557">
        <v>97.43</v>
      </c>
      <c r="E2125" s="557">
        <v>44.78</v>
      </c>
      <c r="F2125" s="557">
        <v>52.65</v>
      </c>
      <c r="G2125" s="557">
        <v>97.43</v>
      </c>
    </row>
    <row r="2126" spans="1:7" ht="12.6" customHeight="1" x14ac:dyDescent="0.2">
      <c r="A2126" s="548" t="s">
        <v>35798</v>
      </c>
      <c r="B2126" s="548" t="s">
        <v>35799</v>
      </c>
      <c r="C2126" s="550" t="s">
        <v>158</v>
      </c>
      <c r="D2126" s="550">
        <v>132.96</v>
      </c>
      <c r="E2126" s="550">
        <v>70.739999999999995</v>
      </c>
      <c r="F2126" s="550">
        <v>62.22</v>
      </c>
      <c r="G2126" s="550">
        <v>132.96</v>
      </c>
    </row>
    <row r="2127" spans="1:7" ht="12.6" customHeight="1" x14ac:dyDescent="0.25">
      <c r="A2127" s="551" t="s">
        <v>35800</v>
      </c>
      <c r="B2127" s="551" t="s">
        <v>35801</v>
      </c>
      <c r="C2127" s="552"/>
      <c r="D2127" s="557"/>
      <c r="E2127" s="557"/>
      <c r="F2127" s="557"/>
      <c r="G2127" s="557"/>
    </row>
    <row r="2128" spans="1:7" ht="12.6" customHeight="1" x14ac:dyDescent="0.25">
      <c r="A2128" s="551" t="s">
        <v>35802</v>
      </c>
      <c r="B2128" s="551" t="s">
        <v>35803</v>
      </c>
      <c r="C2128" s="552" t="s">
        <v>158</v>
      </c>
      <c r="D2128" s="557">
        <v>44.38</v>
      </c>
      <c r="E2128" s="557">
        <v>15.67</v>
      </c>
      <c r="F2128" s="557">
        <v>28.71</v>
      </c>
      <c r="G2128" s="557">
        <v>44.38</v>
      </c>
    </row>
    <row r="2129" spans="1:7" ht="12.6" customHeight="1" x14ac:dyDescent="0.25">
      <c r="A2129" s="551" t="s">
        <v>35804</v>
      </c>
      <c r="B2129" s="551" t="s">
        <v>35805</v>
      </c>
      <c r="C2129" s="552" t="s">
        <v>158</v>
      </c>
      <c r="D2129" s="557">
        <v>54.35</v>
      </c>
      <c r="E2129" s="557">
        <v>20.85</v>
      </c>
      <c r="F2129" s="557">
        <v>33.5</v>
      </c>
      <c r="G2129" s="557">
        <v>54.35</v>
      </c>
    </row>
    <row r="2130" spans="1:7" ht="12.6" customHeight="1" x14ac:dyDescent="0.25">
      <c r="A2130" s="551" t="s">
        <v>35806</v>
      </c>
      <c r="B2130" s="551" t="s">
        <v>35807</v>
      </c>
      <c r="C2130" s="552" t="s">
        <v>158</v>
      </c>
      <c r="D2130" s="557">
        <v>78.09</v>
      </c>
      <c r="E2130" s="557">
        <v>39.799999999999997</v>
      </c>
      <c r="F2130" s="557">
        <v>38.29</v>
      </c>
      <c r="G2130" s="557">
        <v>78.09</v>
      </c>
    </row>
    <row r="2131" spans="1:7" ht="12.6" customHeight="1" x14ac:dyDescent="0.25">
      <c r="A2131" s="551" t="s">
        <v>35808</v>
      </c>
      <c r="B2131" s="551" t="s">
        <v>35809</v>
      </c>
      <c r="C2131" s="552" t="s">
        <v>158</v>
      </c>
      <c r="D2131" s="557">
        <v>87.74</v>
      </c>
      <c r="E2131" s="557">
        <v>44.67</v>
      </c>
      <c r="F2131" s="557">
        <v>43.07</v>
      </c>
      <c r="G2131" s="557">
        <v>87.74</v>
      </c>
    </row>
    <row r="2132" spans="1:7" ht="12.6" customHeight="1" x14ac:dyDescent="0.25">
      <c r="A2132" s="551" t="s">
        <v>35810</v>
      </c>
      <c r="B2132" s="551" t="s">
        <v>35811</v>
      </c>
      <c r="C2132" s="552" t="s">
        <v>158</v>
      </c>
      <c r="D2132" s="557">
        <v>98.53</v>
      </c>
      <c r="E2132" s="557">
        <v>50.67</v>
      </c>
      <c r="F2132" s="557">
        <v>47.86</v>
      </c>
      <c r="G2132" s="557">
        <v>98.53</v>
      </c>
    </row>
    <row r="2133" spans="1:7" ht="12.6" customHeight="1" x14ac:dyDescent="0.25">
      <c r="A2133" s="551" t="s">
        <v>35812</v>
      </c>
      <c r="B2133" s="551" t="s">
        <v>35813</v>
      </c>
      <c r="C2133" s="552" t="s">
        <v>158</v>
      </c>
      <c r="D2133" s="557">
        <v>136.16</v>
      </c>
      <c r="E2133" s="557">
        <v>78.73</v>
      </c>
      <c r="F2133" s="557">
        <v>57.43</v>
      </c>
      <c r="G2133" s="557">
        <v>136.16</v>
      </c>
    </row>
    <row r="2134" spans="1:7" ht="12.6" customHeight="1" x14ac:dyDescent="0.25">
      <c r="A2134" s="551" t="s">
        <v>35814</v>
      </c>
      <c r="B2134" s="551" t="s">
        <v>35815</v>
      </c>
      <c r="C2134" s="552" t="s">
        <v>158</v>
      </c>
      <c r="D2134" s="553">
        <v>153.13</v>
      </c>
      <c r="E2134" s="553">
        <v>81.33</v>
      </c>
      <c r="F2134" s="557">
        <v>71.8</v>
      </c>
      <c r="G2134" s="553">
        <v>153.13</v>
      </c>
    </row>
    <row r="2135" spans="1:7" ht="12.6" customHeight="1" x14ac:dyDescent="0.25">
      <c r="A2135" s="551" t="s">
        <v>35816</v>
      </c>
      <c r="B2135" s="551" t="s">
        <v>35817</v>
      </c>
      <c r="C2135" s="552" t="s">
        <v>158</v>
      </c>
      <c r="D2135" s="557">
        <v>212.69</v>
      </c>
      <c r="E2135" s="557">
        <v>126.54</v>
      </c>
      <c r="F2135" s="557">
        <v>86.15</v>
      </c>
      <c r="G2135" s="557">
        <v>212.69</v>
      </c>
    </row>
    <row r="2136" spans="1:7" ht="12.6" customHeight="1" x14ac:dyDescent="0.2">
      <c r="A2136" s="548" t="s">
        <v>35818</v>
      </c>
      <c r="B2136" s="548" t="s">
        <v>35819</v>
      </c>
      <c r="C2136" s="550"/>
      <c r="D2136" s="550"/>
      <c r="E2136" s="550"/>
      <c r="F2136" s="550"/>
      <c r="G2136" s="550"/>
    </row>
    <row r="2137" spans="1:7" ht="24.95" customHeight="1" x14ac:dyDescent="0.25">
      <c r="A2137" s="551" t="s">
        <v>35820</v>
      </c>
      <c r="B2137" s="342" t="s">
        <v>35821</v>
      </c>
      <c r="C2137" s="552" t="s">
        <v>158</v>
      </c>
      <c r="D2137" s="553">
        <v>52.11</v>
      </c>
      <c r="E2137" s="553">
        <v>23.4</v>
      </c>
      <c r="F2137" s="557">
        <v>28.71</v>
      </c>
      <c r="G2137" s="553">
        <v>52.11</v>
      </c>
    </row>
    <row r="2138" spans="1:7" ht="24.95" customHeight="1" x14ac:dyDescent="0.25">
      <c r="A2138" s="551" t="s">
        <v>35822</v>
      </c>
      <c r="B2138" s="342" t="s">
        <v>35823</v>
      </c>
      <c r="C2138" s="552" t="s">
        <v>158</v>
      </c>
      <c r="D2138" s="553">
        <v>63.38</v>
      </c>
      <c r="E2138" s="553">
        <v>29.88</v>
      </c>
      <c r="F2138" s="557">
        <v>33.5</v>
      </c>
      <c r="G2138" s="553">
        <v>63.38</v>
      </c>
    </row>
    <row r="2139" spans="1:7" ht="24.95" customHeight="1" x14ac:dyDescent="0.25">
      <c r="A2139" s="551" t="s">
        <v>35824</v>
      </c>
      <c r="B2139" s="342" t="s">
        <v>35825</v>
      </c>
      <c r="C2139" s="552" t="s">
        <v>158</v>
      </c>
      <c r="D2139" s="553">
        <v>82.93</v>
      </c>
      <c r="E2139" s="553">
        <v>44.64</v>
      </c>
      <c r="F2139" s="557">
        <v>38.29</v>
      </c>
      <c r="G2139" s="553">
        <v>82.93</v>
      </c>
    </row>
    <row r="2140" spans="1:7" ht="12.6" customHeight="1" x14ac:dyDescent="0.2">
      <c r="A2140" s="548" t="s">
        <v>35826</v>
      </c>
      <c r="B2140" s="548" t="s">
        <v>35827</v>
      </c>
      <c r="C2140" s="550" t="s">
        <v>158</v>
      </c>
      <c r="D2140" s="550">
        <v>96.68</v>
      </c>
      <c r="E2140" s="550">
        <v>53.61</v>
      </c>
      <c r="F2140" s="550">
        <v>43.07</v>
      </c>
      <c r="G2140" s="550">
        <v>96.68</v>
      </c>
    </row>
    <row r="2141" spans="1:7" ht="12.6" customHeight="1" x14ac:dyDescent="0.25">
      <c r="A2141" s="551" t="s">
        <v>35828</v>
      </c>
      <c r="B2141" s="551" t="s">
        <v>35829</v>
      </c>
      <c r="C2141" s="552" t="s">
        <v>158</v>
      </c>
      <c r="D2141" s="557">
        <v>118.63</v>
      </c>
      <c r="E2141" s="557">
        <v>70.77</v>
      </c>
      <c r="F2141" s="557">
        <v>47.86</v>
      </c>
      <c r="G2141" s="557">
        <v>118.63</v>
      </c>
    </row>
    <row r="2142" spans="1:7" ht="12.6" customHeight="1" x14ac:dyDescent="0.25">
      <c r="A2142" s="551" t="s">
        <v>35830</v>
      </c>
      <c r="B2142" s="551" t="s">
        <v>35831</v>
      </c>
      <c r="C2142" s="552" t="s">
        <v>158</v>
      </c>
      <c r="D2142" s="557">
        <v>158.41</v>
      </c>
      <c r="E2142" s="557">
        <v>100.98</v>
      </c>
      <c r="F2142" s="557">
        <v>57.43</v>
      </c>
      <c r="G2142" s="557">
        <v>158.41</v>
      </c>
    </row>
    <row r="2143" spans="1:7" ht="12.6" customHeight="1" x14ac:dyDescent="0.25">
      <c r="A2143" s="551" t="s">
        <v>35832</v>
      </c>
      <c r="B2143" s="551" t="s">
        <v>35833</v>
      </c>
      <c r="C2143" s="552" t="s">
        <v>158</v>
      </c>
      <c r="D2143" s="557">
        <v>172.84</v>
      </c>
      <c r="E2143" s="557">
        <v>101.04</v>
      </c>
      <c r="F2143" s="557">
        <v>71.8</v>
      </c>
      <c r="G2143" s="557">
        <v>172.84</v>
      </c>
    </row>
    <row r="2144" spans="1:7" ht="12.6" customHeight="1" x14ac:dyDescent="0.25">
      <c r="A2144" s="551" t="s">
        <v>35834</v>
      </c>
      <c r="B2144" s="551" t="s">
        <v>35835</v>
      </c>
      <c r="C2144" s="552" t="s">
        <v>158</v>
      </c>
      <c r="D2144" s="557">
        <v>217.39</v>
      </c>
      <c r="E2144" s="557">
        <v>131.24</v>
      </c>
      <c r="F2144" s="557">
        <v>86.15</v>
      </c>
      <c r="G2144" s="557">
        <v>217.39</v>
      </c>
    </row>
    <row r="2145" spans="1:7" ht="12.6" customHeight="1" x14ac:dyDescent="0.2">
      <c r="A2145" s="548" t="s">
        <v>35836</v>
      </c>
      <c r="B2145" s="548" t="s">
        <v>35837</v>
      </c>
      <c r="C2145" s="550"/>
      <c r="D2145" s="550"/>
      <c r="E2145" s="550"/>
      <c r="F2145" s="550"/>
      <c r="G2145" s="550"/>
    </row>
    <row r="2146" spans="1:7" ht="12.6" customHeight="1" x14ac:dyDescent="0.25">
      <c r="A2146" s="551" t="s">
        <v>35838</v>
      </c>
      <c r="B2146" s="551" t="s">
        <v>35839</v>
      </c>
      <c r="C2146" s="552" t="s">
        <v>158</v>
      </c>
      <c r="D2146" s="557">
        <v>44.47</v>
      </c>
      <c r="E2146" s="557">
        <v>20.53</v>
      </c>
      <c r="F2146" s="557">
        <v>23.94</v>
      </c>
      <c r="G2146" s="557">
        <v>44.47</v>
      </c>
    </row>
    <row r="2147" spans="1:7" ht="12.6" customHeight="1" x14ac:dyDescent="0.25">
      <c r="A2147" s="551" t="s">
        <v>35840</v>
      </c>
      <c r="B2147" s="551" t="s">
        <v>35841</v>
      </c>
      <c r="C2147" s="552" t="s">
        <v>158</v>
      </c>
      <c r="D2147" s="557">
        <v>57.38</v>
      </c>
      <c r="E2147" s="557">
        <v>28.67</v>
      </c>
      <c r="F2147" s="557">
        <v>28.71</v>
      </c>
      <c r="G2147" s="557">
        <v>57.38</v>
      </c>
    </row>
    <row r="2148" spans="1:7" ht="12.6" customHeight="1" x14ac:dyDescent="0.25">
      <c r="A2148" s="551" t="s">
        <v>35842</v>
      </c>
      <c r="B2148" s="551" t="s">
        <v>35843</v>
      </c>
      <c r="C2148" s="552" t="s">
        <v>158</v>
      </c>
      <c r="D2148" s="557">
        <v>71.28</v>
      </c>
      <c r="E2148" s="557">
        <v>37.78</v>
      </c>
      <c r="F2148" s="557">
        <v>33.5</v>
      </c>
      <c r="G2148" s="557">
        <v>71.28</v>
      </c>
    </row>
    <row r="2149" spans="1:7" ht="24.95" customHeight="1" x14ac:dyDescent="0.25">
      <c r="A2149" s="551" t="s">
        <v>35844</v>
      </c>
      <c r="B2149" s="342" t="s">
        <v>35845</v>
      </c>
      <c r="C2149" s="552" t="s">
        <v>158</v>
      </c>
      <c r="D2149" s="557">
        <v>84.34</v>
      </c>
      <c r="E2149" s="344">
        <v>46.05</v>
      </c>
      <c r="F2149" s="557">
        <v>38.29</v>
      </c>
      <c r="G2149" s="557">
        <v>84.34</v>
      </c>
    </row>
    <row r="2150" spans="1:7" ht="12.6" customHeight="1" x14ac:dyDescent="0.2">
      <c r="A2150" s="551" t="s">
        <v>35846</v>
      </c>
      <c r="B2150" s="551" t="s">
        <v>35847</v>
      </c>
      <c r="C2150" s="552" t="s">
        <v>158</v>
      </c>
      <c r="D2150" s="557">
        <v>105.15</v>
      </c>
      <c r="E2150" s="343">
        <v>62.08</v>
      </c>
      <c r="F2150" s="557">
        <v>43.07</v>
      </c>
      <c r="G2150" s="557">
        <v>105.15</v>
      </c>
    </row>
    <row r="2151" spans="1:7" ht="23.1" customHeight="1" x14ac:dyDescent="0.25">
      <c r="A2151" s="551" t="s">
        <v>35848</v>
      </c>
      <c r="B2151" s="551" t="s">
        <v>35849</v>
      </c>
      <c r="C2151" s="552" t="s">
        <v>158</v>
      </c>
      <c r="D2151" s="557">
        <v>121.17</v>
      </c>
      <c r="E2151" s="344">
        <v>73.31</v>
      </c>
      <c r="F2151" s="557">
        <v>47.86</v>
      </c>
      <c r="G2151" s="557">
        <v>121.17</v>
      </c>
    </row>
    <row r="2152" spans="1:7" ht="23.1" customHeight="1" x14ac:dyDescent="0.25">
      <c r="A2152" s="551" t="s">
        <v>35850</v>
      </c>
      <c r="B2152" s="551" t="s">
        <v>35851</v>
      </c>
      <c r="C2152" s="552" t="s">
        <v>158</v>
      </c>
      <c r="D2152" s="553">
        <v>163.05000000000001</v>
      </c>
      <c r="E2152" s="553">
        <v>105.62</v>
      </c>
      <c r="F2152" s="557">
        <v>57.43</v>
      </c>
      <c r="G2152" s="553">
        <v>163.05000000000001</v>
      </c>
    </row>
    <row r="2153" spans="1:7" ht="12.6" customHeight="1" x14ac:dyDescent="0.25">
      <c r="A2153" s="551" t="s">
        <v>35852</v>
      </c>
      <c r="B2153" s="551" t="s">
        <v>35853</v>
      </c>
      <c r="C2153" s="552" t="s">
        <v>158</v>
      </c>
      <c r="D2153" s="557">
        <v>193.58</v>
      </c>
      <c r="E2153" s="557">
        <v>121.78</v>
      </c>
      <c r="F2153" s="557">
        <v>71.8</v>
      </c>
      <c r="G2153" s="557">
        <v>193.58</v>
      </c>
    </row>
    <row r="2154" spans="1:7" ht="12.6" customHeight="1" x14ac:dyDescent="0.25">
      <c r="A2154" s="551" t="s">
        <v>35854</v>
      </c>
      <c r="B2154" s="551" t="s">
        <v>35855</v>
      </c>
      <c r="C2154" s="552" t="s">
        <v>158</v>
      </c>
      <c r="D2154" s="557">
        <v>273.49</v>
      </c>
      <c r="E2154" s="557">
        <v>187.34</v>
      </c>
      <c r="F2154" s="557">
        <v>86.15</v>
      </c>
      <c r="G2154" s="557">
        <v>273.49</v>
      </c>
    </row>
    <row r="2155" spans="1:7" ht="24.95" customHeight="1" x14ac:dyDescent="0.25">
      <c r="A2155" s="551" t="s">
        <v>35856</v>
      </c>
      <c r="B2155" s="342" t="s">
        <v>35857</v>
      </c>
      <c r="C2155" s="552"/>
      <c r="D2155" s="553"/>
      <c r="E2155" s="553"/>
      <c r="F2155" s="557"/>
      <c r="G2155" s="553"/>
    </row>
    <row r="2156" spans="1:7" ht="24.95" customHeight="1" x14ac:dyDescent="0.25">
      <c r="A2156" s="551" t="s">
        <v>35858</v>
      </c>
      <c r="B2156" s="342" t="s">
        <v>35859</v>
      </c>
      <c r="C2156" s="552" t="s">
        <v>19518</v>
      </c>
      <c r="D2156" s="553">
        <v>21.63</v>
      </c>
      <c r="E2156" s="553">
        <v>9.66</v>
      </c>
      <c r="F2156" s="557">
        <v>11.97</v>
      </c>
      <c r="G2156" s="553">
        <v>21.63</v>
      </c>
    </row>
    <row r="2157" spans="1:7" ht="24.95" customHeight="1" x14ac:dyDescent="0.25">
      <c r="A2157" s="551" t="s">
        <v>35860</v>
      </c>
      <c r="B2157" s="342" t="s">
        <v>35861</v>
      </c>
      <c r="C2157" s="552" t="s">
        <v>158</v>
      </c>
      <c r="D2157" s="553">
        <v>9.0399999999999991</v>
      </c>
      <c r="E2157" s="553">
        <v>6.65</v>
      </c>
      <c r="F2157" s="557">
        <v>2.39</v>
      </c>
      <c r="G2157" s="553">
        <v>9.0399999999999991</v>
      </c>
    </row>
    <row r="2158" spans="1:7" ht="12.6" customHeight="1" x14ac:dyDescent="0.25">
      <c r="A2158" s="551" t="s">
        <v>35862</v>
      </c>
      <c r="B2158" s="551" t="s">
        <v>35863</v>
      </c>
      <c r="C2158" s="552" t="s">
        <v>226</v>
      </c>
      <c r="D2158" s="557">
        <v>8.25</v>
      </c>
      <c r="E2158" s="557">
        <v>1.07</v>
      </c>
      <c r="F2158" s="557">
        <v>7.18</v>
      </c>
      <c r="G2158" s="557">
        <v>8.25</v>
      </c>
    </row>
    <row r="2159" spans="1:7" ht="12.6" customHeight="1" x14ac:dyDescent="0.2">
      <c r="A2159" s="548" t="s">
        <v>35864</v>
      </c>
      <c r="B2159" s="548" t="s">
        <v>35865</v>
      </c>
      <c r="C2159" s="550" t="s">
        <v>226</v>
      </c>
      <c r="D2159" s="550">
        <v>11.66</v>
      </c>
      <c r="E2159" s="550">
        <v>3.06</v>
      </c>
      <c r="F2159" s="550">
        <v>8.6</v>
      </c>
      <c r="G2159" s="550">
        <v>11.66</v>
      </c>
    </row>
    <row r="2160" spans="1:7" ht="11.45" customHeight="1" x14ac:dyDescent="0.25">
      <c r="A2160" s="543" t="s">
        <v>35866</v>
      </c>
      <c r="B2160" s="544" t="s">
        <v>35867</v>
      </c>
      <c r="C2160" s="544" t="s">
        <v>226</v>
      </c>
      <c r="D2160" s="543">
        <v>11.06</v>
      </c>
      <c r="E2160" s="545">
        <v>2.46</v>
      </c>
      <c r="F2160" s="546">
        <v>8.6</v>
      </c>
      <c r="G2160" s="543">
        <v>11.06</v>
      </c>
    </row>
    <row r="2161" spans="1:7" ht="24.95" customHeight="1" x14ac:dyDescent="0.25">
      <c r="A2161" s="551" t="s">
        <v>35868</v>
      </c>
      <c r="B2161" s="342" t="s">
        <v>35869</v>
      </c>
      <c r="C2161" s="552" t="s">
        <v>226</v>
      </c>
      <c r="D2161" s="557">
        <v>9.8800000000000008</v>
      </c>
      <c r="E2161" s="557">
        <v>2.7</v>
      </c>
      <c r="F2161" s="557">
        <v>7.18</v>
      </c>
      <c r="G2161" s="557">
        <v>9.8800000000000008</v>
      </c>
    </row>
    <row r="2162" spans="1:7" ht="12.6" customHeight="1" x14ac:dyDescent="0.2">
      <c r="A2162" s="548" t="s">
        <v>35870</v>
      </c>
      <c r="B2162" s="548" t="s">
        <v>35871</v>
      </c>
      <c r="C2162" s="550" t="s">
        <v>158</v>
      </c>
      <c r="D2162" s="550">
        <v>20.56</v>
      </c>
      <c r="E2162" s="550">
        <v>6.2</v>
      </c>
      <c r="F2162" s="550">
        <v>14.36</v>
      </c>
      <c r="G2162" s="550">
        <v>20.56</v>
      </c>
    </row>
    <row r="2163" spans="1:7" ht="12.6" customHeight="1" x14ac:dyDescent="0.25">
      <c r="A2163" s="551" t="s">
        <v>35872</v>
      </c>
      <c r="B2163" s="551" t="s">
        <v>35873</v>
      </c>
      <c r="C2163" s="552" t="s">
        <v>158</v>
      </c>
      <c r="D2163" s="557">
        <v>17.309999999999999</v>
      </c>
      <c r="E2163" s="557">
        <v>10.58</v>
      </c>
      <c r="F2163" s="557">
        <v>6.73</v>
      </c>
      <c r="G2163" s="557">
        <v>17.309999999999999</v>
      </c>
    </row>
    <row r="2164" spans="1:7" ht="12.6" customHeight="1" x14ac:dyDescent="0.2">
      <c r="A2164" s="548" t="s">
        <v>35874</v>
      </c>
      <c r="B2164" s="548" t="s">
        <v>35875</v>
      </c>
      <c r="C2164" s="550" t="s">
        <v>158</v>
      </c>
      <c r="D2164" s="550">
        <v>11.93</v>
      </c>
      <c r="E2164" s="550">
        <v>5.2</v>
      </c>
      <c r="F2164" s="550">
        <v>6.73</v>
      </c>
      <c r="G2164" s="550">
        <v>11.93</v>
      </c>
    </row>
    <row r="2165" spans="1:7" ht="24.95" customHeight="1" x14ac:dyDescent="0.25">
      <c r="A2165" s="551" t="s">
        <v>35876</v>
      </c>
      <c r="B2165" s="342" t="s">
        <v>35877</v>
      </c>
      <c r="C2165" s="552" t="s">
        <v>158</v>
      </c>
      <c r="D2165" s="557">
        <v>16.079999999999998</v>
      </c>
      <c r="E2165" s="557">
        <v>9.35</v>
      </c>
      <c r="F2165" s="557">
        <v>6.73</v>
      </c>
      <c r="G2165" s="557">
        <v>16.079999999999998</v>
      </c>
    </row>
    <row r="2166" spans="1:7" ht="24.95" customHeight="1" x14ac:dyDescent="0.25">
      <c r="A2166" s="551" t="s">
        <v>35878</v>
      </c>
      <c r="B2166" s="342" t="s">
        <v>35879</v>
      </c>
      <c r="C2166" s="552" t="s">
        <v>158</v>
      </c>
      <c r="D2166" s="557">
        <v>60.87</v>
      </c>
      <c r="E2166" s="557">
        <v>48.9</v>
      </c>
      <c r="F2166" s="557">
        <v>11.97</v>
      </c>
      <c r="G2166" s="557">
        <v>60.87</v>
      </c>
    </row>
    <row r="2167" spans="1:7" ht="34.5" customHeight="1" x14ac:dyDescent="0.25">
      <c r="A2167" s="554" t="s">
        <v>35880</v>
      </c>
      <c r="B2167" s="551" t="s">
        <v>35881</v>
      </c>
      <c r="C2167" s="555" t="s">
        <v>158</v>
      </c>
      <c r="D2167" s="558">
        <v>83.95</v>
      </c>
      <c r="E2167" s="558">
        <v>71.98</v>
      </c>
      <c r="F2167" s="558">
        <v>11.97</v>
      </c>
      <c r="G2167" s="558">
        <v>83.95</v>
      </c>
    </row>
    <row r="2168" spans="1:7" ht="34.5" customHeight="1" x14ac:dyDescent="0.25">
      <c r="A2168" s="554" t="s">
        <v>35882</v>
      </c>
      <c r="B2168" s="551" t="s">
        <v>35883</v>
      </c>
      <c r="C2168" s="555" t="s">
        <v>158</v>
      </c>
      <c r="D2168" s="556">
        <v>61.06</v>
      </c>
      <c r="E2168" s="556">
        <v>49.09</v>
      </c>
      <c r="F2168" s="558">
        <v>11.97</v>
      </c>
      <c r="G2168" s="556">
        <v>61.06</v>
      </c>
    </row>
    <row r="2169" spans="1:7" ht="34.5" customHeight="1" x14ac:dyDescent="0.25">
      <c r="A2169" s="554" t="s">
        <v>35884</v>
      </c>
      <c r="B2169" s="551" t="s">
        <v>35885</v>
      </c>
      <c r="C2169" s="555" t="s">
        <v>158</v>
      </c>
      <c r="D2169" s="556">
        <v>78.36</v>
      </c>
      <c r="E2169" s="556">
        <v>64</v>
      </c>
      <c r="F2169" s="558">
        <v>14.36</v>
      </c>
      <c r="G2169" s="556">
        <v>78.36</v>
      </c>
    </row>
    <row r="2170" spans="1:7" ht="34.5" customHeight="1" x14ac:dyDescent="0.25">
      <c r="A2170" s="554" t="s">
        <v>35886</v>
      </c>
      <c r="B2170" s="342" t="s">
        <v>35887</v>
      </c>
      <c r="C2170" s="555" t="s">
        <v>158</v>
      </c>
      <c r="D2170" s="558">
        <v>117.93</v>
      </c>
      <c r="E2170" s="558">
        <v>101.18</v>
      </c>
      <c r="F2170" s="558">
        <v>16.75</v>
      </c>
      <c r="G2170" s="558">
        <v>117.93</v>
      </c>
    </row>
    <row r="2171" spans="1:7" ht="12.6" customHeight="1" x14ac:dyDescent="0.2">
      <c r="A2171" s="548" t="s">
        <v>35888</v>
      </c>
      <c r="B2171" s="548" t="s">
        <v>35889</v>
      </c>
      <c r="C2171" s="550" t="s">
        <v>158</v>
      </c>
      <c r="D2171" s="550">
        <v>137.62</v>
      </c>
      <c r="E2171" s="550">
        <v>118.47</v>
      </c>
      <c r="F2171" s="550">
        <v>19.149999999999999</v>
      </c>
      <c r="G2171" s="550">
        <v>137.62</v>
      </c>
    </row>
    <row r="2172" spans="1:7" ht="24.95" customHeight="1" x14ac:dyDescent="0.25">
      <c r="A2172" s="551" t="s">
        <v>35890</v>
      </c>
      <c r="B2172" s="342" t="s">
        <v>35891</v>
      </c>
      <c r="C2172" s="552" t="s">
        <v>226</v>
      </c>
      <c r="D2172" s="557">
        <v>11.72</v>
      </c>
      <c r="E2172" s="557">
        <v>9.77</v>
      </c>
      <c r="F2172" s="557">
        <v>1.95</v>
      </c>
      <c r="G2172" s="557">
        <v>11.72</v>
      </c>
    </row>
    <row r="2173" spans="1:7" ht="24.95" customHeight="1" x14ac:dyDescent="0.25">
      <c r="A2173" s="551" t="s">
        <v>35892</v>
      </c>
      <c r="B2173" s="342" t="s">
        <v>35893</v>
      </c>
      <c r="C2173" s="552" t="s">
        <v>226</v>
      </c>
      <c r="D2173" s="557">
        <v>13.12</v>
      </c>
      <c r="E2173" s="557">
        <v>11.17</v>
      </c>
      <c r="F2173" s="557">
        <v>1.95</v>
      </c>
      <c r="G2173" s="557">
        <v>13.12</v>
      </c>
    </row>
    <row r="2174" spans="1:7" ht="24.95" customHeight="1" x14ac:dyDescent="0.25">
      <c r="A2174" s="551" t="s">
        <v>35894</v>
      </c>
      <c r="B2174" s="342" t="s">
        <v>35895</v>
      </c>
      <c r="C2174" s="552" t="s">
        <v>226</v>
      </c>
      <c r="D2174" s="557">
        <v>13</v>
      </c>
      <c r="E2174" s="557">
        <v>11.05</v>
      </c>
      <c r="F2174" s="557">
        <v>1.95</v>
      </c>
      <c r="G2174" s="557">
        <v>13</v>
      </c>
    </row>
    <row r="2175" spans="1:7" ht="24.95" customHeight="1" x14ac:dyDescent="0.25">
      <c r="A2175" s="551" t="s">
        <v>35896</v>
      </c>
      <c r="B2175" s="342" t="s">
        <v>35897</v>
      </c>
      <c r="C2175" s="552" t="s">
        <v>226</v>
      </c>
      <c r="D2175" s="557">
        <v>9.3000000000000007</v>
      </c>
      <c r="E2175" s="557">
        <v>4.51</v>
      </c>
      <c r="F2175" s="557">
        <v>4.79</v>
      </c>
      <c r="G2175" s="557">
        <v>9.3000000000000007</v>
      </c>
    </row>
    <row r="2176" spans="1:7" ht="24.95" customHeight="1" x14ac:dyDescent="0.25">
      <c r="A2176" s="551" t="s">
        <v>35898</v>
      </c>
      <c r="B2176" s="342" t="s">
        <v>35899</v>
      </c>
      <c r="C2176" s="552" t="s">
        <v>226</v>
      </c>
      <c r="D2176" s="557">
        <v>16.64</v>
      </c>
      <c r="E2176" s="557">
        <v>11.85</v>
      </c>
      <c r="F2176" s="557">
        <v>4.79</v>
      </c>
      <c r="G2176" s="557">
        <v>16.64</v>
      </c>
    </row>
    <row r="2177" spans="1:7" ht="24.95" customHeight="1" x14ac:dyDescent="0.25">
      <c r="A2177" s="551" t="s">
        <v>35900</v>
      </c>
      <c r="B2177" s="342" t="s">
        <v>35901</v>
      </c>
      <c r="C2177" s="552"/>
      <c r="D2177" s="553"/>
      <c r="E2177" s="553"/>
      <c r="F2177" s="557"/>
      <c r="G2177" s="553"/>
    </row>
    <row r="2178" spans="1:7" ht="23.1" customHeight="1" x14ac:dyDescent="0.25">
      <c r="A2178" s="559" t="s">
        <v>35902</v>
      </c>
      <c r="B2178" s="548" t="s">
        <v>35903</v>
      </c>
      <c r="C2178" s="549" t="s">
        <v>158</v>
      </c>
      <c r="D2178" s="549">
        <v>67.010000000000005</v>
      </c>
      <c r="E2178" s="549">
        <v>52.65</v>
      </c>
      <c r="F2178" s="549">
        <v>14.36</v>
      </c>
      <c r="G2178" s="549">
        <v>67.010000000000005</v>
      </c>
    </row>
    <row r="2179" spans="1:7" ht="12.6" customHeight="1" x14ac:dyDescent="0.2">
      <c r="A2179" s="548" t="s">
        <v>35904</v>
      </c>
      <c r="B2179" s="548" t="s">
        <v>35905</v>
      </c>
      <c r="C2179" s="550" t="s">
        <v>158</v>
      </c>
      <c r="D2179" s="550">
        <v>95.28</v>
      </c>
      <c r="E2179" s="550">
        <v>80.92</v>
      </c>
      <c r="F2179" s="550">
        <v>14.36</v>
      </c>
      <c r="G2179" s="550">
        <v>95.28</v>
      </c>
    </row>
    <row r="2180" spans="1:7" ht="12.6" customHeight="1" x14ac:dyDescent="0.25">
      <c r="A2180" s="551" t="s">
        <v>35906</v>
      </c>
      <c r="B2180" s="551" t="s">
        <v>35907</v>
      </c>
      <c r="C2180" s="552" t="s">
        <v>226</v>
      </c>
      <c r="D2180" s="557">
        <v>66.08</v>
      </c>
      <c r="E2180" s="557">
        <v>51.24</v>
      </c>
      <c r="F2180" s="557">
        <v>14.84</v>
      </c>
      <c r="G2180" s="557">
        <v>66.08</v>
      </c>
    </row>
    <row r="2181" spans="1:7" ht="12.6" customHeight="1" x14ac:dyDescent="0.25">
      <c r="A2181" s="551" t="s">
        <v>35908</v>
      </c>
      <c r="B2181" s="551" t="s">
        <v>35909</v>
      </c>
      <c r="C2181" s="552" t="s">
        <v>226</v>
      </c>
      <c r="D2181" s="557">
        <v>176.81</v>
      </c>
      <c r="E2181" s="557">
        <v>148.1</v>
      </c>
      <c r="F2181" s="557">
        <v>28.71</v>
      </c>
      <c r="G2181" s="557">
        <v>176.81</v>
      </c>
    </row>
    <row r="2182" spans="1:7" ht="12.6" customHeight="1" x14ac:dyDescent="0.25">
      <c r="A2182" s="551" t="s">
        <v>35910</v>
      </c>
      <c r="B2182" s="551" t="s">
        <v>35911</v>
      </c>
      <c r="C2182" s="552" t="s">
        <v>226</v>
      </c>
      <c r="D2182" s="557">
        <v>243.28</v>
      </c>
      <c r="E2182" s="557">
        <v>214.57</v>
      </c>
      <c r="F2182" s="557">
        <v>28.71</v>
      </c>
      <c r="G2182" s="557">
        <v>243.28</v>
      </c>
    </row>
    <row r="2183" spans="1:7" ht="12.6" customHeight="1" x14ac:dyDescent="0.25">
      <c r="A2183" s="551" t="s">
        <v>35912</v>
      </c>
      <c r="B2183" s="551" t="s">
        <v>35913</v>
      </c>
      <c r="C2183" s="552" t="s">
        <v>226</v>
      </c>
      <c r="D2183" s="557">
        <v>218.32</v>
      </c>
      <c r="E2183" s="557">
        <v>209.19</v>
      </c>
      <c r="F2183" s="557">
        <v>9.1300000000000008</v>
      </c>
      <c r="G2183" s="557">
        <v>218.32</v>
      </c>
    </row>
    <row r="2184" spans="1:7" ht="12.6" customHeight="1" x14ac:dyDescent="0.25">
      <c r="A2184" s="551" t="s">
        <v>35914</v>
      </c>
      <c r="B2184" s="551" t="s">
        <v>35915</v>
      </c>
      <c r="C2184" s="552" t="s">
        <v>226</v>
      </c>
      <c r="D2184" s="557">
        <v>259.79000000000002</v>
      </c>
      <c r="E2184" s="557">
        <v>250.66</v>
      </c>
      <c r="F2184" s="557">
        <v>9.1300000000000008</v>
      </c>
      <c r="G2184" s="557">
        <v>259.79000000000002</v>
      </c>
    </row>
    <row r="2185" spans="1:7" ht="12.6" customHeight="1" x14ac:dyDescent="0.25">
      <c r="A2185" s="551" t="s">
        <v>35916</v>
      </c>
      <c r="B2185" s="551" t="s">
        <v>35917</v>
      </c>
      <c r="C2185" s="552" t="s">
        <v>226</v>
      </c>
      <c r="D2185" s="557">
        <v>398.3</v>
      </c>
      <c r="E2185" s="557">
        <v>389.17</v>
      </c>
      <c r="F2185" s="557">
        <v>9.1300000000000008</v>
      </c>
      <c r="G2185" s="557">
        <v>398.3</v>
      </c>
    </row>
    <row r="2186" spans="1:7" ht="12.6" customHeight="1" x14ac:dyDescent="0.25">
      <c r="A2186" s="551" t="s">
        <v>35918</v>
      </c>
      <c r="B2186" s="551" t="s">
        <v>35919</v>
      </c>
      <c r="C2186" s="552" t="s">
        <v>226</v>
      </c>
      <c r="D2186" s="557">
        <v>9.64</v>
      </c>
      <c r="E2186" s="557">
        <v>8.67</v>
      </c>
      <c r="F2186" s="557">
        <v>0.97</v>
      </c>
      <c r="G2186" s="557">
        <v>9.64</v>
      </c>
    </row>
    <row r="2187" spans="1:7" ht="12.6" customHeight="1" x14ac:dyDescent="0.25">
      <c r="A2187" s="551" t="s">
        <v>35920</v>
      </c>
      <c r="B2187" s="551" t="s">
        <v>35921</v>
      </c>
      <c r="C2187" s="552"/>
      <c r="D2187" s="557"/>
      <c r="E2187" s="557"/>
      <c r="F2187" s="557"/>
      <c r="G2187" s="557"/>
    </row>
    <row r="2188" spans="1:7" ht="23.1" customHeight="1" x14ac:dyDescent="0.25">
      <c r="A2188" s="548" t="s">
        <v>35922</v>
      </c>
      <c r="B2188" s="548" t="s">
        <v>35923</v>
      </c>
      <c r="C2188" s="549" t="s">
        <v>158</v>
      </c>
      <c r="D2188" s="549">
        <v>294.56</v>
      </c>
      <c r="E2188" s="549">
        <v>280.2</v>
      </c>
      <c r="F2188" s="549">
        <v>14.36</v>
      </c>
      <c r="G2188" s="549">
        <v>294.56</v>
      </c>
    </row>
    <row r="2189" spans="1:7" ht="12.6" customHeight="1" x14ac:dyDescent="0.25">
      <c r="A2189" s="551" t="s">
        <v>35924</v>
      </c>
      <c r="B2189" s="551" t="s">
        <v>35925</v>
      </c>
      <c r="C2189" s="552" t="s">
        <v>158</v>
      </c>
      <c r="D2189" s="557">
        <v>313.29000000000002</v>
      </c>
      <c r="E2189" s="557">
        <v>298.93</v>
      </c>
      <c r="F2189" s="557">
        <v>14.36</v>
      </c>
      <c r="G2189" s="557">
        <v>313.29000000000002</v>
      </c>
    </row>
    <row r="2190" spans="1:7" ht="12.6" customHeight="1" x14ac:dyDescent="0.25">
      <c r="A2190" s="551" t="s">
        <v>35926</v>
      </c>
      <c r="B2190" s="551" t="s">
        <v>35927</v>
      </c>
      <c r="C2190" s="552" t="s">
        <v>158</v>
      </c>
      <c r="D2190" s="557">
        <v>366.77</v>
      </c>
      <c r="E2190" s="557">
        <v>352.41</v>
      </c>
      <c r="F2190" s="557">
        <v>14.36</v>
      </c>
      <c r="G2190" s="557">
        <v>366.77</v>
      </c>
    </row>
    <row r="2191" spans="1:7" ht="12.6" customHeight="1" x14ac:dyDescent="0.25">
      <c r="A2191" s="551" t="s">
        <v>35928</v>
      </c>
      <c r="B2191" s="551" t="s">
        <v>35929</v>
      </c>
      <c r="C2191" s="552" t="s">
        <v>158</v>
      </c>
      <c r="D2191" s="557">
        <v>338.69</v>
      </c>
      <c r="E2191" s="557">
        <v>324.33</v>
      </c>
      <c r="F2191" s="557">
        <v>14.36</v>
      </c>
      <c r="G2191" s="557">
        <v>338.69</v>
      </c>
    </row>
    <row r="2192" spans="1:7" ht="12.6" customHeight="1" x14ac:dyDescent="0.25">
      <c r="A2192" s="551" t="s">
        <v>35930</v>
      </c>
      <c r="B2192" s="551" t="s">
        <v>35931</v>
      </c>
      <c r="C2192" s="552" t="s">
        <v>158</v>
      </c>
      <c r="D2192" s="557">
        <v>420.21</v>
      </c>
      <c r="E2192" s="557">
        <v>405.85</v>
      </c>
      <c r="F2192" s="557">
        <v>14.36</v>
      </c>
      <c r="G2192" s="557">
        <v>420.21</v>
      </c>
    </row>
    <row r="2193" spans="1:7" ht="12.6" customHeight="1" x14ac:dyDescent="0.25">
      <c r="A2193" s="551" t="s">
        <v>35932</v>
      </c>
      <c r="B2193" s="551" t="s">
        <v>35933</v>
      </c>
      <c r="C2193" s="552"/>
      <c r="D2193" s="557"/>
      <c r="E2193" s="557"/>
      <c r="F2193" s="557"/>
      <c r="G2193" s="557"/>
    </row>
    <row r="2194" spans="1:7" ht="12.6" customHeight="1" x14ac:dyDescent="0.25">
      <c r="A2194" s="551" t="s">
        <v>35934</v>
      </c>
      <c r="B2194" s="551" t="s">
        <v>35935</v>
      </c>
      <c r="C2194" s="552" t="s">
        <v>158</v>
      </c>
      <c r="D2194" s="557">
        <v>8.73</v>
      </c>
      <c r="E2194" s="557">
        <v>6.81</v>
      </c>
      <c r="F2194" s="557">
        <v>1.92</v>
      </c>
      <c r="G2194" s="557">
        <v>8.73</v>
      </c>
    </row>
    <row r="2195" spans="1:7" ht="12.6" customHeight="1" x14ac:dyDescent="0.25">
      <c r="A2195" s="551" t="s">
        <v>35936</v>
      </c>
      <c r="B2195" s="551" t="s">
        <v>35937</v>
      </c>
      <c r="C2195" s="552" t="s">
        <v>158</v>
      </c>
      <c r="D2195" s="557">
        <v>10.97</v>
      </c>
      <c r="E2195" s="557">
        <v>9.0500000000000007</v>
      </c>
      <c r="F2195" s="557">
        <v>1.92</v>
      </c>
      <c r="G2195" s="557">
        <v>10.97</v>
      </c>
    </row>
    <row r="2196" spans="1:7" ht="12.6" customHeight="1" x14ac:dyDescent="0.25">
      <c r="A2196" s="551" t="s">
        <v>35938</v>
      </c>
      <c r="B2196" s="551" t="s">
        <v>35939</v>
      </c>
      <c r="C2196" s="552" t="s">
        <v>158</v>
      </c>
      <c r="D2196" s="557">
        <v>12.78</v>
      </c>
      <c r="E2196" s="557">
        <v>10.86</v>
      </c>
      <c r="F2196" s="557">
        <v>1.92</v>
      </c>
      <c r="G2196" s="557">
        <v>12.78</v>
      </c>
    </row>
    <row r="2197" spans="1:7" ht="23.1" customHeight="1" x14ac:dyDescent="0.25">
      <c r="A2197" s="548" t="s">
        <v>35940</v>
      </c>
      <c r="B2197" s="548" t="s">
        <v>35941</v>
      </c>
      <c r="C2197" s="549" t="s">
        <v>158</v>
      </c>
      <c r="D2197" s="549">
        <v>20.7</v>
      </c>
      <c r="E2197" s="549">
        <v>18.78</v>
      </c>
      <c r="F2197" s="549">
        <v>1.92</v>
      </c>
      <c r="G2197" s="549">
        <v>20.7</v>
      </c>
    </row>
    <row r="2198" spans="1:7" ht="11.45" customHeight="1" x14ac:dyDescent="0.25">
      <c r="A2198" s="543" t="s">
        <v>35942</v>
      </c>
      <c r="B2198" s="544" t="s">
        <v>35943</v>
      </c>
      <c r="C2198" s="544" t="s">
        <v>158</v>
      </c>
      <c r="D2198" s="543">
        <v>26.31</v>
      </c>
      <c r="E2198" s="545">
        <v>24.39</v>
      </c>
      <c r="F2198" s="546">
        <v>1.92</v>
      </c>
      <c r="G2198" s="543">
        <v>26.31</v>
      </c>
    </row>
    <row r="2199" spans="1:7" ht="23.1" customHeight="1" x14ac:dyDescent="0.25">
      <c r="A2199" s="551" t="s">
        <v>35944</v>
      </c>
      <c r="B2199" s="551" t="s">
        <v>35945</v>
      </c>
      <c r="C2199" s="552" t="s">
        <v>158</v>
      </c>
      <c r="D2199" s="557">
        <v>26.14</v>
      </c>
      <c r="E2199" s="557">
        <v>24.22</v>
      </c>
      <c r="F2199" s="557">
        <v>1.92</v>
      </c>
      <c r="G2199" s="557">
        <v>26.14</v>
      </c>
    </row>
    <row r="2200" spans="1:7" ht="23.1" customHeight="1" x14ac:dyDescent="0.25">
      <c r="A2200" s="551" t="s">
        <v>35946</v>
      </c>
      <c r="B2200" s="551" t="s">
        <v>35947</v>
      </c>
      <c r="C2200" s="552" t="s">
        <v>158</v>
      </c>
      <c r="D2200" s="557">
        <v>39.380000000000003</v>
      </c>
      <c r="E2200" s="557">
        <v>37.46</v>
      </c>
      <c r="F2200" s="557">
        <v>1.92</v>
      </c>
      <c r="G2200" s="557">
        <v>39.380000000000003</v>
      </c>
    </row>
    <row r="2201" spans="1:7" ht="23.1" customHeight="1" x14ac:dyDescent="0.25">
      <c r="A2201" s="551" t="s">
        <v>35948</v>
      </c>
      <c r="B2201" s="551" t="s">
        <v>35949</v>
      </c>
      <c r="C2201" s="552"/>
      <c r="D2201" s="557"/>
      <c r="E2201" s="557"/>
      <c r="F2201" s="557"/>
      <c r="G2201" s="557"/>
    </row>
    <row r="2202" spans="1:7" ht="23.1" customHeight="1" x14ac:dyDescent="0.25">
      <c r="A2202" s="551" t="s">
        <v>35950</v>
      </c>
      <c r="B2202" s="551" t="s">
        <v>35951</v>
      </c>
      <c r="C2202" s="552" t="s">
        <v>158</v>
      </c>
      <c r="D2202" s="557">
        <v>26.67</v>
      </c>
      <c r="E2202" s="557">
        <v>9.83</v>
      </c>
      <c r="F2202" s="557">
        <v>16.84</v>
      </c>
      <c r="G2202" s="557">
        <v>26.67</v>
      </c>
    </row>
    <row r="2203" spans="1:7" ht="23.1" customHeight="1" x14ac:dyDescent="0.25">
      <c r="A2203" s="551" t="s">
        <v>35952</v>
      </c>
      <c r="B2203" s="551" t="s">
        <v>35953</v>
      </c>
      <c r="C2203" s="552" t="s">
        <v>158</v>
      </c>
      <c r="D2203" s="557">
        <v>29.08</v>
      </c>
      <c r="E2203" s="557">
        <v>12.24</v>
      </c>
      <c r="F2203" s="557">
        <v>16.84</v>
      </c>
      <c r="G2203" s="557">
        <v>29.08</v>
      </c>
    </row>
    <row r="2204" spans="1:7" ht="23.1" customHeight="1" x14ac:dyDescent="0.25">
      <c r="A2204" s="551" t="s">
        <v>35954</v>
      </c>
      <c r="B2204" s="551" t="s">
        <v>35955</v>
      </c>
      <c r="C2204" s="552" t="s">
        <v>158</v>
      </c>
      <c r="D2204" s="557">
        <v>46.85</v>
      </c>
      <c r="E2204" s="557">
        <v>30.01</v>
      </c>
      <c r="F2204" s="557">
        <v>16.84</v>
      </c>
      <c r="G2204" s="557">
        <v>46.85</v>
      </c>
    </row>
    <row r="2205" spans="1:7" ht="23.1" customHeight="1" x14ac:dyDescent="0.25">
      <c r="A2205" s="551" t="s">
        <v>35956</v>
      </c>
      <c r="B2205" s="551" t="s">
        <v>35957</v>
      </c>
      <c r="C2205" s="552" t="s">
        <v>226</v>
      </c>
      <c r="D2205" s="557">
        <v>17.55</v>
      </c>
      <c r="E2205" s="557">
        <v>14.3</v>
      </c>
      <c r="F2205" s="557">
        <v>3.25</v>
      </c>
      <c r="G2205" s="557">
        <v>17.55</v>
      </c>
    </row>
    <row r="2206" spans="1:7" ht="23.1" customHeight="1" x14ac:dyDescent="0.25">
      <c r="A2206" s="551" t="s">
        <v>35958</v>
      </c>
      <c r="B2206" s="551" t="s">
        <v>35959</v>
      </c>
      <c r="C2206" s="552" t="s">
        <v>226</v>
      </c>
      <c r="D2206" s="557">
        <v>20.75</v>
      </c>
      <c r="E2206" s="557">
        <v>17.5</v>
      </c>
      <c r="F2206" s="557">
        <v>3.25</v>
      </c>
      <c r="G2206" s="557">
        <v>20.75</v>
      </c>
    </row>
    <row r="2207" spans="1:7" ht="24.95" customHeight="1" x14ac:dyDescent="0.25">
      <c r="A2207" s="548" t="s">
        <v>35960</v>
      </c>
      <c r="B2207" s="565" t="s">
        <v>35961</v>
      </c>
      <c r="C2207" s="549" t="s">
        <v>226</v>
      </c>
      <c r="D2207" s="549">
        <v>60.28</v>
      </c>
      <c r="E2207" s="549">
        <v>57.03</v>
      </c>
      <c r="F2207" s="549">
        <v>3.25</v>
      </c>
      <c r="G2207" s="549">
        <v>60.28</v>
      </c>
    </row>
    <row r="2208" spans="1:7" ht="23.1" customHeight="1" x14ac:dyDescent="0.25">
      <c r="A2208" s="551" t="s">
        <v>35962</v>
      </c>
      <c r="B2208" s="551" t="s">
        <v>35963</v>
      </c>
      <c r="C2208" s="552" t="s">
        <v>226</v>
      </c>
      <c r="D2208" s="557">
        <v>22.21</v>
      </c>
      <c r="E2208" s="557">
        <v>18.96</v>
      </c>
      <c r="F2208" s="557">
        <v>3.25</v>
      </c>
      <c r="G2208" s="557">
        <v>22.21</v>
      </c>
    </row>
    <row r="2209" spans="1:7" ht="23.1" customHeight="1" x14ac:dyDescent="0.25">
      <c r="A2209" s="551" t="s">
        <v>35964</v>
      </c>
      <c r="B2209" s="551" t="s">
        <v>35965</v>
      </c>
      <c r="C2209" s="552" t="s">
        <v>226</v>
      </c>
      <c r="D2209" s="557">
        <v>36.89</v>
      </c>
      <c r="E2209" s="557">
        <v>33.64</v>
      </c>
      <c r="F2209" s="557">
        <v>3.25</v>
      </c>
      <c r="G2209" s="557">
        <v>36.89</v>
      </c>
    </row>
    <row r="2210" spans="1:7" ht="23.1" customHeight="1" x14ac:dyDescent="0.25">
      <c r="A2210" s="551" t="s">
        <v>35966</v>
      </c>
      <c r="B2210" s="551" t="s">
        <v>35967</v>
      </c>
      <c r="C2210" s="552" t="s">
        <v>226</v>
      </c>
      <c r="D2210" s="557">
        <v>83.79</v>
      </c>
      <c r="E2210" s="557">
        <v>80.540000000000006</v>
      </c>
      <c r="F2210" s="557">
        <v>3.25</v>
      </c>
      <c r="G2210" s="557">
        <v>83.79</v>
      </c>
    </row>
    <row r="2211" spans="1:7" ht="23.1" customHeight="1" x14ac:dyDescent="0.25">
      <c r="A2211" s="551" t="s">
        <v>35968</v>
      </c>
      <c r="B2211" s="551" t="s">
        <v>35969</v>
      </c>
      <c r="C2211" s="552"/>
      <c r="D2211" s="557"/>
      <c r="E2211" s="557"/>
      <c r="F2211" s="557"/>
      <c r="G2211" s="557"/>
    </row>
    <row r="2212" spans="1:7" ht="23.1" customHeight="1" x14ac:dyDescent="0.25">
      <c r="A2212" s="551" t="s">
        <v>35970</v>
      </c>
      <c r="B2212" s="551" t="s">
        <v>35971</v>
      </c>
      <c r="C2212" s="552" t="s">
        <v>158</v>
      </c>
      <c r="D2212" s="557">
        <v>86.55</v>
      </c>
      <c r="E2212" s="557">
        <v>72.19</v>
      </c>
      <c r="F2212" s="557">
        <v>14.36</v>
      </c>
      <c r="G2212" s="557">
        <v>86.55</v>
      </c>
    </row>
    <row r="2213" spans="1:7" ht="23.1" customHeight="1" x14ac:dyDescent="0.25">
      <c r="A2213" s="551" t="s">
        <v>35972</v>
      </c>
      <c r="B2213" s="551" t="s">
        <v>35973</v>
      </c>
      <c r="C2213" s="552" t="s">
        <v>226</v>
      </c>
      <c r="D2213" s="557">
        <v>117.05</v>
      </c>
      <c r="E2213" s="557">
        <v>93.11</v>
      </c>
      <c r="F2213" s="557">
        <v>23.94</v>
      </c>
      <c r="G2213" s="557">
        <v>117.05</v>
      </c>
    </row>
    <row r="2214" spans="1:7" ht="23.1" customHeight="1" x14ac:dyDescent="0.25">
      <c r="A2214" s="551" t="s">
        <v>35974</v>
      </c>
      <c r="B2214" s="551" t="s">
        <v>35975</v>
      </c>
      <c r="C2214" s="552" t="s">
        <v>226</v>
      </c>
      <c r="D2214" s="557">
        <v>136.51</v>
      </c>
      <c r="E2214" s="557">
        <v>112.57</v>
      </c>
      <c r="F2214" s="557">
        <v>23.94</v>
      </c>
      <c r="G2214" s="557">
        <v>136.51</v>
      </c>
    </row>
    <row r="2215" spans="1:7" ht="23.1" customHeight="1" x14ac:dyDescent="0.25">
      <c r="A2215" s="551" t="s">
        <v>35976</v>
      </c>
      <c r="B2215" s="551" t="s">
        <v>35977</v>
      </c>
      <c r="C2215" s="552" t="s">
        <v>226</v>
      </c>
      <c r="D2215" s="557">
        <v>37.51</v>
      </c>
      <c r="E2215" s="557">
        <v>28.38</v>
      </c>
      <c r="F2215" s="557">
        <v>9.1300000000000008</v>
      </c>
      <c r="G2215" s="557">
        <v>37.51</v>
      </c>
    </row>
    <row r="2216" spans="1:7" ht="23.1" customHeight="1" x14ac:dyDescent="0.25">
      <c r="A2216" s="551" t="s">
        <v>35978</v>
      </c>
      <c r="B2216" s="551" t="s">
        <v>35979</v>
      </c>
      <c r="C2216" s="552" t="s">
        <v>226</v>
      </c>
      <c r="D2216" s="557">
        <v>27.43</v>
      </c>
      <c r="E2216" s="557">
        <v>18.3</v>
      </c>
      <c r="F2216" s="557">
        <v>9.1300000000000008</v>
      </c>
      <c r="G2216" s="557">
        <v>27.43</v>
      </c>
    </row>
    <row r="2217" spans="1:7" ht="12.6" customHeight="1" x14ac:dyDescent="0.2">
      <c r="A2217" s="548" t="s">
        <v>35980</v>
      </c>
      <c r="B2217" s="548" t="s">
        <v>35981</v>
      </c>
      <c r="C2217" s="550" t="s">
        <v>226</v>
      </c>
      <c r="D2217" s="550">
        <v>20.78</v>
      </c>
      <c r="E2217" s="550">
        <v>13.6</v>
      </c>
      <c r="F2217" s="550">
        <v>7.18</v>
      </c>
      <c r="G2217" s="550">
        <v>20.78</v>
      </c>
    </row>
    <row r="2218" spans="1:7" ht="12.6" customHeight="1" x14ac:dyDescent="0.25">
      <c r="A2218" s="551" t="s">
        <v>35982</v>
      </c>
      <c r="B2218" s="551" t="s">
        <v>35983</v>
      </c>
      <c r="C2218" s="552" t="s">
        <v>158</v>
      </c>
      <c r="D2218" s="557">
        <v>80.36</v>
      </c>
      <c r="E2218" s="557">
        <v>66</v>
      </c>
      <c r="F2218" s="557">
        <v>14.36</v>
      </c>
      <c r="G2218" s="557">
        <v>80.36</v>
      </c>
    </row>
    <row r="2219" spans="1:7" ht="12.6" customHeight="1" x14ac:dyDescent="0.25">
      <c r="A2219" s="551" t="s">
        <v>35984</v>
      </c>
      <c r="B2219" s="551" t="s">
        <v>35985</v>
      </c>
      <c r="C2219" s="552" t="s">
        <v>226</v>
      </c>
      <c r="D2219" s="557">
        <v>101.5</v>
      </c>
      <c r="E2219" s="557">
        <v>77.56</v>
      </c>
      <c r="F2219" s="557">
        <v>23.94</v>
      </c>
      <c r="G2219" s="557">
        <v>101.5</v>
      </c>
    </row>
    <row r="2220" spans="1:7" ht="12.6" customHeight="1" x14ac:dyDescent="0.25">
      <c r="A2220" s="551" t="s">
        <v>35986</v>
      </c>
      <c r="B2220" s="551" t="s">
        <v>35987</v>
      </c>
      <c r="C2220" s="552" t="s">
        <v>226</v>
      </c>
      <c r="D2220" s="557">
        <v>18.32</v>
      </c>
      <c r="E2220" s="557">
        <v>11.14</v>
      </c>
      <c r="F2220" s="557">
        <v>7.18</v>
      </c>
      <c r="G2220" s="557">
        <v>18.32</v>
      </c>
    </row>
    <row r="2221" spans="1:7" ht="12.6" customHeight="1" x14ac:dyDescent="0.25">
      <c r="A2221" s="551" t="s">
        <v>35988</v>
      </c>
      <c r="B2221" s="551" t="s">
        <v>35989</v>
      </c>
      <c r="C2221" s="552" t="s">
        <v>226</v>
      </c>
      <c r="D2221" s="557">
        <v>93.66</v>
      </c>
      <c r="E2221" s="557">
        <v>69.72</v>
      </c>
      <c r="F2221" s="557">
        <v>23.94</v>
      </c>
      <c r="G2221" s="557">
        <v>93.66</v>
      </c>
    </row>
    <row r="2222" spans="1:7" ht="12.6" customHeight="1" x14ac:dyDescent="0.25">
      <c r="A2222" s="551" t="s">
        <v>35990</v>
      </c>
      <c r="B2222" s="551" t="s">
        <v>35991</v>
      </c>
      <c r="C2222" s="552" t="s">
        <v>226</v>
      </c>
      <c r="D2222" s="557">
        <v>115.39</v>
      </c>
      <c r="E2222" s="557">
        <v>91.45</v>
      </c>
      <c r="F2222" s="557">
        <v>23.94</v>
      </c>
      <c r="G2222" s="557">
        <v>115.39</v>
      </c>
    </row>
    <row r="2223" spans="1:7" ht="12.6" customHeight="1" x14ac:dyDescent="0.25">
      <c r="A2223" s="551" t="s">
        <v>35992</v>
      </c>
      <c r="B2223" s="551" t="s">
        <v>35993</v>
      </c>
      <c r="C2223" s="552" t="s">
        <v>226</v>
      </c>
      <c r="D2223" s="557">
        <v>593.51</v>
      </c>
      <c r="E2223" s="557">
        <v>561.26</v>
      </c>
      <c r="F2223" s="557">
        <v>32.25</v>
      </c>
      <c r="G2223" s="557">
        <v>593.51</v>
      </c>
    </row>
    <row r="2224" spans="1:7" ht="12.6" customHeight="1" x14ac:dyDescent="0.25">
      <c r="A2224" s="551" t="s">
        <v>35994</v>
      </c>
      <c r="B2224" s="551" t="s">
        <v>35995</v>
      </c>
      <c r="C2224" s="552" t="s">
        <v>226</v>
      </c>
      <c r="D2224" s="557">
        <v>68.77</v>
      </c>
      <c r="E2224" s="557">
        <v>44.83</v>
      </c>
      <c r="F2224" s="557">
        <v>23.94</v>
      </c>
      <c r="G2224" s="557">
        <v>68.77</v>
      </c>
    </row>
    <row r="2225" spans="1:7" ht="12.6" customHeight="1" x14ac:dyDescent="0.25">
      <c r="A2225" s="551" t="s">
        <v>35996</v>
      </c>
      <c r="B2225" s="551" t="s">
        <v>35997</v>
      </c>
      <c r="C2225" s="552"/>
      <c r="D2225" s="557"/>
      <c r="E2225" s="557"/>
      <c r="F2225" s="557"/>
      <c r="G2225" s="557"/>
    </row>
    <row r="2226" spans="1:7" ht="12.6" customHeight="1" x14ac:dyDescent="0.25">
      <c r="A2226" s="551" t="s">
        <v>35998</v>
      </c>
      <c r="B2226" s="551" t="s">
        <v>35999</v>
      </c>
      <c r="C2226" s="552" t="s">
        <v>158</v>
      </c>
      <c r="D2226" s="557">
        <v>16.95</v>
      </c>
      <c r="E2226" s="557">
        <v>2.59</v>
      </c>
      <c r="F2226" s="557">
        <v>14.36</v>
      </c>
      <c r="G2226" s="557">
        <v>16.95</v>
      </c>
    </row>
    <row r="2227" spans="1:7" ht="12.6" customHeight="1" x14ac:dyDescent="0.25">
      <c r="A2227" s="551" t="s">
        <v>36000</v>
      </c>
      <c r="B2227" s="551" t="s">
        <v>36001</v>
      </c>
      <c r="C2227" s="552" t="s">
        <v>158</v>
      </c>
      <c r="D2227" s="557">
        <v>17.100000000000001</v>
      </c>
      <c r="E2227" s="557">
        <v>2.74</v>
      </c>
      <c r="F2227" s="557">
        <v>14.36</v>
      </c>
      <c r="G2227" s="557">
        <v>17.100000000000001</v>
      </c>
    </row>
    <row r="2228" spans="1:7" ht="23.1" customHeight="1" x14ac:dyDescent="0.25">
      <c r="A2228" s="551" t="s">
        <v>36002</v>
      </c>
      <c r="B2228" s="551" t="s">
        <v>36003</v>
      </c>
      <c r="C2228" s="552" t="s">
        <v>158</v>
      </c>
      <c r="D2228" s="557">
        <v>19.059999999999999</v>
      </c>
      <c r="E2228" s="557">
        <v>4.7</v>
      </c>
      <c r="F2228" s="557">
        <v>14.36</v>
      </c>
      <c r="G2228" s="557">
        <v>19.059999999999999</v>
      </c>
    </row>
    <row r="2229" spans="1:7" ht="23.1" customHeight="1" x14ac:dyDescent="0.25">
      <c r="A2229" s="551" t="s">
        <v>36004</v>
      </c>
      <c r="B2229" s="551" t="s">
        <v>36005</v>
      </c>
      <c r="C2229" s="552" t="s">
        <v>158</v>
      </c>
      <c r="D2229" s="557">
        <v>17.71</v>
      </c>
      <c r="E2229" s="557">
        <v>3.35</v>
      </c>
      <c r="F2229" s="557">
        <v>14.36</v>
      </c>
      <c r="G2229" s="557">
        <v>17.71</v>
      </c>
    </row>
    <row r="2230" spans="1:7" ht="12.6" customHeight="1" x14ac:dyDescent="0.25">
      <c r="A2230" s="551" t="s">
        <v>36006</v>
      </c>
      <c r="B2230" s="551" t="s">
        <v>36007</v>
      </c>
      <c r="C2230" s="552" t="s">
        <v>158</v>
      </c>
      <c r="D2230" s="557">
        <v>19.7</v>
      </c>
      <c r="E2230" s="557">
        <v>5.34</v>
      </c>
      <c r="F2230" s="557">
        <v>14.36</v>
      </c>
      <c r="G2230" s="557">
        <v>19.7</v>
      </c>
    </row>
    <row r="2231" spans="1:7" ht="24.95" customHeight="1" x14ac:dyDescent="0.25">
      <c r="A2231" s="551" t="s">
        <v>36008</v>
      </c>
      <c r="B2231" s="342" t="s">
        <v>36009</v>
      </c>
      <c r="C2231" s="552"/>
      <c r="D2231" s="557"/>
      <c r="E2231" s="557"/>
      <c r="F2231" s="557"/>
      <c r="G2231" s="557"/>
    </row>
    <row r="2232" spans="1:7" ht="24.95" customHeight="1" x14ac:dyDescent="0.25">
      <c r="A2232" s="551" t="s">
        <v>36010</v>
      </c>
      <c r="B2232" s="342" t="s">
        <v>36011</v>
      </c>
      <c r="C2232" s="552" t="s">
        <v>158</v>
      </c>
      <c r="D2232" s="557">
        <v>11.97</v>
      </c>
      <c r="E2232" s="557"/>
      <c r="F2232" s="557">
        <v>11.97</v>
      </c>
      <c r="G2232" s="557">
        <v>11.97</v>
      </c>
    </row>
    <row r="2233" spans="1:7" ht="11.45" customHeight="1" x14ac:dyDescent="0.25">
      <c r="A2233" s="543" t="s">
        <v>36012</v>
      </c>
      <c r="B2233" s="544" t="s">
        <v>36013</v>
      </c>
      <c r="C2233" s="544" t="s">
        <v>158</v>
      </c>
      <c r="D2233" s="543">
        <v>19.149999999999999</v>
      </c>
      <c r="E2233" s="545"/>
      <c r="F2233" s="546">
        <v>19.149999999999999</v>
      </c>
      <c r="G2233" s="543">
        <v>19.149999999999999</v>
      </c>
    </row>
    <row r="2234" spans="1:7" ht="24.95" customHeight="1" x14ac:dyDescent="0.25">
      <c r="A2234" s="551" t="s">
        <v>36014</v>
      </c>
      <c r="B2234" s="342" t="s">
        <v>36015</v>
      </c>
      <c r="C2234" s="552" t="s">
        <v>226</v>
      </c>
      <c r="D2234" s="557">
        <v>14.36</v>
      </c>
      <c r="E2234" s="557"/>
      <c r="F2234" s="557">
        <v>14.36</v>
      </c>
      <c r="G2234" s="557">
        <v>14.36</v>
      </c>
    </row>
    <row r="2235" spans="1:7" ht="24.95" customHeight="1" x14ac:dyDescent="0.25">
      <c r="A2235" s="551" t="s">
        <v>36016</v>
      </c>
      <c r="B2235" s="342" t="s">
        <v>36017</v>
      </c>
      <c r="C2235" s="552" t="s">
        <v>158</v>
      </c>
      <c r="D2235" s="557">
        <v>47.86</v>
      </c>
      <c r="E2235" s="557"/>
      <c r="F2235" s="557">
        <v>47.86</v>
      </c>
      <c r="G2235" s="557">
        <v>47.86</v>
      </c>
    </row>
    <row r="2236" spans="1:7" ht="24.95" customHeight="1" x14ac:dyDescent="0.25">
      <c r="A2236" s="551" t="s">
        <v>36018</v>
      </c>
      <c r="B2236" s="342" t="s">
        <v>36019</v>
      </c>
      <c r="C2236" s="552"/>
      <c r="D2236" s="557"/>
      <c r="E2236" s="557"/>
      <c r="F2236" s="557"/>
      <c r="G2236" s="557"/>
    </row>
    <row r="2237" spans="1:7" ht="24.95" customHeight="1" x14ac:dyDescent="0.25">
      <c r="A2237" s="551" t="s">
        <v>36020</v>
      </c>
      <c r="B2237" s="342" t="s">
        <v>36021</v>
      </c>
      <c r="C2237" s="552" t="s">
        <v>158</v>
      </c>
      <c r="D2237" s="557">
        <v>88.63</v>
      </c>
      <c r="E2237" s="557">
        <v>64.69</v>
      </c>
      <c r="F2237" s="557">
        <v>23.94</v>
      </c>
      <c r="G2237" s="557">
        <v>88.63</v>
      </c>
    </row>
    <row r="2238" spans="1:7" ht="12.6" customHeight="1" x14ac:dyDescent="0.25">
      <c r="A2238" s="551" t="s">
        <v>36022</v>
      </c>
      <c r="B2238" s="551" t="s">
        <v>36023</v>
      </c>
      <c r="C2238" s="552" t="s">
        <v>158</v>
      </c>
      <c r="D2238" s="557">
        <v>106.85</v>
      </c>
      <c r="E2238" s="557">
        <v>82.91</v>
      </c>
      <c r="F2238" s="557">
        <v>23.94</v>
      </c>
      <c r="G2238" s="557">
        <v>106.85</v>
      </c>
    </row>
    <row r="2239" spans="1:7" ht="12.6" customHeight="1" x14ac:dyDescent="0.25">
      <c r="A2239" s="551" t="s">
        <v>36024</v>
      </c>
      <c r="B2239" s="551" t="s">
        <v>36025</v>
      </c>
      <c r="C2239" s="552" t="s">
        <v>158</v>
      </c>
      <c r="D2239" s="557">
        <v>124.24</v>
      </c>
      <c r="E2239" s="557">
        <v>100.3</v>
      </c>
      <c r="F2239" s="557">
        <v>23.94</v>
      </c>
      <c r="G2239" s="557">
        <v>124.24</v>
      </c>
    </row>
    <row r="2240" spans="1:7" ht="12.6" customHeight="1" x14ac:dyDescent="0.2">
      <c r="A2240" s="548" t="s">
        <v>36026</v>
      </c>
      <c r="B2240" s="548" t="s">
        <v>36027</v>
      </c>
      <c r="C2240" s="550" t="s">
        <v>158</v>
      </c>
      <c r="D2240" s="550">
        <v>144.22999999999999</v>
      </c>
      <c r="E2240" s="550">
        <v>120.29</v>
      </c>
      <c r="F2240" s="550">
        <v>23.94</v>
      </c>
      <c r="G2240" s="550">
        <v>144.22999999999999</v>
      </c>
    </row>
    <row r="2241" spans="1:7" ht="12.6" customHeight="1" x14ac:dyDescent="0.25">
      <c r="A2241" s="551" t="s">
        <v>36028</v>
      </c>
      <c r="B2241" s="551" t="s">
        <v>36029</v>
      </c>
      <c r="C2241" s="552" t="s">
        <v>158</v>
      </c>
      <c r="D2241" s="557">
        <v>150.68</v>
      </c>
      <c r="E2241" s="557">
        <v>126.74</v>
      </c>
      <c r="F2241" s="557">
        <v>23.94</v>
      </c>
      <c r="G2241" s="557">
        <v>150.68</v>
      </c>
    </row>
    <row r="2242" spans="1:7" ht="12.6" customHeight="1" x14ac:dyDescent="0.25">
      <c r="A2242" s="551" t="s">
        <v>36030</v>
      </c>
      <c r="B2242" s="551" t="s">
        <v>36031</v>
      </c>
      <c r="C2242" s="552" t="s">
        <v>158</v>
      </c>
      <c r="D2242" s="557">
        <v>163.49</v>
      </c>
      <c r="E2242" s="557">
        <v>127.6</v>
      </c>
      <c r="F2242" s="557">
        <v>35.89</v>
      </c>
      <c r="G2242" s="557">
        <v>163.49</v>
      </c>
    </row>
    <row r="2243" spans="1:7" ht="24.95" customHeight="1" x14ac:dyDescent="0.25">
      <c r="A2243" s="551" t="s">
        <v>36032</v>
      </c>
      <c r="B2243" s="342" t="s">
        <v>36033</v>
      </c>
      <c r="C2243" s="552" t="s">
        <v>158</v>
      </c>
      <c r="D2243" s="557">
        <v>184.79</v>
      </c>
      <c r="E2243" s="557">
        <v>148.9</v>
      </c>
      <c r="F2243" s="557">
        <v>35.89</v>
      </c>
      <c r="G2243" s="557">
        <v>184.79</v>
      </c>
    </row>
    <row r="2244" spans="1:7" ht="24.95" customHeight="1" x14ac:dyDescent="0.25">
      <c r="A2244" s="551" t="s">
        <v>36034</v>
      </c>
      <c r="B2244" s="342" t="s">
        <v>36035</v>
      </c>
      <c r="C2244" s="552" t="s">
        <v>158</v>
      </c>
      <c r="D2244" s="557">
        <v>199.05</v>
      </c>
      <c r="E2244" s="557">
        <v>163.16</v>
      </c>
      <c r="F2244" s="557">
        <v>35.89</v>
      </c>
      <c r="G2244" s="557">
        <v>199.05</v>
      </c>
    </row>
    <row r="2245" spans="1:7" ht="24.95" customHeight="1" x14ac:dyDescent="0.25">
      <c r="A2245" s="551" t="s">
        <v>36036</v>
      </c>
      <c r="B2245" s="342" t="s">
        <v>36037</v>
      </c>
      <c r="C2245" s="552" t="s">
        <v>158</v>
      </c>
      <c r="D2245" s="557">
        <v>216.3</v>
      </c>
      <c r="E2245" s="557">
        <v>180.41</v>
      </c>
      <c r="F2245" s="557">
        <v>35.89</v>
      </c>
      <c r="G2245" s="557">
        <v>216.3</v>
      </c>
    </row>
    <row r="2246" spans="1:7" ht="23.1" customHeight="1" x14ac:dyDescent="0.25">
      <c r="A2246" s="551" t="s">
        <v>36038</v>
      </c>
      <c r="B2246" s="551" t="s">
        <v>36039</v>
      </c>
      <c r="C2246" s="552" t="s">
        <v>158</v>
      </c>
      <c r="D2246" s="557">
        <v>266.16000000000003</v>
      </c>
      <c r="E2246" s="557">
        <v>218.3</v>
      </c>
      <c r="F2246" s="557">
        <v>47.86</v>
      </c>
      <c r="G2246" s="557">
        <v>266.16000000000003</v>
      </c>
    </row>
    <row r="2247" spans="1:7" ht="23.1" customHeight="1" x14ac:dyDescent="0.25">
      <c r="A2247" s="551" t="s">
        <v>36040</v>
      </c>
      <c r="B2247" s="551" t="s">
        <v>36041</v>
      </c>
      <c r="C2247" s="552" t="s">
        <v>158</v>
      </c>
      <c r="D2247" s="557">
        <v>368.41</v>
      </c>
      <c r="E2247" s="557">
        <v>320.55</v>
      </c>
      <c r="F2247" s="557">
        <v>47.86</v>
      </c>
      <c r="G2247" s="557">
        <v>368.41</v>
      </c>
    </row>
    <row r="2248" spans="1:7" ht="23.1" customHeight="1" x14ac:dyDescent="0.25">
      <c r="A2248" s="551" t="s">
        <v>36042</v>
      </c>
      <c r="B2248" s="551" t="s">
        <v>36043</v>
      </c>
      <c r="C2248" s="552" t="s">
        <v>158</v>
      </c>
      <c r="D2248" s="557">
        <v>108.27</v>
      </c>
      <c r="E2248" s="557">
        <v>84.33</v>
      </c>
      <c r="F2248" s="557">
        <v>23.94</v>
      </c>
      <c r="G2248" s="557">
        <v>108.27</v>
      </c>
    </row>
    <row r="2249" spans="1:7" ht="12.6" customHeight="1" x14ac:dyDescent="0.25">
      <c r="A2249" s="551" t="s">
        <v>36044</v>
      </c>
      <c r="B2249" s="551" t="s">
        <v>36045</v>
      </c>
      <c r="C2249" s="552" t="s">
        <v>158</v>
      </c>
      <c r="D2249" s="557">
        <v>123.04</v>
      </c>
      <c r="E2249" s="557">
        <v>99.1</v>
      </c>
      <c r="F2249" s="557">
        <v>23.94</v>
      </c>
      <c r="G2249" s="557">
        <v>123.04</v>
      </c>
    </row>
    <row r="2250" spans="1:7" ht="12.6" customHeight="1" x14ac:dyDescent="0.2">
      <c r="A2250" s="548" t="s">
        <v>36046</v>
      </c>
      <c r="B2250" s="548" t="s">
        <v>36047</v>
      </c>
      <c r="C2250" s="550" t="s">
        <v>158</v>
      </c>
      <c r="D2250" s="550">
        <v>147.69</v>
      </c>
      <c r="E2250" s="550">
        <v>123.75</v>
      </c>
      <c r="F2250" s="550">
        <v>23.94</v>
      </c>
      <c r="G2250" s="550">
        <v>147.69</v>
      </c>
    </row>
    <row r="2251" spans="1:7" ht="24.95" customHeight="1" x14ac:dyDescent="0.25">
      <c r="A2251" s="551" t="s">
        <v>36048</v>
      </c>
      <c r="B2251" s="342" t="s">
        <v>36049</v>
      </c>
      <c r="C2251" s="552" t="s">
        <v>158</v>
      </c>
      <c r="D2251" s="557">
        <v>174.9</v>
      </c>
      <c r="E2251" s="557">
        <v>150.96</v>
      </c>
      <c r="F2251" s="557">
        <v>23.94</v>
      </c>
      <c r="G2251" s="557">
        <v>174.9</v>
      </c>
    </row>
    <row r="2252" spans="1:7" ht="24.95" customHeight="1" x14ac:dyDescent="0.25">
      <c r="A2252" s="551" t="s">
        <v>36050</v>
      </c>
      <c r="B2252" s="342" t="s">
        <v>36051</v>
      </c>
      <c r="C2252" s="552"/>
      <c r="D2252" s="557"/>
      <c r="E2252" s="557"/>
      <c r="F2252" s="557"/>
      <c r="G2252" s="557"/>
    </row>
    <row r="2253" spans="1:7" ht="24.95" customHeight="1" x14ac:dyDescent="0.25">
      <c r="A2253" s="551" t="s">
        <v>36052</v>
      </c>
      <c r="B2253" s="342" t="s">
        <v>36053</v>
      </c>
      <c r="C2253" s="552" t="s">
        <v>158</v>
      </c>
      <c r="D2253" s="557">
        <v>178.58</v>
      </c>
      <c r="E2253" s="557">
        <v>142.69</v>
      </c>
      <c r="F2253" s="557">
        <v>35.89</v>
      </c>
      <c r="G2253" s="557">
        <v>178.58</v>
      </c>
    </row>
    <row r="2254" spans="1:7" ht="24.95" customHeight="1" x14ac:dyDescent="0.25">
      <c r="A2254" s="551" t="s">
        <v>36054</v>
      </c>
      <c r="B2254" s="342" t="s">
        <v>36055</v>
      </c>
      <c r="C2254" s="552" t="s">
        <v>158</v>
      </c>
      <c r="D2254" s="557">
        <v>189.26</v>
      </c>
      <c r="E2254" s="557">
        <v>153.37</v>
      </c>
      <c r="F2254" s="557">
        <v>35.89</v>
      </c>
      <c r="G2254" s="557">
        <v>189.26</v>
      </c>
    </row>
    <row r="2255" spans="1:7" ht="24.95" customHeight="1" x14ac:dyDescent="0.25">
      <c r="A2255" s="551" t="s">
        <v>36056</v>
      </c>
      <c r="B2255" s="342" t="s">
        <v>36057</v>
      </c>
      <c r="C2255" s="552" t="s">
        <v>158</v>
      </c>
      <c r="D2255" s="557">
        <v>222.26</v>
      </c>
      <c r="E2255" s="557">
        <v>186.37</v>
      </c>
      <c r="F2255" s="557">
        <v>35.89</v>
      </c>
      <c r="G2255" s="557">
        <v>222.26</v>
      </c>
    </row>
    <row r="2256" spans="1:7" ht="12.6" customHeight="1" x14ac:dyDescent="0.2">
      <c r="A2256" s="548" t="s">
        <v>36058</v>
      </c>
      <c r="B2256" s="548" t="s">
        <v>36059</v>
      </c>
      <c r="C2256" s="550" t="s">
        <v>158</v>
      </c>
      <c r="D2256" s="550">
        <v>251.7</v>
      </c>
      <c r="E2256" s="550">
        <v>203.84</v>
      </c>
      <c r="F2256" s="550">
        <v>47.86</v>
      </c>
      <c r="G2256" s="550">
        <v>251.7</v>
      </c>
    </row>
    <row r="2257" spans="1:7" ht="24.95" customHeight="1" x14ac:dyDescent="0.25">
      <c r="A2257" s="551" t="s">
        <v>36060</v>
      </c>
      <c r="B2257" s="342" t="s">
        <v>36061</v>
      </c>
      <c r="C2257" s="552" t="s">
        <v>158</v>
      </c>
      <c r="D2257" s="557">
        <v>314.14999999999998</v>
      </c>
      <c r="E2257" s="557">
        <v>266.29000000000002</v>
      </c>
      <c r="F2257" s="557">
        <v>47.86</v>
      </c>
      <c r="G2257" s="557">
        <v>314.14999999999998</v>
      </c>
    </row>
    <row r="2258" spans="1:7" ht="24.95" customHeight="1" x14ac:dyDescent="0.25">
      <c r="A2258" s="551" t="s">
        <v>36062</v>
      </c>
      <c r="B2258" s="342" t="s">
        <v>36063</v>
      </c>
      <c r="C2258" s="552" t="s">
        <v>158</v>
      </c>
      <c r="D2258" s="557">
        <v>41.87</v>
      </c>
      <c r="E2258" s="557">
        <v>39.479999999999997</v>
      </c>
      <c r="F2258" s="557">
        <v>2.39</v>
      </c>
      <c r="G2258" s="557">
        <v>41.87</v>
      </c>
    </row>
    <row r="2259" spans="1:7" ht="24.95" customHeight="1" x14ac:dyDescent="0.25">
      <c r="A2259" s="551" t="s">
        <v>36064</v>
      </c>
      <c r="B2259" s="342" t="s">
        <v>36065</v>
      </c>
      <c r="C2259" s="552" t="s">
        <v>158</v>
      </c>
      <c r="D2259" s="557">
        <v>53.53</v>
      </c>
      <c r="E2259" s="557">
        <v>51.14</v>
      </c>
      <c r="F2259" s="557">
        <v>2.39</v>
      </c>
      <c r="G2259" s="557">
        <v>53.53</v>
      </c>
    </row>
    <row r="2260" spans="1:7" ht="24.95" customHeight="1" x14ac:dyDescent="0.25">
      <c r="A2260" s="551" t="s">
        <v>36066</v>
      </c>
      <c r="B2260" s="342" t="s">
        <v>36067</v>
      </c>
      <c r="C2260" s="552" t="s">
        <v>158</v>
      </c>
      <c r="D2260" s="557">
        <v>73.5</v>
      </c>
      <c r="E2260" s="557">
        <v>71.11</v>
      </c>
      <c r="F2260" s="557">
        <v>2.39</v>
      </c>
      <c r="G2260" s="557">
        <v>73.5</v>
      </c>
    </row>
    <row r="2261" spans="1:7" ht="24.95" customHeight="1" x14ac:dyDescent="0.25">
      <c r="A2261" s="551" t="s">
        <v>36068</v>
      </c>
      <c r="B2261" s="342" t="s">
        <v>36069</v>
      </c>
      <c r="C2261" s="552" t="s">
        <v>158</v>
      </c>
      <c r="D2261" s="557">
        <v>101.59</v>
      </c>
      <c r="E2261" s="557">
        <v>99.2</v>
      </c>
      <c r="F2261" s="557">
        <v>2.39</v>
      </c>
      <c r="G2261" s="557">
        <v>101.59</v>
      </c>
    </row>
    <row r="2262" spans="1:7" ht="24.95" customHeight="1" x14ac:dyDescent="0.25">
      <c r="A2262" s="551" t="s">
        <v>36070</v>
      </c>
      <c r="B2262" s="342" t="s">
        <v>36071</v>
      </c>
      <c r="C2262" s="552" t="s">
        <v>158</v>
      </c>
      <c r="D2262" s="557">
        <v>120.4</v>
      </c>
      <c r="E2262" s="557">
        <v>118.01</v>
      </c>
      <c r="F2262" s="557">
        <v>2.39</v>
      </c>
      <c r="G2262" s="557">
        <v>120.4</v>
      </c>
    </row>
    <row r="2263" spans="1:7" ht="24.95" customHeight="1" x14ac:dyDescent="0.25">
      <c r="A2263" s="551" t="s">
        <v>36072</v>
      </c>
      <c r="B2263" s="342" t="s">
        <v>36073</v>
      </c>
      <c r="C2263" s="552" t="s">
        <v>158</v>
      </c>
      <c r="D2263" s="557">
        <v>154.74</v>
      </c>
      <c r="E2263" s="557">
        <v>152.35</v>
      </c>
      <c r="F2263" s="557">
        <v>2.39</v>
      </c>
      <c r="G2263" s="557">
        <v>154.74</v>
      </c>
    </row>
    <row r="2264" spans="1:7" ht="12.6" customHeight="1" x14ac:dyDescent="0.2">
      <c r="A2264" s="548" t="s">
        <v>36074</v>
      </c>
      <c r="B2264" s="548" t="s">
        <v>36075</v>
      </c>
      <c r="C2264" s="550" t="s">
        <v>158</v>
      </c>
      <c r="D2264" s="550">
        <v>213.67</v>
      </c>
      <c r="E2264" s="550">
        <v>211.28</v>
      </c>
      <c r="F2264" s="550">
        <v>2.39</v>
      </c>
      <c r="G2264" s="550">
        <v>213.67</v>
      </c>
    </row>
    <row r="2265" spans="1:7" ht="12.6" customHeight="1" x14ac:dyDescent="0.25">
      <c r="A2265" s="551" t="s">
        <v>36076</v>
      </c>
      <c r="B2265" s="551" t="s">
        <v>36077</v>
      </c>
      <c r="C2265" s="552"/>
      <c r="D2265" s="557"/>
      <c r="E2265" s="557"/>
      <c r="F2265" s="557"/>
      <c r="G2265" s="557"/>
    </row>
    <row r="2266" spans="1:7" ht="12.6" customHeight="1" x14ac:dyDescent="0.25">
      <c r="A2266" s="551" t="s">
        <v>36078</v>
      </c>
      <c r="B2266" s="551" t="s">
        <v>36079</v>
      </c>
      <c r="C2266" s="552" t="s">
        <v>226</v>
      </c>
      <c r="D2266" s="557">
        <v>22.11</v>
      </c>
      <c r="E2266" s="557">
        <v>10.14</v>
      </c>
      <c r="F2266" s="557">
        <v>11.97</v>
      </c>
      <c r="G2266" s="557">
        <v>22.11</v>
      </c>
    </row>
    <row r="2267" spans="1:7" ht="12.6" customHeight="1" x14ac:dyDescent="0.25">
      <c r="A2267" s="551" t="s">
        <v>36080</v>
      </c>
      <c r="B2267" s="551" t="s">
        <v>36081</v>
      </c>
      <c r="C2267" s="552" t="s">
        <v>226</v>
      </c>
      <c r="D2267" s="557">
        <v>24.81</v>
      </c>
      <c r="E2267" s="557">
        <v>12.84</v>
      </c>
      <c r="F2267" s="557">
        <v>11.97</v>
      </c>
      <c r="G2267" s="557">
        <v>24.81</v>
      </c>
    </row>
    <row r="2268" spans="1:7" ht="12.6" customHeight="1" x14ac:dyDescent="0.25">
      <c r="A2268" s="551" t="s">
        <v>36082</v>
      </c>
      <c r="B2268" s="551" t="s">
        <v>36083</v>
      </c>
      <c r="C2268" s="552" t="s">
        <v>226</v>
      </c>
      <c r="D2268" s="557">
        <v>27.36</v>
      </c>
      <c r="E2268" s="557">
        <v>15.39</v>
      </c>
      <c r="F2268" s="557">
        <v>11.97</v>
      </c>
      <c r="G2268" s="557">
        <v>27.36</v>
      </c>
    </row>
    <row r="2269" spans="1:7" ht="11.45" customHeight="1" x14ac:dyDescent="0.25">
      <c r="A2269" s="543" t="s">
        <v>36084</v>
      </c>
      <c r="B2269" s="544" t="s">
        <v>36085</v>
      </c>
      <c r="C2269" s="544" t="s">
        <v>226</v>
      </c>
      <c r="D2269" s="543">
        <v>30.19</v>
      </c>
      <c r="E2269" s="545">
        <v>18.22</v>
      </c>
      <c r="F2269" s="546">
        <v>11.97</v>
      </c>
      <c r="G2269" s="543">
        <v>30.19</v>
      </c>
    </row>
    <row r="2270" spans="1:7" ht="12.6" customHeight="1" x14ac:dyDescent="0.25">
      <c r="A2270" s="551" t="s">
        <v>36086</v>
      </c>
      <c r="B2270" s="551" t="s">
        <v>36087</v>
      </c>
      <c r="C2270" s="552" t="s">
        <v>226</v>
      </c>
      <c r="D2270" s="557">
        <v>30.33</v>
      </c>
      <c r="E2270" s="557">
        <v>18.36</v>
      </c>
      <c r="F2270" s="557">
        <v>11.97</v>
      </c>
      <c r="G2270" s="557">
        <v>30.33</v>
      </c>
    </row>
    <row r="2271" spans="1:7" ht="12.6" customHeight="1" x14ac:dyDescent="0.25">
      <c r="A2271" s="551" t="s">
        <v>36088</v>
      </c>
      <c r="B2271" s="551" t="s">
        <v>36089</v>
      </c>
      <c r="C2271" s="552" t="s">
        <v>226</v>
      </c>
      <c r="D2271" s="557">
        <v>36.26</v>
      </c>
      <c r="E2271" s="557">
        <v>24.29</v>
      </c>
      <c r="F2271" s="557">
        <v>11.97</v>
      </c>
      <c r="G2271" s="557">
        <v>36.26</v>
      </c>
    </row>
    <row r="2272" spans="1:7" ht="12.6" customHeight="1" x14ac:dyDescent="0.25">
      <c r="A2272" s="551" t="s">
        <v>36090</v>
      </c>
      <c r="B2272" s="551" t="s">
        <v>36091</v>
      </c>
      <c r="C2272" s="552" t="s">
        <v>226</v>
      </c>
      <c r="D2272" s="557">
        <v>29.75</v>
      </c>
      <c r="E2272" s="557">
        <v>17.78</v>
      </c>
      <c r="F2272" s="557">
        <v>11.97</v>
      </c>
      <c r="G2272" s="557">
        <v>29.75</v>
      </c>
    </row>
    <row r="2273" spans="1:7" ht="12.6" customHeight="1" x14ac:dyDescent="0.25">
      <c r="A2273" s="551" t="s">
        <v>36092</v>
      </c>
      <c r="B2273" s="551" t="s">
        <v>36093</v>
      </c>
      <c r="C2273" s="552" t="s">
        <v>226</v>
      </c>
      <c r="D2273" s="557">
        <v>33.130000000000003</v>
      </c>
      <c r="E2273" s="557">
        <v>21.16</v>
      </c>
      <c r="F2273" s="557">
        <v>11.97</v>
      </c>
      <c r="G2273" s="557">
        <v>33.130000000000003</v>
      </c>
    </row>
    <row r="2274" spans="1:7" ht="12.6" customHeight="1" x14ac:dyDescent="0.25">
      <c r="A2274" s="551" t="s">
        <v>36094</v>
      </c>
      <c r="B2274" s="551" t="s">
        <v>36095</v>
      </c>
      <c r="C2274" s="552" t="s">
        <v>226</v>
      </c>
      <c r="D2274" s="557">
        <v>36.56</v>
      </c>
      <c r="E2274" s="557">
        <v>24.59</v>
      </c>
      <c r="F2274" s="557">
        <v>11.97</v>
      </c>
      <c r="G2274" s="557">
        <v>36.56</v>
      </c>
    </row>
    <row r="2275" spans="1:7" ht="12.6" customHeight="1" x14ac:dyDescent="0.2">
      <c r="A2275" s="548" t="s">
        <v>36096</v>
      </c>
      <c r="B2275" s="548" t="s">
        <v>36097</v>
      </c>
      <c r="C2275" s="550" t="s">
        <v>226</v>
      </c>
      <c r="D2275" s="550">
        <v>35.22</v>
      </c>
      <c r="E2275" s="550">
        <v>23.25</v>
      </c>
      <c r="F2275" s="550">
        <v>11.97</v>
      </c>
      <c r="G2275" s="550">
        <v>35.22</v>
      </c>
    </row>
    <row r="2276" spans="1:7" ht="12.6" customHeight="1" x14ac:dyDescent="0.25">
      <c r="A2276" s="551" t="s">
        <v>36098</v>
      </c>
      <c r="B2276" s="551" t="s">
        <v>36099</v>
      </c>
      <c r="C2276" s="552" t="s">
        <v>226</v>
      </c>
      <c r="D2276" s="557">
        <v>43.03</v>
      </c>
      <c r="E2276" s="557">
        <v>31.06</v>
      </c>
      <c r="F2276" s="557">
        <v>11.97</v>
      </c>
      <c r="G2276" s="557">
        <v>43.03</v>
      </c>
    </row>
    <row r="2277" spans="1:7" ht="24.95" customHeight="1" x14ac:dyDescent="0.25">
      <c r="A2277" s="551" t="s">
        <v>36100</v>
      </c>
      <c r="B2277" s="342" t="s">
        <v>36101</v>
      </c>
      <c r="C2277" s="552" t="s">
        <v>226</v>
      </c>
      <c r="D2277" s="557">
        <v>53.26</v>
      </c>
      <c r="E2277" s="557">
        <v>41.29</v>
      </c>
      <c r="F2277" s="557">
        <v>11.97</v>
      </c>
      <c r="G2277" s="557">
        <v>53.26</v>
      </c>
    </row>
    <row r="2278" spans="1:7" ht="23.1" customHeight="1" x14ac:dyDescent="0.25">
      <c r="A2278" s="551" t="s">
        <v>36102</v>
      </c>
      <c r="B2278" s="551" t="s">
        <v>36103</v>
      </c>
      <c r="C2278" s="552" t="s">
        <v>226</v>
      </c>
      <c r="D2278" s="557">
        <v>25.86</v>
      </c>
      <c r="E2278" s="557">
        <v>13.89</v>
      </c>
      <c r="F2278" s="557">
        <v>11.97</v>
      </c>
      <c r="G2278" s="557">
        <v>25.86</v>
      </c>
    </row>
    <row r="2279" spans="1:7" ht="24.95" customHeight="1" x14ac:dyDescent="0.25">
      <c r="A2279" s="551" t="s">
        <v>36104</v>
      </c>
      <c r="B2279" s="342" t="s">
        <v>36105</v>
      </c>
      <c r="C2279" s="552" t="s">
        <v>226</v>
      </c>
      <c r="D2279" s="557">
        <v>31.92</v>
      </c>
      <c r="E2279" s="557">
        <v>19.95</v>
      </c>
      <c r="F2279" s="557">
        <v>11.97</v>
      </c>
      <c r="G2279" s="557">
        <v>31.92</v>
      </c>
    </row>
    <row r="2280" spans="1:7" ht="24.95" customHeight="1" x14ac:dyDescent="0.25">
      <c r="A2280" s="551" t="s">
        <v>36106</v>
      </c>
      <c r="B2280" s="342" t="s">
        <v>36107</v>
      </c>
      <c r="C2280" s="552" t="s">
        <v>226</v>
      </c>
      <c r="D2280" s="557">
        <v>36.380000000000003</v>
      </c>
      <c r="E2280" s="557">
        <v>24.41</v>
      </c>
      <c r="F2280" s="557">
        <v>11.97</v>
      </c>
      <c r="G2280" s="557">
        <v>36.380000000000003</v>
      </c>
    </row>
    <row r="2281" spans="1:7" ht="24.95" customHeight="1" x14ac:dyDescent="0.25">
      <c r="A2281" s="551" t="s">
        <v>36108</v>
      </c>
      <c r="B2281" s="342" t="s">
        <v>36109</v>
      </c>
      <c r="C2281" s="552" t="s">
        <v>226</v>
      </c>
      <c r="D2281" s="557">
        <v>39.15</v>
      </c>
      <c r="E2281" s="557">
        <v>27.18</v>
      </c>
      <c r="F2281" s="557">
        <v>11.97</v>
      </c>
      <c r="G2281" s="557">
        <v>39.15</v>
      </c>
    </row>
    <row r="2282" spans="1:7" ht="12.6" customHeight="1" x14ac:dyDescent="0.25">
      <c r="A2282" s="551" t="s">
        <v>36110</v>
      </c>
      <c r="B2282" s="551" t="s">
        <v>36111</v>
      </c>
      <c r="C2282" s="552" t="s">
        <v>226</v>
      </c>
      <c r="D2282" s="557">
        <v>50.42</v>
      </c>
      <c r="E2282" s="557">
        <v>33.67</v>
      </c>
      <c r="F2282" s="557">
        <v>16.75</v>
      </c>
      <c r="G2282" s="557">
        <v>50.42</v>
      </c>
    </row>
    <row r="2283" spans="1:7" ht="24.95" customHeight="1" x14ac:dyDescent="0.25">
      <c r="A2283" s="551" t="s">
        <v>36112</v>
      </c>
      <c r="B2283" s="342" t="s">
        <v>36113</v>
      </c>
      <c r="C2283" s="552" t="s">
        <v>226</v>
      </c>
      <c r="D2283" s="557">
        <v>58.97</v>
      </c>
      <c r="E2283" s="557">
        <v>42.22</v>
      </c>
      <c r="F2283" s="557">
        <v>16.75</v>
      </c>
      <c r="G2283" s="557">
        <v>58.97</v>
      </c>
    </row>
    <row r="2284" spans="1:7" ht="24.95" customHeight="1" x14ac:dyDescent="0.25">
      <c r="A2284" s="551" t="s">
        <v>36114</v>
      </c>
      <c r="B2284" s="342" t="s">
        <v>36115</v>
      </c>
      <c r="C2284" s="552" t="s">
        <v>226</v>
      </c>
      <c r="D2284" s="557">
        <v>67.459999999999994</v>
      </c>
      <c r="E2284" s="557">
        <v>50.71</v>
      </c>
      <c r="F2284" s="557">
        <v>16.75</v>
      </c>
      <c r="G2284" s="557">
        <v>67.459999999999994</v>
      </c>
    </row>
    <row r="2285" spans="1:7" ht="24.95" customHeight="1" x14ac:dyDescent="0.25">
      <c r="A2285" s="551" t="s">
        <v>36116</v>
      </c>
      <c r="B2285" s="342" t="s">
        <v>36117</v>
      </c>
      <c r="C2285" s="552"/>
      <c r="D2285" s="557"/>
      <c r="E2285" s="557"/>
      <c r="F2285" s="557"/>
      <c r="G2285" s="557"/>
    </row>
    <row r="2286" spans="1:7" ht="24.95" customHeight="1" x14ac:dyDescent="0.25">
      <c r="A2286" s="551" t="s">
        <v>36118</v>
      </c>
      <c r="B2286" s="342" t="s">
        <v>36119</v>
      </c>
      <c r="C2286" s="552"/>
      <c r="D2286" s="557"/>
      <c r="E2286" s="557"/>
      <c r="F2286" s="557"/>
      <c r="G2286" s="557"/>
    </row>
    <row r="2287" spans="1:7" ht="24.95" customHeight="1" x14ac:dyDescent="0.25">
      <c r="A2287" s="551" t="s">
        <v>36120</v>
      </c>
      <c r="B2287" s="342" t="s">
        <v>36121</v>
      </c>
      <c r="C2287" s="552" t="s">
        <v>158</v>
      </c>
      <c r="D2287" s="557">
        <v>3.4</v>
      </c>
      <c r="E2287" s="557">
        <v>1.48</v>
      </c>
      <c r="F2287" s="557">
        <v>1.92</v>
      </c>
      <c r="G2287" s="557">
        <v>3.4</v>
      </c>
    </row>
    <row r="2288" spans="1:7" ht="12.6" customHeight="1" x14ac:dyDescent="0.25">
      <c r="A2288" s="551" t="s">
        <v>36122</v>
      </c>
      <c r="B2288" s="551" t="s">
        <v>36123</v>
      </c>
      <c r="C2288" s="552" t="s">
        <v>158</v>
      </c>
      <c r="D2288" s="557">
        <v>4.25</v>
      </c>
      <c r="E2288" s="557">
        <v>2.33</v>
      </c>
      <c r="F2288" s="557">
        <v>1.92</v>
      </c>
      <c r="G2288" s="557">
        <v>4.25</v>
      </c>
    </row>
    <row r="2289" spans="1:7" ht="12.6" customHeight="1" x14ac:dyDescent="0.2">
      <c r="A2289" s="548" t="s">
        <v>36124</v>
      </c>
      <c r="B2289" s="548" t="s">
        <v>36125</v>
      </c>
      <c r="C2289" s="550" t="s">
        <v>158</v>
      </c>
      <c r="D2289" s="550">
        <v>6.45</v>
      </c>
      <c r="E2289" s="550">
        <v>3.58</v>
      </c>
      <c r="F2289" s="550">
        <v>2.87</v>
      </c>
      <c r="G2289" s="550">
        <v>6.45</v>
      </c>
    </row>
    <row r="2290" spans="1:7" ht="23.1" customHeight="1" x14ac:dyDescent="0.25">
      <c r="A2290" s="551" t="s">
        <v>36126</v>
      </c>
      <c r="B2290" s="551" t="s">
        <v>36127</v>
      </c>
      <c r="C2290" s="552" t="s">
        <v>158</v>
      </c>
      <c r="D2290" s="557">
        <v>9.07</v>
      </c>
      <c r="E2290" s="557">
        <v>5.72</v>
      </c>
      <c r="F2290" s="557">
        <v>3.35</v>
      </c>
      <c r="G2290" s="557">
        <v>9.07</v>
      </c>
    </row>
    <row r="2291" spans="1:7" ht="23.1" customHeight="1" x14ac:dyDescent="0.25">
      <c r="A2291" s="551" t="s">
        <v>36128</v>
      </c>
      <c r="B2291" s="551" t="s">
        <v>36129</v>
      </c>
      <c r="C2291" s="552" t="s">
        <v>158</v>
      </c>
      <c r="D2291" s="557">
        <v>13.08</v>
      </c>
      <c r="E2291" s="557">
        <v>9.25</v>
      </c>
      <c r="F2291" s="557">
        <v>3.83</v>
      </c>
      <c r="G2291" s="557">
        <v>13.08</v>
      </c>
    </row>
    <row r="2292" spans="1:7" ht="23.1" customHeight="1" x14ac:dyDescent="0.25">
      <c r="A2292" s="551" t="s">
        <v>36130</v>
      </c>
      <c r="B2292" s="551" t="s">
        <v>36131</v>
      </c>
      <c r="C2292" s="552"/>
      <c r="D2292" s="557"/>
      <c r="E2292" s="557"/>
      <c r="F2292" s="557"/>
      <c r="G2292" s="557"/>
    </row>
    <row r="2293" spans="1:7" ht="23.1" customHeight="1" x14ac:dyDescent="0.25">
      <c r="A2293" s="551" t="s">
        <v>36132</v>
      </c>
      <c r="B2293" s="551" t="s">
        <v>36133</v>
      </c>
      <c r="C2293" s="552" t="s">
        <v>158</v>
      </c>
      <c r="D2293" s="557">
        <v>3.08</v>
      </c>
      <c r="E2293" s="557">
        <v>1.1599999999999999</v>
      </c>
      <c r="F2293" s="557">
        <v>1.92</v>
      </c>
      <c r="G2293" s="557">
        <v>3.08</v>
      </c>
    </row>
    <row r="2294" spans="1:7" ht="23.1" customHeight="1" x14ac:dyDescent="0.25">
      <c r="A2294" s="551" t="s">
        <v>36134</v>
      </c>
      <c r="B2294" s="551" t="s">
        <v>36135</v>
      </c>
      <c r="C2294" s="552" t="s">
        <v>158</v>
      </c>
      <c r="D2294" s="557">
        <v>4.63</v>
      </c>
      <c r="E2294" s="557">
        <v>2.2400000000000002</v>
      </c>
      <c r="F2294" s="557">
        <v>2.39</v>
      </c>
      <c r="G2294" s="557">
        <v>4.63</v>
      </c>
    </row>
    <row r="2295" spans="1:7" ht="12.6" customHeight="1" x14ac:dyDescent="0.2">
      <c r="A2295" s="548" t="s">
        <v>36136</v>
      </c>
      <c r="B2295" s="548" t="s">
        <v>36137</v>
      </c>
      <c r="C2295" s="550" t="s">
        <v>158</v>
      </c>
      <c r="D2295" s="550">
        <v>6.57</v>
      </c>
      <c r="E2295" s="550">
        <v>3.7</v>
      </c>
      <c r="F2295" s="550">
        <v>2.87</v>
      </c>
      <c r="G2295" s="550">
        <v>6.57</v>
      </c>
    </row>
    <row r="2296" spans="1:7" ht="12.6" customHeight="1" x14ac:dyDescent="0.2">
      <c r="A2296" s="551" t="s">
        <v>36138</v>
      </c>
      <c r="B2296" s="551" t="s">
        <v>36139</v>
      </c>
      <c r="C2296" s="552" t="s">
        <v>158</v>
      </c>
      <c r="D2296" s="557">
        <v>8.65</v>
      </c>
      <c r="E2296" s="343">
        <v>5.3</v>
      </c>
      <c r="F2296" s="557">
        <v>3.35</v>
      </c>
      <c r="G2296" s="557">
        <v>8.65</v>
      </c>
    </row>
    <row r="2297" spans="1:7" ht="12.6" customHeight="1" x14ac:dyDescent="0.2">
      <c r="A2297" s="551" t="s">
        <v>36140</v>
      </c>
      <c r="B2297" s="551" t="s">
        <v>36141</v>
      </c>
      <c r="C2297" s="552" t="s">
        <v>158</v>
      </c>
      <c r="D2297" s="557">
        <v>12.15</v>
      </c>
      <c r="E2297" s="343">
        <v>8.32</v>
      </c>
      <c r="F2297" s="557">
        <v>3.83</v>
      </c>
      <c r="G2297" s="557">
        <v>12.15</v>
      </c>
    </row>
    <row r="2298" spans="1:7" ht="12.6" customHeight="1" x14ac:dyDescent="0.2">
      <c r="A2298" s="551" t="s">
        <v>36142</v>
      </c>
      <c r="B2298" s="551" t="s">
        <v>36143</v>
      </c>
      <c r="C2298" s="552"/>
      <c r="D2298" s="557"/>
      <c r="E2298" s="343"/>
      <c r="F2298" s="557"/>
      <c r="G2298" s="557"/>
    </row>
    <row r="2299" spans="1:7" ht="12.6" customHeight="1" x14ac:dyDescent="0.2">
      <c r="A2299" s="551" t="s">
        <v>36144</v>
      </c>
      <c r="B2299" s="551" t="s">
        <v>36145</v>
      </c>
      <c r="C2299" s="552" t="s">
        <v>158</v>
      </c>
      <c r="D2299" s="557">
        <v>10.01</v>
      </c>
      <c r="E2299" s="343">
        <v>7.62</v>
      </c>
      <c r="F2299" s="557">
        <v>2.39</v>
      </c>
      <c r="G2299" s="557">
        <v>10.01</v>
      </c>
    </row>
    <row r="2300" spans="1:7" ht="12.6" customHeight="1" x14ac:dyDescent="0.2">
      <c r="A2300" s="548" t="s">
        <v>36146</v>
      </c>
      <c r="B2300" s="548" t="s">
        <v>36147</v>
      </c>
      <c r="C2300" s="550" t="s">
        <v>158</v>
      </c>
      <c r="D2300" s="550">
        <v>15.77</v>
      </c>
      <c r="E2300" s="550">
        <v>13.38</v>
      </c>
      <c r="F2300" s="550">
        <v>2.39</v>
      </c>
      <c r="G2300" s="550">
        <v>15.77</v>
      </c>
    </row>
    <row r="2301" spans="1:7" ht="12.6" customHeight="1" x14ac:dyDescent="0.25">
      <c r="A2301" s="551" t="s">
        <v>36148</v>
      </c>
      <c r="B2301" s="551" t="s">
        <v>36149</v>
      </c>
      <c r="C2301" s="552" t="s">
        <v>158</v>
      </c>
      <c r="D2301" s="557">
        <v>22.7</v>
      </c>
      <c r="E2301" s="557">
        <v>17.91</v>
      </c>
      <c r="F2301" s="557">
        <v>4.79</v>
      </c>
      <c r="G2301" s="557">
        <v>22.7</v>
      </c>
    </row>
    <row r="2302" spans="1:7" ht="12.6" customHeight="1" x14ac:dyDescent="0.25">
      <c r="A2302" s="551" t="s">
        <v>36150</v>
      </c>
      <c r="B2302" s="551" t="s">
        <v>36151</v>
      </c>
      <c r="C2302" s="552" t="s">
        <v>158</v>
      </c>
      <c r="D2302" s="557">
        <v>35.92</v>
      </c>
      <c r="E2302" s="557">
        <v>28.74</v>
      </c>
      <c r="F2302" s="557">
        <v>7.18</v>
      </c>
      <c r="G2302" s="557">
        <v>35.92</v>
      </c>
    </row>
    <row r="2303" spans="1:7" ht="12.6" customHeight="1" x14ac:dyDescent="0.25">
      <c r="A2303" s="551" t="s">
        <v>36152</v>
      </c>
      <c r="B2303" s="551" t="s">
        <v>36153</v>
      </c>
      <c r="C2303" s="552" t="s">
        <v>158</v>
      </c>
      <c r="D2303" s="557">
        <v>50.37</v>
      </c>
      <c r="E2303" s="557">
        <v>40.799999999999997</v>
      </c>
      <c r="F2303" s="557">
        <v>9.57</v>
      </c>
      <c r="G2303" s="557">
        <v>50.37</v>
      </c>
    </row>
    <row r="2304" spans="1:7" ht="12.6" customHeight="1" x14ac:dyDescent="0.25">
      <c r="A2304" s="551" t="s">
        <v>36154</v>
      </c>
      <c r="B2304" s="551" t="s">
        <v>36155</v>
      </c>
      <c r="C2304" s="552" t="s">
        <v>158</v>
      </c>
      <c r="D2304" s="557">
        <v>69.48</v>
      </c>
      <c r="E2304" s="557">
        <v>57.51</v>
      </c>
      <c r="F2304" s="557">
        <v>11.97</v>
      </c>
      <c r="G2304" s="557">
        <v>69.48</v>
      </c>
    </row>
    <row r="2305" spans="1:7" ht="12.6" customHeight="1" x14ac:dyDescent="0.25">
      <c r="A2305" s="551" t="s">
        <v>36156</v>
      </c>
      <c r="B2305" s="551" t="s">
        <v>36157</v>
      </c>
      <c r="C2305" s="552" t="s">
        <v>158</v>
      </c>
      <c r="D2305" s="557">
        <v>96.6</v>
      </c>
      <c r="E2305" s="557">
        <v>82.24</v>
      </c>
      <c r="F2305" s="557">
        <v>14.36</v>
      </c>
      <c r="G2305" s="557">
        <v>96.6</v>
      </c>
    </row>
    <row r="2306" spans="1:7" ht="12.6" customHeight="1" x14ac:dyDescent="0.25">
      <c r="A2306" s="551" t="s">
        <v>36158</v>
      </c>
      <c r="B2306" s="551" t="s">
        <v>36159</v>
      </c>
      <c r="C2306" s="552" t="s">
        <v>158</v>
      </c>
      <c r="D2306" s="557">
        <v>189.85</v>
      </c>
      <c r="E2306" s="557">
        <v>168.31</v>
      </c>
      <c r="F2306" s="557">
        <v>21.54</v>
      </c>
      <c r="G2306" s="557">
        <v>189.85</v>
      </c>
    </row>
    <row r="2307" spans="1:7" ht="12.6" customHeight="1" x14ac:dyDescent="0.25">
      <c r="A2307" s="551" t="s">
        <v>36160</v>
      </c>
      <c r="B2307" s="551" t="s">
        <v>36161</v>
      </c>
      <c r="C2307" s="552"/>
      <c r="D2307" s="557"/>
      <c r="E2307" s="557"/>
      <c r="F2307" s="557"/>
      <c r="G2307" s="557"/>
    </row>
    <row r="2308" spans="1:7" ht="12.6" customHeight="1" x14ac:dyDescent="0.25">
      <c r="A2308" s="551" t="s">
        <v>36162</v>
      </c>
      <c r="B2308" s="551" t="s">
        <v>36163</v>
      </c>
      <c r="C2308" s="552" t="s">
        <v>158</v>
      </c>
      <c r="D2308" s="557">
        <v>229.55</v>
      </c>
      <c r="E2308" s="557">
        <v>186.14</v>
      </c>
      <c r="F2308" s="557">
        <v>43.41</v>
      </c>
      <c r="G2308" s="557">
        <v>229.55</v>
      </c>
    </row>
    <row r="2309" spans="1:7" ht="12.6" customHeight="1" x14ac:dyDescent="0.25">
      <c r="A2309" s="551" t="s">
        <v>36164</v>
      </c>
      <c r="B2309" s="551" t="s">
        <v>36165</v>
      </c>
      <c r="C2309" s="552"/>
      <c r="D2309" s="557"/>
      <c r="E2309" s="557"/>
      <c r="F2309" s="557"/>
      <c r="G2309" s="557"/>
    </row>
    <row r="2310" spans="1:7" ht="12.6" customHeight="1" x14ac:dyDescent="0.25">
      <c r="A2310" s="551" t="s">
        <v>36166</v>
      </c>
      <c r="B2310" s="551" t="s">
        <v>36167</v>
      </c>
      <c r="C2310" s="552" t="s">
        <v>158</v>
      </c>
      <c r="D2310" s="557">
        <v>75.930000000000007</v>
      </c>
      <c r="E2310" s="557">
        <v>49.89</v>
      </c>
      <c r="F2310" s="557">
        <v>26.04</v>
      </c>
      <c r="G2310" s="557">
        <v>75.930000000000007</v>
      </c>
    </row>
    <row r="2311" spans="1:7" ht="12.6" customHeight="1" x14ac:dyDescent="0.25">
      <c r="A2311" s="551" t="s">
        <v>36168</v>
      </c>
      <c r="B2311" s="551" t="s">
        <v>36169</v>
      </c>
      <c r="C2311" s="552" t="s">
        <v>158</v>
      </c>
      <c r="D2311" s="557">
        <v>90.31</v>
      </c>
      <c r="E2311" s="557">
        <v>58.95</v>
      </c>
      <c r="F2311" s="557">
        <v>31.36</v>
      </c>
      <c r="G2311" s="557">
        <v>90.31</v>
      </c>
    </row>
    <row r="2312" spans="1:7" ht="11.45" customHeight="1" x14ac:dyDescent="0.25">
      <c r="A2312" s="543" t="s">
        <v>36170</v>
      </c>
      <c r="B2312" s="544" t="s">
        <v>36171</v>
      </c>
      <c r="C2312" s="544" t="s">
        <v>158</v>
      </c>
      <c r="D2312" s="543">
        <v>117.76</v>
      </c>
      <c r="E2312" s="545">
        <v>74.349999999999994</v>
      </c>
      <c r="F2312" s="546">
        <v>43.41</v>
      </c>
      <c r="G2312" s="543">
        <v>117.76</v>
      </c>
    </row>
    <row r="2313" spans="1:7" ht="23.1" customHeight="1" x14ac:dyDescent="0.25">
      <c r="A2313" s="551" t="s">
        <v>36172</v>
      </c>
      <c r="B2313" s="551" t="s">
        <v>36173</v>
      </c>
      <c r="C2313" s="552" t="s">
        <v>158</v>
      </c>
      <c r="D2313" s="557">
        <v>196.36</v>
      </c>
      <c r="E2313" s="557">
        <v>144.28</v>
      </c>
      <c r="F2313" s="557">
        <v>52.08</v>
      </c>
      <c r="G2313" s="557">
        <v>196.36</v>
      </c>
    </row>
    <row r="2314" spans="1:7" ht="23.1" customHeight="1" x14ac:dyDescent="0.25">
      <c r="A2314" s="551" t="s">
        <v>36174</v>
      </c>
      <c r="B2314" s="551" t="s">
        <v>36175</v>
      </c>
      <c r="C2314" s="552"/>
      <c r="D2314" s="557"/>
      <c r="E2314" s="557"/>
      <c r="F2314" s="557"/>
      <c r="G2314" s="557"/>
    </row>
    <row r="2315" spans="1:7" ht="23.1" customHeight="1" x14ac:dyDescent="0.25">
      <c r="A2315" s="551" t="s">
        <v>36176</v>
      </c>
      <c r="B2315" s="551" t="s">
        <v>36177</v>
      </c>
      <c r="C2315" s="552" t="s">
        <v>226</v>
      </c>
      <c r="D2315" s="557">
        <v>13.47</v>
      </c>
      <c r="E2315" s="557">
        <v>8.68</v>
      </c>
      <c r="F2315" s="557">
        <v>4.79</v>
      </c>
      <c r="G2315" s="557">
        <v>13.47</v>
      </c>
    </row>
    <row r="2316" spans="1:7" ht="23.1" customHeight="1" x14ac:dyDescent="0.25">
      <c r="A2316" s="551" t="s">
        <v>36178</v>
      </c>
      <c r="B2316" s="551" t="s">
        <v>36179</v>
      </c>
      <c r="C2316" s="552" t="s">
        <v>226</v>
      </c>
      <c r="D2316" s="557">
        <v>10.41</v>
      </c>
      <c r="E2316" s="557">
        <v>5.62</v>
      </c>
      <c r="F2316" s="557">
        <v>4.79</v>
      </c>
      <c r="G2316" s="557">
        <v>10.41</v>
      </c>
    </row>
    <row r="2317" spans="1:7" ht="12.6" customHeight="1" x14ac:dyDescent="0.2">
      <c r="A2317" s="548" t="s">
        <v>36180</v>
      </c>
      <c r="B2317" s="548" t="s">
        <v>36181</v>
      </c>
      <c r="C2317" s="550" t="s">
        <v>226</v>
      </c>
      <c r="D2317" s="550">
        <v>14.37</v>
      </c>
      <c r="E2317" s="550">
        <v>9.58</v>
      </c>
      <c r="F2317" s="550">
        <v>4.79</v>
      </c>
      <c r="G2317" s="550">
        <v>14.37</v>
      </c>
    </row>
    <row r="2318" spans="1:7" ht="23.1" customHeight="1" x14ac:dyDescent="0.25">
      <c r="A2318" s="551" t="s">
        <v>36182</v>
      </c>
      <c r="B2318" s="551" t="s">
        <v>36183</v>
      </c>
      <c r="C2318" s="552" t="s">
        <v>226</v>
      </c>
      <c r="D2318" s="557">
        <v>16.18</v>
      </c>
      <c r="E2318" s="557">
        <v>11.39</v>
      </c>
      <c r="F2318" s="557">
        <v>4.79</v>
      </c>
      <c r="G2318" s="557">
        <v>16.18</v>
      </c>
    </row>
    <row r="2319" spans="1:7" ht="23.1" customHeight="1" x14ac:dyDescent="0.25">
      <c r="A2319" s="551" t="s">
        <v>36184</v>
      </c>
      <c r="B2319" s="551" t="s">
        <v>36185</v>
      </c>
      <c r="C2319" s="552" t="s">
        <v>226</v>
      </c>
      <c r="D2319" s="557">
        <v>17.52</v>
      </c>
      <c r="E2319" s="557">
        <v>12.73</v>
      </c>
      <c r="F2319" s="557">
        <v>4.79</v>
      </c>
      <c r="G2319" s="557">
        <v>17.52</v>
      </c>
    </row>
    <row r="2320" spans="1:7" ht="23.1" customHeight="1" x14ac:dyDescent="0.25">
      <c r="A2320" s="551" t="s">
        <v>36186</v>
      </c>
      <c r="B2320" s="551" t="s">
        <v>36187</v>
      </c>
      <c r="C2320" s="552" t="s">
        <v>226</v>
      </c>
      <c r="D2320" s="557">
        <v>20.49</v>
      </c>
      <c r="E2320" s="557">
        <v>15.7</v>
      </c>
      <c r="F2320" s="557">
        <v>4.79</v>
      </c>
      <c r="G2320" s="557">
        <v>20.49</v>
      </c>
    </row>
    <row r="2321" spans="1:7" ht="23.1" customHeight="1" x14ac:dyDescent="0.25">
      <c r="A2321" s="551" t="s">
        <v>36188</v>
      </c>
      <c r="B2321" s="551" t="s">
        <v>36189</v>
      </c>
      <c r="C2321" s="552" t="s">
        <v>226</v>
      </c>
      <c r="D2321" s="557">
        <v>21.38</v>
      </c>
      <c r="E2321" s="557">
        <v>16.59</v>
      </c>
      <c r="F2321" s="557">
        <v>4.79</v>
      </c>
      <c r="G2321" s="557">
        <v>21.38</v>
      </c>
    </row>
    <row r="2322" spans="1:7" ht="23.1" customHeight="1" x14ac:dyDescent="0.25">
      <c r="A2322" s="551" t="s">
        <v>36190</v>
      </c>
      <c r="B2322" s="551" t="s">
        <v>36191</v>
      </c>
      <c r="C2322" s="552" t="s">
        <v>226</v>
      </c>
      <c r="D2322" s="557">
        <v>24.67</v>
      </c>
      <c r="E2322" s="557">
        <v>19.88</v>
      </c>
      <c r="F2322" s="557">
        <v>4.79</v>
      </c>
      <c r="G2322" s="557">
        <v>24.67</v>
      </c>
    </row>
    <row r="2323" spans="1:7" ht="12.6" customHeight="1" x14ac:dyDescent="0.25">
      <c r="A2323" s="551" t="s">
        <v>36192</v>
      </c>
      <c r="B2323" s="551" t="s">
        <v>36193</v>
      </c>
      <c r="C2323" s="552"/>
      <c r="D2323" s="557"/>
      <c r="E2323" s="557"/>
      <c r="F2323" s="557"/>
      <c r="G2323" s="557"/>
    </row>
    <row r="2324" spans="1:7" ht="12.6" customHeight="1" x14ac:dyDescent="0.25">
      <c r="A2324" s="551" t="s">
        <v>36194</v>
      </c>
      <c r="B2324" s="551" t="s">
        <v>36195</v>
      </c>
      <c r="C2324" s="552" t="s">
        <v>226</v>
      </c>
      <c r="D2324" s="557">
        <v>4.6900000000000004</v>
      </c>
      <c r="E2324" s="557">
        <v>0.86</v>
      </c>
      <c r="F2324" s="557">
        <v>3.83</v>
      </c>
      <c r="G2324" s="557">
        <v>4.6900000000000004</v>
      </c>
    </row>
    <row r="2325" spans="1:7" ht="12.6" customHeight="1" x14ac:dyDescent="0.25">
      <c r="A2325" s="551" t="s">
        <v>36196</v>
      </c>
      <c r="B2325" s="551" t="s">
        <v>36197</v>
      </c>
      <c r="C2325" s="552" t="s">
        <v>226</v>
      </c>
      <c r="D2325" s="557">
        <v>13.31</v>
      </c>
      <c r="E2325" s="557">
        <v>6.13</v>
      </c>
      <c r="F2325" s="557">
        <v>7.18</v>
      </c>
      <c r="G2325" s="557">
        <v>13.31</v>
      </c>
    </row>
    <row r="2326" spans="1:7" ht="12.6" customHeight="1" x14ac:dyDescent="0.25">
      <c r="A2326" s="551" t="s">
        <v>36198</v>
      </c>
      <c r="B2326" s="551" t="s">
        <v>36199</v>
      </c>
      <c r="C2326" s="552" t="s">
        <v>226</v>
      </c>
      <c r="D2326" s="557">
        <v>16.309999999999999</v>
      </c>
      <c r="E2326" s="557">
        <v>9.1300000000000008</v>
      </c>
      <c r="F2326" s="557">
        <v>7.18</v>
      </c>
      <c r="G2326" s="557">
        <v>16.309999999999999</v>
      </c>
    </row>
    <row r="2327" spans="1:7" ht="12.6" customHeight="1" x14ac:dyDescent="0.25">
      <c r="A2327" s="551" t="s">
        <v>36200</v>
      </c>
      <c r="B2327" s="551" t="s">
        <v>36201</v>
      </c>
      <c r="C2327" s="552" t="s">
        <v>226</v>
      </c>
      <c r="D2327" s="557">
        <v>16.39</v>
      </c>
      <c r="E2327" s="557">
        <v>9.2100000000000009</v>
      </c>
      <c r="F2327" s="557">
        <v>7.18</v>
      </c>
      <c r="G2327" s="557">
        <v>16.39</v>
      </c>
    </row>
    <row r="2328" spans="1:7" ht="12.6" customHeight="1" x14ac:dyDescent="0.25">
      <c r="A2328" s="551" t="s">
        <v>36202</v>
      </c>
      <c r="B2328" s="551" t="s">
        <v>36203</v>
      </c>
      <c r="C2328" s="552" t="s">
        <v>226</v>
      </c>
      <c r="D2328" s="557">
        <v>16.78</v>
      </c>
      <c r="E2328" s="557">
        <v>9.6</v>
      </c>
      <c r="F2328" s="557">
        <v>7.18</v>
      </c>
      <c r="G2328" s="557">
        <v>16.78</v>
      </c>
    </row>
    <row r="2329" spans="1:7" ht="12.6" customHeight="1" x14ac:dyDescent="0.25">
      <c r="A2329" s="551" t="s">
        <v>36204</v>
      </c>
      <c r="B2329" s="551" t="s">
        <v>36205</v>
      </c>
      <c r="C2329" s="552" t="s">
        <v>226</v>
      </c>
      <c r="D2329" s="557">
        <v>21.1</v>
      </c>
      <c r="E2329" s="557">
        <v>13.92</v>
      </c>
      <c r="F2329" s="557">
        <v>7.18</v>
      </c>
      <c r="G2329" s="557">
        <v>21.1</v>
      </c>
    </row>
    <row r="2330" spans="1:7" ht="12.6" customHeight="1" x14ac:dyDescent="0.2">
      <c r="A2330" s="548" t="s">
        <v>36206</v>
      </c>
      <c r="B2330" s="548" t="s">
        <v>36207</v>
      </c>
      <c r="C2330" s="550" t="s">
        <v>226</v>
      </c>
      <c r="D2330" s="550">
        <v>22.22</v>
      </c>
      <c r="E2330" s="550">
        <v>15.04</v>
      </c>
      <c r="F2330" s="550">
        <v>7.18</v>
      </c>
      <c r="G2330" s="550">
        <v>22.22</v>
      </c>
    </row>
    <row r="2331" spans="1:7" ht="12.6" customHeight="1" x14ac:dyDescent="0.25">
      <c r="A2331" s="551" t="s">
        <v>36208</v>
      </c>
      <c r="B2331" s="551" t="s">
        <v>36209</v>
      </c>
      <c r="C2331" s="552" t="s">
        <v>226</v>
      </c>
      <c r="D2331" s="557">
        <v>28.84</v>
      </c>
      <c r="E2331" s="557">
        <v>21.66</v>
      </c>
      <c r="F2331" s="557">
        <v>7.18</v>
      </c>
      <c r="G2331" s="557">
        <v>28.84</v>
      </c>
    </row>
    <row r="2332" spans="1:7" ht="12.6" customHeight="1" x14ac:dyDescent="0.25">
      <c r="A2332" s="551" t="s">
        <v>36210</v>
      </c>
      <c r="B2332" s="551" t="s">
        <v>36211</v>
      </c>
      <c r="C2332" s="552" t="s">
        <v>226</v>
      </c>
      <c r="D2332" s="557">
        <v>38.29</v>
      </c>
      <c r="E2332" s="557">
        <v>28.72</v>
      </c>
      <c r="F2332" s="557">
        <v>9.57</v>
      </c>
      <c r="G2332" s="557">
        <v>38.29</v>
      </c>
    </row>
    <row r="2333" spans="1:7" ht="12.6" customHeight="1" x14ac:dyDescent="0.25">
      <c r="A2333" s="551" t="s">
        <v>36212</v>
      </c>
      <c r="B2333" s="551" t="s">
        <v>36213</v>
      </c>
      <c r="C2333" s="552" t="s">
        <v>226</v>
      </c>
      <c r="D2333" s="557">
        <v>41.87</v>
      </c>
      <c r="E2333" s="557">
        <v>32.299999999999997</v>
      </c>
      <c r="F2333" s="557">
        <v>9.57</v>
      </c>
      <c r="G2333" s="557">
        <v>41.87</v>
      </c>
    </row>
    <row r="2334" spans="1:7" ht="12.6" customHeight="1" x14ac:dyDescent="0.25">
      <c r="A2334" s="551" t="s">
        <v>36214</v>
      </c>
      <c r="B2334" s="551" t="s">
        <v>36215</v>
      </c>
      <c r="C2334" s="552" t="s">
        <v>226</v>
      </c>
      <c r="D2334" s="557">
        <v>51.2</v>
      </c>
      <c r="E2334" s="557">
        <v>41.63</v>
      </c>
      <c r="F2334" s="557">
        <v>9.57</v>
      </c>
      <c r="G2334" s="557">
        <v>51.2</v>
      </c>
    </row>
    <row r="2335" spans="1:7" ht="12.6" customHeight="1" x14ac:dyDescent="0.25">
      <c r="A2335" s="551" t="s">
        <v>36216</v>
      </c>
      <c r="B2335" s="551" t="s">
        <v>36217</v>
      </c>
      <c r="C2335" s="552" t="s">
        <v>226</v>
      </c>
      <c r="D2335" s="557">
        <v>56.18</v>
      </c>
      <c r="E2335" s="557">
        <v>46.61</v>
      </c>
      <c r="F2335" s="557">
        <v>9.57</v>
      </c>
      <c r="G2335" s="557">
        <v>56.18</v>
      </c>
    </row>
    <row r="2336" spans="1:7" ht="12.6" customHeight="1" x14ac:dyDescent="0.25">
      <c r="A2336" s="551" t="s">
        <v>36218</v>
      </c>
      <c r="B2336" s="551" t="s">
        <v>36219</v>
      </c>
      <c r="C2336" s="552"/>
      <c r="D2336" s="557"/>
      <c r="E2336" s="557"/>
      <c r="F2336" s="557"/>
      <c r="G2336" s="557"/>
    </row>
    <row r="2337" spans="1:7" ht="12.6" customHeight="1" x14ac:dyDescent="0.25">
      <c r="A2337" s="551" t="s">
        <v>36220</v>
      </c>
      <c r="B2337" s="551" t="s">
        <v>36221</v>
      </c>
      <c r="C2337" s="552" t="s">
        <v>158</v>
      </c>
      <c r="D2337" s="557">
        <v>12.73</v>
      </c>
      <c r="E2337" s="557">
        <v>5.55</v>
      </c>
      <c r="F2337" s="557">
        <v>7.18</v>
      </c>
      <c r="G2337" s="557">
        <v>12.73</v>
      </c>
    </row>
    <row r="2338" spans="1:7" ht="12.6" customHeight="1" x14ac:dyDescent="0.25">
      <c r="A2338" s="551" t="s">
        <v>36222</v>
      </c>
      <c r="B2338" s="551" t="s">
        <v>36223</v>
      </c>
      <c r="C2338" s="552" t="s">
        <v>158</v>
      </c>
      <c r="D2338" s="557">
        <v>17.48</v>
      </c>
      <c r="E2338" s="557">
        <v>10.3</v>
      </c>
      <c r="F2338" s="557">
        <v>7.18</v>
      </c>
      <c r="G2338" s="557">
        <v>17.48</v>
      </c>
    </row>
    <row r="2339" spans="1:7" ht="12.6" customHeight="1" x14ac:dyDescent="0.25">
      <c r="A2339" s="551" t="s">
        <v>36224</v>
      </c>
      <c r="B2339" s="551" t="s">
        <v>36225</v>
      </c>
      <c r="C2339" s="552" t="s">
        <v>158</v>
      </c>
      <c r="D2339" s="557">
        <v>31.5</v>
      </c>
      <c r="E2339" s="557">
        <v>24.32</v>
      </c>
      <c r="F2339" s="557">
        <v>7.18</v>
      </c>
      <c r="G2339" s="557">
        <v>31.5</v>
      </c>
    </row>
    <row r="2340" spans="1:7" ht="12.6" customHeight="1" x14ac:dyDescent="0.25">
      <c r="A2340" s="551" t="s">
        <v>36226</v>
      </c>
      <c r="B2340" s="551" t="s">
        <v>36227</v>
      </c>
      <c r="C2340" s="552" t="s">
        <v>158</v>
      </c>
      <c r="D2340" s="557">
        <v>4.3</v>
      </c>
      <c r="E2340" s="557">
        <v>0.47</v>
      </c>
      <c r="F2340" s="557">
        <v>3.83</v>
      </c>
      <c r="G2340" s="557">
        <v>4.3</v>
      </c>
    </row>
    <row r="2341" spans="1:7" ht="12.6" customHeight="1" x14ac:dyDescent="0.25">
      <c r="A2341" s="551" t="s">
        <v>36228</v>
      </c>
      <c r="B2341" s="551" t="s">
        <v>36229</v>
      </c>
      <c r="C2341" s="552" t="s">
        <v>158</v>
      </c>
      <c r="D2341" s="557">
        <v>5.6</v>
      </c>
      <c r="E2341" s="557">
        <v>1.77</v>
      </c>
      <c r="F2341" s="557">
        <v>3.83</v>
      </c>
      <c r="G2341" s="557">
        <v>5.6</v>
      </c>
    </row>
    <row r="2342" spans="1:7" ht="12.6" customHeight="1" x14ac:dyDescent="0.25">
      <c r="A2342" s="551" t="s">
        <v>36230</v>
      </c>
      <c r="B2342" s="551" t="s">
        <v>36231</v>
      </c>
      <c r="C2342" s="552" t="s">
        <v>158</v>
      </c>
      <c r="D2342" s="557">
        <v>16.38</v>
      </c>
      <c r="E2342" s="557">
        <v>2.02</v>
      </c>
      <c r="F2342" s="557">
        <v>14.36</v>
      </c>
      <c r="G2342" s="557">
        <v>16.38</v>
      </c>
    </row>
    <row r="2343" spans="1:7" ht="12.6" customHeight="1" x14ac:dyDescent="0.25">
      <c r="A2343" s="551" t="s">
        <v>36232</v>
      </c>
      <c r="B2343" s="551" t="s">
        <v>36233</v>
      </c>
      <c r="C2343" s="552" t="s">
        <v>158</v>
      </c>
      <c r="D2343" s="557">
        <v>11.71</v>
      </c>
      <c r="E2343" s="557">
        <v>5.96</v>
      </c>
      <c r="F2343" s="557">
        <v>5.75</v>
      </c>
      <c r="G2343" s="557">
        <v>11.71</v>
      </c>
    </row>
    <row r="2344" spans="1:7" ht="12.6" customHeight="1" x14ac:dyDescent="0.25">
      <c r="A2344" s="551" t="s">
        <v>36234</v>
      </c>
      <c r="B2344" s="551" t="s">
        <v>36235</v>
      </c>
      <c r="C2344" s="552" t="s">
        <v>158</v>
      </c>
      <c r="D2344" s="557">
        <v>7.73</v>
      </c>
      <c r="E2344" s="557">
        <v>2.94</v>
      </c>
      <c r="F2344" s="557">
        <v>4.79</v>
      </c>
      <c r="G2344" s="557">
        <v>7.73</v>
      </c>
    </row>
    <row r="2345" spans="1:7" ht="12.6" customHeight="1" x14ac:dyDescent="0.25">
      <c r="A2345" s="551" t="s">
        <v>36236</v>
      </c>
      <c r="B2345" s="551" t="s">
        <v>36237</v>
      </c>
      <c r="C2345" s="552" t="s">
        <v>158</v>
      </c>
      <c r="D2345" s="557">
        <v>18.489999999999998</v>
      </c>
      <c r="E2345" s="557">
        <v>12.27</v>
      </c>
      <c r="F2345" s="557">
        <v>6.22</v>
      </c>
      <c r="G2345" s="557">
        <v>18.489999999999998</v>
      </c>
    </row>
    <row r="2346" spans="1:7" ht="12.6" customHeight="1" x14ac:dyDescent="0.25">
      <c r="A2346" s="551" t="s">
        <v>36238</v>
      </c>
      <c r="B2346" s="551" t="s">
        <v>36239</v>
      </c>
      <c r="C2346" s="552" t="s">
        <v>158</v>
      </c>
      <c r="D2346" s="557">
        <v>33.200000000000003</v>
      </c>
      <c r="E2346" s="557">
        <v>25.54</v>
      </c>
      <c r="F2346" s="557">
        <v>7.66</v>
      </c>
      <c r="G2346" s="557">
        <v>33.200000000000003</v>
      </c>
    </row>
    <row r="2347" spans="1:7" ht="12.6" customHeight="1" x14ac:dyDescent="0.25">
      <c r="A2347" s="551" t="s">
        <v>36240</v>
      </c>
      <c r="B2347" s="551" t="s">
        <v>36241</v>
      </c>
      <c r="C2347" s="552" t="s">
        <v>158</v>
      </c>
      <c r="D2347" s="557">
        <v>63.33</v>
      </c>
      <c r="E2347" s="557">
        <v>53.28</v>
      </c>
      <c r="F2347" s="557">
        <v>10.050000000000001</v>
      </c>
      <c r="G2347" s="557">
        <v>63.33</v>
      </c>
    </row>
    <row r="2348" spans="1:7" ht="12.6" customHeight="1" x14ac:dyDescent="0.25">
      <c r="A2348" s="551" t="s">
        <v>36242</v>
      </c>
      <c r="B2348" s="551" t="s">
        <v>36243</v>
      </c>
      <c r="C2348" s="552" t="s">
        <v>158</v>
      </c>
      <c r="D2348" s="557">
        <v>14.35</v>
      </c>
      <c r="E2348" s="557">
        <v>8.6</v>
      </c>
      <c r="F2348" s="557">
        <v>5.75</v>
      </c>
      <c r="G2348" s="557">
        <v>14.35</v>
      </c>
    </row>
    <row r="2349" spans="1:7" ht="12.6" customHeight="1" x14ac:dyDescent="0.25">
      <c r="A2349" s="551" t="s">
        <v>36244</v>
      </c>
      <c r="B2349" s="551" t="s">
        <v>36245</v>
      </c>
      <c r="C2349" s="552" t="s">
        <v>158</v>
      </c>
      <c r="D2349" s="557">
        <v>18.010000000000002</v>
      </c>
      <c r="E2349" s="557">
        <v>11.79</v>
      </c>
      <c r="F2349" s="557">
        <v>6.22</v>
      </c>
      <c r="G2349" s="557">
        <v>18.010000000000002</v>
      </c>
    </row>
    <row r="2350" spans="1:7" ht="12.6" customHeight="1" x14ac:dyDescent="0.2">
      <c r="A2350" s="559" t="s">
        <v>36246</v>
      </c>
      <c r="B2350" s="548" t="s">
        <v>36247</v>
      </c>
      <c r="C2350" s="550" t="s">
        <v>158</v>
      </c>
      <c r="D2350" s="550">
        <v>36.200000000000003</v>
      </c>
      <c r="E2350" s="550">
        <v>28.54</v>
      </c>
      <c r="F2350" s="550">
        <v>7.66</v>
      </c>
      <c r="G2350" s="550">
        <v>36.200000000000003</v>
      </c>
    </row>
    <row r="2351" spans="1:7" ht="12.6" customHeight="1" x14ac:dyDescent="0.2">
      <c r="A2351" s="548" t="s">
        <v>36248</v>
      </c>
      <c r="B2351" s="548" t="s">
        <v>36249</v>
      </c>
      <c r="C2351" s="550" t="s">
        <v>158</v>
      </c>
      <c r="D2351" s="550">
        <v>16</v>
      </c>
      <c r="E2351" s="550">
        <v>10.25</v>
      </c>
      <c r="F2351" s="550">
        <v>5.75</v>
      </c>
      <c r="G2351" s="550">
        <v>16</v>
      </c>
    </row>
    <row r="2352" spans="1:7" ht="12.6" customHeight="1" x14ac:dyDescent="0.25">
      <c r="A2352" s="551" t="s">
        <v>36250</v>
      </c>
      <c r="B2352" s="551" t="s">
        <v>36251</v>
      </c>
      <c r="C2352" s="552" t="s">
        <v>158</v>
      </c>
      <c r="D2352" s="557">
        <v>23.11</v>
      </c>
      <c r="E2352" s="557">
        <v>16.89</v>
      </c>
      <c r="F2352" s="557">
        <v>6.22</v>
      </c>
      <c r="G2352" s="557">
        <v>23.11</v>
      </c>
    </row>
    <row r="2353" spans="1:7" ht="12.6" customHeight="1" x14ac:dyDescent="0.25">
      <c r="A2353" s="551" t="s">
        <v>36252</v>
      </c>
      <c r="B2353" s="551" t="s">
        <v>36253</v>
      </c>
      <c r="C2353" s="552" t="s">
        <v>158</v>
      </c>
      <c r="D2353" s="557">
        <v>47.3</v>
      </c>
      <c r="E2353" s="557">
        <v>39.64</v>
      </c>
      <c r="F2353" s="557">
        <v>7.66</v>
      </c>
      <c r="G2353" s="557">
        <v>47.3</v>
      </c>
    </row>
    <row r="2354" spans="1:7" ht="12.6" customHeight="1" x14ac:dyDescent="0.25">
      <c r="A2354" s="551" t="s">
        <v>36254</v>
      </c>
      <c r="B2354" s="551" t="s">
        <v>36255</v>
      </c>
      <c r="C2354" s="552"/>
      <c r="D2354" s="557"/>
      <c r="E2354" s="557"/>
      <c r="F2354" s="557"/>
      <c r="G2354" s="557"/>
    </row>
    <row r="2355" spans="1:7" ht="12.6" customHeight="1" x14ac:dyDescent="0.25">
      <c r="A2355" s="551" t="s">
        <v>36256</v>
      </c>
      <c r="B2355" s="551" t="s">
        <v>36257</v>
      </c>
      <c r="C2355" s="552" t="s">
        <v>158</v>
      </c>
      <c r="D2355" s="557">
        <v>9.02</v>
      </c>
      <c r="E2355" s="557">
        <v>4.2300000000000004</v>
      </c>
      <c r="F2355" s="557">
        <v>4.79</v>
      </c>
      <c r="G2355" s="557">
        <v>9.02</v>
      </c>
    </row>
    <row r="2356" spans="1:7" ht="12.6" customHeight="1" x14ac:dyDescent="0.25">
      <c r="A2356" s="551" t="s">
        <v>36258</v>
      </c>
      <c r="B2356" s="551" t="s">
        <v>36259</v>
      </c>
      <c r="C2356" s="552" t="s">
        <v>158</v>
      </c>
      <c r="D2356" s="557">
        <v>10.85</v>
      </c>
      <c r="E2356" s="557">
        <v>6.06</v>
      </c>
      <c r="F2356" s="557">
        <v>4.79</v>
      </c>
      <c r="G2356" s="557">
        <v>10.85</v>
      </c>
    </row>
    <row r="2357" spans="1:7" ht="12.6" customHeight="1" x14ac:dyDescent="0.2">
      <c r="A2357" s="548" t="s">
        <v>36260</v>
      </c>
      <c r="B2357" s="548" t="s">
        <v>36261</v>
      </c>
      <c r="C2357" s="550" t="s">
        <v>158</v>
      </c>
      <c r="D2357" s="550">
        <v>11.45</v>
      </c>
      <c r="E2357" s="550">
        <v>6.66</v>
      </c>
      <c r="F2357" s="550">
        <v>4.79</v>
      </c>
      <c r="G2357" s="550">
        <v>11.45</v>
      </c>
    </row>
    <row r="2358" spans="1:7" ht="23.1" customHeight="1" x14ac:dyDescent="0.25">
      <c r="A2358" s="551" t="s">
        <v>36262</v>
      </c>
      <c r="B2358" s="551" t="s">
        <v>36263</v>
      </c>
      <c r="C2358" s="552"/>
      <c r="D2358" s="557"/>
      <c r="E2358" s="557"/>
      <c r="F2358" s="557"/>
      <c r="G2358" s="557"/>
    </row>
    <row r="2359" spans="1:7" ht="11.45" customHeight="1" x14ac:dyDescent="0.25">
      <c r="A2359" s="543" t="s">
        <v>36264</v>
      </c>
      <c r="B2359" s="544" t="s">
        <v>36265</v>
      </c>
      <c r="C2359" s="544" t="s">
        <v>158</v>
      </c>
      <c r="D2359" s="543">
        <v>16.059999999999999</v>
      </c>
      <c r="E2359" s="545">
        <v>9.1999999999999993</v>
      </c>
      <c r="F2359" s="546">
        <v>6.86</v>
      </c>
      <c r="G2359" s="543">
        <v>16.059999999999999</v>
      </c>
    </row>
    <row r="2360" spans="1:7" ht="23.1" customHeight="1" x14ac:dyDescent="0.25">
      <c r="A2360" s="551" t="s">
        <v>36266</v>
      </c>
      <c r="B2360" s="551" t="s">
        <v>36267</v>
      </c>
      <c r="C2360" s="552" t="s">
        <v>158</v>
      </c>
      <c r="D2360" s="557">
        <v>10.49</v>
      </c>
      <c r="E2360" s="557">
        <v>3.63</v>
      </c>
      <c r="F2360" s="557">
        <v>6.86</v>
      </c>
      <c r="G2360" s="557">
        <v>10.49</v>
      </c>
    </row>
    <row r="2361" spans="1:7" ht="34.5" customHeight="1" x14ac:dyDescent="0.25">
      <c r="A2361" s="554" t="s">
        <v>36268</v>
      </c>
      <c r="B2361" s="551" t="s">
        <v>36269</v>
      </c>
      <c r="C2361" s="555"/>
      <c r="D2361" s="558"/>
      <c r="E2361" s="558"/>
      <c r="F2361" s="558"/>
      <c r="G2361" s="558"/>
    </row>
    <row r="2362" spans="1:7" ht="12.6" customHeight="1" x14ac:dyDescent="0.25">
      <c r="A2362" s="551" t="s">
        <v>36270</v>
      </c>
      <c r="B2362" s="551" t="s">
        <v>36271</v>
      </c>
      <c r="C2362" s="552" t="s">
        <v>158</v>
      </c>
      <c r="D2362" s="557">
        <v>11.69</v>
      </c>
      <c r="E2362" s="557">
        <v>4.83</v>
      </c>
      <c r="F2362" s="557">
        <v>6.86</v>
      </c>
      <c r="G2362" s="557">
        <v>11.69</v>
      </c>
    </row>
    <row r="2363" spans="1:7" ht="23.1" customHeight="1" x14ac:dyDescent="0.25">
      <c r="A2363" s="551" t="s">
        <v>36272</v>
      </c>
      <c r="B2363" s="551" t="s">
        <v>36273</v>
      </c>
      <c r="C2363" s="552" t="s">
        <v>158</v>
      </c>
      <c r="D2363" s="557">
        <v>16.55</v>
      </c>
      <c r="E2363" s="557">
        <v>9.69</v>
      </c>
      <c r="F2363" s="557">
        <v>6.86</v>
      </c>
      <c r="G2363" s="557">
        <v>16.55</v>
      </c>
    </row>
    <row r="2364" spans="1:7" ht="12.6" customHeight="1" x14ac:dyDescent="0.2">
      <c r="A2364" s="548" t="s">
        <v>36274</v>
      </c>
      <c r="B2364" s="548" t="s">
        <v>36275</v>
      </c>
      <c r="C2364" s="550"/>
      <c r="D2364" s="550"/>
      <c r="E2364" s="550"/>
      <c r="F2364" s="550"/>
      <c r="G2364" s="550"/>
    </row>
    <row r="2365" spans="1:7" ht="12.6" customHeight="1" x14ac:dyDescent="0.25">
      <c r="A2365" s="551" t="s">
        <v>36276</v>
      </c>
      <c r="B2365" s="551" t="s">
        <v>36277</v>
      </c>
      <c r="C2365" s="552" t="s">
        <v>158</v>
      </c>
      <c r="D2365" s="557">
        <v>7.78</v>
      </c>
      <c r="E2365" s="557">
        <v>2.52</v>
      </c>
      <c r="F2365" s="557">
        <v>5.26</v>
      </c>
      <c r="G2365" s="557">
        <v>7.78</v>
      </c>
    </row>
    <row r="2366" spans="1:7" ht="12.6" customHeight="1" x14ac:dyDescent="0.25">
      <c r="A2366" s="551" t="s">
        <v>36278</v>
      </c>
      <c r="B2366" s="551" t="s">
        <v>36279</v>
      </c>
      <c r="C2366" s="552" t="s">
        <v>158</v>
      </c>
      <c r="D2366" s="557">
        <v>19.739999999999998</v>
      </c>
      <c r="E2366" s="557">
        <v>14.48</v>
      </c>
      <c r="F2366" s="557">
        <v>5.26</v>
      </c>
      <c r="G2366" s="557">
        <v>19.739999999999998</v>
      </c>
    </row>
    <row r="2367" spans="1:7" ht="12.6" customHeight="1" x14ac:dyDescent="0.25">
      <c r="A2367" s="551" t="s">
        <v>36280</v>
      </c>
      <c r="B2367" s="551" t="s">
        <v>36281</v>
      </c>
      <c r="C2367" s="552" t="s">
        <v>158</v>
      </c>
      <c r="D2367" s="557">
        <v>9.33</v>
      </c>
      <c r="E2367" s="557">
        <v>5.27</v>
      </c>
      <c r="F2367" s="557">
        <v>4.0599999999999996</v>
      </c>
      <c r="G2367" s="557">
        <v>9.33</v>
      </c>
    </row>
    <row r="2368" spans="1:7" ht="12.6" customHeight="1" x14ac:dyDescent="0.25">
      <c r="A2368" s="551" t="s">
        <v>36282</v>
      </c>
      <c r="B2368" s="551" t="s">
        <v>36283</v>
      </c>
      <c r="C2368" s="552" t="s">
        <v>158</v>
      </c>
      <c r="D2368" s="557">
        <v>7.31</v>
      </c>
      <c r="E2368" s="557">
        <v>2.0499999999999998</v>
      </c>
      <c r="F2368" s="557">
        <v>5.26</v>
      </c>
      <c r="G2368" s="557">
        <v>7.31</v>
      </c>
    </row>
    <row r="2369" spans="1:7" ht="12.6" customHeight="1" x14ac:dyDescent="0.25">
      <c r="A2369" s="551" t="s">
        <v>36284</v>
      </c>
      <c r="B2369" s="551" t="s">
        <v>36285</v>
      </c>
      <c r="C2369" s="552" t="s">
        <v>158</v>
      </c>
      <c r="D2369" s="557">
        <v>7.18</v>
      </c>
      <c r="E2369" s="557">
        <v>3.12</v>
      </c>
      <c r="F2369" s="557">
        <v>4.0599999999999996</v>
      </c>
      <c r="G2369" s="557">
        <v>7.18</v>
      </c>
    </row>
    <row r="2370" spans="1:7" ht="12.6" customHeight="1" x14ac:dyDescent="0.25">
      <c r="A2370" s="551" t="s">
        <v>36286</v>
      </c>
      <c r="B2370" s="551" t="s">
        <v>36287</v>
      </c>
      <c r="C2370" s="552" t="s">
        <v>158</v>
      </c>
      <c r="D2370" s="557">
        <v>21.8</v>
      </c>
      <c r="E2370" s="557">
        <v>16.54</v>
      </c>
      <c r="F2370" s="557">
        <v>5.26</v>
      </c>
      <c r="G2370" s="557">
        <v>21.8</v>
      </c>
    </row>
    <row r="2371" spans="1:7" ht="12.6" customHeight="1" x14ac:dyDescent="0.25">
      <c r="A2371" s="551" t="s">
        <v>36288</v>
      </c>
      <c r="B2371" s="551" t="s">
        <v>36289</v>
      </c>
      <c r="C2371" s="552" t="s">
        <v>158</v>
      </c>
      <c r="D2371" s="557">
        <v>8.86</v>
      </c>
      <c r="E2371" s="557">
        <v>3.6</v>
      </c>
      <c r="F2371" s="557">
        <v>5.26</v>
      </c>
      <c r="G2371" s="557">
        <v>8.86</v>
      </c>
    </row>
    <row r="2372" spans="1:7" ht="12.6" customHeight="1" x14ac:dyDescent="0.25">
      <c r="A2372" s="551" t="s">
        <v>36290</v>
      </c>
      <c r="B2372" s="551" t="s">
        <v>36291</v>
      </c>
      <c r="C2372" s="552"/>
      <c r="D2372" s="557"/>
      <c r="E2372" s="557"/>
      <c r="F2372" s="557"/>
      <c r="G2372" s="557"/>
    </row>
    <row r="2373" spans="1:7" ht="12.6" customHeight="1" x14ac:dyDescent="0.2">
      <c r="A2373" s="548" t="s">
        <v>36292</v>
      </c>
      <c r="B2373" s="548" t="s">
        <v>36293</v>
      </c>
      <c r="C2373" s="550" t="s">
        <v>226</v>
      </c>
      <c r="D2373" s="550">
        <v>16.68</v>
      </c>
      <c r="E2373" s="550">
        <v>8.6999999999999993</v>
      </c>
      <c r="F2373" s="550">
        <v>7.98</v>
      </c>
      <c r="G2373" s="550">
        <v>16.68</v>
      </c>
    </row>
    <row r="2374" spans="1:7" ht="23.1" customHeight="1" x14ac:dyDescent="0.25">
      <c r="A2374" s="551" t="s">
        <v>36294</v>
      </c>
      <c r="B2374" s="551" t="s">
        <v>36295</v>
      </c>
      <c r="C2374" s="552" t="s">
        <v>158</v>
      </c>
      <c r="D2374" s="557">
        <v>6.86</v>
      </c>
      <c r="E2374" s="557"/>
      <c r="F2374" s="557">
        <v>6.86</v>
      </c>
      <c r="G2374" s="557">
        <v>6.86</v>
      </c>
    </row>
    <row r="2375" spans="1:7" ht="12.6" customHeight="1" x14ac:dyDescent="0.2">
      <c r="A2375" s="548" t="s">
        <v>36296</v>
      </c>
      <c r="B2375" s="548" t="s">
        <v>36297</v>
      </c>
      <c r="C2375" s="550" t="s">
        <v>158</v>
      </c>
      <c r="D2375" s="550">
        <v>13.71</v>
      </c>
      <c r="E2375" s="550"/>
      <c r="F2375" s="550">
        <v>13.71</v>
      </c>
      <c r="G2375" s="550">
        <v>13.71</v>
      </c>
    </row>
    <row r="2376" spans="1:7" ht="12.6" customHeight="1" x14ac:dyDescent="0.25">
      <c r="A2376" s="551" t="s">
        <v>36298</v>
      </c>
      <c r="B2376" s="551" t="s">
        <v>36299</v>
      </c>
      <c r="C2376" s="552"/>
      <c r="D2376" s="557"/>
      <c r="E2376" s="557"/>
      <c r="F2376" s="557"/>
      <c r="G2376" s="557"/>
    </row>
    <row r="2377" spans="1:7" ht="12.6" customHeight="1" x14ac:dyDescent="0.25">
      <c r="A2377" s="551" t="s">
        <v>36300</v>
      </c>
      <c r="B2377" s="551" t="s">
        <v>36301</v>
      </c>
      <c r="C2377" s="552" t="s">
        <v>158</v>
      </c>
      <c r="D2377" s="557">
        <v>2.2599999999999998</v>
      </c>
      <c r="E2377" s="557">
        <v>1.3</v>
      </c>
      <c r="F2377" s="557">
        <v>0.96</v>
      </c>
      <c r="G2377" s="557">
        <v>2.2599999999999998</v>
      </c>
    </row>
    <row r="2378" spans="1:7" ht="12.6" customHeight="1" x14ac:dyDescent="0.25">
      <c r="A2378" s="551" t="s">
        <v>36302</v>
      </c>
      <c r="B2378" s="551" t="s">
        <v>36303</v>
      </c>
      <c r="C2378" s="552" t="s">
        <v>158</v>
      </c>
      <c r="D2378" s="557">
        <v>3.05</v>
      </c>
      <c r="E2378" s="557">
        <v>2.09</v>
      </c>
      <c r="F2378" s="557">
        <v>0.96</v>
      </c>
      <c r="G2378" s="557">
        <v>3.05</v>
      </c>
    </row>
    <row r="2379" spans="1:7" ht="12.6" customHeight="1" x14ac:dyDescent="0.25">
      <c r="A2379" s="551" t="s">
        <v>36304</v>
      </c>
      <c r="B2379" s="551" t="s">
        <v>36305</v>
      </c>
      <c r="C2379" s="552" t="s">
        <v>158</v>
      </c>
      <c r="D2379" s="557">
        <v>4.22</v>
      </c>
      <c r="E2379" s="557">
        <v>3.26</v>
      </c>
      <c r="F2379" s="557">
        <v>0.96</v>
      </c>
      <c r="G2379" s="557">
        <v>4.22</v>
      </c>
    </row>
    <row r="2380" spans="1:7" ht="12.6" customHeight="1" x14ac:dyDescent="0.2">
      <c r="A2380" s="548" t="s">
        <v>36306</v>
      </c>
      <c r="B2380" s="548" t="s">
        <v>36307</v>
      </c>
      <c r="C2380" s="550" t="s">
        <v>158</v>
      </c>
      <c r="D2380" s="550">
        <v>5.52</v>
      </c>
      <c r="E2380" s="550">
        <v>4.5599999999999996</v>
      </c>
      <c r="F2380" s="550">
        <v>0.96</v>
      </c>
      <c r="G2380" s="550">
        <v>5.52</v>
      </c>
    </row>
    <row r="2381" spans="1:7" ht="12.6" customHeight="1" x14ac:dyDescent="0.25">
      <c r="A2381" s="551" t="s">
        <v>36308</v>
      </c>
      <c r="B2381" s="551" t="s">
        <v>36309</v>
      </c>
      <c r="C2381" s="552" t="s">
        <v>158</v>
      </c>
      <c r="D2381" s="557">
        <v>11.58</v>
      </c>
      <c r="E2381" s="557">
        <v>7.75</v>
      </c>
      <c r="F2381" s="557">
        <v>3.83</v>
      </c>
      <c r="G2381" s="557">
        <v>11.58</v>
      </c>
    </row>
    <row r="2382" spans="1:7" ht="12.6" customHeight="1" x14ac:dyDescent="0.25">
      <c r="A2382" s="551" t="s">
        <v>36310</v>
      </c>
      <c r="B2382" s="551" t="s">
        <v>36311</v>
      </c>
      <c r="C2382" s="552" t="s">
        <v>158</v>
      </c>
      <c r="D2382" s="557">
        <v>16.25</v>
      </c>
      <c r="E2382" s="557">
        <v>11.94</v>
      </c>
      <c r="F2382" s="557">
        <v>4.3099999999999996</v>
      </c>
      <c r="G2382" s="557">
        <v>16.25</v>
      </c>
    </row>
    <row r="2383" spans="1:7" ht="12.6" customHeight="1" x14ac:dyDescent="0.25">
      <c r="A2383" s="551" t="s">
        <v>36312</v>
      </c>
      <c r="B2383" s="551" t="s">
        <v>36313</v>
      </c>
      <c r="C2383" s="552" t="s">
        <v>158</v>
      </c>
      <c r="D2383" s="557">
        <v>23.32</v>
      </c>
      <c r="E2383" s="557">
        <v>18.53</v>
      </c>
      <c r="F2383" s="557">
        <v>4.79</v>
      </c>
      <c r="G2383" s="557">
        <v>23.32</v>
      </c>
    </row>
    <row r="2384" spans="1:7" ht="12.6" customHeight="1" x14ac:dyDescent="0.25">
      <c r="A2384" s="551" t="s">
        <v>36314</v>
      </c>
      <c r="B2384" s="551" t="s">
        <v>36315</v>
      </c>
      <c r="C2384" s="552" t="s">
        <v>158</v>
      </c>
      <c r="D2384" s="557">
        <v>33.75</v>
      </c>
      <c r="E2384" s="557">
        <v>26.57</v>
      </c>
      <c r="F2384" s="557">
        <v>7.18</v>
      </c>
      <c r="G2384" s="557">
        <v>33.75</v>
      </c>
    </row>
    <row r="2385" spans="1:7" ht="12.6" customHeight="1" x14ac:dyDescent="0.25">
      <c r="A2385" s="551" t="s">
        <v>36316</v>
      </c>
      <c r="B2385" s="551" t="s">
        <v>36317</v>
      </c>
      <c r="C2385" s="552" t="s">
        <v>158</v>
      </c>
      <c r="D2385" s="557">
        <v>46.76</v>
      </c>
      <c r="E2385" s="557">
        <v>37.19</v>
      </c>
      <c r="F2385" s="557">
        <v>9.57</v>
      </c>
      <c r="G2385" s="557">
        <v>46.76</v>
      </c>
    </row>
    <row r="2386" spans="1:7" ht="12.6" customHeight="1" x14ac:dyDescent="0.25">
      <c r="A2386" s="551" t="s">
        <v>36318</v>
      </c>
      <c r="B2386" s="551" t="s">
        <v>36319</v>
      </c>
      <c r="C2386" s="552" t="s">
        <v>158</v>
      </c>
      <c r="D2386" s="557">
        <v>61.74</v>
      </c>
      <c r="E2386" s="557">
        <v>49.77</v>
      </c>
      <c r="F2386" s="557">
        <v>11.97</v>
      </c>
      <c r="G2386" s="557">
        <v>61.74</v>
      </c>
    </row>
    <row r="2387" spans="1:7" ht="12.6" customHeight="1" x14ac:dyDescent="0.25">
      <c r="A2387" s="551" t="s">
        <v>36320</v>
      </c>
      <c r="B2387" s="551" t="s">
        <v>36321</v>
      </c>
      <c r="C2387" s="552" t="s">
        <v>158</v>
      </c>
      <c r="D2387" s="557">
        <v>79.92</v>
      </c>
      <c r="E2387" s="557">
        <v>65.56</v>
      </c>
      <c r="F2387" s="557">
        <v>14.36</v>
      </c>
      <c r="G2387" s="557">
        <v>79.92</v>
      </c>
    </row>
    <row r="2388" spans="1:7" ht="12.6" customHeight="1" x14ac:dyDescent="0.25">
      <c r="A2388" s="551" t="s">
        <v>36322</v>
      </c>
      <c r="B2388" s="551" t="s">
        <v>36323</v>
      </c>
      <c r="C2388" s="552" t="s">
        <v>158</v>
      </c>
      <c r="D2388" s="557">
        <v>102.81</v>
      </c>
      <c r="E2388" s="557">
        <v>86.06</v>
      </c>
      <c r="F2388" s="557">
        <v>16.75</v>
      </c>
      <c r="G2388" s="557">
        <v>102.81</v>
      </c>
    </row>
    <row r="2389" spans="1:7" ht="12.6" customHeight="1" x14ac:dyDescent="0.2">
      <c r="A2389" s="548" t="s">
        <v>36324</v>
      </c>
      <c r="B2389" s="548" t="s">
        <v>36325</v>
      </c>
      <c r="C2389" s="550" t="s">
        <v>158</v>
      </c>
      <c r="D2389" s="550">
        <v>125</v>
      </c>
      <c r="E2389" s="550">
        <v>108.25</v>
      </c>
      <c r="F2389" s="550">
        <v>16.75</v>
      </c>
      <c r="G2389" s="550">
        <v>125</v>
      </c>
    </row>
    <row r="2390" spans="1:7" ht="12.6" customHeight="1" x14ac:dyDescent="0.25">
      <c r="A2390" s="551" t="s">
        <v>36326</v>
      </c>
      <c r="B2390" s="551" t="s">
        <v>36327</v>
      </c>
      <c r="C2390" s="552" t="s">
        <v>158</v>
      </c>
      <c r="D2390" s="557">
        <v>151.88</v>
      </c>
      <c r="E2390" s="557">
        <v>132.72999999999999</v>
      </c>
      <c r="F2390" s="557">
        <v>19.149999999999999</v>
      </c>
      <c r="G2390" s="557">
        <v>151.88</v>
      </c>
    </row>
    <row r="2391" spans="1:7" ht="12.6" customHeight="1" x14ac:dyDescent="0.25">
      <c r="A2391" s="551" t="s">
        <v>36328</v>
      </c>
      <c r="B2391" s="551" t="s">
        <v>36329</v>
      </c>
      <c r="C2391" s="552" t="s">
        <v>158</v>
      </c>
      <c r="D2391" s="557">
        <v>194.63</v>
      </c>
      <c r="E2391" s="557">
        <v>173.09</v>
      </c>
      <c r="F2391" s="557">
        <v>21.54</v>
      </c>
      <c r="G2391" s="557">
        <v>194.63</v>
      </c>
    </row>
    <row r="2392" spans="1:7" ht="12.6" customHeight="1" x14ac:dyDescent="0.25">
      <c r="A2392" s="551" t="s">
        <v>36330</v>
      </c>
      <c r="B2392" s="551" t="s">
        <v>36331</v>
      </c>
      <c r="C2392" s="552" t="s">
        <v>158</v>
      </c>
      <c r="D2392" s="557">
        <v>6.75</v>
      </c>
      <c r="E2392" s="557">
        <v>4.83</v>
      </c>
      <c r="F2392" s="557">
        <v>1.92</v>
      </c>
      <c r="G2392" s="557">
        <v>6.75</v>
      </c>
    </row>
    <row r="2393" spans="1:7" ht="12.6" customHeight="1" x14ac:dyDescent="0.25">
      <c r="A2393" s="551" t="s">
        <v>36332</v>
      </c>
      <c r="B2393" s="551" t="s">
        <v>36333</v>
      </c>
      <c r="C2393" s="552" t="s">
        <v>158</v>
      </c>
      <c r="D2393" s="557">
        <v>5.67</v>
      </c>
      <c r="E2393" s="557">
        <v>4.71</v>
      </c>
      <c r="F2393" s="557">
        <v>0.96</v>
      </c>
      <c r="G2393" s="557">
        <v>5.67</v>
      </c>
    </row>
    <row r="2394" spans="1:7" ht="12.6" customHeight="1" x14ac:dyDescent="0.25">
      <c r="A2394" s="551" t="s">
        <v>36334</v>
      </c>
      <c r="B2394" s="551" t="s">
        <v>36335</v>
      </c>
      <c r="C2394" s="552" t="s">
        <v>158</v>
      </c>
      <c r="D2394" s="557">
        <v>9.5399999999999991</v>
      </c>
      <c r="E2394" s="557">
        <v>7.15</v>
      </c>
      <c r="F2394" s="557">
        <v>2.39</v>
      </c>
      <c r="G2394" s="557">
        <v>9.5399999999999991</v>
      </c>
    </row>
    <row r="2395" spans="1:7" ht="12.6" customHeight="1" x14ac:dyDescent="0.25">
      <c r="A2395" s="551" t="s">
        <v>36336</v>
      </c>
      <c r="B2395" s="551" t="s">
        <v>36337</v>
      </c>
      <c r="C2395" s="552" t="s">
        <v>158</v>
      </c>
      <c r="D2395" s="557">
        <v>30.76</v>
      </c>
      <c r="E2395" s="557">
        <v>25.97</v>
      </c>
      <c r="F2395" s="557">
        <v>4.79</v>
      </c>
      <c r="G2395" s="557">
        <v>30.76</v>
      </c>
    </row>
    <row r="2396" spans="1:7" ht="12.6" customHeight="1" x14ac:dyDescent="0.25">
      <c r="A2396" s="551" t="s">
        <v>36338</v>
      </c>
      <c r="B2396" s="551" t="s">
        <v>36339</v>
      </c>
      <c r="C2396" s="552" t="s">
        <v>158</v>
      </c>
      <c r="D2396" s="557">
        <v>77.83</v>
      </c>
      <c r="E2396" s="557">
        <v>63.47</v>
      </c>
      <c r="F2396" s="557">
        <v>14.36</v>
      </c>
      <c r="G2396" s="557">
        <v>77.83</v>
      </c>
    </row>
    <row r="2397" spans="1:7" ht="12.6" customHeight="1" x14ac:dyDescent="0.25">
      <c r="A2397" s="551" t="s">
        <v>36340</v>
      </c>
      <c r="B2397" s="551" t="s">
        <v>36341</v>
      </c>
      <c r="C2397" s="552" t="s">
        <v>158</v>
      </c>
      <c r="D2397" s="557">
        <v>115.98</v>
      </c>
      <c r="E2397" s="557">
        <v>96.83</v>
      </c>
      <c r="F2397" s="557">
        <v>19.149999999999999</v>
      </c>
      <c r="G2397" s="557">
        <v>115.98</v>
      </c>
    </row>
    <row r="2398" spans="1:7" ht="12.6" customHeight="1" x14ac:dyDescent="0.25">
      <c r="A2398" s="551" t="s">
        <v>36342</v>
      </c>
      <c r="B2398" s="551" t="s">
        <v>36343</v>
      </c>
      <c r="C2398" s="552" t="s">
        <v>158</v>
      </c>
      <c r="D2398" s="557">
        <v>37.76</v>
      </c>
      <c r="E2398" s="557">
        <v>31.54</v>
      </c>
      <c r="F2398" s="557">
        <v>6.22</v>
      </c>
      <c r="G2398" s="557">
        <v>37.76</v>
      </c>
    </row>
    <row r="2399" spans="1:7" ht="12.6" customHeight="1" x14ac:dyDescent="0.25">
      <c r="A2399" s="551" t="s">
        <v>36344</v>
      </c>
      <c r="B2399" s="551" t="s">
        <v>36345</v>
      </c>
      <c r="C2399" s="552"/>
      <c r="D2399" s="557"/>
      <c r="E2399" s="557"/>
      <c r="F2399" s="557"/>
      <c r="G2399" s="557"/>
    </row>
    <row r="2400" spans="1:7" ht="12.6" customHeight="1" x14ac:dyDescent="0.25">
      <c r="A2400" s="551" t="s">
        <v>36346</v>
      </c>
      <c r="B2400" s="551" t="s">
        <v>36347</v>
      </c>
      <c r="C2400" s="552" t="s">
        <v>158</v>
      </c>
      <c r="D2400" s="557">
        <v>10.5</v>
      </c>
      <c r="E2400" s="557">
        <v>4.75</v>
      </c>
      <c r="F2400" s="557">
        <v>5.75</v>
      </c>
      <c r="G2400" s="557">
        <v>10.5</v>
      </c>
    </row>
    <row r="2401" spans="1:7" ht="12.6" customHeight="1" x14ac:dyDescent="0.25">
      <c r="A2401" s="551" t="s">
        <v>36348</v>
      </c>
      <c r="B2401" s="551" t="s">
        <v>36349</v>
      </c>
      <c r="C2401" s="552" t="s">
        <v>158</v>
      </c>
      <c r="D2401" s="557">
        <v>14.82</v>
      </c>
      <c r="E2401" s="557">
        <v>7.64</v>
      </c>
      <c r="F2401" s="557">
        <v>7.18</v>
      </c>
      <c r="G2401" s="557">
        <v>14.82</v>
      </c>
    </row>
    <row r="2402" spans="1:7" ht="12.6" customHeight="1" x14ac:dyDescent="0.2">
      <c r="A2402" s="548" t="s">
        <v>36350</v>
      </c>
      <c r="B2402" s="548" t="s">
        <v>36351</v>
      </c>
      <c r="C2402" s="550" t="s">
        <v>158</v>
      </c>
      <c r="D2402" s="550">
        <v>20.49</v>
      </c>
      <c r="E2402" s="550">
        <v>11.88</v>
      </c>
      <c r="F2402" s="550">
        <v>8.61</v>
      </c>
      <c r="G2402" s="550">
        <v>20.49</v>
      </c>
    </row>
    <row r="2403" spans="1:7" ht="24.95" customHeight="1" x14ac:dyDescent="0.25">
      <c r="A2403" s="551" t="s">
        <v>36352</v>
      </c>
      <c r="B2403" s="342" t="s">
        <v>36353</v>
      </c>
      <c r="C2403" s="552" t="s">
        <v>158</v>
      </c>
      <c r="D2403" s="557">
        <v>27.82</v>
      </c>
      <c r="E2403" s="557">
        <v>17.77</v>
      </c>
      <c r="F2403" s="557">
        <v>10.050000000000001</v>
      </c>
      <c r="G2403" s="557">
        <v>27.82</v>
      </c>
    </row>
    <row r="2404" spans="1:7" ht="24.95" customHeight="1" x14ac:dyDescent="0.25">
      <c r="A2404" s="551" t="s">
        <v>36354</v>
      </c>
      <c r="B2404" s="342" t="s">
        <v>36355</v>
      </c>
      <c r="C2404" s="552" t="s">
        <v>158</v>
      </c>
      <c r="D2404" s="557">
        <v>21.05</v>
      </c>
      <c r="E2404" s="557">
        <v>15.3</v>
      </c>
      <c r="F2404" s="557">
        <v>5.75</v>
      </c>
      <c r="G2404" s="557">
        <v>21.05</v>
      </c>
    </row>
    <row r="2405" spans="1:7" ht="24.95" customHeight="1" x14ac:dyDescent="0.25">
      <c r="A2405" s="551" t="s">
        <v>36356</v>
      </c>
      <c r="B2405" s="342" t="s">
        <v>36357</v>
      </c>
      <c r="C2405" s="552" t="s">
        <v>158</v>
      </c>
      <c r="D2405" s="557">
        <v>36.840000000000003</v>
      </c>
      <c r="E2405" s="557">
        <v>23.44</v>
      </c>
      <c r="F2405" s="557">
        <v>13.4</v>
      </c>
      <c r="G2405" s="557">
        <v>36.840000000000003</v>
      </c>
    </row>
    <row r="2406" spans="1:7" ht="12.6" customHeight="1" x14ac:dyDescent="0.25">
      <c r="A2406" s="551" t="s">
        <v>36358</v>
      </c>
      <c r="B2406" s="551" t="s">
        <v>36359</v>
      </c>
      <c r="C2406" s="552"/>
      <c r="D2406" s="557"/>
      <c r="E2406" s="557"/>
      <c r="F2406" s="557"/>
      <c r="G2406" s="557"/>
    </row>
    <row r="2407" spans="1:7" ht="24.95" customHeight="1" x14ac:dyDescent="0.25">
      <c r="A2407" s="551" t="s">
        <v>36360</v>
      </c>
      <c r="B2407" s="342" t="s">
        <v>36361</v>
      </c>
      <c r="C2407" s="552" t="s">
        <v>158</v>
      </c>
      <c r="D2407" s="557">
        <v>60.2</v>
      </c>
      <c r="E2407" s="557">
        <v>58.77</v>
      </c>
      <c r="F2407" s="557">
        <v>1.43</v>
      </c>
      <c r="G2407" s="557">
        <v>60.2</v>
      </c>
    </row>
    <row r="2408" spans="1:7" ht="11.45" customHeight="1" x14ac:dyDescent="0.25">
      <c r="A2408" s="543" t="s">
        <v>36362</v>
      </c>
      <c r="B2408" s="544" t="s">
        <v>36363</v>
      </c>
      <c r="C2408" s="544" t="s">
        <v>158</v>
      </c>
      <c r="D2408" s="543">
        <v>83.78</v>
      </c>
      <c r="E2408" s="545">
        <v>82.35</v>
      </c>
      <c r="F2408" s="546">
        <v>1.43</v>
      </c>
      <c r="G2408" s="543">
        <v>83.78</v>
      </c>
    </row>
    <row r="2409" spans="1:7" ht="12.6" customHeight="1" x14ac:dyDescent="0.25">
      <c r="A2409" s="551" t="s">
        <v>36364</v>
      </c>
      <c r="B2409" s="551" t="s">
        <v>36365</v>
      </c>
      <c r="C2409" s="552"/>
      <c r="D2409" s="557"/>
      <c r="E2409" s="557"/>
      <c r="F2409" s="557"/>
      <c r="G2409" s="557"/>
    </row>
    <row r="2410" spans="1:7" ht="24.95" customHeight="1" x14ac:dyDescent="0.25">
      <c r="A2410" s="551" t="s">
        <v>36366</v>
      </c>
      <c r="B2410" s="342" t="s">
        <v>36367</v>
      </c>
      <c r="C2410" s="552" t="s">
        <v>158</v>
      </c>
      <c r="D2410" s="557">
        <v>4.13</v>
      </c>
      <c r="E2410" s="557">
        <v>2.21</v>
      </c>
      <c r="F2410" s="557">
        <v>1.92</v>
      </c>
      <c r="G2410" s="557">
        <v>4.13</v>
      </c>
    </row>
    <row r="2411" spans="1:7" ht="24.95" customHeight="1" x14ac:dyDescent="0.25">
      <c r="A2411" s="551" t="s">
        <v>36368</v>
      </c>
      <c r="B2411" s="342" t="s">
        <v>36369</v>
      </c>
      <c r="C2411" s="552" t="s">
        <v>158</v>
      </c>
      <c r="D2411" s="557">
        <v>5.73</v>
      </c>
      <c r="E2411" s="557">
        <v>3.34</v>
      </c>
      <c r="F2411" s="557">
        <v>2.39</v>
      </c>
      <c r="G2411" s="557">
        <v>5.73</v>
      </c>
    </row>
    <row r="2412" spans="1:7" ht="24.95" customHeight="1" x14ac:dyDescent="0.25">
      <c r="A2412" s="551" t="s">
        <v>36370</v>
      </c>
      <c r="B2412" s="342" t="s">
        <v>36371</v>
      </c>
      <c r="C2412" s="552" t="s">
        <v>158</v>
      </c>
      <c r="D2412" s="557">
        <v>7.3</v>
      </c>
      <c r="E2412" s="557">
        <v>4.43</v>
      </c>
      <c r="F2412" s="557">
        <v>2.87</v>
      </c>
      <c r="G2412" s="557">
        <v>7.3</v>
      </c>
    </row>
    <row r="2413" spans="1:7" ht="24.95" customHeight="1" x14ac:dyDescent="0.25">
      <c r="A2413" s="551" t="s">
        <v>36372</v>
      </c>
      <c r="B2413" s="342" t="s">
        <v>36373</v>
      </c>
      <c r="C2413" s="552" t="s">
        <v>158</v>
      </c>
      <c r="D2413" s="557">
        <v>9.7899999999999991</v>
      </c>
      <c r="E2413" s="557">
        <v>6.44</v>
      </c>
      <c r="F2413" s="557">
        <v>3.35</v>
      </c>
      <c r="G2413" s="557">
        <v>9.7899999999999991</v>
      </c>
    </row>
    <row r="2414" spans="1:7" ht="24.95" customHeight="1" x14ac:dyDescent="0.25">
      <c r="A2414" s="551" t="s">
        <v>36374</v>
      </c>
      <c r="B2414" s="342" t="s">
        <v>36375</v>
      </c>
      <c r="C2414" s="552" t="s">
        <v>158</v>
      </c>
      <c r="D2414" s="557">
        <v>13.61</v>
      </c>
      <c r="E2414" s="557">
        <v>9.7799999999999994</v>
      </c>
      <c r="F2414" s="557">
        <v>3.83</v>
      </c>
      <c r="G2414" s="557">
        <v>13.61</v>
      </c>
    </row>
    <row r="2415" spans="1:7" ht="24.95" customHeight="1" x14ac:dyDescent="0.25">
      <c r="A2415" s="551" t="s">
        <v>36376</v>
      </c>
      <c r="B2415" s="342" t="s">
        <v>36377</v>
      </c>
      <c r="C2415" s="552" t="s">
        <v>158</v>
      </c>
      <c r="D2415" s="557">
        <v>19.010000000000002</v>
      </c>
      <c r="E2415" s="557">
        <v>14.7</v>
      </c>
      <c r="F2415" s="557">
        <v>4.3099999999999996</v>
      </c>
      <c r="G2415" s="557">
        <v>19.010000000000002</v>
      </c>
    </row>
    <row r="2416" spans="1:7" ht="24.95" customHeight="1" x14ac:dyDescent="0.25">
      <c r="A2416" s="551" t="s">
        <v>36378</v>
      </c>
      <c r="B2416" s="342" t="s">
        <v>36379</v>
      </c>
      <c r="C2416" s="552" t="s">
        <v>158</v>
      </c>
      <c r="D2416" s="557">
        <v>28.7</v>
      </c>
      <c r="E2416" s="557">
        <v>23.91</v>
      </c>
      <c r="F2416" s="557">
        <v>4.79</v>
      </c>
      <c r="G2416" s="557">
        <v>28.7</v>
      </c>
    </row>
    <row r="2417" spans="1:7" ht="24.95" customHeight="1" x14ac:dyDescent="0.25">
      <c r="A2417" s="551" t="s">
        <v>36380</v>
      </c>
      <c r="B2417" s="342" t="s">
        <v>36381</v>
      </c>
      <c r="C2417" s="552" t="s">
        <v>158</v>
      </c>
      <c r="D2417" s="557">
        <v>37.770000000000003</v>
      </c>
      <c r="E2417" s="557">
        <v>30.59</v>
      </c>
      <c r="F2417" s="557">
        <v>7.18</v>
      </c>
      <c r="G2417" s="557">
        <v>37.770000000000003</v>
      </c>
    </row>
    <row r="2418" spans="1:7" ht="24.95" customHeight="1" x14ac:dyDescent="0.25">
      <c r="A2418" s="551" t="s">
        <v>36382</v>
      </c>
      <c r="B2418" s="342" t="s">
        <v>36383</v>
      </c>
      <c r="C2418" s="552" t="s">
        <v>158</v>
      </c>
      <c r="D2418" s="557">
        <v>57.18</v>
      </c>
      <c r="E2418" s="557">
        <v>47.61</v>
      </c>
      <c r="F2418" s="557">
        <v>9.57</v>
      </c>
      <c r="G2418" s="557">
        <v>57.18</v>
      </c>
    </row>
    <row r="2419" spans="1:7" ht="24.95" customHeight="1" x14ac:dyDescent="0.25">
      <c r="A2419" s="551" t="s">
        <v>36384</v>
      </c>
      <c r="B2419" s="342" t="s">
        <v>36385</v>
      </c>
      <c r="C2419" s="552" t="s">
        <v>158</v>
      </c>
      <c r="D2419" s="557">
        <v>69.83</v>
      </c>
      <c r="E2419" s="557">
        <v>57.86</v>
      </c>
      <c r="F2419" s="557">
        <v>11.97</v>
      </c>
      <c r="G2419" s="557">
        <v>69.83</v>
      </c>
    </row>
    <row r="2420" spans="1:7" ht="24.95" customHeight="1" x14ac:dyDescent="0.25">
      <c r="A2420" s="551" t="s">
        <v>36386</v>
      </c>
      <c r="B2420" s="342" t="s">
        <v>36387</v>
      </c>
      <c r="C2420" s="552" t="s">
        <v>158</v>
      </c>
      <c r="D2420" s="557">
        <v>94.73</v>
      </c>
      <c r="E2420" s="557">
        <v>80.37</v>
      </c>
      <c r="F2420" s="557">
        <v>14.36</v>
      </c>
      <c r="G2420" s="557">
        <v>94.73</v>
      </c>
    </row>
    <row r="2421" spans="1:7" ht="12.6" customHeight="1" x14ac:dyDescent="0.2">
      <c r="A2421" s="548" t="s">
        <v>36388</v>
      </c>
      <c r="B2421" s="548" t="s">
        <v>36389</v>
      </c>
      <c r="C2421" s="550" t="s">
        <v>158</v>
      </c>
      <c r="D2421" s="550">
        <v>127.36</v>
      </c>
      <c r="E2421" s="550">
        <v>110.61</v>
      </c>
      <c r="F2421" s="550">
        <v>16.75</v>
      </c>
      <c r="G2421" s="550">
        <v>127.36</v>
      </c>
    </row>
    <row r="2422" spans="1:7" ht="24.95" customHeight="1" x14ac:dyDescent="0.25">
      <c r="A2422" s="551" t="s">
        <v>36390</v>
      </c>
      <c r="B2422" s="342" t="s">
        <v>36391</v>
      </c>
      <c r="C2422" s="552" t="s">
        <v>158</v>
      </c>
      <c r="D2422" s="557">
        <v>147.28</v>
      </c>
      <c r="E2422" s="557">
        <v>128.13</v>
      </c>
      <c r="F2422" s="557">
        <v>19.149999999999999</v>
      </c>
      <c r="G2422" s="557">
        <v>147.28</v>
      </c>
    </row>
    <row r="2423" spans="1:7" ht="24.95" customHeight="1" x14ac:dyDescent="0.25">
      <c r="A2423" s="551" t="s">
        <v>36392</v>
      </c>
      <c r="B2423" s="342" t="s">
        <v>36393</v>
      </c>
      <c r="C2423" s="552" t="s">
        <v>158</v>
      </c>
      <c r="D2423" s="557">
        <v>179.34</v>
      </c>
      <c r="E2423" s="557">
        <v>157.80000000000001</v>
      </c>
      <c r="F2423" s="557">
        <v>21.54</v>
      </c>
      <c r="G2423" s="557">
        <v>179.34</v>
      </c>
    </row>
    <row r="2424" spans="1:7" ht="24.95" customHeight="1" x14ac:dyDescent="0.25">
      <c r="A2424" s="551" t="s">
        <v>36394</v>
      </c>
      <c r="B2424" s="342" t="s">
        <v>36395</v>
      </c>
      <c r="C2424" s="552" t="s">
        <v>158</v>
      </c>
      <c r="D2424" s="557">
        <v>212.92</v>
      </c>
      <c r="E2424" s="557">
        <v>188.98</v>
      </c>
      <c r="F2424" s="557">
        <v>23.94</v>
      </c>
      <c r="G2424" s="557">
        <v>212.92</v>
      </c>
    </row>
    <row r="2425" spans="1:7" ht="12.6" customHeight="1" x14ac:dyDescent="0.2">
      <c r="A2425" s="548" t="s">
        <v>36396</v>
      </c>
      <c r="B2425" s="548" t="s">
        <v>36397</v>
      </c>
      <c r="C2425" s="550"/>
      <c r="D2425" s="550"/>
      <c r="E2425" s="550"/>
      <c r="F2425" s="550"/>
      <c r="G2425" s="550"/>
    </row>
    <row r="2426" spans="1:7" ht="12.6" customHeight="1" x14ac:dyDescent="0.25">
      <c r="A2426" s="551" t="s">
        <v>36398</v>
      </c>
      <c r="B2426" s="551" t="s">
        <v>36399</v>
      </c>
      <c r="C2426" s="552" t="s">
        <v>158</v>
      </c>
      <c r="D2426" s="557">
        <v>7.11</v>
      </c>
      <c r="E2426" s="557">
        <v>4.72</v>
      </c>
      <c r="F2426" s="557">
        <v>2.39</v>
      </c>
      <c r="G2426" s="557">
        <v>7.11</v>
      </c>
    </row>
    <row r="2427" spans="1:7" ht="12.6" customHeight="1" x14ac:dyDescent="0.25">
      <c r="A2427" s="551" t="s">
        <v>36400</v>
      </c>
      <c r="B2427" s="551" t="s">
        <v>36401</v>
      </c>
      <c r="C2427" s="552" t="s">
        <v>158</v>
      </c>
      <c r="D2427" s="557">
        <v>11.31</v>
      </c>
      <c r="E2427" s="557">
        <v>6.52</v>
      </c>
      <c r="F2427" s="557">
        <v>4.79</v>
      </c>
      <c r="G2427" s="557">
        <v>11.31</v>
      </c>
    </row>
    <row r="2428" spans="1:7" ht="12.6" customHeight="1" x14ac:dyDescent="0.2">
      <c r="A2428" s="548" t="s">
        <v>36402</v>
      </c>
      <c r="B2428" s="548" t="s">
        <v>36403</v>
      </c>
      <c r="C2428" s="550" t="s">
        <v>158</v>
      </c>
      <c r="D2428" s="550">
        <v>13.43</v>
      </c>
      <c r="E2428" s="550">
        <v>8.64</v>
      </c>
      <c r="F2428" s="550">
        <v>4.79</v>
      </c>
      <c r="G2428" s="550">
        <v>13.43</v>
      </c>
    </row>
    <row r="2429" spans="1:7" ht="12.6" customHeight="1" x14ac:dyDescent="0.25">
      <c r="A2429" s="551" t="s">
        <v>36404</v>
      </c>
      <c r="B2429" s="551" t="s">
        <v>36405</v>
      </c>
      <c r="C2429" s="552" t="s">
        <v>158</v>
      </c>
      <c r="D2429" s="557">
        <v>18.66</v>
      </c>
      <c r="E2429" s="557">
        <v>13.87</v>
      </c>
      <c r="F2429" s="557">
        <v>4.79</v>
      </c>
      <c r="G2429" s="557">
        <v>18.66</v>
      </c>
    </row>
    <row r="2430" spans="1:7" ht="12.6" customHeight="1" x14ac:dyDescent="0.25">
      <c r="A2430" s="551" t="s">
        <v>36406</v>
      </c>
      <c r="B2430" s="551" t="s">
        <v>36407</v>
      </c>
      <c r="C2430" s="552" t="s">
        <v>158</v>
      </c>
      <c r="D2430" s="557">
        <v>23.31</v>
      </c>
      <c r="E2430" s="557">
        <v>18.52</v>
      </c>
      <c r="F2430" s="557">
        <v>4.79</v>
      </c>
      <c r="G2430" s="557">
        <v>23.31</v>
      </c>
    </row>
    <row r="2431" spans="1:7" ht="12.6" customHeight="1" x14ac:dyDescent="0.2">
      <c r="A2431" s="548" t="s">
        <v>36408</v>
      </c>
      <c r="B2431" s="548" t="s">
        <v>36409</v>
      </c>
      <c r="C2431" s="550"/>
      <c r="D2431" s="550"/>
      <c r="E2431" s="550"/>
      <c r="F2431" s="550"/>
      <c r="G2431" s="550"/>
    </row>
    <row r="2432" spans="1:7" ht="12.6" customHeight="1" x14ac:dyDescent="0.25">
      <c r="A2432" s="551" t="s">
        <v>36410</v>
      </c>
      <c r="B2432" s="551" t="s">
        <v>36411</v>
      </c>
      <c r="C2432" s="552" t="s">
        <v>158</v>
      </c>
      <c r="D2432" s="557">
        <v>3.25</v>
      </c>
      <c r="E2432" s="557">
        <v>1.33</v>
      </c>
      <c r="F2432" s="557">
        <v>1.92</v>
      </c>
      <c r="G2432" s="557">
        <v>3.25</v>
      </c>
    </row>
    <row r="2433" spans="1:7" ht="12.6" customHeight="1" x14ac:dyDescent="0.25">
      <c r="A2433" s="551" t="s">
        <v>36412</v>
      </c>
      <c r="B2433" s="551" t="s">
        <v>36413</v>
      </c>
      <c r="C2433" s="552" t="s">
        <v>158</v>
      </c>
      <c r="D2433" s="557">
        <v>4.4000000000000004</v>
      </c>
      <c r="E2433" s="557">
        <v>2.0099999999999998</v>
      </c>
      <c r="F2433" s="557">
        <v>2.39</v>
      </c>
      <c r="G2433" s="557">
        <v>4.4000000000000004</v>
      </c>
    </row>
    <row r="2434" spans="1:7" ht="12.6" customHeight="1" x14ac:dyDescent="0.25">
      <c r="A2434" s="551" t="s">
        <v>36414</v>
      </c>
      <c r="B2434" s="551" t="s">
        <v>36415</v>
      </c>
      <c r="C2434" s="552" t="s">
        <v>158</v>
      </c>
      <c r="D2434" s="557">
        <v>6.14</v>
      </c>
      <c r="E2434" s="557">
        <v>3.27</v>
      </c>
      <c r="F2434" s="557">
        <v>2.87</v>
      </c>
      <c r="G2434" s="557">
        <v>6.14</v>
      </c>
    </row>
    <row r="2435" spans="1:7" ht="12.6" customHeight="1" x14ac:dyDescent="0.25">
      <c r="A2435" s="551" t="s">
        <v>36416</v>
      </c>
      <c r="B2435" s="551" t="s">
        <v>36417</v>
      </c>
      <c r="C2435" s="552" t="s">
        <v>158</v>
      </c>
      <c r="D2435" s="557">
        <v>8.3699999999999992</v>
      </c>
      <c r="E2435" s="557">
        <v>5.0199999999999996</v>
      </c>
      <c r="F2435" s="557">
        <v>3.35</v>
      </c>
      <c r="G2435" s="557">
        <v>8.3699999999999992</v>
      </c>
    </row>
    <row r="2436" spans="1:7" ht="12.6" customHeight="1" x14ac:dyDescent="0.25">
      <c r="A2436" s="551" t="s">
        <v>36418</v>
      </c>
      <c r="B2436" s="551" t="s">
        <v>36419</v>
      </c>
      <c r="C2436" s="552" t="s">
        <v>158</v>
      </c>
      <c r="D2436" s="557">
        <v>12.41</v>
      </c>
      <c r="E2436" s="557">
        <v>8.58</v>
      </c>
      <c r="F2436" s="557">
        <v>3.83</v>
      </c>
      <c r="G2436" s="557">
        <v>12.41</v>
      </c>
    </row>
    <row r="2437" spans="1:7" ht="12.6" customHeight="1" x14ac:dyDescent="0.25">
      <c r="A2437" s="551" t="s">
        <v>36420</v>
      </c>
      <c r="B2437" s="551" t="s">
        <v>36421</v>
      </c>
      <c r="C2437" s="552"/>
      <c r="D2437" s="557"/>
      <c r="E2437" s="557"/>
      <c r="F2437" s="557"/>
      <c r="G2437" s="557"/>
    </row>
    <row r="2438" spans="1:7" ht="12.6" customHeight="1" x14ac:dyDescent="0.25">
      <c r="A2438" s="551" t="s">
        <v>36422</v>
      </c>
      <c r="B2438" s="551" t="s">
        <v>36423</v>
      </c>
      <c r="C2438" s="552" t="s">
        <v>158</v>
      </c>
      <c r="D2438" s="557">
        <v>15.85</v>
      </c>
      <c r="E2438" s="557">
        <v>3.88</v>
      </c>
      <c r="F2438" s="557">
        <v>11.97</v>
      </c>
      <c r="G2438" s="557">
        <v>15.85</v>
      </c>
    </row>
    <row r="2439" spans="1:7" ht="12.6" customHeight="1" x14ac:dyDescent="0.2">
      <c r="A2439" s="548" t="s">
        <v>36424</v>
      </c>
      <c r="B2439" s="548" t="s">
        <v>36425</v>
      </c>
      <c r="C2439" s="550"/>
      <c r="D2439" s="550"/>
      <c r="E2439" s="550"/>
      <c r="F2439" s="550"/>
      <c r="G2439" s="550"/>
    </row>
    <row r="2440" spans="1:7" ht="12.6" customHeight="1" x14ac:dyDescent="0.25">
      <c r="A2440" s="551" t="s">
        <v>36426</v>
      </c>
      <c r="B2440" s="551" t="s">
        <v>36427</v>
      </c>
      <c r="C2440" s="552"/>
      <c r="D2440" s="557"/>
      <c r="E2440" s="557"/>
      <c r="F2440" s="557"/>
      <c r="G2440" s="557"/>
    </row>
    <row r="2441" spans="1:7" ht="23.1" customHeight="1" x14ac:dyDescent="0.25">
      <c r="A2441" s="551" t="s">
        <v>36428</v>
      </c>
      <c r="B2441" s="551" t="s">
        <v>36429</v>
      </c>
      <c r="C2441" s="552" t="s">
        <v>226</v>
      </c>
      <c r="D2441" s="557">
        <v>14.03</v>
      </c>
      <c r="E2441" s="344">
        <v>2.06</v>
      </c>
      <c r="F2441" s="557">
        <v>11.97</v>
      </c>
      <c r="G2441" s="557">
        <v>14.03</v>
      </c>
    </row>
    <row r="2442" spans="1:7" ht="23.1" customHeight="1" x14ac:dyDescent="0.25">
      <c r="A2442" s="551" t="s">
        <v>36430</v>
      </c>
      <c r="B2442" s="551" t="s">
        <v>36431</v>
      </c>
      <c r="C2442" s="552" t="s">
        <v>226</v>
      </c>
      <c r="D2442" s="557">
        <v>15.58</v>
      </c>
      <c r="E2442" s="344">
        <v>3.61</v>
      </c>
      <c r="F2442" s="557">
        <v>11.97</v>
      </c>
      <c r="G2442" s="557">
        <v>15.58</v>
      </c>
    </row>
    <row r="2443" spans="1:7" ht="12.6" customHeight="1" x14ac:dyDescent="0.2">
      <c r="A2443" s="548" t="s">
        <v>36432</v>
      </c>
      <c r="B2443" s="548" t="s">
        <v>36433</v>
      </c>
      <c r="C2443" s="550" t="s">
        <v>226</v>
      </c>
      <c r="D2443" s="550">
        <v>17.97</v>
      </c>
      <c r="E2443" s="550">
        <v>3.61</v>
      </c>
      <c r="F2443" s="550">
        <v>14.36</v>
      </c>
      <c r="G2443" s="550">
        <v>17.97</v>
      </c>
    </row>
    <row r="2444" spans="1:7" ht="23.1" customHeight="1" x14ac:dyDescent="0.25">
      <c r="A2444" s="551" t="s">
        <v>36434</v>
      </c>
      <c r="B2444" s="551" t="s">
        <v>36435</v>
      </c>
      <c r="C2444" s="552" t="s">
        <v>226</v>
      </c>
      <c r="D2444" s="557">
        <v>14.06</v>
      </c>
      <c r="E2444" s="557">
        <v>2.09</v>
      </c>
      <c r="F2444" s="557">
        <v>11.97</v>
      </c>
      <c r="G2444" s="557">
        <v>14.06</v>
      </c>
    </row>
    <row r="2445" spans="1:7" ht="23.1" customHeight="1" x14ac:dyDescent="0.25">
      <c r="A2445" s="551" t="s">
        <v>36436</v>
      </c>
      <c r="B2445" s="551" t="s">
        <v>36437</v>
      </c>
      <c r="C2445" s="552"/>
      <c r="D2445" s="557"/>
      <c r="E2445" s="557"/>
      <c r="F2445" s="557"/>
      <c r="G2445" s="557"/>
    </row>
    <row r="2446" spans="1:7" ht="23.1" customHeight="1" x14ac:dyDescent="0.25">
      <c r="A2446" s="551" t="s">
        <v>36438</v>
      </c>
      <c r="B2446" s="551" t="s">
        <v>36439</v>
      </c>
      <c r="C2446" s="552" t="s">
        <v>226</v>
      </c>
      <c r="D2446" s="557">
        <v>78.16</v>
      </c>
      <c r="E2446" s="557">
        <v>39.869999999999997</v>
      </c>
      <c r="F2446" s="557">
        <v>38.29</v>
      </c>
      <c r="G2446" s="557">
        <v>78.16</v>
      </c>
    </row>
    <row r="2447" spans="1:7" ht="11.45" customHeight="1" x14ac:dyDescent="0.25">
      <c r="A2447" s="543" t="s">
        <v>36440</v>
      </c>
      <c r="B2447" s="544" t="s">
        <v>36441</v>
      </c>
      <c r="C2447" s="544" t="s">
        <v>226</v>
      </c>
      <c r="D2447" s="543">
        <v>27.56</v>
      </c>
      <c r="E2447" s="545">
        <v>13.2</v>
      </c>
      <c r="F2447" s="546">
        <v>14.36</v>
      </c>
      <c r="G2447" s="543">
        <v>27.56</v>
      </c>
    </row>
    <row r="2448" spans="1:7" ht="23.1" customHeight="1" x14ac:dyDescent="0.25">
      <c r="A2448" s="551" t="s">
        <v>36442</v>
      </c>
      <c r="B2448" s="551" t="s">
        <v>36443</v>
      </c>
      <c r="C2448" s="552" t="s">
        <v>226</v>
      </c>
      <c r="D2448" s="557">
        <v>34.869999999999997</v>
      </c>
      <c r="E2448" s="557">
        <v>20.51</v>
      </c>
      <c r="F2448" s="557">
        <v>14.36</v>
      </c>
      <c r="G2448" s="557">
        <v>34.869999999999997</v>
      </c>
    </row>
    <row r="2449" spans="1:7" ht="23.1" customHeight="1" x14ac:dyDescent="0.25">
      <c r="A2449" s="551" t="s">
        <v>36444</v>
      </c>
      <c r="B2449" s="551" t="s">
        <v>36445</v>
      </c>
      <c r="C2449" s="552" t="s">
        <v>226</v>
      </c>
      <c r="D2449" s="557">
        <v>41.01</v>
      </c>
      <c r="E2449" s="557">
        <v>26.65</v>
      </c>
      <c r="F2449" s="557">
        <v>14.36</v>
      </c>
      <c r="G2449" s="557">
        <v>41.01</v>
      </c>
    </row>
    <row r="2450" spans="1:7" ht="23.1" customHeight="1" x14ac:dyDescent="0.25">
      <c r="A2450" s="551" t="s">
        <v>36446</v>
      </c>
      <c r="B2450" s="551" t="s">
        <v>36447</v>
      </c>
      <c r="C2450" s="552" t="s">
        <v>226</v>
      </c>
      <c r="D2450" s="557">
        <v>76.28</v>
      </c>
      <c r="E2450" s="557">
        <v>57.13</v>
      </c>
      <c r="F2450" s="557">
        <v>19.149999999999999</v>
      </c>
      <c r="G2450" s="557">
        <v>76.28</v>
      </c>
    </row>
    <row r="2451" spans="1:7" ht="23.1" customHeight="1" x14ac:dyDescent="0.25">
      <c r="A2451" s="551" t="s">
        <v>36448</v>
      </c>
      <c r="B2451" s="551" t="s">
        <v>36449</v>
      </c>
      <c r="C2451" s="552" t="s">
        <v>226</v>
      </c>
      <c r="D2451" s="557">
        <v>174.46</v>
      </c>
      <c r="E2451" s="557">
        <v>155.31</v>
      </c>
      <c r="F2451" s="557">
        <v>19.149999999999999</v>
      </c>
      <c r="G2451" s="557">
        <v>174.46</v>
      </c>
    </row>
    <row r="2452" spans="1:7" ht="23.1" customHeight="1" x14ac:dyDescent="0.25">
      <c r="A2452" s="551" t="s">
        <v>36450</v>
      </c>
      <c r="B2452" s="551" t="s">
        <v>36451</v>
      </c>
      <c r="C2452" s="552" t="s">
        <v>226</v>
      </c>
      <c r="D2452" s="557">
        <v>234.22</v>
      </c>
      <c r="E2452" s="557">
        <v>210.28</v>
      </c>
      <c r="F2452" s="557">
        <v>23.94</v>
      </c>
      <c r="G2452" s="557">
        <v>234.22</v>
      </c>
    </row>
    <row r="2453" spans="1:7" ht="23.1" customHeight="1" x14ac:dyDescent="0.25">
      <c r="A2453" s="551" t="s">
        <v>36452</v>
      </c>
      <c r="B2453" s="551" t="s">
        <v>36453</v>
      </c>
      <c r="C2453" s="552" t="s">
        <v>226</v>
      </c>
      <c r="D2453" s="557">
        <v>222.61</v>
      </c>
      <c r="E2453" s="557">
        <v>208.25</v>
      </c>
      <c r="F2453" s="557">
        <v>14.36</v>
      </c>
      <c r="G2453" s="557">
        <v>222.61</v>
      </c>
    </row>
    <row r="2454" spans="1:7" ht="23.1" customHeight="1" x14ac:dyDescent="0.25">
      <c r="A2454" s="551" t="s">
        <v>36454</v>
      </c>
      <c r="B2454" s="551" t="s">
        <v>36455</v>
      </c>
      <c r="C2454" s="552" t="s">
        <v>226</v>
      </c>
      <c r="D2454" s="557">
        <v>501.67</v>
      </c>
      <c r="E2454" s="557">
        <v>487.31</v>
      </c>
      <c r="F2454" s="557">
        <v>14.36</v>
      </c>
      <c r="G2454" s="557">
        <v>501.67</v>
      </c>
    </row>
    <row r="2455" spans="1:7" ht="23.1" customHeight="1" x14ac:dyDescent="0.25">
      <c r="A2455" s="551" t="s">
        <v>36456</v>
      </c>
      <c r="B2455" s="551" t="s">
        <v>36457</v>
      </c>
      <c r="C2455" s="552" t="s">
        <v>226</v>
      </c>
      <c r="D2455" s="557">
        <v>434.16</v>
      </c>
      <c r="E2455" s="557">
        <v>419.8</v>
      </c>
      <c r="F2455" s="557">
        <v>14.36</v>
      </c>
      <c r="G2455" s="557">
        <v>434.16</v>
      </c>
    </row>
    <row r="2456" spans="1:7" ht="23.1" customHeight="1" x14ac:dyDescent="0.25">
      <c r="A2456" s="551" t="s">
        <v>36458</v>
      </c>
      <c r="B2456" s="551" t="s">
        <v>36459</v>
      </c>
      <c r="C2456" s="552" t="s">
        <v>226</v>
      </c>
      <c r="D2456" s="557">
        <v>1617.98</v>
      </c>
      <c r="E2456" s="557">
        <v>1598.83</v>
      </c>
      <c r="F2456" s="557">
        <v>19.149999999999999</v>
      </c>
      <c r="G2456" s="557">
        <v>1617.98</v>
      </c>
    </row>
    <row r="2457" spans="1:7" ht="23.1" customHeight="1" x14ac:dyDescent="0.25">
      <c r="A2457" s="551" t="s">
        <v>36460</v>
      </c>
      <c r="B2457" s="551" t="s">
        <v>36461</v>
      </c>
      <c r="C2457" s="552" t="s">
        <v>226</v>
      </c>
      <c r="D2457" s="557">
        <v>35.729999999999997</v>
      </c>
      <c r="E2457" s="557">
        <v>21.37</v>
      </c>
      <c r="F2457" s="557">
        <v>14.36</v>
      </c>
      <c r="G2457" s="557">
        <v>35.729999999999997</v>
      </c>
    </row>
    <row r="2458" spans="1:7" ht="23.1" customHeight="1" x14ac:dyDescent="0.25">
      <c r="A2458" s="551" t="s">
        <v>36462</v>
      </c>
      <c r="B2458" s="551" t="s">
        <v>36463</v>
      </c>
      <c r="C2458" s="552" t="s">
        <v>226</v>
      </c>
      <c r="D2458" s="557">
        <v>90.5</v>
      </c>
      <c r="E2458" s="557">
        <v>76.14</v>
      </c>
      <c r="F2458" s="557">
        <v>14.36</v>
      </c>
      <c r="G2458" s="557">
        <v>90.5</v>
      </c>
    </row>
    <row r="2459" spans="1:7" ht="23.1" customHeight="1" x14ac:dyDescent="0.25">
      <c r="A2459" s="551" t="s">
        <v>36464</v>
      </c>
      <c r="B2459" s="551" t="s">
        <v>36465</v>
      </c>
      <c r="C2459" s="552" t="s">
        <v>226</v>
      </c>
      <c r="D2459" s="557">
        <v>208.34</v>
      </c>
      <c r="E2459" s="557">
        <v>189.19</v>
      </c>
      <c r="F2459" s="557">
        <v>19.149999999999999</v>
      </c>
      <c r="G2459" s="557">
        <v>208.34</v>
      </c>
    </row>
    <row r="2460" spans="1:7" ht="24.95" customHeight="1" x14ac:dyDescent="0.25">
      <c r="A2460" s="551" t="s">
        <v>36466</v>
      </c>
      <c r="B2460" s="342" t="s">
        <v>36467</v>
      </c>
      <c r="C2460" s="552"/>
      <c r="D2460" s="557"/>
      <c r="E2460" s="557"/>
      <c r="F2460" s="557"/>
      <c r="G2460" s="557"/>
    </row>
    <row r="2461" spans="1:7" ht="24.95" customHeight="1" x14ac:dyDescent="0.25">
      <c r="A2461" s="551" t="s">
        <v>36468</v>
      </c>
      <c r="B2461" s="342" t="s">
        <v>36469</v>
      </c>
      <c r="C2461" s="552" t="s">
        <v>19518</v>
      </c>
      <c r="D2461" s="557">
        <v>39.97</v>
      </c>
      <c r="E2461" s="557">
        <v>25.61</v>
      </c>
      <c r="F2461" s="557">
        <v>14.36</v>
      </c>
      <c r="G2461" s="557">
        <v>39.97</v>
      </c>
    </row>
    <row r="2462" spans="1:7" ht="24.95" customHeight="1" x14ac:dyDescent="0.25">
      <c r="A2462" s="551" t="s">
        <v>36470</v>
      </c>
      <c r="B2462" s="342" t="s">
        <v>36471</v>
      </c>
      <c r="C2462" s="552" t="s">
        <v>226</v>
      </c>
      <c r="D2462" s="557">
        <v>42.36</v>
      </c>
      <c r="E2462" s="557">
        <v>28</v>
      </c>
      <c r="F2462" s="557">
        <v>14.36</v>
      </c>
      <c r="G2462" s="557">
        <v>42.36</v>
      </c>
    </row>
    <row r="2463" spans="1:7" ht="24.95" customHeight="1" x14ac:dyDescent="0.25">
      <c r="A2463" s="551" t="s">
        <v>36472</v>
      </c>
      <c r="B2463" s="342" t="s">
        <v>36473</v>
      </c>
      <c r="C2463" s="552" t="s">
        <v>226</v>
      </c>
      <c r="D2463" s="557">
        <v>74.84</v>
      </c>
      <c r="E2463" s="557">
        <v>60.48</v>
      </c>
      <c r="F2463" s="557">
        <v>14.36</v>
      </c>
      <c r="G2463" s="557">
        <v>74.84</v>
      </c>
    </row>
    <row r="2464" spans="1:7" ht="24.95" customHeight="1" x14ac:dyDescent="0.25">
      <c r="A2464" s="551" t="s">
        <v>36474</v>
      </c>
      <c r="B2464" s="342" t="s">
        <v>36475</v>
      </c>
      <c r="C2464" s="552" t="s">
        <v>19518</v>
      </c>
      <c r="D2464" s="557">
        <v>282.2</v>
      </c>
      <c r="E2464" s="557">
        <v>267.83999999999997</v>
      </c>
      <c r="F2464" s="557">
        <v>14.36</v>
      </c>
      <c r="G2464" s="557">
        <v>282.2</v>
      </c>
    </row>
    <row r="2465" spans="1:7" ht="24.95" customHeight="1" x14ac:dyDescent="0.25">
      <c r="A2465" s="551" t="s">
        <v>36476</v>
      </c>
      <c r="B2465" s="342" t="s">
        <v>36477</v>
      </c>
      <c r="C2465" s="552" t="s">
        <v>19518</v>
      </c>
      <c r="D2465" s="557">
        <v>258.99</v>
      </c>
      <c r="E2465" s="557">
        <v>244.63</v>
      </c>
      <c r="F2465" s="557">
        <v>14.36</v>
      </c>
      <c r="G2465" s="557">
        <v>258.99</v>
      </c>
    </row>
    <row r="2466" spans="1:7" ht="24.95" customHeight="1" x14ac:dyDescent="0.25">
      <c r="A2466" s="551" t="s">
        <v>36478</v>
      </c>
      <c r="B2466" s="342" t="s">
        <v>36479</v>
      </c>
      <c r="C2466" s="552" t="s">
        <v>19518</v>
      </c>
      <c r="D2466" s="557">
        <v>31.5</v>
      </c>
      <c r="E2466" s="557">
        <v>17.14</v>
      </c>
      <c r="F2466" s="557">
        <v>14.36</v>
      </c>
      <c r="G2466" s="557">
        <v>31.5</v>
      </c>
    </row>
    <row r="2467" spans="1:7" ht="12.6" customHeight="1" x14ac:dyDescent="0.2">
      <c r="A2467" s="548" t="s">
        <v>36480</v>
      </c>
      <c r="B2467" s="548" t="s">
        <v>36481</v>
      </c>
      <c r="C2467" s="550" t="s">
        <v>19518</v>
      </c>
      <c r="D2467" s="550">
        <v>295.07</v>
      </c>
      <c r="E2467" s="550">
        <v>280.70999999999998</v>
      </c>
      <c r="F2467" s="550">
        <v>14.36</v>
      </c>
      <c r="G2467" s="550">
        <v>295.07</v>
      </c>
    </row>
    <row r="2468" spans="1:7" ht="23.1" customHeight="1" x14ac:dyDescent="0.25">
      <c r="A2468" s="551" t="s">
        <v>36482</v>
      </c>
      <c r="B2468" s="551" t="s">
        <v>36483</v>
      </c>
      <c r="C2468" s="552" t="s">
        <v>226</v>
      </c>
      <c r="D2468" s="557">
        <v>28.26</v>
      </c>
      <c r="E2468" s="557">
        <v>13.9</v>
      </c>
      <c r="F2468" s="557">
        <v>14.36</v>
      </c>
      <c r="G2468" s="557">
        <v>28.26</v>
      </c>
    </row>
    <row r="2469" spans="1:7" ht="23.1" customHeight="1" x14ac:dyDescent="0.25">
      <c r="A2469" s="551" t="s">
        <v>36484</v>
      </c>
      <c r="B2469" s="551" t="s">
        <v>36485</v>
      </c>
      <c r="C2469" s="552" t="s">
        <v>19518</v>
      </c>
      <c r="D2469" s="557">
        <v>25.37</v>
      </c>
      <c r="E2469" s="557">
        <v>11.01</v>
      </c>
      <c r="F2469" s="557">
        <v>14.36</v>
      </c>
      <c r="G2469" s="557">
        <v>25.37</v>
      </c>
    </row>
    <row r="2470" spans="1:7" ht="23.1" customHeight="1" x14ac:dyDescent="0.25">
      <c r="A2470" s="551" t="s">
        <v>36486</v>
      </c>
      <c r="B2470" s="551" t="s">
        <v>36487</v>
      </c>
      <c r="C2470" s="552" t="s">
        <v>19518</v>
      </c>
      <c r="D2470" s="557">
        <v>31.22</v>
      </c>
      <c r="E2470" s="557">
        <v>16.86</v>
      </c>
      <c r="F2470" s="557">
        <v>14.36</v>
      </c>
      <c r="G2470" s="557">
        <v>31.22</v>
      </c>
    </row>
    <row r="2471" spans="1:7" ht="23.1" customHeight="1" x14ac:dyDescent="0.25">
      <c r="A2471" s="551" t="s">
        <v>36488</v>
      </c>
      <c r="B2471" s="551" t="s">
        <v>36489</v>
      </c>
      <c r="C2471" s="552" t="s">
        <v>19518</v>
      </c>
      <c r="D2471" s="557">
        <v>35.53</v>
      </c>
      <c r="E2471" s="557">
        <v>21.17</v>
      </c>
      <c r="F2471" s="557">
        <v>14.36</v>
      </c>
      <c r="G2471" s="557">
        <v>35.53</v>
      </c>
    </row>
    <row r="2472" spans="1:7" ht="23.1" customHeight="1" x14ac:dyDescent="0.25">
      <c r="A2472" s="551" t="s">
        <v>36490</v>
      </c>
      <c r="B2472" s="551" t="s">
        <v>36491</v>
      </c>
      <c r="C2472" s="552" t="s">
        <v>19518</v>
      </c>
      <c r="D2472" s="557">
        <v>33.369999999999997</v>
      </c>
      <c r="E2472" s="557">
        <v>19.010000000000002</v>
      </c>
      <c r="F2472" s="557">
        <v>14.36</v>
      </c>
      <c r="G2472" s="557">
        <v>33.369999999999997</v>
      </c>
    </row>
    <row r="2473" spans="1:7" ht="23.1" customHeight="1" x14ac:dyDescent="0.25">
      <c r="A2473" s="551" t="s">
        <v>36492</v>
      </c>
      <c r="B2473" s="551" t="s">
        <v>36493</v>
      </c>
      <c r="C2473" s="552" t="s">
        <v>19518</v>
      </c>
      <c r="D2473" s="557">
        <v>38.17</v>
      </c>
      <c r="E2473" s="557">
        <v>23.81</v>
      </c>
      <c r="F2473" s="557">
        <v>14.36</v>
      </c>
      <c r="G2473" s="557">
        <v>38.17</v>
      </c>
    </row>
    <row r="2474" spans="1:7" ht="23.1" customHeight="1" x14ac:dyDescent="0.25">
      <c r="A2474" s="548" t="s">
        <v>36494</v>
      </c>
      <c r="B2474" s="548" t="s">
        <v>36495</v>
      </c>
      <c r="C2474" s="549" t="s">
        <v>19518</v>
      </c>
      <c r="D2474" s="549">
        <v>47.45</v>
      </c>
      <c r="E2474" s="549">
        <v>29.75</v>
      </c>
      <c r="F2474" s="549">
        <v>17.7</v>
      </c>
      <c r="G2474" s="549">
        <v>47.45</v>
      </c>
    </row>
    <row r="2475" spans="1:7" ht="12.6" customHeight="1" x14ac:dyDescent="0.25">
      <c r="A2475" s="551" t="s">
        <v>36496</v>
      </c>
      <c r="B2475" s="551" t="s">
        <v>36497</v>
      </c>
      <c r="C2475" s="552"/>
      <c r="D2475" s="557"/>
      <c r="E2475" s="557"/>
      <c r="F2475" s="557"/>
      <c r="G2475" s="557"/>
    </row>
    <row r="2476" spans="1:7" ht="12.6" customHeight="1" x14ac:dyDescent="0.25">
      <c r="A2476" s="551" t="s">
        <v>36498</v>
      </c>
      <c r="B2476" s="551" t="s">
        <v>36499</v>
      </c>
      <c r="C2476" s="552" t="s">
        <v>19518</v>
      </c>
      <c r="D2476" s="557">
        <v>25.2</v>
      </c>
      <c r="E2476" s="557">
        <v>8.93</v>
      </c>
      <c r="F2476" s="557">
        <v>16.27</v>
      </c>
      <c r="G2476" s="557">
        <v>25.2</v>
      </c>
    </row>
    <row r="2477" spans="1:7" ht="24.95" customHeight="1" x14ac:dyDescent="0.25">
      <c r="A2477" s="548" t="s">
        <v>36500</v>
      </c>
      <c r="B2477" s="565" t="s">
        <v>36501</v>
      </c>
      <c r="C2477" s="549" t="s">
        <v>19518</v>
      </c>
      <c r="D2477" s="549">
        <v>34.97</v>
      </c>
      <c r="E2477" s="549">
        <v>18.22</v>
      </c>
      <c r="F2477" s="549">
        <v>16.75</v>
      </c>
      <c r="G2477" s="549">
        <v>34.97</v>
      </c>
    </row>
    <row r="2478" spans="1:7" ht="11.45" customHeight="1" x14ac:dyDescent="0.25">
      <c r="A2478" s="543" t="s">
        <v>36502</v>
      </c>
      <c r="B2478" s="544" t="s">
        <v>36503</v>
      </c>
      <c r="C2478" s="544" t="s">
        <v>19518</v>
      </c>
      <c r="D2478" s="543">
        <v>51.62</v>
      </c>
      <c r="E2478" s="545">
        <v>27.68</v>
      </c>
      <c r="F2478" s="546">
        <v>23.94</v>
      </c>
      <c r="G2478" s="543">
        <v>51.62</v>
      </c>
    </row>
    <row r="2479" spans="1:7" ht="24.95" customHeight="1" x14ac:dyDescent="0.25">
      <c r="A2479" s="551" t="s">
        <v>36504</v>
      </c>
      <c r="B2479" s="342" t="s">
        <v>36505</v>
      </c>
      <c r="C2479" s="552" t="s">
        <v>19518</v>
      </c>
      <c r="D2479" s="557">
        <v>25.35</v>
      </c>
      <c r="E2479" s="557">
        <v>12.42</v>
      </c>
      <c r="F2479" s="557">
        <v>12.93</v>
      </c>
      <c r="G2479" s="557">
        <v>25.35</v>
      </c>
    </row>
    <row r="2480" spans="1:7" ht="24.95" customHeight="1" x14ac:dyDescent="0.25">
      <c r="A2480" s="551" t="s">
        <v>36506</v>
      </c>
      <c r="B2480" s="342" t="s">
        <v>36507</v>
      </c>
      <c r="C2480" s="552" t="s">
        <v>19518</v>
      </c>
      <c r="D2480" s="557">
        <v>34.56</v>
      </c>
      <c r="E2480" s="557">
        <v>13.02</v>
      </c>
      <c r="F2480" s="557">
        <v>21.54</v>
      </c>
      <c r="G2480" s="557">
        <v>34.56</v>
      </c>
    </row>
    <row r="2481" spans="1:7" ht="24.95" customHeight="1" x14ac:dyDescent="0.25">
      <c r="A2481" s="551" t="s">
        <v>36508</v>
      </c>
      <c r="B2481" s="342" t="s">
        <v>36509</v>
      </c>
      <c r="C2481" s="552" t="s">
        <v>19518</v>
      </c>
      <c r="D2481" s="557">
        <v>30.1</v>
      </c>
      <c r="E2481" s="557">
        <v>11.91</v>
      </c>
      <c r="F2481" s="557">
        <v>18.190000000000001</v>
      </c>
      <c r="G2481" s="557">
        <v>30.1</v>
      </c>
    </row>
    <row r="2482" spans="1:7" ht="24.95" customHeight="1" x14ac:dyDescent="0.25">
      <c r="A2482" s="551" t="s">
        <v>36510</v>
      </c>
      <c r="B2482" s="342" t="s">
        <v>36511</v>
      </c>
      <c r="C2482" s="552" t="s">
        <v>19518</v>
      </c>
      <c r="D2482" s="557">
        <v>35.380000000000003</v>
      </c>
      <c r="E2482" s="557">
        <v>13.84</v>
      </c>
      <c r="F2482" s="557">
        <v>21.54</v>
      </c>
      <c r="G2482" s="557">
        <v>35.380000000000003</v>
      </c>
    </row>
    <row r="2483" spans="1:7" ht="24.95" customHeight="1" x14ac:dyDescent="0.25">
      <c r="A2483" s="551" t="s">
        <v>36512</v>
      </c>
      <c r="B2483" s="342" t="s">
        <v>36513</v>
      </c>
      <c r="C2483" s="552" t="s">
        <v>19518</v>
      </c>
      <c r="D2483" s="557">
        <v>46.22</v>
      </c>
      <c r="E2483" s="557">
        <v>22.28</v>
      </c>
      <c r="F2483" s="557">
        <v>23.94</v>
      </c>
      <c r="G2483" s="557">
        <v>46.22</v>
      </c>
    </row>
    <row r="2484" spans="1:7" ht="24.95" customHeight="1" x14ac:dyDescent="0.25">
      <c r="A2484" s="551" t="s">
        <v>36514</v>
      </c>
      <c r="B2484" s="342" t="s">
        <v>36515</v>
      </c>
      <c r="C2484" s="552" t="s">
        <v>19518</v>
      </c>
      <c r="D2484" s="557">
        <v>61.22</v>
      </c>
      <c r="E2484" s="557">
        <v>44.47</v>
      </c>
      <c r="F2484" s="557">
        <v>16.75</v>
      </c>
      <c r="G2484" s="557">
        <v>61.22</v>
      </c>
    </row>
    <row r="2485" spans="1:7" ht="24.95" customHeight="1" x14ac:dyDescent="0.25">
      <c r="A2485" s="551" t="s">
        <v>36516</v>
      </c>
      <c r="B2485" s="342" t="s">
        <v>36517</v>
      </c>
      <c r="C2485" s="552" t="s">
        <v>19518</v>
      </c>
      <c r="D2485" s="557">
        <v>51.43</v>
      </c>
      <c r="E2485" s="557">
        <v>34.68</v>
      </c>
      <c r="F2485" s="557">
        <v>16.75</v>
      </c>
      <c r="G2485" s="557">
        <v>51.43</v>
      </c>
    </row>
    <row r="2486" spans="1:7" ht="24.95" customHeight="1" x14ac:dyDescent="0.25">
      <c r="A2486" s="551" t="s">
        <v>36518</v>
      </c>
      <c r="B2486" s="342" t="s">
        <v>36519</v>
      </c>
      <c r="C2486" s="552" t="s">
        <v>19518</v>
      </c>
      <c r="D2486" s="557">
        <v>25.06</v>
      </c>
      <c r="E2486" s="557">
        <v>13.09</v>
      </c>
      <c r="F2486" s="557">
        <v>11.97</v>
      </c>
      <c r="G2486" s="557">
        <v>25.06</v>
      </c>
    </row>
    <row r="2487" spans="1:7" ht="24.95" customHeight="1" x14ac:dyDescent="0.25">
      <c r="A2487" s="551" t="s">
        <v>36520</v>
      </c>
      <c r="B2487" s="342" t="s">
        <v>36521</v>
      </c>
      <c r="C2487" s="552" t="s">
        <v>19518</v>
      </c>
      <c r="D2487" s="557">
        <v>92.08</v>
      </c>
      <c r="E2487" s="557">
        <v>73.89</v>
      </c>
      <c r="F2487" s="557">
        <v>18.190000000000001</v>
      </c>
      <c r="G2487" s="557">
        <v>92.08</v>
      </c>
    </row>
    <row r="2488" spans="1:7" ht="24.95" customHeight="1" x14ac:dyDescent="0.25">
      <c r="A2488" s="551" t="s">
        <v>36522</v>
      </c>
      <c r="B2488" s="342" t="s">
        <v>36523</v>
      </c>
      <c r="C2488" s="552" t="s">
        <v>226</v>
      </c>
      <c r="D2488" s="557">
        <v>52.83</v>
      </c>
      <c r="E2488" s="557">
        <v>38.47</v>
      </c>
      <c r="F2488" s="557">
        <v>14.36</v>
      </c>
      <c r="G2488" s="557">
        <v>52.83</v>
      </c>
    </row>
    <row r="2489" spans="1:7" ht="24.95" customHeight="1" x14ac:dyDescent="0.25">
      <c r="A2489" s="551" t="s">
        <v>36524</v>
      </c>
      <c r="B2489" s="342" t="s">
        <v>36525</v>
      </c>
      <c r="C2489" s="552" t="s">
        <v>226</v>
      </c>
      <c r="D2489" s="557">
        <v>116.22</v>
      </c>
      <c r="E2489" s="557">
        <v>92.28</v>
      </c>
      <c r="F2489" s="557">
        <v>23.94</v>
      </c>
      <c r="G2489" s="557">
        <v>116.22</v>
      </c>
    </row>
    <row r="2490" spans="1:7" ht="24.95" customHeight="1" x14ac:dyDescent="0.25">
      <c r="A2490" s="551" t="s">
        <v>36526</v>
      </c>
      <c r="B2490" s="342" t="s">
        <v>36527</v>
      </c>
      <c r="C2490" s="552"/>
      <c r="D2490" s="557"/>
      <c r="E2490" s="557"/>
      <c r="F2490" s="557"/>
      <c r="G2490" s="557"/>
    </row>
    <row r="2491" spans="1:7" ht="24.95" customHeight="1" x14ac:dyDescent="0.25">
      <c r="A2491" s="551" t="s">
        <v>36528</v>
      </c>
      <c r="B2491" s="342" t="s">
        <v>36529</v>
      </c>
      <c r="C2491" s="552" t="s">
        <v>19518</v>
      </c>
      <c r="D2491" s="557">
        <v>38.130000000000003</v>
      </c>
      <c r="E2491" s="557">
        <v>14.19</v>
      </c>
      <c r="F2491" s="557">
        <v>23.94</v>
      </c>
      <c r="G2491" s="557">
        <v>38.130000000000003</v>
      </c>
    </row>
    <row r="2492" spans="1:7" ht="24.95" customHeight="1" x14ac:dyDescent="0.25">
      <c r="A2492" s="551" t="s">
        <v>36530</v>
      </c>
      <c r="B2492" s="342" t="s">
        <v>36531</v>
      </c>
      <c r="C2492" s="552" t="s">
        <v>19518</v>
      </c>
      <c r="D2492" s="557">
        <v>43.82</v>
      </c>
      <c r="E2492" s="557">
        <v>19.88</v>
      </c>
      <c r="F2492" s="557">
        <v>23.94</v>
      </c>
      <c r="G2492" s="557">
        <v>43.82</v>
      </c>
    </row>
    <row r="2493" spans="1:7" ht="24.95" customHeight="1" x14ac:dyDescent="0.25">
      <c r="A2493" s="551" t="s">
        <v>36532</v>
      </c>
      <c r="B2493" s="342" t="s">
        <v>36533</v>
      </c>
      <c r="C2493" s="552" t="s">
        <v>19518</v>
      </c>
      <c r="D2493" s="557">
        <v>60.73</v>
      </c>
      <c r="E2493" s="557">
        <v>36.79</v>
      </c>
      <c r="F2493" s="557">
        <v>23.94</v>
      </c>
      <c r="G2493" s="557">
        <v>60.73</v>
      </c>
    </row>
    <row r="2494" spans="1:7" ht="12.6" customHeight="1" x14ac:dyDescent="0.2">
      <c r="A2494" s="548" t="s">
        <v>36534</v>
      </c>
      <c r="B2494" s="548" t="s">
        <v>36535</v>
      </c>
      <c r="C2494" s="550" t="s">
        <v>19518</v>
      </c>
      <c r="D2494" s="550">
        <v>61.31</v>
      </c>
      <c r="E2494" s="550">
        <v>37.369999999999997</v>
      </c>
      <c r="F2494" s="550">
        <v>23.94</v>
      </c>
      <c r="G2494" s="550">
        <v>61.31</v>
      </c>
    </row>
    <row r="2495" spans="1:7" ht="23.1" customHeight="1" x14ac:dyDescent="0.25">
      <c r="A2495" s="551" t="s">
        <v>36536</v>
      </c>
      <c r="B2495" s="551" t="s">
        <v>36537</v>
      </c>
      <c r="C2495" s="552" t="s">
        <v>19518</v>
      </c>
      <c r="D2495" s="557">
        <v>108.21</v>
      </c>
      <c r="E2495" s="557">
        <v>84.27</v>
      </c>
      <c r="F2495" s="557">
        <v>23.94</v>
      </c>
      <c r="G2495" s="557">
        <v>108.21</v>
      </c>
    </row>
    <row r="2496" spans="1:7" ht="12.6" customHeight="1" x14ac:dyDescent="0.25">
      <c r="A2496" s="551" t="s">
        <v>36538</v>
      </c>
      <c r="B2496" s="551" t="s">
        <v>36539</v>
      </c>
      <c r="C2496" s="552" t="s">
        <v>19518</v>
      </c>
      <c r="D2496" s="557">
        <v>205.21</v>
      </c>
      <c r="E2496" s="557">
        <v>181.27</v>
      </c>
      <c r="F2496" s="557">
        <v>23.94</v>
      </c>
      <c r="G2496" s="557">
        <v>205.21</v>
      </c>
    </row>
    <row r="2497" spans="1:7" ht="12.6" customHeight="1" x14ac:dyDescent="0.25">
      <c r="A2497" s="551" t="s">
        <v>36540</v>
      </c>
      <c r="B2497" s="551" t="s">
        <v>36541</v>
      </c>
      <c r="C2497" s="552" t="s">
        <v>19518</v>
      </c>
      <c r="D2497" s="557">
        <v>219.57</v>
      </c>
      <c r="E2497" s="557">
        <v>195.63</v>
      </c>
      <c r="F2497" s="557">
        <v>23.94</v>
      </c>
      <c r="G2497" s="557">
        <v>219.57</v>
      </c>
    </row>
    <row r="2498" spans="1:7" ht="23.1" customHeight="1" x14ac:dyDescent="0.25">
      <c r="A2498" s="551" t="s">
        <v>36542</v>
      </c>
      <c r="B2498" s="551" t="s">
        <v>36543</v>
      </c>
      <c r="C2498" s="552" t="s">
        <v>19518</v>
      </c>
      <c r="D2498" s="557">
        <v>345.55</v>
      </c>
      <c r="E2498" s="557">
        <v>321.61</v>
      </c>
      <c r="F2498" s="557">
        <v>23.94</v>
      </c>
      <c r="G2498" s="557">
        <v>345.55</v>
      </c>
    </row>
    <row r="2499" spans="1:7" ht="23.1" customHeight="1" x14ac:dyDescent="0.25">
      <c r="A2499" s="551" t="s">
        <v>36544</v>
      </c>
      <c r="B2499" s="551" t="s">
        <v>36545</v>
      </c>
      <c r="C2499" s="552" t="s">
        <v>19518</v>
      </c>
      <c r="D2499" s="557">
        <v>40.56</v>
      </c>
      <c r="E2499" s="557">
        <v>16.62</v>
      </c>
      <c r="F2499" s="557">
        <v>23.94</v>
      </c>
      <c r="G2499" s="557">
        <v>40.56</v>
      </c>
    </row>
    <row r="2500" spans="1:7" ht="24.95" customHeight="1" x14ac:dyDescent="0.25">
      <c r="A2500" s="548" t="s">
        <v>36546</v>
      </c>
      <c r="B2500" s="565" t="s">
        <v>36547</v>
      </c>
      <c r="C2500" s="549"/>
      <c r="D2500" s="549"/>
      <c r="E2500" s="549"/>
      <c r="F2500" s="549"/>
      <c r="G2500" s="549"/>
    </row>
    <row r="2501" spans="1:7" ht="24.95" customHeight="1" x14ac:dyDescent="0.25">
      <c r="A2501" s="551" t="s">
        <v>36548</v>
      </c>
      <c r="B2501" s="342" t="s">
        <v>36549</v>
      </c>
      <c r="C2501" s="552" t="s">
        <v>226</v>
      </c>
      <c r="D2501" s="557">
        <v>14.89</v>
      </c>
      <c r="E2501" s="557">
        <v>2.92</v>
      </c>
      <c r="F2501" s="557">
        <v>11.97</v>
      </c>
      <c r="G2501" s="557">
        <v>14.89</v>
      </c>
    </row>
    <row r="2502" spans="1:7" ht="24.95" customHeight="1" x14ac:dyDescent="0.25">
      <c r="A2502" s="551" t="s">
        <v>36550</v>
      </c>
      <c r="B2502" s="342" t="s">
        <v>36551</v>
      </c>
      <c r="C2502" s="552" t="s">
        <v>226</v>
      </c>
      <c r="D2502" s="557">
        <v>18.22</v>
      </c>
      <c r="E2502" s="557">
        <v>6.25</v>
      </c>
      <c r="F2502" s="557">
        <v>11.97</v>
      </c>
      <c r="G2502" s="557">
        <v>18.22</v>
      </c>
    </row>
    <row r="2503" spans="1:7" ht="24.95" customHeight="1" x14ac:dyDescent="0.25">
      <c r="A2503" s="551" t="s">
        <v>36552</v>
      </c>
      <c r="B2503" s="342" t="s">
        <v>36553</v>
      </c>
      <c r="C2503" s="552" t="s">
        <v>226</v>
      </c>
      <c r="D2503" s="557">
        <v>18.68</v>
      </c>
      <c r="E2503" s="557">
        <v>6.71</v>
      </c>
      <c r="F2503" s="557">
        <v>11.97</v>
      </c>
      <c r="G2503" s="557">
        <v>18.68</v>
      </c>
    </row>
    <row r="2504" spans="1:7" ht="24.95" customHeight="1" x14ac:dyDescent="0.25">
      <c r="A2504" s="551" t="s">
        <v>36554</v>
      </c>
      <c r="B2504" s="342" t="s">
        <v>36555</v>
      </c>
      <c r="C2504" s="552"/>
      <c r="D2504" s="557"/>
      <c r="E2504" s="557"/>
      <c r="F2504" s="557"/>
      <c r="G2504" s="557"/>
    </row>
    <row r="2505" spans="1:7" ht="24.95" customHeight="1" x14ac:dyDescent="0.25">
      <c r="A2505" s="551" t="s">
        <v>36556</v>
      </c>
      <c r="B2505" s="342" t="s">
        <v>36557</v>
      </c>
      <c r="C2505" s="552" t="s">
        <v>226</v>
      </c>
      <c r="D2505" s="557">
        <v>247.94</v>
      </c>
      <c r="E2505" s="557">
        <v>224</v>
      </c>
      <c r="F2505" s="557">
        <v>23.94</v>
      </c>
      <c r="G2505" s="557">
        <v>247.94</v>
      </c>
    </row>
    <row r="2506" spans="1:7" ht="12.6" customHeight="1" x14ac:dyDescent="0.2">
      <c r="A2506" s="548" t="s">
        <v>36558</v>
      </c>
      <c r="B2506" s="548" t="s">
        <v>36559</v>
      </c>
      <c r="C2506" s="550" t="s">
        <v>226</v>
      </c>
      <c r="D2506" s="550">
        <v>299.92</v>
      </c>
      <c r="E2506" s="550">
        <v>275.98</v>
      </c>
      <c r="F2506" s="550">
        <v>23.94</v>
      </c>
      <c r="G2506" s="550">
        <v>299.92</v>
      </c>
    </row>
    <row r="2507" spans="1:7" ht="12.6" customHeight="1" x14ac:dyDescent="0.25">
      <c r="A2507" s="551" t="s">
        <v>36560</v>
      </c>
      <c r="B2507" s="551" t="s">
        <v>36561</v>
      </c>
      <c r="C2507" s="552" t="s">
        <v>226</v>
      </c>
      <c r="D2507" s="557">
        <v>338.62</v>
      </c>
      <c r="E2507" s="557">
        <v>314.68</v>
      </c>
      <c r="F2507" s="557">
        <v>23.94</v>
      </c>
      <c r="G2507" s="557">
        <v>338.62</v>
      </c>
    </row>
    <row r="2508" spans="1:7" ht="23.1" customHeight="1" x14ac:dyDescent="0.25">
      <c r="A2508" s="559" t="s">
        <v>36562</v>
      </c>
      <c r="B2508" s="548" t="s">
        <v>36563</v>
      </c>
      <c r="C2508" s="549" t="s">
        <v>226</v>
      </c>
      <c r="D2508" s="549">
        <v>314.47000000000003</v>
      </c>
      <c r="E2508" s="549">
        <v>290.52999999999997</v>
      </c>
      <c r="F2508" s="549">
        <v>23.94</v>
      </c>
      <c r="G2508" s="549">
        <v>314.47000000000003</v>
      </c>
    </row>
    <row r="2509" spans="1:7" ht="12.6" customHeight="1" x14ac:dyDescent="0.2">
      <c r="A2509" s="548" t="s">
        <v>36564</v>
      </c>
      <c r="B2509" s="548" t="s">
        <v>36565</v>
      </c>
      <c r="C2509" s="550" t="s">
        <v>226</v>
      </c>
      <c r="D2509" s="550">
        <v>383.92</v>
      </c>
      <c r="E2509" s="550">
        <v>359.98</v>
      </c>
      <c r="F2509" s="550">
        <v>23.94</v>
      </c>
      <c r="G2509" s="550">
        <v>383.92</v>
      </c>
    </row>
    <row r="2510" spans="1:7" ht="12.6" customHeight="1" x14ac:dyDescent="0.25">
      <c r="A2510" s="551" t="s">
        <v>36566</v>
      </c>
      <c r="B2510" s="551" t="s">
        <v>36567</v>
      </c>
      <c r="C2510" s="552" t="s">
        <v>226</v>
      </c>
      <c r="D2510" s="557">
        <v>563.96</v>
      </c>
      <c r="E2510" s="557">
        <v>540.02</v>
      </c>
      <c r="F2510" s="557">
        <v>23.94</v>
      </c>
      <c r="G2510" s="557">
        <v>563.96</v>
      </c>
    </row>
    <row r="2511" spans="1:7" ht="11.45" customHeight="1" x14ac:dyDescent="0.25">
      <c r="A2511" s="543" t="s">
        <v>36568</v>
      </c>
      <c r="B2511" s="544" t="s">
        <v>36569</v>
      </c>
      <c r="C2511" s="544" t="s">
        <v>226</v>
      </c>
      <c r="D2511" s="543">
        <v>763.43</v>
      </c>
      <c r="E2511" s="545">
        <v>739.49</v>
      </c>
      <c r="F2511" s="546">
        <v>23.94</v>
      </c>
      <c r="G2511" s="543">
        <v>763.43</v>
      </c>
    </row>
    <row r="2512" spans="1:7" ht="12.6" customHeight="1" x14ac:dyDescent="0.25">
      <c r="A2512" s="551" t="s">
        <v>36570</v>
      </c>
      <c r="B2512" s="551" t="s">
        <v>36571</v>
      </c>
      <c r="C2512" s="552" t="s">
        <v>226</v>
      </c>
      <c r="D2512" s="557">
        <v>996.5</v>
      </c>
      <c r="E2512" s="557">
        <v>972.56</v>
      </c>
      <c r="F2512" s="557">
        <v>23.94</v>
      </c>
      <c r="G2512" s="557">
        <v>996.5</v>
      </c>
    </row>
    <row r="2513" spans="1:7" ht="12.6" customHeight="1" x14ac:dyDescent="0.25">
      <c r="A2513" s="551" t="s">
        <v>36572</v>
      </c>
      <c r="B2513" s="551" t="s">
        <v>36573</v>
      </c>
      <c r="C2513" s="552" t="s">
        <v>226</v>
      </c>
      <c r="D2513" s="557">
        <v>1257.32</v>
      </c>
      <c r="E2513" s="557">
        <v>1233.3800000000001</v>
      </c>
      <c r="F2513" s="557">
        <v>23.94</v>
      </c>
      <c r="G2513" s="557">
        <v>1257.32</v>
      </c>
    </row>
    <row r="2514" spans="1:7" ht="12.6" customHeight="1" x14ac:dyDescent="0.25">
      <c r="A2514" s="551" t="s">
        <v>36574</v>
      </c>
      <c r="B2514" s="551" t="s">
        <v>36575</v>
      </c>
      <c r="C2514" s="552" t="s">
        <v>226</v>
      </c>
      <c r="D2514" s="557">
        <v>3199.19</v>
      </c>
      <c r="E2514" s="557">
        <v>3175.25</v>
      </c>
      <c r="F2514" s="557">
        <v>23.94</v>
      </c>
      <c r="G2514" s="557">
        <v>3199.19</v>
      </c>
    </row>
    <row r="2515" spans="1:7" ht="12.6" customHeight="1" x14ac:dyDescent="0.2">
      <c r="A2515" s="548" t="s">
        <v>36576</v>
      </c>
      <c r="B2515" s="548" t="s">
        <v>36577</v>
      </c>
      <c r="C2515" s="550" t="s">
        <v>226</v>
      </c>
      <c r="D2515" s="550">
        <v>3354.42</v>
      </c>
      <c r="E2515" s="550">
        <v>3330.48</v>
      </c>
      <c r="F2515" s="550">
        <v>23.94</v>
      </c>
      <c r="G2515" s="550">
        <v>3354.42</v>
      </c>
    </row>
    <row r="2516" spans="1:7" ht="12.6" customHeight="1" x14ac:dyDescent="0.25">
      <c r="A2516" s="551" t="s">
        <v>36578</v>
      </c>
      <c r="B2516" s="551" t="s">
        <v>36579</v>
      </c>
      <c r="C2516" s="552" t="s">
        <v>226</v>
      </c>
      <c r="D2516" s="557">
        <v>6414.44</v>
      </c>
      <c r="E2516" s="557">
        <v>6390.5</v>
      </c>
      <c r="F2516" s="557">
        <v>23.94</v>
      </c>
      <c r="G2516" s="557">
        <v>6414.44</v>
      </c>
    </row>
    <row r="2517" spans="1:7" ht="23.1" customHeight="1" x14ac:dyDescent="0.25">
      <c r="A2517" s="551" t="s">
        <v>36580</v>
      </c>
      <c r="B2517" s="551" t="s">
        <v>36581</v>
      </c>
      <c r="C2517" s="552" t="s">
        <v>226</v>
      </c>
      <c r="D2517" s="557">
        <v>114.66</v>
      </c>
      <c r="E2517" s="557">
        <v>90.72</v>
      </c>
      <c r="F2517" s="557">
        <v>23.94</v>
      </c>
      <c r="G2517" s="557">
        <v>114.66</v>
      </c>
    </row>
    <row r="2518" spans="1:7" ht="23.1" customHeight="1" x14ac:dyDescent="0.25">
      <c r="A2518" s="551" t="s">
        <v>36582</v>
      </c>
      <c r="B2518" s="551" t="s">
        <v>36583</v>
      </c>
      <c r="C2518" s="552" t="s">
        <v>226</v>
      </c>
      <c r="D2518" s="557">
        <v>143.37</v>
      </c>
      <c r="E2518" s="557">
        <v>119.43</v>
      </c>
      <c r="F2518" s="557">
        <v>23.94</v>
      </c>
      <c r="G2518" s="557">
        <v>143.37</v>
      </c>
    </row>
    <row r="2519" spans="1:7" ht="23.1" customHeight="1" x14ac:dyDescent="0.25">
      <c r="A2519" s="551" t="s">
        <v>36584</v>
      </c>
      <c r="B2519" s="551" t="s">
        <v>36585</v>
      </c>
      <c r="C2519" s="552" t="s">
        <v>226</v>
      </c>
      <c r="D2519" s="557">
        <v>178.35</v>
      </c>
      <c r="E2519" s="557">
        <v>154.41</v>
      </c>
      <c r="F2519" s="557">
        <v>23.94</v>
      </c>
      <c r="G2519" s="557">
        <v>178.35</v>
      </c>
    </row>
    <row r="2520" spans="1:7" ht="23.1" customHeight="1" x14ac:dyDescent="0.25">
      <c r="A2520" s="551" t="s">
        <v>36586</v>
      </c>
      <c r="B2520" s="551" t="s">
        <v>36587</v>
      </c>
      <c r="C2520" s="552"/>
      <c r="D2520" s="557"/>
      <c r="E2520" s="557"/>
      <c r="F2520" s="557"/>
      <c r="G2520" s="557"/>
    </row>
    <row r="2521" spans="1:7" ht="23.1" customHeight="1" x14ac:dyDescent="0.25">
      <c r="A2521" s="551" t="s">
        <v>36588</v>
      </c>
      <c r="B2521" s="551" t="s">
        <v>36589</v>
      </c>
      <c r="C2521" s="552" t="s">
        <v>226</v>
      </c>
      <c r="D2521" s="557">
        <v>92.9</v>
      </c>
      <c r="E2521" s="557">
        <v>71.36</v>
      </c>
      <c r="F2521" s="557">
        <v>21.54</v>
      </c>
      <c r="G2521" s="557">
        <v>92.9</v>
      </c>
    </row>
    <row r="2522" spans="1:7" ht="23.1" customHeight="1" x14ac:dyDescent="0.25">
      <c r="A2522" s="551" t="s">
        <v>36590</v>
      </c>
      <c r="B2522" s="551" t="s">
        <v>36591</v>
      </c>
      <c r="C2522" s="552" t="s">
        <v>226</v>
      </c>
      <c r="D2522" s="557">
        <v>294.06</v>
      </c>
      <c r="E2522" s="557">
        <v>270.12</v>
      </c>
      <c r="F2522" s="557">
        <v>23.94</v>
      </c>
      <c r="G2522" s="557">
        <v>294.06</v>
      </c>
    </row>
    <row r="2523" spans="1:7" ht="24.95" customHeight="1" x14ac:dyDescent="0.25">
      <c r="A2523" s="551" t="s">
        <v>36592</v>
      </c>
      <c r="B2523" s="342" t="s">
        <v>36593</v>
      </c>
      <c r="C2523" s="552" t="s">
        <v>226</v>
      </c>
      <c r="D2523" s="557">
        <v>476.48</v>
      </c>
      <c r="E2523" s="557">
        <v>452.54</v>
      </c>
      <c r="F2523" s="557">
        <v>23.94</v>
      </c>
      <c r="G2523" s="557">
        <v>476.48</v>
      </c>
    </row>
    <row r="2524" spans="1:7" ht="24.95" customHeight="1" x14ac:dyDescent="0.25">
      <c r="A2524" s="551" t="s">
        <v>36594</v>
      </c>
      <c r="B2524" s="342" t="s">
        <v>36595</v>
      </c>
      <c r="C2524" s="552" t="s">
        <v>226</v>
      </c>
      <c r="D2524" s="557">
        <v>335.58</v>
      </c>
      <c r="E2524" s="557">
        <v>311.64</v>
      </c>
      <c r="F2524" s="557">
        <v>23.94</v>
      </c>
      <c r="G2524" s="557">
        <v>335.58</v>
      </c>
    </row>
    <row r="2525" spans="1:7" ht="24.95" customHeight="1" x14ac:dyDescent="0.25">
      <c r="A2525" s="551" t="s">
        <v>36596</v>
      </c>
      <c r="B2525" s="342" t="s">
        <v>36597</v>
      </c>
      <c r="C2525" s="552" t="s">
        <v>226</v>
      </c>
      <c r="D2525" s="557">
        <v>140.94</v>
      </c>
      <c r="E2525" s="557">
        <v>93.08</v>
      </c>
      <c r="F2525" s="557">
        <v>47.86</v>
      </c>
      <c r="G2525" s="557">
        <v>140.94</v>
      </c>
    </row>
    <row r="2526" spans="1:7" ht="24.95" customHeight="1" x14ac:dyDescent="0.25">
      <c r="A2526" s="551" t="s">
        <v>36598</v>
      </c>
      <c r="B2526" s="342" t="s">
        <v>36599</v>
      </c>
      <c r="C2526" s="552" t="s">
        <v>226</v>
      </c>
      <c r="D2526" s="553">
        <v>2627.14</v>
      </c>
      <c r="E2526" s="553">
        <v>2579.2800000000002</v>
      </c>
      <c r="F2526" s="557">
        <v>47.86</v>
      </c>
      <c r="G2526" s="553">
        <v>2627.14</v>
      </c>
    </row>
    <row r="2527" spans="1:7" ht="23.1" customHeight="1" x14ac:dyDescent="0.25">
      <c r="A2527" s="551" t="s">
        <v>36600</v>
      </c>
      <c r="B2527" s="551" t="s">
        <v>36601</v>
      </c>
      <c r="C2527" s="552" t="s">
        <v>226</v>
      </c>
      <c r="D2527" s="557">
        <v>136.72</v>
      </c>
      <c r="E2527" s="557">
        <v>88.86</v>
      </c>
      <c r="F2527" s="557">
        <v>47.86</v>
      </c>
      <c r="G2527" s="557">
        <v>136.72</v>
      </c>
    </row>
    <row r="2528" spans="1:7" ht="23.1" customHeight="1" x14ac:dyDescent="0.25">
      <c r="A2528" s="551" t="s">
        <v>36602</v>
      </c>
      <c r="B2528" s="551" t="s">
        <v>36603</v>
      </c>
      <c r="C2528" s="552" t="s">
        <v>226</v>
      </c>
      <c r="D2528" s="557">
        <v>2830.92</v>
      </c>
      <c r="E2528" s="557">
        <v>2806.98</v>
      </c>
      <c r="F2528" s="557">
        <v>23.94</v>
      </c>
      <c r="G2528" s="557">
        <v>2830.92</v>
      </c>
    </row>
    <row r="2529" spans="1:7" ht="23.1" customHeight="1" x14ac:dyDescent="0.25">
      <c r="A2529" s="551" t="s">
        <v>36604</v>
      </c>
      <c r="B2529" s="551" t="s">
        <v>36605</v>
      </c>
      <c r="C2529" s="552" t="s">
        <v>226</v>
      </c>
      <c r="D2529" s="557">
        <v>140.94</v>
      </c>
      <c r="E2529" s="557">
        <v>93.08</v>
      </c>
      <c r="F2529" s="557">
        <v>47.86</v>
      </c>
      <c r="G2529" s="557">
        <v>140.94</v>
      </c>
    </row>
    <row r="2530" spans="1:7" ht="12.6" customHeight="1" x14ac:dyDescent="0.2">
      <c r="A2530" s="548" t="s">
        <v>36606</v>
      </c>
      <c r="B2530" s="548" t="s">
        <v>36607</v>
      </c>
      <c r="C2530" s="550" t="s">
        <v>226</v>
      </c>
      <c r="D2530" s="550">
        <v>272.02999999999997</v>
      </c>
      <c r="E2530" s="550">
        <v>243.32</v>
      </c>
      <c r="F2530" s="550">
        <v>28.71</v>
      </c>
      <c r="G2530" s="550">
        <v>272.02999999999997</v>
      </c>
    </row>
    <row r="2531" spans="1:7" ht="12.6" customHeight="1" x14ac:dyDescent="0.25">
      <c r="A2531" s="551" t="s">
        <v>36608</v>
      </c>
      <c r="B2531" s="551" t="s">
        <v>36609</v>
      </c>
      <c r="C2531" s="552"/>
      <c r="D2531" s="557"/>
      <c r="E2531" s="557"/>
      <c r="F2531" s="557"/>
      <c r="G2531" s="557"/>
    </row>
    <row r="2532" spans="1:7" ht="12.6" customHeight="1" x14ac:dyDescent="0.25">
      <c r="A2532" s="551" t="s">
        <v>36610</v>
      </c>
      <c r="B2532" s="551" t="s">
        <v>36611</v>
      </c>
      <c r="C2532" s="552" t="s">
        <v>226</v>
      </c>
      <c r="D2532" s="557">
        <v>594.37</v>
      </c>
      <c r="E2532" s="557">
        <v>575.22</v>
      </c>
      <c r="F2532" s="557">
        <v>19.149999999999999</v>
      </c>
      <c r="G2532" s="557">
        <v>594.37</v>
      </c>
    </row>
    <row r="2533" spans="1:7" ht="12.6" customHeight="1" x14ac:dyDescent="0.25">
      <c r="A2533" s="551" t="s">
        <v>36612</v>
      </c>
      <c r="B2533" s="551" t="s">
        <v>36613</v>
      </c>
      <c r="C2533" s="552" t="s">
        <v>226</v>
      </c>
      <c r="D2533" s="557">
        <v>305.89999999999998</v>
      </c>
      <c r="E2533" s="557">
        <v>286.75</v>
      </c>
      <c r="F2533" s="557">
        <v>19.149999999999999</v>
      </c>
      <c r="G2533" s="557">
        <v>305.89999999999998</v>
      </c>
    </row>
    <row r="2534" spans="1:7" ht="12.6" customHeight="1" x14ac:dyDescent="0.25">
      <c r="A2534" s="551" t="s">
        <v>36614</v>
      </c>
      <c r="B2534" s="551" t="s">
        <v>36615</v>
      </c>
      <c r="C2534" s="552" t="s">
        <v>226</v>
      </c>
      <c r="D2534" s="557">
        <v>178.1</v>
      </c>
      <c r="E2534" s="557">
        <v>158.94999999999999</v>
      </c>
      <c r="F2534" s="557">
        <v>19.149999999999999</v>
      </c>
      <c r="G2534" s="557">
        <v>178.1</v>
      </c>
    </row>
    <row r="2535" spans="1:7" ht="12.6" customHeight="1" x14ac:dyDescent="0.25">
      <c r="A2535" s="551" t="s">
        <v>36616</v>
      </c>
      <c r="B2535" s="551" t="s">
        <v>36617</v>
      </c>
      <c r="C2535" s="552" t="s">
        <v>226</v>
      </c>
      <c r="D2535" s="557">
        <v>445.58</v>
      </c>
      <c r="E2535" s="557">
        <v>426.43</v>
      </c>
      <c r="F2535" s="557">
        <v>19.149999999999999</v>
      </c>
      <c r="G2535" s="557">
        <v>445.58</v>
      </c>
    </row>
    <row r="2536" spans="1:7" ht="12.6" customHeight="1" x14ac:dyDescent="0.25">
      <c r="A2536" s="551" t="s">
        <v>36618</v>
      </c>
      <c r="B2536" s="551" t="s">
        <v>36619</v>
      </c>
      <c r="C2536" s="552"/>
      <c r="D2536" s="557"/>
      <c r="E2536" s="557"/>
      <c r="F2536" s="557"/>
      <c r="G2536" s="557"/>
    </row>
    <row r="2537" spans="1:7" ht="12.6" customHeight="1" x14ac:dyDescent="0.25">
      <c r="A2537" s="551" t="s">
        <v>36620</v>
      </c>
      <c r="B2537" s="551" t="s">
        <v>36621</v>
      </c>
      <c r="C2537" s="552" t="s">
        <v>226</v>
      </c>
      <c r="D2537" s="557">
        <v>164.58</v>
      </c>
      <c r="E2537" s="557">
        <v>145.43</v>
      </c>
      <c r="F2537" s="557">
        <v>19.149999999999999</v>
      </c>
      <c r="G2537" s="557">
        <v>164.58</v>
      </c>
    </row>
    <row r="2538" spans="1:7" ht="24.95" customHeight="1" x14ac:dyDescent="0.25">
      <c r="A2538" s="551" t="s">
        <v>36622</v>
      </c>
      <c r="B2538" s="342" t="s">
        <v>36623</v>
      </c>
      <c r="C2538" s="552" t="s">
        <v>226</v>
      </c>
      <c r="D2538" s="557">
        <v>429.81</v>
      </c>
      <c r="E2538" s="557">
        <v>417.84</v>
      </c>
      <c r="F2538" s="557">
        <v>11.97</v>
      </c>
      <c r="G2538" s="557">
        <v>429.81</v>
      </c>
    </row>
    <row r="2539" spans="1:7" ht="12.6" customHeight="1" x14ac:dyDescent="0.25">
      <c r="A2539" s="551" t="s">
        <v>36624</v>
      </c>
      <c r="B2539" s="551" t="s">
        <v>36625</v>
      </c>
      <c r="C2539" s="552"/>
      <c r="D2539" s="557"/>
      <c r="E2539" s="557"/>
      <c r="F2539" s="557"/>
      <c r="G2539" s="557"/>
    </row>
    <row r="2540" spans="1:7" ht="12.6" customHeight="1" x14ac:dyDescent="0.25">
      <c r="A2540" s="551" t="s">
        <v>36626</v>
      </c>
      <c r="B2540" s="551" t="s">
        <v>36627</v>
      </c>
      <c r="C2540" s="552" t="s">
        <v>226</v>
      </c>
      <c r="D2540" s="557">
        <v>134.63</v>
      </c>
      <c r="E2540" s="557">
        <v>115.48</v>
      </c>
      <c r="F2540" s="557">
        <v>19.149999999999999</v>
      </c>
      <c r="G2540" s="557">
        <v>134.63</v>
      </c>
    </row>
    <row r="2541" spans="1:7" ht="12.6" customHeight="1" x14ac:dyDescent="0.25">
      <c r="A2541" s="551" t="s">
        <v>36628</v>
      </c>
      <c r="B2541" s="551" t="s">
        <v>36629</v>
      </c>
      <c r="C2541" s="552" t="s">
        <v>226</v>
      </c>
      <c r="D2541" s="557">
        <v>142.21</v>
      </c>
      <c r="E2541" s="557">
        <v>118.27</v>
      </c>
      <c r="F2541" s="557">
        <v>23.94</v>
      </c>
      <c r="G2541" s="557">
        <v>142.21</v>
      </c>
    </row>
    <row r="2542" spans="1:7" ht="12.6" customHeight="1" x14ac:dyDescent="0.25">
      <c r="A2542" s="551" t="s">
        <v>36630</v>
      </c>
      <c r="B2542" s="551" t="s">
        <v>36631</v>
      </c>
      <c r="C2542" s="552"/>
      <c r="D2542" s="557"/>
      <c r="E2542" s="557"/>
      <c r="F2542" s="557"/>
      <c r="G2542" s="557"/>
    </row>
    <row r="2543" spans="1:7" ht="12.6" customHeight="1" x14ac:dyDescent="0.25">
      <c r="A2543" s="551" t="s">
        <v>36632</v>
      </c>
      <c r="B2543" s="551" t="s">
        <v>36633</v>
      </c>
      <c r="C2543" s="552" t="s">
        <v>226</v>
      </c>
      <c r="D2543" s="557">
        <v>120</v>
      </c>
      <c r="E2543" s="557">
        <v>81.709999999999994</v>
      </c>
      <c r="F2543" s="557">
        <v>38.29</v>
      </c>
      <c r="G2543" s="557">
        <v>120</v>
      </c>
    </row>
    <row r="2544" spans="1:7" ht="24.95" customHeight="1" x14ac:dyDescent="0.25">
      <c r="A2544" s="551" t="s">
        <v>36634</v>
      </c>
      <c r="B2544" s="342" t="s">
        <v>36635</v>
      </c>
      <c r="C2544" s="552" t="s">
        <v>226</v>
      </c>
      <c r="D2544" s="557">
        <v>85.16</v>
      </c>
      <c r="E2544" s="557">
        <v>46.87</v>
      </c>
      <c r="F2544" s="557">
        <v>38.29</v>
      </c>
      <c r="G2544" s="557">
        <v>85.16</v>
      </c>
    </row>
    <row r="2545" spans="1:7" ht="12.6" customHeight="1" x14ac:dyDescent="0.2">
      <c r="A2545" s="548" t="s">
        <v>36636</v>
      </c>
      <c r="B2545" s="548" t="s">
        <v>36637</v>
      </c>
      <c r="C2545" s="550" t="s">
        <v>226</v>
      </c>
      <c r="D2545" s="550">
        <v>44.45</v>
      </c>
      <c r="E2545" s="550">
        <v>30.09</v>
      </c>
      <c r="F2545" s="550">
        <v>14.36</v>
      </c>
      <c r="G2545" s="550">
        <v>44.45</v>
      </c>
    </row>
    <row r="2546" spans="1:7" ht="12.6" customHeight="1" x14ac:dyDescent="0.25">
      <c r="A2546" s="551" t="s">
        <v>36638</v>
      </c>
      <c r="B2546" s="551" t="s">
        <v>36639</v>
      </c>
      <c r="C2546" s="552" t="s">
        <v>226</v>
      </c>
      <c r="D2546" s="557">
        <v>172.27</v>
      </c>
      <c r="E2546" s="557">
        <v>157.91</v>
      </c>
      <c r="F2546" s="557">
        <v>14.36</v>
      </c>
      <c r="G2546" s="557">
        <v>172.27</v>
      </c>
    </row>
    <row r="2547" spans="1:7" ht="12.6" customHeight="1" x14ac:dyDescent="0.25">
      <c r="A2547" s="551" t="s">
        <v>36640</v>
      </c>
      <c r="B2547" s="551" t="s">
        <v>36641</v>
      </c>
      <c r="C2547" s="552" t="s">
        <v>226</v>
      </c>
      <c r="D2547" s="557">
        <v>462.58</v>
      </c>
      <c r="E2547" s="557">
        <v>448.22</v>
      </c>
      <c r="F2547" s="557">
        <v>14.36</v>
      </c>
      <c r="G2547" s="557">
        <v>462.58</v>
      </c>
    </row>
    <row r="2548" spans="1:7" ht="12.6" customHeight="1" x14ac:dyDescent="0.25">
      <c r="A2548" s="551" t="s">
        <v>36642</v>
      </c>
      <c r="B2548" s="551" t="s">
        <v>36643</v>
      </c>
      <c r="C2548" s="552" t="s">
        <v>226</v>
      </c>
      <c r="D2548" s="557">
        <v>5.72</v>
      </c>
      <c r="E2548" s="557">
        <v>4.16</v>
      </c>
      <c r="F2548" s="557">
        <v>1.56</v>
      </c>
      <c r="G2548" s="557">
        <v>5.72</v>
      </c>
    </row>
    <row r="2549" spans="1:7" ht="12.6" customHeight="1" x14ac:dyDescent="0.25">
      <c r="A2549" s="551" t="s">
        <v>36644</v>
      </c>
      <c r="B2549" s="551" t="s">
        <v>36645</v>
      </c>
      <c r="C2549" s="552" t="s">
        <v>226</v>
      </c>
      <c r="D2549" s="557">
        <v>11.4</v>
      </c>
      <c r="E2549" s="557">
        <v>9.84</v>
      </c>
      <c r="F2549" s="557">
        <v>1.56</v>
      </c>
      <c r="G2549" s="557">
        <v>11.4</v>
      </c>
    </row>
    <row r="2550" spans="1:7" ht="12.6" customHeight="1" x14ac:dyDescent="0.25">
      <c r="A2550" s="551" t="s">
        <v>36646</v>
      </c>
      <c r="B2550" s="551" t="s">
        <v>36647</v>
      </c>
      <c r="C2550" s="552" t="s">
        <v>226</v>
      </c>
      <c r="D2550" s="557">
        <v>67.62</v>
      </c>
      <c r="E2550" s="557">
        <v>48.47</v>
      </c>
      <c r="F2550" s="557">
        <v>19.149999999999999</v>
      </c>
      <c r="G2550" s="557">
        <v>67.62</v>
      </c>
    </row>
    <row r="2551" spans="1:7" ht="12.6" customHeight="1" x14ac:dyDescent="0.25">
      <c r="A2551" s="551" t="s">
        <v>36648</v>
      </c>
      <c r="B2551" s="551" t="s">
        <v>36649</v>
      </c>
      <c r="C2551" s="552" t="s">
        <v>226</v>
      </c>
      <c r="D2551" s="557">
        <v>16.37</v>
      </c>
      <c r="E2551" s="557">
        <v>6.8</v>
      </c>
      <c r="F2551" s="557">
        <v>9.57</v>
      </c>
      <c r="G2551" s="557">
        <v>16.37</v>
      </c>
    </row>
    <row r="2552" spans="1:7" ht="12.6" customHeight="1" x14ac:dyDescent="0.25">
      <c r="A2552" s="551" t="s">
        <v>36650</v>
      </c>
      <c r="B2552" s="551" t="s">
        <v>36651</v>
      </c>
      <c r="C2552" s="552" t="s">
        <v>226</v>
      </c>
      <c r="D2552" s="557">
        <v>19.510000000000002</v>
      </c>
      <c r="E2552" s="557">
        <v>9.94</v>
      </c>
      <c r="F2552" s="557">
        <v>9.57</v>
      </c>
      <c r="G2552" s="557">
        <v>19.510000000000002</v>
      </c>
    </row>
    <row r="2553" spans="1:7" ht="12.6" customHeight="1" x14ac:dyDescent="0.25">
      <c r="A2553" s="551" t="s">
        <v>36652</v>
      </c>
      <c r="B2553" s="551" t="s">
        <v>36653</v>
      </c>
      <c r="C2553" s="552" t="s">
        <v>226</v>
      </c>
      <c r="D2553" s="557">
        <v>464.21</v>
      </c>
      <c r="E2553" s="557">
        <v>416.35</v>
      </c>
      <c r="F2553" s="557">
        <v>47.86</v>
      </c>
      <c r="G2553" s="557">
        <v>464.21</v>
      </c>
    </row>
    <row r="2554" spans="1:7" ht="11.45" customHeight="1" x14ac:dyDescent="0.25">
      <c r="A2554" s="543" t="s">
        <v>36654</v>
      </c>
      <c r="B2554" s="544" t="s">
        <v>36655</v>
      </c>
      <c r="C2554" s="544" t="s">
        <v>226</v>
      </c>
      <c r="D2554" s="543">
        <v>64.78</v>
      </c>
      <c r="E2554" s="545">
        <v>50.42</v>
      </c>
      <c r="F2554" s="546">
        <v>14.36</v>
      </c>
      <c r="G2554" s="543">
        <v>64.78</v>
      </c>
    </row>
    <row r="2555" spans="1:7" ht="12.6" customHeight="1" x14ac:dyDescent="0.25">
      <c r="A2555" s="551" t="s">
        <v>36656</v>
      </c>
      <c r="B2555" s="551" t="s">
        <v>36657</v>
      </c>
      <c r="C2555" s="552" t="s">
        <v>226</v>
      </c>
      <c r="D2555" s="557">
        <v>60.41</v>
      </c>
      <c r="E2555" s="557">
        <v>38.67</v>
      </c>
      <c r="F2555" s="557">
        <v>21.74</v>
      </c>
      <c r="G2555" s="557">
        <v>60.41</v>
      </c>
    </row>
    <row r="2556" spans="1:7" ht="12.6" customHeight="1" x14ac:dyDescent="0.25">
      <c r="A2556" s="551" t="s">
        <v>36658</v>
      </c>
      <c r="B2556" s="551" t="s">
        <v>36659</v>
      </c>
      <c r="C2556" s="552" t="s">
        <v>226</v>
      </c>
      <c r="D2556" s="557">
        <v>55.81</v>
      </c>
      <c r="E2556" s="557">
        <v>34.07</v>
      </c>
      <c r="F2556" s="557">
        <v>21.74</v>
      </c>
      <c r="G2556" s="557">
        <v>55.81</v>
      </c>
    </row>
    <row r="2557" spans="1:7" ht="12.6" customHeight="1" x14ac:dyDescent="0.25">
      <c r="A2557" s="551" t="s">
        <v>36660</v>
      </c>
      <c r="B2557" s="551" t="s">
        <v>36661</v>
      </c>
      <c r="C2557" s="552"/>
      <c r="D2557" s="557"/>
      <c r="E2557" s="557"/>
      <c r="F2557" s="557"/>
      <c r="G2557" s="557"/>
    </row>
    <row r="2558" spans="1:7" ht="12.6" customHeight="1" x14ac:dyDescent="0.25">
      <c r="A2558" s="551" t="s">
        <v>36662</v>
      </c>
      <c r="B2558" s="551" t="s">
        <v>36663</v>
      </c>
      <c r="C2558" s="552"/>
      <c r="D2558" s="557"/>
      <c r="E2558" s="557"/>
      <c r="F2558" s="557"/>
      <c r="G2558" s="557"/>
    </row>
    <row r="2559" spans="1:7" ht="23.1" customHeight="1" x14ac:dyDescent="0.25">
      <c r="A2559" s="551" t="s">
        <v>36664</v>
      </c>
      <c r="B2559" s="551" t="s">
        <v>36665</v>
      </c>
      <c r="C2559" s="552" t="s">
        <v>226</v>
      </c>
      <c r="D2559" s="557">
        <v>25.66</v>
      </c>
      <c r="E2559" s="557">
        <v>21.77</v>
      </c>
      <c r="F2559" s="557">
        <v>3.89</v>
      </c>
      <c r="G2559" s="557">
        <v>25.66</v>
      </c>
    </row>
    <row r="2560" spans="1:7" ht="24.95" customHeight="1" x14ac:dyDescent="0.25">
      <c r="A2560" s="551" t="s">
        <v>36666</v>
      </c>
      <c r="B2560" s="342" t="s">
        <v>36667</v>
      </c>
      <c r="C2560" s="552" t="s">
        <v>226</v>
      </c>
      <c r="D2560" s="557">
        <v>36.67</v>
      </c>
      <c r="E2560" s="557">
        <v>32.78</v>
      </c>
      <c r="F2560" s="557">
        <v>3.89</v>
      </c>
      <c r="G2560" s="557">
        <v>36.67</v>
      </c>
    </row>
    <row r="2561" spans="1:7" ht="12.6" customHeight="1" x14ac:dyDescent="0.2">
      <c r="A2561" s="548" t="s">
        <v>36668</v>
      </c>
      <c r="B2561" s="548" t="s">
        <v>36669</v>
      </c>
      <c r="C2561" s="550" t="s">
        <v>226</v>
      </c>
      <c r="D2561" s="550">
        <v>93.94</v>
      </c>
      <c r="E2561" s="550">
        <v>90.05</v>
      </c>
      <c r="F2561" s="550">
        <v>3.89</v>
      </c>
      <c r="G2561" s="550">
        <v>93.94</v>
      </c>
    </row>
    <row r="2562" spans="1:7" ht="12.6" customHeight="1" x14ac:dyDescent="0.25">
      <c r="A2562" s="551" t="s">
        <v>36670</v>
      </c>
      <c r="B2562" s="551" t="s">
        <v>36671</v>
      </c>
      <c r="C2562" s="552" t="s">
        <v>226</v>
      </c>
      <c r="D2562" s="557">
        <v>33.97</v>
      </c>
      <c r="E2562" s="557">
        <v>30.08</v>
      </c>
      <c r="F2562" s="557">
        <v>3.89</v>
      </c>
      <c r="G2562" s="557">
        <v>33.97</v>
      </c>
    </row>
    <row r="2563" spans="1:7" ht="12.6" customHeight="1" x14ac:dyDescent="0.25">
      <c r="A2563" s="551" t="s">
        <v>36672</v>
      </c>
      <c r="B2563" s="551" t="s">
        <v>36673</v>
      </c>
      <c r="C2563" s="552"/>
      <c r="D2563" s="557"/>
      <c r="E2563" s="557"/>
      <c r="F2563" s="557"/>
      <c r="G2563" s="557"/>
    </row>
    <row r="2564" spans="1:7" ht="12.6" customHeight="1" x14ac:dyDescent="0.25">
      <c r="A2564" s="551" t="s">
        <v>36674</v>
      </c>
      <c r="B2564" s="551" t="s">
        <v>36675</v>
      </c>
      <c r="C2564" s="552" t="s">
        <v>226</v>
      </c>
      <c r="D2564" s="557">
        <v>10.43</v>
      </c>
      <c r="E2564" s="557">
        <v>6.62</v>
      </c>
      <c r="F2564" s="557">
        <v>3.81</v>
      </c>
      <c r="G2564" s="557">
        <v>10.43</v>
      </c>
    </row>
    <row r="2565" spans="1:7" ht="12.6" customHeight="1" x14ac:dyDescent="0.25">
      <c r="A2565" s="551" t="s">
        <v>36676</v>
      </c>
      <c r="B2565" s="551" t="s">
        <v>36677</v>
      </c>
      <c r="C2565" s="552" t="s">
        <v>158</v>
      </c>
      <c r="D2565" s="557">
        <v>157.36000000000001</v>
      </c>
      <c r="E2565" s="557">
        <v>138.21</v>
      </c>
      <c r="F2565" s="557">
        <v>19.149999999999999</v>
      </c>
      <c r="G2565" s="557">
        <v>157.36000000000001</v>
      </c>
    </row>
    <row r="2566" spans="1:7" ht="12.6" customHeight="1" x14ac:dyDescent="0.25">
      <c r="A2566" s="551" t="s">
        <v>36678</v>
      </c>
      <c r="B2566" s="551" t="s">
        <v>36679</v>
      </c>
      <c r="C2566" s="552"/>
      <c r="D2566" s="557"/>
      <c r="E2566" s="557"/>
      <c r="F2566" s="557"/>
      <c r="G2566" s="557"/>
    </row>
    <row r="2567" spans="1:7" ht="12.6" customHeight="1" x14ac:dyDescent="0.25">
      <c r="A2567" s="551" t="s">
        <v>36680</v>
      </c>
      <c r="B2567" s="551" t="s">
        <v>36681</v>
      </c>
      <c r="C2567" s="552" t="s">
        <v>226</v>
      </c>
      <c r="D2567" s="557">
        <v>132.32</v>
      </c>
      <c r="E2567" s="557">
        <v>128.43</v>
      </c>
      <c r="F2567" s="557">
        <v>3.89</v>
      </c>
      <c r="G2567" s="557">
        <v>132.32</v>
      </c>
    </row>
    <row r="2568" spans="1:7" ht="12.6" customHeight="1" x14ac:dyDescent="0.25">
      <c r="A2568" s="551" t="s">
        <v>36682</v>
      </c>
      <c r="B2568" s="551" t="s">
        <v>36683</v>
      </c>
      <c r="C2568" s="552" t="s">
        <v>226</v>
      </c>
      <c r="D2568" s="557">
        <v>119.81</v>
      </c>
      <c r="E2568" s="557">
        <v>115.92</v>
      </c>
      <c r="F2568" s="557">
        <v>3.89</v>
      </c>
      <c r="G2568" s="557">
        <v>119.81</v>
      </c>
    </row>
    <row r="2569" spans="1:7" ht="12.6" customHeight="1" x14ac:dyDescent="0.25">
      <c r="A2569" s="551" t="s">
        <v>36684</v>
      </c>
      <c r="B2569" s="551" t="s">
        <v>36685</v>
      </c>
      <c r="C2569" s="552"/>
      <c r="D2569" s="557"/>
      <c r="E2569" s="557"/>
      <c r="F2569" s="557"/>
      <c r="G2569" s="557"/>
    </row>
    <row r="2570" spans="1:7" ht="12.6" customHeight="1" x14ac:dyDescent="0.25">
      <c r="A2570" s="551" t="s">
        <v>36686</v>
      </c>
      <c r="B2570" s="551" t="s">
        <v>36687</v>
      </c>
      <c r="C2570" s="552" t="s">
        <v>226</v>
      </c>
      <c r="D2570" s="557">
        <v>26.51</v>
      </c>
      <c r="E2570" s="557">
        <v>22.62</v>
      </c>
      <c r="F2570" s="557">
        <v>3.89</v>
      </c>
      <c r="G2570" s="557">
        <v>26.51</v>
      </c>
    </row>
    <row r="2571" spans="1:7" ht="12.6" customHeight="1" x14ac:dyDescent="0.2">
      <c r="A2571" s="548" t="s">
        <v>36688</v>
      </c>
      <c r="B2571" s="548" t="s">
        <v>36689</v>
      </c>
      <c r="C2571" s="550" t="s">
        <v>226</v>
      </c>
      <c r="D2571" s="550">
        <v>17.38</v>
      </c>
      <c r="E2571" s="550">
        <v>13.49</v>
      </c>
      <c r="F2571" s="550">
        <v>3.89</v>
      </c>
      <c r="G2571" s="550">
        <v>17.38</v>
      </c>
    </row>
    <row r="2572" spans="1:7" ht="12.6" customHeight="1" x14ac:dyDescent="0.25">
      <c r="A2572" s="551" t="s">
        <v>36690</v>
      </c>
      <c r="B2572" s="551" t="s">
        <v>36691</v>
      </c>
      <c r="C2572" s="552" t="s">
        <v>226</v>
      </c>
      <c r="D2572" s="557">
        <v>18.010000000000002</v>
      </c>
      <c r="E2572" s="557">
        <v>14.12</v>
      </c>
      <c r="F2572" s="557">
        <v>3.89</v>
      </c>
      <c r="G2572" s="557">
        <v>18.010000000000002</v>
      </c>
    </row>
    <row r="2573" spans="1:7" ht="12.6" customHeight="1" x14ac:dyDescent="0.25">
      <c r="A2573" s="551" t="s">
        <v>36692</v>
      </c>
      <c r="B2573" s="551" t="s">
        <v>36693</v>
      </c>
      <c r="C2573" s="552"/>
      <c r="D2573" s="557"/>
      <c r="E2573" s="557"/>
      <c r="F2573" s="557"/>
      <c r="G2573" s="557"/>
    </row>
    <row r="2574" spans="1:7" ht="12.6" customHeight="1" x14ac:dyDescent="0.25">
      <c r="A2574" s="551" t="s">
        <v>36694</v>
      </c>
      <c r="B2574" s="551" t="s">
        <v>36695</v>
      </c>
      <c r="C2574" s="552" t="s">
        <v>226</v>
      </c>
      <c r="D2574" s="557">
        <v>24.4</v>
      </c>
      <c r="E2574" s="557">
        <v>20.51</v>
      </c>
      <c r="F2574" s="557">
        <v>3.89</v>
      </c>
      <c r="G2574" s="557">
        <v>24.4</v>
      </c>
    </row>
    <row r="2575" spans="1:7" ht="12.6" customHeight="1" x14ac:dyDescent="0.2">
      <c r="A2575" s="548" t="s">
        <v>36696</v>
      </c>
      <c r="B2575" s="548" t="s">
        <v>36697</v>
      </c>
      <c r="C2575" s="550" t="s">
        <v>226</v>
      </c>
      <c r="D2575" s="550">
        <v>15.93</v>
      </c>
      <c r="E2575" s="550">
        <v>12.04</v>
      </c>
      <c r="F2575" s="550">
        <v>3.89</v>
      </c>
      <c r="G2575" s="550">
        <v>15.93</v>
      </c>
    </row>
    <row r="2576" spans="1:7" ht="12.6" customHeight="1" x14ac:dyDescent="0.25">
      <c r="A2576" s="551" t="s">
        <v>36698</v>
      </c>
      <c r="B2576" s="551" t="s">
        <v>36699</v>
      </c>
      <c r="C2576" s="552" t="s">
        <v>226</v>
      </c>
      <c r="D2576" s="557">
        <v>15.41</v>
      </c>
      <c r="E2576" s="557">
        <v>11.52</v>
      </c>
      <c r="F2576" s="557">
        <v>3.89</v>
      </c>
      <c r="G2576" s="557">
        <v>15.41</v>
      </c>
    </row>
    <row r="2577" spans="1:7" ht="12.6" customHeight="1" x14ac:dyDescent="0.25">
      <c r="A2577" s="551" t="s">
        <v>36700</v>
      </c>
      <c r="B2577" s="551" t="s">
        <v>36701</v>
      </c>
      <c r="C2577" s="552" t="s">
        <v>226</v>
      </c>
      <c r="D2577" s="557">
        <v>19.54</v>
      </c>
      <c r="E2577" s="557">
        <v>15.65</v>
      </c>
      <c r="F2577" s="557">
        <v>3.89</v>
      </c>
      <c r="G2577" s="557">
        <v>19.54</v>
      </c>
    </row>
    <row r="2578" spans="1:7" ht="12.6" customHeight="1" x14ac:dyDescent="0.25">
      <c r="A2578" s="551" t="s">
        <v>36702</v>
      </c>
      <c r="B2578" s="551" t="s">
        <v>36703</v>
      </c>
      <c r="C2578" s="552" t="s">
        <v>226</v>
      </c>
      <c r="D2578" s="557">
        <v>13.41</v>
      </c>
      <c r="E2578" s="557">
        <v>9.52</v>
      </c>
      <c r="F2578" s="557">
        <v>3.89</v>
      </c>
      <c r="G2578" s="557">
        <v>13.41</v>
      </c>
    </row>
    <row r="2579" spans="1:7" ht="12.6" customHeight="1" x14ac:dyDescent="0.25">
      <c r="A2579" s="551" t="s">
        <v>36704</v>
      </c>
      <c r="B2579" s="551" t="s">
        <v>36705</v>
      </c>
      <c r="C2579" s="552" t="s">
        <v>226</v>
      </c>
      <c r="D2579" s="557">
        <v>21.38</v>
      </c>
      <c r="E2579" s="557">
        <v>17.489999999999998</v>
      </c>
      <c r="F2579" s="557">
        <v>3.89</v>
      </c>
      <c r="G2579" s="557">
        <v>21.38</v>
      </c>
    </row>
    <row r="2580" spans="1:7" ht="12.6" customHeight="1" x14ac:dyDescent="0.25">
      <c r="A2580" s="551" t="s">
        <v>36706</v>
      </c>
      <c r="B2580" s="551" t="s">
        <v>36707</v>
      </c>
      <c r="C2580" s="552" t="s">
        <v>226</v>
      </c>
      <c r="D2580" s="557">
        <v>18.079999999999998</v>
      </c>
      <c r="E2580" s="557">
        <v>14.19</v>
      </c>
      <c r="F2580" s="557">
        <v>3.89</v>
      </c>
      <c r="G2580" s="557">
        <v>18.079999999999998</v>
      </c>
    </row>
    <row r="2581" spans="1:7" ht="12.6" customHeight="1" x14ac:dyDescent="0.25">
      <c r="A2581" s="551" t="s">
        <v>36708</v>
      </c>
      <c r="B2581" s="551" t="s">
        <v>36709</v>
      </c>
      <c r="C2581" s="552" t="s">
        <v>226</v>
      </c>
      <c r="D2581" s="557">
        <v>16.14</v>
      </c>
      <c r="E2581" s="557">
        <v>12.25</v>
      </c>
      <c r="F2581" s="557">
        <v>3.89</v>
      </c>
      <c r="G2581" s="557">
        <v>16.14</v>
      </c>
    </row>
    <row r="2582" spans="1:7" ht="12.6" customHeight="1" x14ac:dyDescent="0.25">
      <c r="A2582" s="551" t="s">
        <v>36710</v>
      </c>
      <c r="B2582" s="551" t="s">
        <v>36711</v>
      </c>
      <c r="C2582" s="552" t="s">
        <v>226</v>
      </c>
      <c r="D2582" s="557">
        <v>22.93</v>
      </c>
      <c r="E2582" s="557">
        <v>19.04</v>
      </c>
      <c r="F2582" s="557">
        <v>3.89</v>
      </c>
      <c r="G2582" s="557">
        <v>22.93</v>
      </c>
    </row>
    <row r="2583" spans="1:7" ht="12.6" customHeight="1" x14ac:dyDescent="0.25">
      <c r="A2583" s="551" t="s">
        <v>36712</v>
      </c>
      <c r="B2583" s="551" t="s">
        <v>36713</v>
      </c>
      <c r="C2583" s="552" t="s">
        <v>226</v>
      </c>
      <c r="D2583" s="557">
        <v>17.97</v>
      </c>
      <c r="E2583" s="557">
        <v>14.08</v>
      </c>
      <c r="F2583" s="557">
        <v>3.89</v>
      </c>
      <c r="G2583" s="557">
        <v>17.97</v>
      </c>
    </row>
    <row r="2584" spans="1:7" ht="12.6" customHeight="1" x14ac:dyDescent="0.25">
      <c r="A2584" s="551" t="s">
        <v>36714</v>
      </c>
      <c r="B2584" s="551" t="s">
        <v>36715</v>
      </c>
      <c r="C2584" s="552" t="s">
        <v>226</v>
      </c>
      <c r="D2584" s="553">
        <v>15.21</v>
      </c>
      <c r="E2584" s="553">
        <v>11.32</v>
      </c>
      <c r="F2584" s="557">
        <v>3.89</v>
      </c>
      <c r="G2584" s="553">
        <v>15.21</v>
      </c>
    </row>
    <row r="2585" spans="1:7" ht="12.6" customHeight="1" x14ac:dyDescent="0.25">
      <c r="A2585" s="551" t="s">
        <v>36716</v>
      </c>
      <c r="B2585" s="551" t="s">
        <v>36717</v>
      </c>
      <c r="C2585" s="552" t="s">
        <v>226</v>
      </c>
      <c r="D2585" s="553">
        <v>22.4</v>
      </c>
      <c r="E2585" s="553">
        <v>18.510000000000002</v>
      </c>
      <c r="F2585" s="557">
        <v>3.89</v>
      </c>
      <c r="G2585" s="553">
        <v>22.4</v>
      </c>
    </row>
    <row r="2586" spans="1:7" ht="12.6" customHeight="1" x14ac:dyDescent="0.25">
      <c r="A2586" s="551" t="s">
        <v>36718</v>
      </c>
      <c r="B2586" s="551" t="s">
        <v>36719</v>
      </c>
      <c r="C2586" s="552" t="s">
        <v>226</v>
      </c>
      <c r="D2586" s="553">
        <v>22.51</v>
      </c>
      <c r="E2586" s="553">
        <v>18.62</v>
      </c>
      <c r="F2586" s="557">
        <v>3.89</v>
      </c>
      <c r="G2586" s="553">
        <v>22.51</v>
      </c>
    </row>
    <row r="2587" spans="1:7" ht="12.6" customHeight="1" x14ac:dyDescent="0.25">
      <c r="A2587" s="551" t="s">
        <v>36720</v>
      </c>
      <c r="B2587" s="551" t="s">
        <v>36721</v>
      </c>
      <c r="C2587" s="552" t="s">
        <v>226</v>
      </c>
      <c r="D2587" s="553">
        <v>40.42</v>
      </c>
      <c r="E2587" s="553">
        <v>36.53</v>
      </c>
      <c r="F2587" s="557">
        <v>3.89</v>
      </c>
      <c r="G2587" s="553">
        <v>40.42</v>
      </c>
    </row>
    <row r="2588" spans="1:7" ht="12.6" customHeight="1" x14ac:dyDescent="0.25">
      <c r="A2588" s="551" t="s">
        <v>36722</v>
      </c>
      <c r="B2588" s="551" t="s">
        <v>36723</v>
      </c>
      <c r="C2588" s="552" t="s">
        <v>226</v>
      </c>
      <c r="D2588" s="557">
        <v>21.66</v>
      </c>
      <c r="E2588" s="557">
        <v>17.77</v>
      </c>
      <c r="F2588" s="557">
        <v>3.89</v>
      </c>
      <c r="G2588" s="557">
        <v>21.66</v>
      </c>
    </row>
    <row r="2589" spans="1:7" ht="12.6" customHeight="1" x14ac:dyDescent="0.25">
      <c r="A2589" s="551" t="s">
        <v>36724</v>
      </c>
      <c r="B2589" s="551" t="s">
        <v>36725</v>
      </c>
      <c r="C2589" s="552"/>
      <c r="D2589" s="557"/>
      <c r="E2589" s="557"/>
      <c r="F2589" s="557"/>
      <c r="G2589" s="557"/>
    </row>
    <row r="2590" spans="1:7" ht="12.6" customHeight="1" x14ac:dyDescent="0.25">
      <c r="A2590" s="551" t="s">
        <v>36726</v>
      </c>
      <c r="B2590" s="551" t="s">
        <v>36727</v>
      </c>
      <c r="C2590" s="552" t="s">
        <v>226</v>
      </c>
      <c r="D2590" s="557">
        <v>37.49</v>
      </c>
      <c r="E2590" s="557">
        <v>27.92</v>
      </c>
      <c r="F2590" s="557">
        <v>9.57</v>
      </c>
      <c r="G2590" s="557">
        <v>37.49</v>
      </c>
    </row>
    <row r="2591" spans="1:7" ht="12.6" customHeight="1" x14ac:dyDescent="0.2">
      <c r="A2591" s="548" t="s">
        <v>36728</v>
      </c>
      <c r="B2591" s="548" t="s">
        <v>36729</v>
      </c>
      <c r="C2591" s="550" t="s">
        <v>226</v>
      </c>
      <c r="D2591" s="550">
        <v>111.7</v>
      </c>
      <c r="E2591" s="550">
        <v>102.13</v>
      </c>
      <c r="F2591" s="550">
        <v>9.57</v>
      </c>
      <c r="G2591" s="550">
        <v>111.7</v>
      </c>
    </row>
    <row r="2592" spans="1:7" ht="12.6" customHeight="1" x14ac:dyDescent="0.25">
      <c r="A2592" s="551" t="s">
        <v>36730</v>
      </c>
      <c r="B2592" s="551" t="s">
        <v>36731</v>
      </c>
      <c r="C2592" s="552" t="s">
        <v>226</v>
      </c>
      <c r="D2592" s="557">
        <v>156.56</v>
      </c>
      <c r="E2592" s="557">
        <v>146.99</v>
      </c>
      <c r="F2592" s="557">
        <v>9.57</v>
      </c>
      <c r="G2592" s="557">
        <v>156.56</v>
      </c>
    </row>
    <row r="2593" spans="1:7" ht="24.95" customHeight="1" x14ac:dyDescent="0.25">
      <c r="A2593" s="551" t="s">
        <v>36732</v>
      </c>
      <c r="B2593" s="342" t="s">
        <v>36733</v>
      </c>
      <c r="C2593" s="552" t="s">
        <v>226</v>
      </c>
      <c r="D2593" s="557">
        <v>184.11</v>
      </c>
      <c r="E2593" s="557">
        <v>174.54</v>
      </c>
      <c r="F2593" s="557">
        <v>9.57</v>
      </c>
      <c r="G2593" s="557">
        <v>184.11</v>
      </c>
    </row>
    <row r="2594" spans="1:7" ht="24.95" customHeight="1" x14ac:dyDescent="0.25">
      <c r="A2594" s="551" t="s">
        <v>36734</v>
      </c>
      <c r="B2594" s="342" t="s">
        <v>36735</v>
      </c>
      <c r="C2594" s="552" t="s">
        <v>226</v>
      </c>
      <c r="D2594" s="557">
        <v>533.46</v>
      </c>
      <c r="E2594" s="557">
        <v>523.89</v>
      </c>
      <c r="F2594" s="557">
        <v>9.57</v>
      </c>
      <c r="G2594" s="557">
        <v>533.46</v>
      </c>
    </row>
    <row r="2595" spans="1:7" ht="24.95" customHeight="1" x14ac:dyDescent="0.25">
      <c r="A2595" s="551" t="s">
        <v>36736</v>
      </c>
      <c r="B2595" s="342" t="s">
        <v>36737</v>
      </c>
      <c r="C2595" s="552" t="s">
        <v>226</v>
      </c>
      <c r="D2595" s="557">
        <v>89.31</v>
      </c>
      <c r="E2595" s="557">
        <v>79.739999999999995</v>
      </c>
      <c r="F2595" s="557">
        <v>9.57</v>
      </c>
      <c r="G2595" s="557">
        <v>89.31</v>
      </c>
    </row>
    <row r="2596" spans="1:7" ht="12.6" customHeight="1" x14ac:dyDescent="0.25">
      <c r="A2596" s="551" t="s">
        <v>36738</v>
      </c>
      <c r="B2596" s="551" t="s">
        <v>36739</v>
      </c>
      <c r="C2596" s="552" t="s">
        <v>226</v>
      </c>
      <c r="D2596" s="557">
        <v>121.72</v>
      </c>
      <c r="E2596" s="557">
        <v>112.15</v>
      </c>
      <c r="F2596" s="557">
        <v>9.57</v>
      </c>
      <c r="G2596" s="557">
        <v>121.72</v>
      </c>
    </row>
    <row r="2597" spans="1:7" ht="24.95" customHeight="1" x14ac:dyDescent="0.25">
      <c r="A2597" s="551" t="s">
        <v>36740</v>
      </c>
      <c r="B2597" s="342" t="s">
        <v>36741</v>
      </c>
      <c r="C2597" s="552" t="s">
        <v>226</v>
      </c>
      <c r="D2597" s="553">
        <v>132.97999999999999</v>
      </c>
      <c r="E2597" s="553">
        <v>123.41</v>
      </c>
      <c r="F2597" s="557">
        <v>9.57</v>
      </c>
      <c r="G2597" s="553">
        <v>132.97999999999999</v>
      </c>
    </row>
    <row r="2598" spans="1:7" ht="23.1" customHeight="1" x14ac:dyDescent="0.25">
      <c r="A2598" s="551" t="s">
        <v>36742</v>
      </c>
      <c r="B2598" s="551" t="s">
        <v>36743</v>
      </c>
      <c r="C2598" s="552" t="s">
        <v>226</v>
      </c>
      <c r="D2598" s="557">
        <v>163.44</v>
      </c>
      <c r="E2598" s="557">
        <v>153.87</v>
      </c>
      <c r="F2598" s="557">
        <v>9.57</v>
      </c>
      <c r="G2598" s="557">
        <v>163.44</v>
      </c>
    </row>
    <row r="2599" spans="1:7" ht="24.95" customHeight="1" x14ac:dyDescent="0.25">
      <c r="A2599" s="551" t="s">
        <v>36744</v>
      </c>
      <c r="B2599" s="342" t="s">
        <v>36745</v>
      </c>
      <c r="C2599" s="552"/>
      <c r="D2599" s="553"/>
      <c r="E2599" s="553"/>
      <c r="F2599" s="557"/>
      <c r="G2599" s="553"/>
    </row>
    <row r="2600" spans="1:7" ht="12.6" customHeight="1" x14ac:dyDescent="0.25">
      <c r="A2600" s="551" t="s">
        <v>36746</v>
      </c>
      <c r="B2600" s="551" t="s">
        <v>36747</v>
      </c>
      <c r="C2600" s="552" t="s">
        <v>226</v>
      </c>
      <c r="D2600" s="557">
        <v>62.04</v>
      </c>
      <c r="E2600" s="557">
        <v>42.89</v>
      </c>
      <c r="F2600" s="557">
        <v>19.149999999999999</v>
      </c>
      <c r="G2600" s="557">
        <v>62.04</v>
      </c>
    </row>
    <row r="2601" spans="1:7" ht="12.6" customHeight="1" x14ac:dyDescent="0.25">
      <c r="A2601" s="551" t="s">
        <v>36748</v>
      </c>
      <c r="B2601" s="551" t="s">
        <v>36749</v>
      </c>
      <c r="C2601" s="552" t="s">
        <v>226</v>
      </c>
      <c r="D2601" s="557">
        <v>100.54</v>
      </c>
      <c r="E2601" s="557">
        <v>90.97</v>
      </c>
      <c r="F2601" s="557">
        <v>9.57</v>
      </c>
      <c r="G2601" s="557">
        <v>100.54</v>
      </c>
    </row>
    <row r="2602" spans="1:7" ht="12.6" customHeight="1" x14ac:dyDescent="0.2">
      <c r="A2602" s="548" t="s">
        <v>36750</v>
      </c>
      <c r="B2602" s="548" t="s">
        <v>36751</v>
      </c>
      <c r="C2602" s="550" t="s">
        <v>226</v>
      </c>
      <c r="D2602" s="550">
        <v>64.42</v>
      </c>
      <c r="E2602" s="550">
        <v>45.27</v>
      </c>
      <c r="F2602" s="550">
        <v>19.149999999999999</v>
      </c>
      <c r="G2602" s="550">
        <v>64.42</v>
      </c>
    </row>
    <row r="2603" spans="1:7" ht="12.6" customHeight="1" x14ac:dyDescent="0.25">
      <c r="A2603" s="551" t="s">
        <v>36752</v>
      </c>
      <c r="B2603" s="551" t="s">
        <v>36753</v>
      </c>
      <c r="C2603" s="552" t="s">
        <v>226</v>
      </c>
      <c r="D2603" s="557">
        <v>116.28</v>
      </c>
      <c r="E2603" s="557">
        <v>97.13</v>
      </c>
      <c r="F2603" s="557">
        <v>19.149999999999999</v>
      </c>
      <c r="G2603" s="557">
        <v>116.28</v>
      </c>
    </row>
    <row r="2604" spans="1:7" ht="11.45" customHeight="1" x14ac:dyDescent="0.25">
      <c r="A2604" s="543" t="s">
        <v>36754</v>
      </c>
      <c r="B2604" s="544" t="s">
        <v>36755</v>
      </c>
      <c r="C2604" s="544" t="s">
        <v>226</v>
      </c>
      <c r="D2604" s="543">
        <v>41.75</v>
      </c>
      <c r="E2604" s="545">
        <v>32.18</v>
      </c>
      <c r="F2604" s="546">
        <v>9.57</v>
      </c>
      <c r="G2604" s="543">
        <v>41.75</v>
      </c>
    </row>
    <row r="2605" spans="1:7" ht="12.6" customHeight="1" x14ac:dyDescent="0.25">
      <c r="A2605" s="551" t="s">
        <v>36756</v>
      </c>
      <c r="B2605" s="551" t="s">
        <v>36757</v>
      </c>
      <c r="C2605" s="552" t="s">
        <v>226</v>
      </c>
      <c r="D2605" s="557">
        <v>71.819999999999993</v>
      </c>
      <c r="E2605" s="557">
        <v>52.67</v>
      </c>
      <c r="F2605" s="557">
        <v>19.149999999999999</v>
      </c>
      <c r="G2605" s="557">
        <v>71.819999999999993</v>
      </c>
    </row>
    <row r="2606" spans="1:7" ht="12.6" customHeight="1" x14ac:dyDescent="0.25">
      <c r="A2606" s="551" t="s">
        <v>36758</v>
      </c>
      <c r="B2606" s="551" t="s">
        <v>36759</v>
      </c>
      <c r="C2606" s="552"/>
      <c r="D2606" s="557"/>
      <c r="E2606" s="557"/>
      <c r="F2606" s="557"/>
      <c r="G2606" s="557"/>
    </row>
    <row r="2607" spans="1:7" ht="12.6" customHeight="1" x14ac:dyDescent="0.25">
      <c r="A2607" s="551" t="s">
        <v>36760</v>
      </c>
      <c r="B2607" s="551" t="s">
        <v>36761</v>
      </c>
      <c r="C2607" s="552" t="s">
        <v>226</v>
      </c>
      <c r="D2607" s="557">
        <v>139.96</v>
      </c>
      <c r="E2607" s="557">
        <v>72.63</v>
      </c>
      <c r="F2607" s="557">
        <v>67.33</v>
      </c>
      <c r="G2607" s="557">
        <v>139.96</v>
      </c>
    </row>
    <row r="2608" spans="1:7" ht="12.6" customHeight="1" x14ac:dyDescent="0.2">
      <c r="A2608" s="548" t="s">
        <v>36762</v>
      </c>
      <c r="B2608" s="548" t="s">
        <v>36763</v>
      </c>
      <c r="C2608" s="550" t="s">
        <v>226</v>
      </c>
      <c r="D2608" s="550">
        <v>905.53</v>
      </c>
      <c r="E2608" s="550">
        <v>838.2</v>
      </c>
      <c r="F2608" s="550">
        <v>67.33</v>
      </c>
      <c r="G2608" s="550">
        <v>905.53</v>
      </c>
    </row>
    <row r="2609" spans="1:7" ht="12.6" customHeight="1" x14ac:dyDescent="0.25">
      <c r="A2609" s="551" t="s">
        <v>36764</v>
      </c>
      <c r="B2609" s="551" t="s">
        <v>36765</v>
      </c>
      <c r="C2609" s="552" t="s">
        <v>226</v>
      </c>
      <c r="D2609" s="557">
        <v>529.57000000000005</v>
      </c>
      <c r="E2609" s="557">
        <v>462.24</v>
      </c>
      <c r="F2609" s="557">
        <v>67.33</v>
      </c>
      <c r="G2609" s="557">
        <v>529.57000000000005</v>
      </c>
    </row>
    <row r="2610" spans="1:7" ht="24.95" customHeight="1" x14ac:dyDescent="0.25">
      <c r="A2610" s="551" t="s">
        <v>36766</v>
      </c>
      <c r="B2610" s="342" t="s">
        <v>36767</v>
      </c>
      <c r="C2610" s="552" t="s">
        <v>226</v>
      </c>
      <c r="D2610" s="557">
        <v>2379.7399999999998</v>
      </c>
      <c r="E2610" s="557">
        <v>2087.44</v>
      </c>
      <c r="F2610" s="557">
        <v>292.3</v>
      </c>
      <c r="G2610" s="557">
        <v>2379.7399999999998</v>
      </c>
    </row>
    <row r="2611" spans="1:7" ht="12.6" customHeight="1" x14ac:dyDescent="0.2">
      <c r="A2611" s="548" t="s">
        <v>36768</v>
      </c>
      <c r="B2611" s="548" t="s">
        <v>36769</v>
      </c>
      <c r="C2611" s="550" t="s">
        <v>226</v>
      </c>
      <c r="D2611" s="550">
        <v>2749.63</v>
      </c>
      <c r="E2611" s="550">
        <v>2641.48</v>
      </c>
      <c r="F2611" s="550">
        <v>108.15</v>
      </c>
      <c r="G2611" s="550">
        <v>2749.63</v>
      </c>
    </row>
    <row r="2612" spans="1:7" ht="12.6" customHeight="1" x14ac:dyDescent="0.25">
      <c r="A2612" s="551" t="s">
        <v>36770</v>
      </c>
      <c r="B2612" s="551" t="s">
        <v>36771</v>
      </c>
      <c r="C2612" s="552" t="s">
        <v>226</v>
      </c>
      <c r="D2612" s="557">
        <v>2285.2600000000002</v>
      </c>
      <c r="E2612" s="557">
        <v>2177.11</v>
      </c>
      <c r="F2612" s="557">
        <v>108.15</v>
      </c>
      <c r="G2612" s="557">
        <v>2285.2600000000002</v>
      </c>
    </row>
    <row r="2613" spans="1:7" ht="24.95" customHeight="1" x14ac:dyDescent="0.25">
      <c r="A2613" s="551" t="s">
        <v>36772</v>
      </c>
      <c r="B2613" s="342" t="s">
        <v>36773</v>
      </c>
      <c r="C2613" s="552" t="s">
        <v>226</v>
      </c>
      <c r="D2613" s="557">
        <v>746.42</v>
      </c>
      <c r="E2613" s="557">
        <v>676.69</v>
      </c>
      <c r="F2613" s="557">
        <v>69.73</v>
      </c>
      <c r="G2613" s="557">
        <v>746.42</v>
      </c>
    </row>
    <row r="2614" spans="1:7" ht="12.6" customHeight="1" x14ac:dyDescent="0.2">
      <c r="A2614" s="548" t="s">
        <v>36774</v>
      </c>
      <c r="B2614" s="548" t="s">
        <v>36775</v>
      </c>
      <c r="C2614" s="550" t="s">
        <v>226</v>
      </c>
      <c r="D2614" s="550">
        <v>830.43</v>
      </c>
      <c r="E2614" s="550">
        <v>760.7</v>
      </c>
      <c r="F2614" s="550">
        <v>69.73</v>
      </c>
      <c r="G2614" s="550">
        <v>830.43</v>
      </c>
    </row>
    <row r="2615" spans="1:7" ht="12.6" customHeight="1" x14ac:dyDescent="0.25">
      <c r="A2615" s="551" t="s">
        <v>36776</v>
      </c>
      <c r="B2615" s="551" t="s">
        <v>36777</v>
      </c>
      <c r="C2615" s="552" t="s">
        <v>226</v>
      </c>
      <c r="D2615" s="557">
        <v>1716.94</v>
      </c>
      <c r="E2615" s="557">
        <v>1608.79</v>
      </c>
      <c r="F2615" s="557">
        <v>108.15</v>
      </c>
      <c r="G2615" s="557">
        <v>1716.94</v>
      </c>
    </row>
    <row r="2616" spans="1:7" ht="12.6" customHeight="1" x14ac:dyDescent="0.25">
      <c r="A2616" s="551" t="s">
        <v>36778</v>
      </c>
      <c r="B2616" s="551" t="s">
        <v>36779</v>
      </c>
      <c r="C2616" s="552" t="s">
        <v>226</v>
      </c>
      <c r="D2616" s="557">
        <v>2148.84</v>
      </c>
      <c r="E2616" s="557">
        <v>1664.04</v>
      </c>
      <c r="F2616" s="557">
        <v>484.8</v>
      </c>
      <c r="G2616" s="557">
        <v>2148.84</v>
      </c>
    </row>
    <row r="2617" spans="1:7" ht="12.6" customHeight="1" x14ac:dyDescent="0.25">
      <c r="A2617" s="551" t="s">
        <v>36780</v>
      </c>
      <c r="B2617" s="551" t="s">
        <v>36781</v>
      </c>
      <c r="C2617" s="552" t="s">
        <v>226</v>
      </c>
      <c r="D2617" s="557">
        <v>1185.98</v>
      </c>
      <c r="E2617" s="557">
        <v>1077.83</v>
      </c>
      <c r="F2617" s="557">
        <v>108.15</v>
      </c>
      <c r="G2617" s="557">
        <v>1185.98</v>
      </c>
    </row>
    <row r="2618" spans="1:7" ht="12.6" customHeight="1" x14ac:dyDescent="0.25">
      <c r="A2618" s="551" t="s">
        <v>36782</v>
      </c>
      <c r="B2618" s="551" t="s">
        <v>36783</v>
      </c>
      <c r="C2618" s="552"/>
      <c r="D2618" s="557"/>
      <c r="E2618" s="557"/>
      <c r="F2618" s="557"/>
      <c r="G2618" s="557"/>
    </row>
    <row r="2619" spans="1:7" ht="12.6" customHeight="1" x14ac:dyDescent="0.25">
      <c r="A2619" s="551" t="s">
        <v>36784</v>
      </c>
      <c r="B2619" s="551" t="s">
        <v>36785</v>
      </c>
      <c r="C2619" s="552" t="s">
        <v>226</v>
      </c>
      <c r="D2619" s="557">
        <v>745.53</v>
      </c>
      <c r="E2619" s="557">
        <v>711.86</v>
      </c>
      <c r="F2619" s="557">
        <v>33.67</v>
      </c>
      <c r="G2619" s="557">
        <v>745.53</v>
      </c>
    </row>
    <row r="2620" spans="1:7" ht="12.6" customHeight="1" x14ac:dyDescent="0.25">
      <c r="A2620" s="551" t="s">
        <v>36786</v>
      </c>
      <c r="B2620" s="551" t="s">
        <v>36787</v>
      </c>
      <c r="C2620" s="552" t="s">
        <v>226</v>
      </c>
      <c r="D2620" s="557">
        <v>128.66999999999999</v>
      </c>
      <c r="E2620" s="557">
        <v>114.31</v>
      </c>
      <c r="F2620" s="557">
        <v>14.36</v>
      </c>
      <c r="G2620" s="557">
        <v>128.66999999999999</v>
      </c>
    </row>
    <row r="2621" spans="1:7" ht="12.6" customHeight="1" x14ac:dyDescent="0.25">
      <c r="A2621" s="551" t="s">
        <v>36788</v>
      </c>
      <c r="B2621" s="551" t="s">
        <v>36789</v>
      </c>
      <c r="C2621" s="552" t="s">
        <v>226</v>
      </c>
      <c r="D2621" s="557">
        <v>66.86</v>
      </c>
      <c r="E2621" s="557">
        <v>52.5</v>
      </c>
      <c r="F2621" s="557">
        <v>14.36</v>
      </c>
      <c r="G2621" s="557">
        <v>66.86</v>
      </c>
    </row>
    <row r="2622" spans="1:7" ht="12.6" customHeight="1" x14ac:dyDescent="0.25">
      <c r="A2622" s="551" t="s">
        <v>36790</v>
      </c>
      <c r="B2622" s="551" t="s">
        <v>36791</v>
      </c>
      <c r="C2622" s="552" t="s">
        <v>226</v>
      </c>
      <c r="D2622" s="557">
        <v>539.55999999999995</v>
      </c>
      <c r="E2622" s="557">
        <v>505.89</v>
      </c>
      <c r="F2622" s="557">
        <v>33.67</v>
      </c>
      <c r="G2622" s="557">
        <v>539.55999999999995</v>
      </c>
    </row>
    <row r="2623" spans="1:7" ht="12.6" customHeight="1" x14ac:dyDescent="0.25">
      <c r="A2623" s="551" t="s">
        <v>36792</v>
      </c>
      <c r="B2623" s="551" t="s">
        <v>36793</v>
      </c>
      <c r="C2623" s="552" t="s">
        <v>226</v>
      </c>
      <c r="D2623" s="557">
        <v>501.39</v>
      </c>
      <c r="E2623" s="557">
        <v>467.72</v>
      </c>
      <c r="F2623" s="557">
        <v>33.67</v>
      </c>
      <c r="G2623" s="557">
        <v>501.39</v>
      </c>
    </row>
    <row r="2624" spans="1:7" ht="12.6" customHeight="1" x14ac:dyDescent="0.25">
      <c r="A2624" s="551" t="s">
        <v>36794</v>
      </c>
      <c r="B2624" s="551" t="s">
        <v>36795</v>
      </c>
      <c r="C2624" s="552" t="s">
        <v>226</v>
      </c>
      <c r="D2624" s="557">
        <v>152.16</v>
      </c>
      <c r="E2624" s="557">
        <v>128.22</v>
      </c>
      <c r="F2624" s="557">
        <v>23.94</v>
      </c>
      <c r="G2624" s="557">
        <v>152.16</v>
      </c>
    </row>
    <row r="2625" spans="1:7" ht="12.6" customHeight="1" x14ac:dyDescent="0.25">
      <c r="A2625" s="551" t="s">
        <v>36796</v>
      </c>
      <c r="B2625" s="551" t="s">
        <v>36797</v>
      </c>
      <c r="C2625" s="552" t="s">
        <v>226</v>
      </c>
      <c r="D2625" s="557">
        <v>303.57</v>
      </c>
      <c r="E2625" s="557">
        <v>269.89999999999998</v>
      </c>
      <c r="F2625" s="557">
        <v>33.67</v>
      </c>
      <c r="G2625" s="557">
        <v>303.57</v>
      </c>
    </row>
    <row r="2626" spans="1:7" ht="23.1" customHeight="1" x14ac:dyDescent="0.25">
      <c r="A2626" s="551" t="s">
        <v>36798</v>
      </c>
      <c r="B2626" s="551" t="s">
        <v>36799</v>
      </c>
      <c r="C2626" s="552" t="s">
        <v>226</v>
      </c>
      <c r="D2626" s="557">
        <v>104.51</v>
      </c>
      <c r="E2626" s="557">
        <v>90.15</v>
      </c>
      <c r="F2626" s="557">
        <v>14.36</v>
      </c>
      <c r="G2626" s="557">
        <v>104.51</v>
      </c>
    </row>
    <row r="2627" spans="1:7" ht="12.6" customHeight="1" x14ac:dyDescent="0.25">
      <c r="A2627" s="551" t="s">
        <v>36800</v>
      </c>
      <c r="B2627" s="551" t="s">
        <v>36801</v>
      </c>
      <c r="C2627" s="552" t="s">
        <v>226</v>
      </c>
      <c r="D2627" s="557">
        <v>136.06</v>
      </c>
      <c r="E2627" s="557">
        <v>121.7</v>
      </c>
      <c r="F2627" s="557">
        <v>14.36</v>
      </c>
      <c r="G2627" s="557">
        <v>136.06</v>
      </c>
    </row>
    <row r="2628" spans="1:7" ht="12.6" customHeight="1" x14ac:dyDescent="0.25">
      <c r="A2628" s="551" t="s">
        <v>36802</v>
      </c>
      <c r="B2628" s="551" t="s">
        <v>36803</v>
      </c>
      <c r="C2628" s="552" t="s">
        <v>226</v>
      </c>
      <c r="D2628" s="557">
        <v>7799.03</v>
      </c>
      <c r="E2628" s="557">
        <v>7765.36</v>
      </c>
      <c r="F2628" s="557">
        <v>33.67</v>
      </c>
      <c r="G2628" s="557">
        <v>7799.03</v>
      </c>
    </row>
    <row r="2629" spans="1:7" ht="12.6" customHeight="1" x14ac:dyDescent="0.2">
      <c r="A2629" s="559" t="s">
        <v>36804</v>
      </c>
      <c r="B2629" s="548" t="s">
        <v>36805</v>
      </c>
      <c r="C2629" s="550" t="s">
        <v>226</v>
      </c>
      <c r="D2629" s="550">
        <v>1357.35</v>
      </c>
      <c r="E2629" s="550">
        <v>1323.68</v>
      </c>
      <c r="F2629" s="550">
        <v>33.67</v>
      </c>
      <c r="G2629" s="550">
        <v>1357.35</v>
      </c>
    </row>
    <row r="2630" spans="1:7" ht="12.6" customHeight="1" x14ac:dyDescent="0.2">
      <c r="A2630" s="548" t="s">
        <v>36806</v>
      </c>
      <c r="B2630" s="548" t="s">
        <v>36807</v>
      </c>
      <c r="C2630" s="550" t="s">
        <v>226</v>
      </c>
      <c r="D2630" s="550">
        <v>921.42</v>
      </c>
      <c r="E2630" s="550">
        <v>887.75</v>
      </c>
      <c r="F2630" s="550">
        <v>33.67</v>
      </c>
      <c r="G2630" s="550">
        <v>921.42</v>
      </c>
    </row>
    <row r="2631" spans="1:7" ht="12.6" customHeight="1" x14ac:dyDescent="0.25">
      <c r="A2631" s="551" t="s">
        <v>36808</v>
      </c>
      <c r="B2631" s="551" t="s">
        <v>36809</v>
      </c>
      <c r="C2631" s="552" t="s">
        <v>226</v>
      </c>
      <c r="D2631" s="557">
        <v>1504.45</v>
      </c>
      <c r="E2631" s="557">
        <v>1470.78</v>
      </c>
      <c r="F2631" s="557">
        <v>33.67</v>
      </c>
      <c r="G2631" s="557">
        <v>1504.45</v>
      </c>
    </row>
    <row r="2632" spans="1:7" ht="23.1" customHeight="1" x14ac:dyDescent="0.25">
      <c r="A2632" s="551" t="s">
        <v>36810</v>
      </c>
      <c r="B2632" s="551" t="s">
        <v>36811</v>
      </c>
      <c r="C2632" s="552" t="s">
        <v>226</v>
      </c>
      <c r="D2632" s="557">
        <v>956.15</v>
      </c>
      <c r="E2632" s="557">
        <v>922.48</v>
      </c>
      <c r="F2632" s="557">
        <v>33.67</v>
      </c>
      <c r="G2632" s="557">
        <v>956.15</v>
      </c>
    </row>
    <row r="2633" spans="1:7" ht="23.1" customHeight="1" x14ac:dyDescent="0.25">
      <c r="A2633" s="551" t="s">
        <v>36812</v>
      </c>
      <c r="B2633" s="551" t="s">
        <v>36813</v>
      </c>
      <c r="C2633" s="552" t="s">
        <v>226</v>
      </c>
      <c r="D2633" s="557">
        <v>153.85</v>
      </c>
      <c r="E2633" s="557">
        <v>120.18</v>
      </c>
      <c r="F2633" s="557">
        <v>33.67</v>
      </c>
      <c r="G2633" s="557">
        <v>153.85</v>
      </c>
    </row>
    <row r="2634" spans="1:7" ht="12.6" customHeight="1" x14ac:dyDescent="0.25">
      <c r="A2634" s="551" t="s">
        <v>36814</v>
      </c>
      <c r="B2634" s="551" t="s">
        <v>36815</v>
      </c>
      <c r="C2634" s="552" t="s">
        <v>226</v>
      </c>
      <c r="D2634" s="557">
        <v>1145.95</v>
      </c>
      <c r="E2634" s="557">
        <v>1112.28</v>
      </c>
      <c r="F2634" s="557">
        <v>33.67</v>
      </c>
      <c r="G2634" s="557">
        <v>1145.95</v>
      </c>
    </row>
    <row r="2635" spans="1:7" ht="12.6" customHeight="1" x14ac:dyDescent="0.2">
      <c r="A2635" s="548" t="s">
        <v>36816</v>
      </c>
      <c r="B2635" s="548" t="s">
        <v>36817</v>
      </c>
      <c r="C2635" s="550"/>
      <c r="D2635" s="550"/>
      <c r="E2635" s="550"/>
      <c r="F2635" s="550"/>
      <c r="G2635" s="550"/>
    </row>
    <row r="2636" spans="1:7" ht="12.6" customHeight="1" x14ac:dyDescent="0.25">
      <c r="A2636" s="551" t="s">
        <v>36818</v>
      </c>
      <c r="B2636" s="551" t="s">
        <v>36819</v>
      </c>
      <c r="C2636" s="552" t="s">
        <v>226</v>
      </c>
      <c r="D2636" s="557">
        <v>1301.47</v>
      </c>
      <c r="E2636" s="557">
        <v>1277.53</v>
      </c>
      <c r="F2636" s="557">
        <v>23.94</v>
      </c>
      <c r="G2636" s="557">
        <v>1301.47</v>
      </c>
    </row>
    <row r="2637" spans="1:7" ht="24.95" customHeight="1" x14ac:dyDescent="0.25">
      <c r="A2637" s="551" t="s">
        <v>36820</v>
      </c>
      <c r="B2637" s="342" t="s">
        <v>36821</v>
      </c>
      <c r="C2637" s="552" t="s">
        <v>226</v>
      </c>
      <c r="D2637" s="557">
        <v>660.85</v>
      </c>
      <c r="E2637" s="557">
        <v>636.91</v>
      </c>
      <c r="F2637" s="557">
        <v>23.94</v>
      </c>
      <c r="G2637" s="557">
        <v>660.85</v>
      </c>
    </row>
    <row r="2638" spans="1:7" ht="12.6" customHeight="1" x14ac:dyDescent="0.2">
      <c r="A2638" s="548" t="s">
        <v>36822</v>
      </c>
      <c r="B2638" s="548" t="s">
        <v>36823</v>
      </c>
      <c r="C2638" s="550" t="s">
        <v>226</v>
      </c>
      <c r="D2638" s="550">
        <v>498.09</v>
      </c>
      <c r="E2638" s="550">
        <v>474.15</v>
      </c>
      <c r="F2638" s="550">
        <v>23.94</v>
      </c>
      <c r="G2638" s="550">
        <v>498.09</v>
      </c>
    </row>
    <row r="2639" spans="1:7" ht="12.6" customHeight="1" x14ac:dyDescent="0.25">
      <c r="A2639" s="551" t="s">
        <v>36824</v>
      </c>
      <c r="B2639" s="551" t="s">
        <v>36825</v>
      </c>
      <c r="C2639" s="552" t="s">
        <v>226</v>
      </c>
      <c r="D2639" s="557">
        <v>832.64</v>
      </c>
      <c r="E2639" s="557">
        <v>808.7</v>
      </c>
      <c r="F2639" s="557">
        <v>23.94</v>
      </c>
      <c r="G2639" s="557">
        <v>832.64</v>
      </c>
    </row>
    <row r="2640" spans="1:7" ht="12.6" customHeight="1" x14ac:dyDescent="0.25">
      <c r="A2640" s="551" t="s">
        <v>36826</v>
      </c>
      <c r="B2640" s="551" t="s">
        <v>36827</v>
      </c>
      <c r="C2640" s="552" t="s">
        <v>226</v>
      </c>
      <c r="D2640" s="557">
        <v>1542.21</v>
      </c>
      <c r="E2640" s="557">
        <v>1518.27</v>
      </c>
      <c r="F2640" s="557">
        <v>23.94</v>
      </c>
      <c r="G2640" s="557">
        <v>1542.21</v>
      </c>
    </row>
    <row r="2641" spans="1:7" ht="12.6" customHeight="1" x14ac:dyDescent="0.25">
      <c r="A2641" s="551" t="s">
        <v>36828</v>
      </c>
      <c r="B2641" s="551" t="s">
        <v>36829</v>
      </c>
      <c r="C2641" s="552"/>
      <c r="D2641" s="557"/>
      <c r="E2641" s="557"/>
      <c r="F2641" s="557"/>
      <c r="G2641" s="557"/>
    </row>
    <row r="2642" spans="1:7" ht="12.6" customHeight="1" x14ac:dyDescent="0.2">
      <c r="A2642" s="548" t="s">
        <v>36830</v>
      </c>
      <c r="B2642" s="548" t="s">
        <v>36831</v>
      </c>
      <c r="C2642" s="550" t="s">
        <v>226</v>
      </c>
      <c r="D2642" s="550">
        <v>308.89</v>
      </c>
      <c r="E2642" s="550">
        <v>289.74</v>
      </c>
      <c r="F2642" s="550">
        <v>19.149999999999999</v>
      </c>
      <c r="G2642" s="550">
        <v>308.89</v>
      </c>
    </row>
    <row r="2643" spans="1:7" ht="12.6" customHeight="1" x14ac:dyDescent="0.25">
      <c r="A2643" s="551" t="s">
        <v>36832</v>
      </c>
      <c r="B2643" s="551" t="s">
        <v>36833</v>
      </c>
      <c r="C2643" s="552" t="s">
        <v>226</v>
      </c>
      <c r="D2643" s="557">
        <v>314.02999999999997</v>
      </c>
      <c r="E2643" s="557">
        <v>294.88</v>
      </c>
      <c r="F2643" s="557">
        <v>19.149999999999999</v>
      </c>
      <c r="G2643" s="557">
        <v>314.02999999999997</v>
      </c>
    </row>
    <row r="2644" spans="1:7" ht="12.6" customHeight="1" x14ac:dyDescent="0.25">
      <c r="A2644" s="551" t="s">
        <v>36834</v>
      </c>
      <c r="B2644" s="551" t="s">
        <v>36835</v>
      </c>
      <c r="C2644" s="552" t="s">
        <v>226</v>
      </c>
      <c r="D2644" s="557">
        <v>245.93</v>
      </c>
      <c r="E2644" s="557">
        <v>226.78</v>
      </c>
      <c r="F2644" s="557">
        <v>19.149999999999999</v>
      </c>
      <c r="G2644" s="557">
        <v>245.93</v>
      </c>
    </row>
    <row r="2645" spans="1:7" ht="23.1" customHeight="1" x14ac:dyDescent="0.25">
      <c r="A2645" s="551" t="s">
        <v>36836</v>
      </c>
      <c r="B2645" s="551" t="s">
        <v>36837</v>
      </c>
      <c r="C2645" s="552" t="s">
        <v>226</v>
      </c>
      <c r="D2645" s="557">
        <v>231.26</v>
      </c>
      <c r="E2645" s="557">
        <v>212.11</v>
      </c>
      <c r="F2645" s="557">
        <v>19.149999999999999</v>
      </c>
      <c r="G2645" s="557">
        <v>231.26</v>
      </c>
    </row>
    <row r="2646" spans="1:7" ht="12.6" customHeight="1" x14ac:dyDescent="0.2">
      <c r="A2646" s="548" t="s">
        <v>36838</v>
      </c>
      <c r="B2646" s="548" t="s">
        <v>36839</v>
      </c>
      <c r="C2646" s="550" t="s">
        <v>226</v>
      </c>
      <c r="D2646" s="550">
        <v>136.32</v>
      </c>
      <c r="E2646" s="550">
        <v>117.17</v>
      </c>
      <c r="F2646" s="550">
        <v>19.149999999999999</v>
      </c>
      <c r="G2646" s="550">
        <v>136.32</v>
      </c>
    </row>
    <row r="2647" spans="1:7" ht="12.6" customHeight="1" x14ac:dyDescent="0.25">
      <c r="A2647" s="551" t="s">
        <v>36840</v>
      </c>
      <c r="B2647" s="551" t="s">
        <v>36841</v>
      </c>
      <c r="C2647" s="552"/>
      <c r="D2647" s="557"/>
      <c r="E2647" s="557"/>
      <c r="F2647" s="557"/>
      <c r="G2647" s="557"/>
    </row>
    <row r="2648" spans="1:7" ht="12.6" customHeight="1" x14ac:dyDescent="0.25">
      <c r="A2648" s="551" t="s">
        <v>36842</v>
      </c>
      <c r="B2648" s="551" t="s">
        <v>36843</v>
      </c>
      <c r="C2648" s="552" t="s">
        <v>226</v>
      </c>
      <c r="D2648" s="557">
        <v>187.31</v>
      </c>
      <c r="E2648" s="557">
        <v>168.16</v>
      </c>
      <c r="F2648" s="557">
        <v>19.149999999999999</v>
      </c>
      <c r="G2648" s="557">
        <v>187.31</v>
      </c>
    </row>
    <row r="2649" spans="1:7" ht="12.6" customHeight="1" x14ac:dyDescent="0.25">
      <c r="A2649" s="551" t="s">
        <v>36844</v>
      </c>
      <c r="B2649" s="551" t="s">
        <v>36845</v>
      </c>
      <c r="C2649" s="552" t="s">
        <v>226</v>
      </c>
      <c r="D2649" s="557">
        <v>70.599999999999994</v>
      </c>
      <c r="E2649" s="557">
        <v>51.45</v>
      </c>
      <c r="F2649" s="557">
        <v>19.149999999999999</v>
      </c>
      <c r="G2649" s="557">
        <v>70.599999999999994</v>
      </c>
    </row>
    <row r="2650" spans="1:7" ht="12.6" customHeight="1" x14ac:dyDescent="0.25">
      <c r="A2650" s="551" t="s">
        <v>36846</v>
      </c>
      <c r="B2650" s="551" t="s">
        <v>36847</v>
      </c>
      <c r="C2650" s="552" t="s">
        <v>226</v>
      </c>
      <c r="D2650" s="557">
        <v>186.98</v>
      </c>
      <c r="E2650" s="557">
        <v>167.83</v>
      </c>
      <c r="F2650" s="557">
        <v>19.149999999999999</v>
      </c>
      <c r="G2650" s="557">
        <v>186.98</v>
      </c>
    </row>
    <row r="2651" spans="1:7" ht="12.6" customHeight="1" x14ac:dyDescent="0.25">
      <c r="A2651" s="551" t="s">
        <v>36848</v>
      </c>
      <c r="B2651" s="551" t="s">
        <v>36849</v>
      </c>
      <c r="C2651" s="552" t="s">
        <v>226</v>
      </c>
      <c r="D2651" s="557">
        <v>92.32</v>
      </c>
      <c r="E2651" s="557">
        <v>68.38</v>
      </c>
      <c r="F2651" s="557">
        <v>23.94</v>
      </c>
      <c r="G2651" s="557">
        <v>92.32</v>
      </c>
    </row>
    <row r="2652" spans="1:7" ht="24.95" customHeight="1" x14ac:dyDescent="0.25">
      <c r="A2652" s="551" t="s">
        <v>36850</v>
      </c>
      <c r="B2652" s="342" t="s">
        <v>36851</v>
      </c>
      <c r="C2652" s="552" t="s">
        <v>226</v>
      </c>
      <c r="D2652" s="557">
        <v>102.68</v>
      </c>
      <c r="E2652" s="557">
        <v>83.53</v>
      </c>
      <c r="F2652" s="557">
        <v>19.149999999999999</v>
      </c>
      <c r="G2652" s="557">
        <v>102.68</v>
      </c>
    </row>
    <row r="2653" spans="1:7" ht="11.45" customHeight="1" x14ac:dyDescent="0.25">
      <c r="A2653" s="543" t="s">
        <v>36852</v>
      </c>
      <c r="B2653" s="544" t="s">
        <v>36853</v>
      </c>
      <c r="C2653" s="544" t="s">
        <v>226</v>
      </c>
      <c r="D2653" s="543">
        <v>193.69</v>
      </c>
      <c r="E2653" s="545">
        <v>174.54</v>
      </c>
      <c r="F2653" s="546">
        <v>19.149999999999999</v>
      </c>
      <c r="G2653" s="543">
        <v>193.69</v>
      </c>
    </row>
    <row r="2654" spans="1:7" ht="24.95" customHeight="1" x14ac:dyDescent="0.25">
      <c r="A2654" s="551" t="s">
        <v>36854</v>
      </c>
      <c r="B2654" s="342" t="s">
        <v>36855</v>
      </c>
      <c r="C2654" s="552" t="s">
        <v>226</v>
      </c>
      <c r="D2654" s="557">
        <v>221.54</v>
      </c>
      <c r="E2654" s="557">
        <v>202.39</v>
      </c>
      <c r="F2654" s="557">
        <v>19.149999999999999</v>
      </c>
      <c r="G2654" s="557">
        <v>221.54</v>
      </c>
    </row>
    <row r="2655" spans="1:7" ht="24.95" customHeight="1" x14ac:dyDescent="0.25">
      <c r="A2655" s="551" t="s">
        <v>36856</v>
      </c>
      <c r="B2655" s="342" t="s">
        <v>36857</v>
      </c>
      <c r="C2655" s="552" t="s">
        <v>226</v>
      </c>
      <c r="D2655" s="557">
        <v>175.16</v>
      </c>
      <c r="E2655" s="557">
        <v>160.80000000000001</v>
      </c>
      <c r="F2655" s="557">
        <v>14.36</v>
      </c>
      <c r="G2655" s="557">
        <v>175.16</v>
      </c>
    </row>
    <row r="2656" spans="1:7" ht="24.95" customHeight="1" x14ac:dyDescent="0.25">
      <c r="A2656" s="551" t="s">
        <v>36858</v>
      </c>
      <c r="B2656" s="342" t="s">
        <v>36859</v>
      </c>
      <c r="C2656" s="552" t="s">
        <v>226</v>
      </c>
      <c r="D2656" s="557">
        <v>87.61</v>
      </c>
      <c r="E2656" s="557">
        <v>73.25</v>
      </c>
      <c r="F2656" s="557">
        <v>14.36</v>
      </c>
      <c r="G2656" s="557">
        <v>87.61</v>
      </c>
    </row>
    <row r="2657" spans="1:7" ht="24.95" customHeight="1" x14ac:dyDescent="0.25">
      <c r="A2657" s="551" t="s">
        <v>36860</v>
      </c>
      <c r="B2657" s="342" t="s">
        <v>36861</v>
      </c>
      <c r="C2657" s="552" t="s">
        <v>226</v>
      </c>
      <c r="D2657" s="557">
        <v>155.52000000000001</v>
      </c>
      <c r="E2657" s="557">
        <v>136.37</v>
      </c>
      <c r="F2657" s="557">
        <v>19.149999999999999</v>
      </c>
      <c r="G2657" s="557">
        <v>155.52000000000001</v>
      </c>
    </row>
    <row r="2658" spans="1:7" ht="12.6" customHeight="1" x14ac:dyDescent="0.25">
      <c r="A2658" s="551" t="s">
        <v>36862</v>
      </c>
      <c r="B2658" s="551" t="s">
        <v>36863</v>
      </c>
      <c r="C2658" s="552" t="s">
        <v>226</v>
      </c>
      <c r="D2658" s="557">
        <v>99.79</v>
      </c>
      <c r="E2658" s="557">
        <v>75.849999999999994</v>
      </c>
      <c r="F2658" s="557">
        <v>23.94</v>
      </c>
      <c r="G2658" s="557">
        <v>99.79</v>
      </c>
    </row>
    <row r="2659" spans="1:7" ht="12.6" customHeight="1" x14ac:dyDescent="0.25">
      <c r="A2659" s="551" t="s">
        <v>36864</v>
      </c>
      <c r="B2659" s="551" t="s">
        <v>36865</v>
      </c>
      <c r="C2659" s="552" t="s">
        <v>226</v>
      </c>
      <c r="D2659" s="557">
        <v>160.29</v>
      </c>
      <c r="E2659" s="557">
        <v>136.35</v>
      </c>
      <c r="F2659" s="557">
        <v>23.94</v>
      </c>
      <c r="G2659" s="557">
        <v>160.29</v>
      </c>
    </row>
    <row r="2660" spans="1:7" ht="12.6" customHeight="1" x14ac:dyDescent="0.25">
      <c r="A2660" s="551" t="s">
        <v>36866</v>
      </c>
      <c r="B2660" s="551" t="s">
        <v>36867</v>
      </c>
      <c r="C2660" s="552" t="s">
        <v>226</v>
      </c>
      <c r="D2660" s="557">
        <v>214.36</v>
      </c>
      <c r="E2660" s="557">
        <v>190.42</v>
      </c>
      <c r="F2660" s="557">
        <v>23.94</v>
      </c>
      <c r="G2660" s="557">
        <v>214.36</v>
      </c>
    </row>
    <row r="2661" spans="1:7" ht="12.6" customHeight="1" x14ac:dyDescent="0.25">
      <c r="A2661" s="551" t="s">
        <v>36868</v>
      </c>
      <c r="B2661" s="551" t="s">
        <v>36869</v>
      </c>
      <c r="C2661" s="552" t="s">
        <v>226</v>
      </c>
      <c r="D2661" s="557">
        <v>141.78</v>
      </c>
      <c r="E2661" s="557">
        <v>117.84</v>
      </c>
      <c r="F2661" s="557">
        <v>23.94</v>
      </c>
      <c r="G2661" s="557">
        <v>141.78</v>
      </c>
    </row>
    <row r="2662" spans="1:7" ht="12.6" customHeight="1" x14ac:dyDescent="0.25">
      <c r="A2662" s="551" t="s">
        <v>36870</v>
      </c>
      <c r="B2662" s="551" t="s">
        <v>36871</v>
      </c>
      <c r="C2662" s="552" t="s">
        <v>226</v>
      </c>
      <c r="D2662" s="557">
        <v>94.87</v>
      </c>
      <c r="E2662" s="557">
        <v>70.930000000000007</v>
      </c>
      <c r="F2662" s="557">
        <v>23.94</v>
      </c>
      <c r="G2662" s="557">
        <v>94.87</v>
      </c>
    </row>
    <row r="2663" spans="1:7" ht="12.6" customHeight="1" x14ac:dyDescent="0.2">
      <c r="A2663" s="548" t="s">
        <v>36872</v>
      </c>
      <c r="B2663" s="548" t="s">
        <v>36873</v>
      </c>
      <c r="C2663" s="550" t="s">
        <v>226</v>
      </c>
      <c r="D2663" s="550">
        <v>79.66</v>
      </c>
      <c r="E2663" s="550">
        <v>60.51</v>
      </c>
      <c r="F2663" s="550">
        <v>19.149999999999999</v>
      </c>
      <c r="G2663" s="550">
        <v>79.66</v>
      </c>
    </row>
    <row r="2664" spans="1:7" ht="23.1" customHeight="1" x14ac:dyDescent="0.25">
      <c r="A2664" s="551" t="s">
        <v>36874</v>
      </c>
      <c r="B2664" s="551" t="s">
        <v>36875</v>
      </c>
      <c r="C2664" s="552" t="s">
        <v>226</v>
      </c>
      <c r="D2664" s="557">
        <v>140.25</v>
      </c>
      <c r="E2664" s="557">
        <v>121.1</v>
      </c>
      <c r="F2664" s="557">
        <v>19.149999999999999</v>
      </c>
      <c r="G2664" s="557">
        <v>140.25</v>
      </c>
    </row>
    <row r="2665" spans="1:7" ht="24.95" customHeight="1" x14ac:dyDescent="0.25">
      <c r="A2665" s="551" t="s">
        <v>36876</v>
      </c>
      <c r="B2665" s="342" t="s">
        <v>36877</v>
      </c>
      <c r="C2665" s="552" t="s">
        <v>226</v>
      </c>
      <c r="D2665" s="557">
        <v>420.41</v>
      </c>
      <c r="E2665" s="557">
        <v>401.26</v>
      </c>
      <c r="F2665" s="557">
        <v>19.149999999999999</v>
      </c>
      <c r="G2665" s="557">
        <v>420.41</v>
      </c>
    </row>
    <row r="2666" spans="1:7" ht="24.95" customHeight="1" x14ac:dyDescent="0.25">
      <c r="A2666" s="551" t="s">
        <v>36878</v>
      </c>
      <c r="B2666" s="342" t="s">
        <v>36879</v>
      </c>
      <c r="C2666" s="552" t="s">
        <v>226</v>
      </c>
      <c r="D2666" s="557">
        <v>304.93</v>
      </c>
      <c r="E2666" s="557">
        <v>285.77999999999997</v>
      </c>
      <c r="F2666" s="557">
        <v>19.149999999999999</v>
      </c>
      <c r="G2666" s="557">
        <v>304.93</v>
      </c>
    </row>
    <row r="2667" spans="1:7" ht="24.95" customHeight="1" x14ac:dyDescent="0.25">
      <c r="A2667" s="551" t="s">
        <v>36880</v>
      </c>
      <c r="B2667" s="342" t="s">
        <v>36881</v>
      </c>
      <c r="C2667" s="552" t="s">
        <v>226</v>
      </c>
      <c r="D2667" s="557">
        <v>175.41</v>
      </c>
      <c r="E2667" s="557">
        <v>156.26</v>
      </c>
      <c r="F2667" s="557">
        <v>19.149999999999999</v>
      </c>
      <c r="G2667" s="557">
        <v>175.41</v>
      </c>
    </row>
    <row r="2668" spans="1:7" ht="24.95" customHeight="1" x14ac:dyDescent="0.25">
      <c r="A2668" s="551" t="s">
        <v>36882</v>
      </c>
      <c r="B2668" s="342" t="s">
        <v>36883</v>
      </c>
      <c r="C2668" s="552" t="s">
        <v>226</v>
      </c>
      <c r="D2668" s="557">
        <v>140.27000000000001</v>
      </c>
      <c r="E2668" s="557">
        <v>121.12</v>
      </c>
      <c r="F2668" s="557">
        <v>19.149999999999999</v>
      </c>
      <c r="G2668" s="557">
        <v>140.27000000000001</v>
      </c>
    </row>
    <row r="2669" spans="1:7" ht="24.95" customHeight="1" x14ac:dyDescent="0.25">
      <c r="A2669" s="551" t="s">
        <v>36884</v>
      </c>
      <c r="B2669" s="342" t="s">
        <v>36885</v>
      </c>
      <c r="C2669" s="552"/>
      <c r="D2669" s="557"/>
      <c r="E2669" s="557"/>
      <c r="F2669" s="557"/>
      <c r="G2669" s="557"/>
    </row>
    <row r="2670" spans="1:7" ht="24.95" customHeight="1" x14ac:dyDescent="0.25">
      <c r="A2670" s="551" t="s">
        <v>36886</v>
      </c>
      <c r="B2670" s="342" t="s">
        <v>36887</v>
      </c>
      <c r="C2670" s="552" t="s">
        <v>226</v>
      </c>
      <c r="D2670" s="557">
        <v>53.99</v>
      </c>
      <c r="E2670" s="557">
        <v>39.630000000000003</v>
      </c>
      <c r="F2670" s="557">
        <v>14.36</v>
      </c>
      <c r="G2670" s="557">
        <v>53.99</v>
      </c>
    </row>
    <row r="2671" spans="1:7" ht="24.95" customHeight="1" x14ac:dyDescent="0.25">
      <c r="A2671" s="551" t="s">
        <v>36888</v>
      </c>
      <c r="B2671" s="342" t="s">
        <v>36889</v>
      </c>
      <c r="C2671" s="552"/>
      <c r="D2671" s="557"/>
      <c r="E2671" s="557"/>
      <c r="F2671" s="557"/>
      <c r="G2671" s="557"/>
    </row>
    <row r="2672" spans="1:7" ht="24.95" customHeight="1" x14ac:dyDescent="0.25">
      <c r="A2672" s="551" t="s">
        <v>36890</v>
      </c>
      <c r="B2672" s="342" t="s">
        <v>36891</v>
      </c>
      <c r="C2672" s="552" t="s">
        <v>226</v>
      </c>
      <c r="D2672" s="557">
        <v>19.55</v>
      </c>
      <c r="E2672" s="557">
        <v>0.4</v>
      </c>
      <c r="F2672" s="557">
        <v>19.149999999999999</v>
      </c>
      <c r="G2672" s="557">
        <v>19.55</v>
      </c>
    </row>
    <row r="2673" spans="1:7" ht="12.6" customHeight="1" x14ac:dyDescent="0.2">
      <c r="A2673" s="548" t="s">
        <v>36892</v>
      </c>
      <c r="B2673" s="548" t="s">
        <v>36893</v>
      </c>
      <c r="C2673" s="550" t="s">
        <v>226</v>
      </c>
      <c r="D2673" s="550">
        <v>10.53</v>
      </c>
      <c r="E2673" s="550">
        <v>6.64</v>
      </c>
      <c r="F2673" s="550">
        <v>3.89</v>
      </c>
      <c r="G2673" s="550">
        <v>10.53</v>
      </c>
    </row>
    <row r="2674" spans="1:7" ht="34.5" customHeight="1" x14ac:dyDescent="0.25">
      <c r="A2674" s="554" t="s">
        <v>36894</v>
      </c>
      <c r="B2674" s="551" t="s">
        <v>36895</v>
      </c>
      <c r="C2674" s="555" t="s">
        <v>226</v>
      </c>
      <c r="D2674" s="558">
        <v>19.149999999999999</v>
      </c>
      <c r="E2674" s="558"/>
      <c r="F2674" s="558">
        <v>19.149999999999999</v>
      </c>
      <c r="G2674" s="558">
        <v>19.149999999999999</v>
      </c>
    </row>
    <row r="2675" spans="1:7" ht="34.5" customHeight="1" x14ac:dyDescent="0.25">
      <c r="A2675" s="554" t="s">
        <v>36896</v>
      </c>
      <c r="B2675" s="551" t="s">
        <v>36897</v>
      </c>
      <c r="C2675" s="555" t="s">
        <v>226</v>
      </c>
      <c r="D2675" s="558">
        <v>3.89</v>
      </c>
      <c r="E2675" s="558"/>
      <c r="F2675" s="558">
        <v>3.89</v>
      </c>
      <c r="G2675" s="558">
        <v>3.89</v>
      </c>
    </row>
    <row r="2676" spans="1:7" ht="34.5" customHeight="1" x14ac:dyDescent="0.25">
      <c r="A2676" s="554" t="s">
        <v>36898</v>
      </c>
      <c r="B2676" s="551" t="s">
        <v>36899</v>
      </c>
      <c r="C2676" s="555"/>
      <c r="D2676" s="558"/>
      <c r="E2676" s="558"/>
      <c r="F2676" s="558"/>
      <c r="G2676" s="558"/>
    </row>
    <row r="2677" spans="1:7" ht="34.5" customHeight="1" x14ac:dyDescent="0.25">
      <c r="A2677" s="554" t="s">
        <v>36900</v>
      </c>
      <c r="B2677" s="551" t="s">
        <v>36901</v>
      </c>
      <c r="C2677" s="555" t="s">
        <v>226</v>
      </c>
      <c r="D2677" s="558">
        <v>329.81</v>
      </c>
      <c r="E2677" s="558">
        <v>310.66000000000003</v>
      </c>
      <c r="F2677" s="558">
        <v>19.149999999999999</v>
      </c>
      <c r="G2677" s="558">
        <v>329.81</v>
      </c>
    </row>
    <row r="2678" spans="1:7" ht="34.5" customHeight="1" x14ac:dyDescent="0.25">
      <c r="A2678" s="554" t="s">
        <v>36902</v>
      </c>
      <c r="B2678" s="551" t="s">
        <v>36903</v>
      </c>
      <c r="C2678" s="555" t="s">
        <v>226</v>
      </c>
      <c r="D2678" s="558">
        <v>303.38</v>
      </c>
      <c r="E2678" s="558">
        <v>289.02</v>
      </c>
      <c r="F2678" s="558">
        <v>14.36</v>
      </c>
      <c r="G2678" s="558">
        <v>303.38</v>
      </c>
    </row>
    <row r="2679" spans="1:7" ht="34.5" customHeight="1" x14ac:dyDescent="0.25">
      <c r="A2679" s="554" t="s">
        <v>36904</v>
      </c>
      <c r="B2679" s="551" t="s">
        <v>36905</v>
      </c>
      <c r="C2679" s="555" t="s">
        <v>226</v>
      </c>
      <c r="D2679" s="558">
        <v>163.57</v>
      </c>
      <c r="E2679" s="558">
        <v>144.41999999999999</v>
      </c>
      <c r="F2679" s="558">
        <v>19.149999999999999</v>
      </c>
      <c r="G2679" s="558">
        <v>163.57</v>
      </c>
    </row>
    <row r="2680" spans="1:7" ht="12.6" customHeight="1" x14ac:dyDescent="0.2">
      <c r="A2680" s="548" t="s">
        <v>36906</v>
      </c>
      <c r="B2680" s="548" t="s">
        <v>36907</v>
      </c>
      <c r="C2680" s="550" t="s">
        <v>226</v>
      </c>
      <c r="D2680" s="550">
        <v>302.86</v>
      </c>
      <c r="E2680" s="550">
        <v>288.5</v>
      </c>
      <c r="F2680" s="550">
        <v>14.36</v>
      </c>
      <c r="G2680" s="550">
        <v>302.86</v>
      </c>
    </row>
    <row r="2681" spans="1:7" ht="24.95" customHeight="1" x14ac:dyDescent="0.25">
      <c r="A2681" s="551" t="s">
        <v>36908</v>
      </c>
      <c r="B2681" s="342" t="s">
        <v>36909</v>
      </c>
      <c r="C2681" s="552" t="s">
        <v>226</v>
      </c>
      <c r="D2681" s="557">
        <v>44.62</v>
      </c>
      <c r="E2681" s="557">
        <v>30.26</v>
      </c>
      <c r="F2681" s="557">
        <v>14.36</v>
      </c>
      <c r="G2681" s="557">
        <v>44.62</v>
      </c>
    </row>
    <row r="2682" spans="1:7" ht="23.1" customHeight="1" x14ac:dyDescent="0.25">
      <c r="A2682" s="551" t="s">
        <v>36910</v>
      </c>
      <c r="B2682" s="551" t="s">
        <v>36911</v>
      </c>
      <c r="C2682" s="552" t="s">
        <v>226</v>
      </c>
      <c r="D2682" s="557">
        <v>86.11</v>
      </c>
      <c r="E2682" s="557">
        <v>62.17</v>
      </c>
      <c r="F2682" s="557">
        <v>23.94</v>
      </c>
      <c r="G2682" s="557">
        <v>86.11</v>
      </c>
    </row>
    <row r="2683" spans="1:7" ht="11.45" customHeight="1" x14ac:dyDescent="0.25">
      <c r="A2683" s="543" t="s">
        <v>36912</v>
      </c>
      <c r="B2683" s="544" t="s">
        <v>36913</v>
      </c>
      <c r="C2683" s="544"/>
      <c r="D2683" s="543"/>
      <c r="E2683" s="545"/>
      <c r="F2683" s="546"/>
      <c r="G2683" s="543"/>
    </row>
    <row r="2684" spans="1:7" ht="23.1" customHeight="1" x14ac:dyDescent="0.25">
      <c r="A2684" s="551" t="s">
        <v>36914</v>
      </c>
      <c r="B2684" s="551" t="s">
        <v>36915</v>
      </c>
      <c r="C2684" s="552"/>
      <c r="D2684" s="557"/>
      <c r="E2684" s="557"/>
      <c r="F2684" s="557"/>
      <c r="G2684" s="557"/>
    </row>
    <row r="2685" spans="1:7" ht="24.95" customHeight="1" x14ac:dyDescent="0.25">
      <c r="A2685" s="551" t="s">
        <v>36916</v>
      </c>
      <c r="B2685" s="342" t="s">
        <v>36917</v>
      </c>
      <c r="C2685" s="552" t="s">
        <v>226</v>
      </c>
      <c r="D2685" s="553">
        <v>96.1</v>
      </c>
      <c r="E2685" s="553">
        <v>84.13</v>
      </c>
      <c r="F2685" s="557">
        <v>11.97</v>
      </c>
      <c r="G2685" s="553">
        <v>96.1</v>
      </c>
    </row>
    <row r="2686" spans="1:7" ht="24.95" customHeight="1" x14ac:dyDescent="0.25">
      <c r="A2686" s="551" t="s">
        <v>36918</v>
      </c>
      <c r="B2686" s="342" t="s">
        <v>36919</v>
      </c>
      <c r="C2686" s="552" t="s">
        <v>226</v>
      </c>
      <c r="D2686" s="553">
        <v>149.6</v>
      </c>
      <c r="E2686" s="553">
        <v>137.63</v>
      </c>
      <c r="F2686" s="557">
        <v>11.97</v>
      </c>
      <c r="G2686" s="553">
        <v>149.6</v>
      </c>
    </row>
    <row r="2687" spans="1:7" ht="24.95" customHeight="1" x14ac:dyDescent="0.25">
      <c r="A2687" s="551" t="s">
        <v>36920</v>
      </c>
      <c r="B2687" s="342" t="s">
        <v>36921</v>
      </c>
      <c r="C2687" s="552" t="s">
        <v>226</v>
      </c>
      <c r="D2687" s="553">
        <v>78.45</v>
      </c>
      <c r="E2687" s="553">
        <v>66.48</v>
      </c>
      <c r="F2687" s="557">
        <v>11.97</v>
      </c>
      <c r="G2687" s="553">
        <v>78.45</v>
      </c>
    </row>
    <row r="2688" spans="1:7" ht="24.95" customHeight="1" x14ac:dyDescent="0.25">
      <c r="A2688" s="551" t="s">
        <v>36922</v>
      </c>
      <c r="B2688" s="342" t="s">
        <v>36923</v>
      </c>
      <c r="C2688" s="552" t="s">
        <v>226</v>
      </c>
      <c r="D2688" s="557">
        <v>61.6</v>
      </c>
      <c r="E2688" s="557">
        <v>49.63</v>
      </c>
      <c r="F2688" s="557">
        <v>11.97</v>
      </c>
      <c r="G2688" s="557">
        <v>61.6</v>
      </c>
    </row>
    <row r="2689" spans="1:7" ht="24.95" customHeight="1" x14ac:dyDescent="0.25">
      <c r="A2689" s="551" t="s">
        <v>36924</v>
      </c>
      <c r="B2689" s="342" t="s">
        <v>36925</v>
      </c>
      <c r="C2689" s="552" t="s">
        <v>226</v>
      </c>
      <c r="D2689" s="557">
        <v>16.91</v>
      </c>
      <c r="E2689" s="557">
        <v>4.9400000000000004</v>
      </c>
      <c r="F2689" s="557">
        <v>11.97</v>
      </c>
      <c r="G2689" s="557">
        <v>16.91</v>
      </c>
    </row>
    <row r="2690" spans="1:7" ht="24.95" customHeight="1" x14ac:dyDescent="0.25">
      <c r="A2690" s="551" t="s">
        <v>36926</v>
      </c>
      <c r="B2690" s="342" t="s">
        <v>36927</v>
      </c>
      <c r="C2690" s="552" t="s">
        <v>226</v>
      </c>
      <c r="D2690" s="553">
        <v>25.11</v>
      </c>
      <c r="E2690" s="553">
        <v>13.14</v>
      </c>
      <c r="F2690" s="557">
        <v>11.97</v>
      </c>
      <c r="G2690" s="553">
        <v>25.11</v>
      </c>
    </row>
    <row r="2691" spans="1:7" ht="24.95" customHeight="1" x14ac:dyDescent="0.25">
      <c r="A2691" s="551" t="s">
        <v>36928</v>
      </c>
      <c r="B2691" s="342" t="s">
        <v>36929</v>
      </c>
      <c r="C2691" s="552" t="s">
        <v>226</v>
      </c>
      <c r="D2691" s="553">
        <v>24.2</v>
      </c>
      <c r="E2691" s="553">
        <v>12.23</v>
      </c>
      <c r="F2691" s="557">
        <v>11.97</v>
      </c>
      <c r="G2691" s="553">
        <v>24.2</v>
      </c>
    </row>
    <row r="2692" spans="1:7" ht="24.95" customHeight="1" x14ac:dyDescent="0.25">
      <c r="A2692" s="551" t="s">
        <v>36930</v>
      </c>
      <c r="B2692" s="342" t="s">
        <v>36931</v>
      </c>
      <c r="C2692" s="552" t="s">
        <v>226</v>
      </c>
      <c r="D2692" s="553">
        <v>27.04</v>
      </c>
      <c r="E2692" s="553">
        <v>15.07</v>
      </c>
      <c r="F2692" s="557">
        <v>11.97</v>
      </c>
      <c r="G2692" s="553">
        <v>27.04</v>
      </c>
    </row>
    <row r="2693" spans="1:7" ht="12.6" customHeight="1" x14ac:dyDescent="0.2">
      <c r="A2693" s="548" t="s">
        <v>36932</v>
      </c>
      <c r="B2693" s="548" t="s">
        <v>36933</v>
      </c>
      <c r="C2693" s="550"/>
      <c r="D2693" s="550"/>
      <c r="E2693" s="550"/>
      <c r="F2693" s="550"/>
      <c r="G2693" s="550"/>
    </row>
    <row r="2694" spans="1:7" ht="12.6" customHeight="1" x14ac:dyDescent="0.25">
      <c r="A2694" s="551" t="s">
        <v>36934</v>
      </c>
      <c r="B2694" s="551" t="s">
        <v>36935</v>
      </c>
      <c r="C2694" s="552" t="s">
        <v>226</v>
      </c>
      <c r="D2694" s="557">
        <v>18.079999999999998</v>
      </c>
      <c r="E2694" s="557">
        <v>6.11</v>
      </c>
      <c r="F2694" s="557">
        <v>11.97</v>
      </c>
      <c r="G2694" s="557">
        <v>18.079999999999998</v>
      </c>
    </row>
    <row r="2695" spans="1:7" ht="23.1" customHeight="1" x14ac:dyDescent="0.25">
      <c r="A2695" s="551" t="s">
        <v>36936</v>
      </c>
      <c r="B2695" s="551" t="s">
        <v>36937</v>
      </c>
      <c r="C2695" s="552" t="s">
        <v>226</v>
      </c>
      <c r="D2695" s="557">
        <v>28.81</v>
      </c>
      <c r="E2695" s="557">
        <v>16.84</v>
      </c>
      <c r="F2695" s="557">
        <v>11.97</v>
      </c>
      <c r="G2695" s="557">
        <v>28.81</v>
      </c>
    </row>
    <row r="2696" spans="1:7" ht="24.95" customHeight="1" x14ac:dyDescent="0.25">
      <c r="A2696" s="551" t="s">
        <v>36938</v>
      </c>
      <c r="B2696" s="342" t="s">
        <v>36939</v>
      </c>
      <c r="C2696" s="552" t="s">
        <v>226</v>
      </c>
      <c r="D2696" s="557">
        <v>17.989999999999998</v>
      </c>
      <c r="E2696" s="557">
        <v>6.02</v>
      </c>
      <c r="F2696" s="557">
        <v>11.97</v>
      </c>
      <c r="G2696" s="557">
        <v>17.989999999999998</v>
      </c>
    </row>
    <row r="2697" spans="1:7" ht="24.95" customHeight="1" x14ac:dyDescent="0.25">
      <c r="A2697" s="551" t="s">
        <v>36940</v>
      </c>
      <c r="B2697" s="342" t="s">
        <v>36941</v>
      </c>
      <c r="C2697" s="552" t="s">
        <v>226</v>
      </c>
      <c r="D2697" s="557">
        <v>20.5</v>
      </c>
      <c r="E2697" s="557">
        <v>8.5299999999999994</v>
      </c>
      <c r="F2697" s="557">
        <v>11.97</v>
      </c>
      <c r="G2697" s="557">
        <v>20.5</v>
      </c>
    </row>
    <row r="2698" spans="1:7" ht="24.95" customHeight="1" x14ac:dyDescent="0.25">
      <c r="A2698" s="551" t="s">
        <v>36942</v>
      </c>
      <c r="B2698" s="342" t="s">
        <v>36943</v>
      </c>
      <c r="C2698" s="552" t="s">
        <v>226</v>
      </c>
      <c r="D2698" s="557">
        <v>27.26</v>
      </c>
      <c r="E2698" s="557">
        <v>15.29</v>
      </c>
      <c r="F2698" s="557">
        <v>11.97</v>
      </c>
      <c r="G2698" s="557">
        <v>27.26</v>
      </c>
    </row>
    <row r="2699" spans="1:7" ht="24.95" customHeight="1" x14ac:dyDescent="0.25">
      <c r="A2699" s="551" t="s">
        <v>36944</v>
      </c>
      <c r="B2699" s="342" t="s">
        <v>36945</v>
      </c>
      <c r="C2699" s="552" t="s">
        <v>226</v>
      </c>
      <c r="D2699" s="557">
        <v>30.53</v>
      </c>
      <c r="E2699" s="557">
        <v>18.559999999999999</v>
      </c>
      <c r="F2699" s="557">
        <v>11.97</v>
      </c>
      <c r="G2699" s="557">
        <v>30.53</v>
      </c>
    </row>
    <row r="2700" spans="1:7" ht="12.6" customHeight="1" x14ac:dyDescent="0.25">
      <c r="A2700" s="551" t="s">
        <v>36946</v>
      </c>
      <c r="B2700" s="551" t="s">
        <v>36947</v>
      </c>
      <c r="C2700" s="552"/>
      <c r="D2700" s="557"/>
      <c r="E2700" s="557"/>
      <c r="F2700" s="557"/>
      <c r="G2700" s="557"/>
    </row>
    <row r="2701" spans="1:7" ht="12.6" customHeight="1" x14ac:dyDescent="0.25">
      <c r="A2701" s="551" t="s">
        <v>36948</v>
      </c>
      <c r="B2701" s="551" t="s">
        <v>36949</v>
      </c>
      <c r="C2701" s="552" t="s">
        <v>226</v>
      </c>
      <c r="D2701" s="557">
        <v>22.97</v>
      </c>
      <c r="E2701" s="557">
        <v>11</v>
      </c>
      <c r="F2701" s="557">
        <v>11.97</v>
      </c>
      <c r="G2701" s="557">
        <v>22.97</v>
      </c>
    </row>
    <row r="2702" spans="1:7" ht="24.95" customHeight="1" x14ac:dyDescent="0.25">
      <c r="A2702" s="551" t="s">
        <v>36950</v>
      </c>
      <c r="B2702" s="342" t="s">
        <v>36951</v>
      </c>
      <c r="C2702" s="552" t="s">
        <v>226</v>
      </c>
      <c r="D2702" s="553">
        <v>27.65</v>
      </c>
      <c r="E2702" s="553">
        <v>15.68</v>
      </c>
      <c r="F2702" s="557">
        <v>11.97</v>
      </c>
      <c r="G2702" s="553">
        <v>27.65</v>
      </c>
    </row>
    <row r="2703" spans="1:7" ht="24.95" customHeight="1" x14ac:dyDescent="0.25">
      <c r="A2703" s="551" t="s">
        <v>36952</v>
      </c>
      <c r="B2703" s="342" t="s">
        <v>36953</v>
      </c>
      <c r="C2703" s="552" t="s">
        <v>226</v>
      </c>
      <c r="D2703" s="553">
        <v>26.18</v>
      </c>
      <c r="E2703" s="553">
        <v>14.21</v>
      </c>
      <c r="F2703" s="557">
        <v>11.97</v>
      </c>
      <c r="G2703" s="553">
        <v>26.18</v>
      </c>
    </row>
    <row r="2704" spans="1:7" ht="24.95" customHeight="1" x14ac:dyDescent="0.25">
      <c r="A2704" s="551" t="s">
        <v>36954</v>
      </c>
      <c r="B2704" s="342" t="s">
        <v>36955</v>
      </c>
      <c r="C2704" s="552" t="s">
        <v>226</v>
      </c>
      <c r="D2704" s="553">
        <v>30.87</v>
      </c>
      <c r="E2704" s="553">
        <v>18.899999999999999</v>
      </c>
      <c r="F2704" s="557">
        <v>11.97</v>
      </c>
      <c r="G2704" s="553">
        <v>30.87</v>
      </c>
    </row>
    <row r="2705" spans="1:7" ht="24.95" customHeight="1" x14ac:dyDescent="0.25">
      <c r="A2705" s="551" t="s">
        <v>36956</v>
      </c>
      <c r="B2705" s="342" t="s">
        <v>36957</v>
      </c>
      <c r="C2705" s="552"/>
      <c r="D2705" s="553"/>
      <c r="E2705" s="553"/>
      <c r="F2705" s="557"/>
      <c r="G2705" s="553"/>
    </row>
    <row r="2706" spans="1:7" ht="34.5" customHeight="1" x14ac:dyDescent="0.25">
      <c r="A2706" s="554" t="s">
        <v>36958</v>
      </c>
      <c r="B2706" s="551" t="s">
        <v>36959</v>
      </c>
      <c r="C2706" s="555" t="s">
        <v>226</v>
      </c>
      <c r="D2706" s="558">
        <v>24.41</v>
      </c>
      <c r="E2706" s="558">
        <v>12.44</v>
      </c>
      <c r="F2706" s="558">
        <v>11.97</v>
      </c>
      <c r="G2706" s="558">
        <v>24.41</v>
      </c>
    </row>
    <row r="2707" spans="1:7" ht="24.95" customHeight="1" x14ac:dyDescent="0.25">
      <c r="A2707" s="551" t="s">
        <v>36960</v>
      </c>
      <c r="B2707" s="342" t="s">
        <v>36961</v>
      </c>
      <c r="C2707" s="552" t="s">
        <v>226</v>
      </c>
      <c r="D2707" s="557">
        <v>22.95</v>
      </c>
      <c r="E2707" s="557">
        <v>10.98</v>
      </c>
      <c r="F2707" s="557">
        <v>11.97</v>
      </c>
      <c r="G2707" s="557">
        <v>22.95</v>
      </c>
    </row>
    <row r="2708" spans="1:7" ht="24.95" customHeight="1" x14ac:dyDescent="0.25">
      <c r="A2708" s="551" t="s">
        <v>36962</v>
      </c>
      <c r="B2708" s="342" t="s">
        <v>36963</v>
      </c>
      <c r="C2708" s="552" t="s">
        <v>226</v>
      </c>
      <c r="D2708" s="553">
        <v>91.47</v>
      </c>
      <c r="E2708" s="557">
        <v>79.5</v>
      </c>
      <c r="F2708" s="557">
        <v>11.97</v>
      </c>
      <c r="G2708" s="553">
        <v>91.47</v>
      </c>
    </row>
    <row r="2709" spans="1:7" ht="12.6" customHeight="1" x14ac:dyDescent="0.2">
      <c r="A2709" s="548" t="s">
        <v>36964</v>
      </c>
      <c r="B2709" s="548" t="s">
        <v>36965</v>
      </c>
      <c r="C2709" s="550" t="s">
        <v>226</v>
      </c>
      <c r="D2709" s="550">
        <v>175.59</v>
      </c>
      <c r="E2709" s="550">
        <v>161.22999999999999</v>
      </c>
      <c r="F2709" s="550">
        <v>14.36</v>
      </c>
      <c r="G2709" s="550">
        <v>175.59</v>
      </c>
    </row>
    <row r="2710" spans="1:7" ht="24.95" customHeight="1" x14ac:dyDescent="0.25">
      <c r="A2710" s="551" t="s">
        <v>36966</v>
      </c>
      <c r="B2710" s="342" t="s">
        <v>36967</v>
      </c>
      <c r="C2710" s="552" t="s">
        <v>158</v>
      </c>
      <c r="D2710" s="553">
        <v>89.12</v>
      </c>
      <c r="E2710" s="553">
        <v>74.760000000000005</v>
      </c>
      <c r="F2710" s="557">
        <v>14.36</v>
      </c>
      <c r="G2710" s="553">
        <v>89.12</v>
      </c>
    </row>
    <row r="2711" spans="1:7" ht="24.95" customHeight="1" x14ac:dyDescent="0.25">
      <c r="A2711" s="551" t="s">
        <v>36968</v>
      </c>
      <c r="B2711" s="342" t="s">
        <v>36969</v>
      </c>
      <c r="C2711" s="552" t="s">
        <v>226</v>
      </c>
      <c r="D2711" s="557">
        <v>23.5</v>
      </c>
      <c r="E2711" s="557">
        <v>11.53</v>
      </c>
      <c r="F2711" s="557">
        <v>11.97</v>
      </c>
      <c r="G2711" s="557">
        <v>23.5</v>
      </c>
    </row>
    <row r="2712" spans="1:7" ht="24.95" customHeight="1" x14ac:dyDescent="0.25">
      <c r="A2712" s="551" t="s">
        <v>36970</v>
      </c>
      <c r="B2712" s="342" t="s">
        <v>36971</v>
      </c>
      <c r="C2712" s="552" t="s">
        <v>226</v>
      </c>
      <c r="D2712" s="557">
        <v>50.67</v>
      </c>
      <c r="E2712" s="557">
        <v>38.700000000000003</v>
      </c>
      <c r="F2712" s="557">
        <v>11.97</v>
      </c>
      <c r="G2712" s="557">
        <v>50.67</v>
      </c>
    </row>
    <row r="2713" spans="1:7" ht="24.95" customHeight="1" x14ac:dyDescent="0.25">
      <c r="A2713" s="551" t="s">
        <v>36972</v>
      </c>
      <c r="B2713" s="342" t="s">
        <v>36973</v>
      </c>
      <c r="C2713" s="552"/>
      <c r="D2713" s="557"/>
      <c r="E2713" s="557"/>
      <c r="F2713" s="557"/>
      <c r="G2713" s="557"/>
    </row>
    <row r="2714" spans="1:7" ht="11.45" customHeight="1" x14ac:dyDescent="0.25">
      <c r="A2714" s="543" t="s">
        <v>36974</v>
      </c>
      <c r="B2714" s="544" t="s">
        <v>36975</v>
      </c>
      <c r="C2714" s="544" t="s">
        <v>226</v>
      </c>
      <c r="D2714" s="543">
        <v>46.81</v>
      </c>
      <c r="E2714" s="545">
        <v>34.840000000000003</v>
      </c>
      <c r="F2714" s="546">
        <v>11.97</v>
      </c>
      <c r="G2714" s="543">
        <v>46.81</v>
      </c>
    </row>
    <row r="2715" spans="1:7" ht="24.95" customHeight="1" x14ac:dyDescent="0.25">
      <c r="A2715" s="551" t="s">
        <v>36976</v>
      </c>
      <c r="B2715" s="342" t="s">
        <v>36977</v>
      </c>
      <c r="C2715" s="552" t="s">
        <v>226</v>
      </c>
      <c r="D2715" s="557">
        <v>28.14</v>
      </c>
      <c r="E2715" s="557">
        <v>16.170000000000002</v>
      </c>
      <c r="F2715" s="557">
        <v>11.97</v>
      </c>
      <c r="G2715" s="557">
        <v>28.14</v>
      </c>
    </row>
    <row r="2716" spans="1:7" ht="24.95" customHeight="1" x14ac:dyDescent="0.25">
      <c r="A2716" s="551" t="s">
        <v>36978</v>
      </c>
      <c r="B2716" s="342" t="s">
        <v>36979</v>
      </c>
      <c r="C2716" s="552" t="s">
        <v>226</v>
      </c>
      <c r="D2716" s="553">
        <v>93.07</v>
      </c>
      <c r="E2716" s="557">
        <v>81.099999999999994</v>
      </c>
      <c r="F2716" s="557">
        <v>11.97</v>
      </c>
      <c r="G2716" s="553">
        <v>93.07</v>
      </c>
    </row>
    <row r="2717" spans="1:7" ht="12.6" customHeight="1" x14ac:dyDescent="0.2">
      <c r="A2717" s="548" t="s">
        <v>36980</v>
      </c>
      <c r="B2717" s="548" t="s">
        <v>36981</v>
      </c>
      <c r="C2717" s="550" t="s">
        <v>226</v>
      </c>
      <c r="D2717" s="550">
        <v>58.21</v>
      </c>
      <c r="E2717" s="550">
        <v>46.24</v>
      </c>
      <c r="F2717" s="550">
        <v>11.97</v>
      </c>
      <c r="G2717" s="550">
        <v>58.21</v>
      </c>
    </row>
    <row r="2718" spans="1:7" ht="12.6" customHeight="1" x14ac:dyDescent="0.25">
      <c r="A2718" s="551" t="s">
        <v>36982</v>
      </c>
      <c r="B2718" s="551" t="s">
        <v>36983</v>
      </c>
      <c r="C2718" s="552" t="s">
        <v>226</v>
      </c>
      <c r="D2718" s="557">
        <v>136.32</v>
      </c>
      <c r="E2718" s="557">
        <v>124.35</v>
      </c>
      <c r="F2718" s="557">
        <v>11.97</v>
      </c>
      <c r="G2718" s="557">
        <v>136.32</v>
      </c>
    </row>
    <row r="2719" spans="1:7" ht="24.95" customHeight="1" x14ac:dyDescent="0.25">
      <c r="A2719" s="551" t="s">
        <v>36984</v>
      </c>
      <c r="B2719" s="342" t="s">
        <v>36985</v>
      </c>
      <c r="C2719" s="552" t="s">
        <v>226</v>
      </c>
      <c r="D2719" s="557">
        <v>63.93</v>
      </c>
      <c r="E2719" s="557">
        <v>16.07</v>
      </c>
      <c r="F2719" s="557">
        <v>47.86</v>
      </c>
      <c r="G2719" s="557">
        <v>63.93</v>
      </c>
    </row>
    <row r="2720" spans="1:7" ht="24.95" customHeight="1" x14ac:dyDescent="0.25">
      <c r="A2720" s="551" t="s">
        <v>36986</v>
      </c>
      <c r="B2720" s="342" t="s">
        <v>36987</v>
      </c>
      <c r="C2720" s="552" t="s">
        <v>226</v>
      </c>
      <c r="D2720" s="557">
        <v>26.7</v>
      </c>
      <c r="E2720" s="557">
        <v>21.91</v>
      </c>
      <c r="F2720" s="557">
        <v>4.79</v>
      </c>
      <c r="G2720" s="557">
        <v>26.7</v>
      </c>
    </row>
    <row r="2721" spans="1:7" ht="12.6" customHeight="1" x14ac:dyDescent="0.25">
      <c r="A2721" s="551" t="s">
        <v>36988</v>
      </c>
      <c r="B2721" s="551" t="s">
        <v>36989</v>
      </c>
      <c r="C2721" s="552" t="s">
        <v>226</v>
      </c>
      <c r="D2721" s="557">
        <v>32.21</v>
      </c>
      <c r="E2721" s="557">
        <v>27.42</v>
      </c>
      <c r="F2721" s="557">
        <v>4.79</v>
      </c>
      <c r="G2721" s="557">
        <v>32.21</v>
      </c>
    </row>
    <row r="2722" spans="1:7" ht="24.95" customHeight="1" x14ac:dyDescent="0.25">
      <c r="A2722" s="551" t="s">
        <v>36990</v>
      </c>
      <c r="B2722" s="342" t="s">
        <v>36991</v>
      </c>
      <c r="C2722" s="552" t="s">
        <v>226</v>
      </c>
      <c r="D2722" s="557">
        <v>22.23</v>
      </c>
      <c r="E2722" s="557">
        <v>17.440000000000001</v>
      </c>
      <c r="F2722" s="557">
        <v>4.79</v>
      </c>
      <c r="G2722" s="557">
        <v>22.23</v>
      </c>
    </row>
    <row r="2723" spans="1:7" ht="12.6" customHeight="1" x14ac:dyDescent="0.2">
      <c r="A2723" s="548" t="s">
        <v>36992</v>
      </c>
      <c r="B2723" s="548" t="s">
        <v>36993</v>
      </c>
      <c r="C2723" s="550" t="s">
        <v>226</v>
      </c>
      <c r="D2723" s="550">
        <v>9.59</v>
      </c>
      <c r="E2723" s="550">
        <v>4.8</v>
      </c>
      <c r="F2723" s="550">
        <v>4.79</v>
      </c>
      <c r="G2723" s="550">
        <v>9.59</v>
      </c>
    </row>
    <row r="2724" spans="1:7" ht="34.5" customHeight="1" x14ac:dyDescent="0.25">
      <c r="A2724" s="554" t="s">
        <v>36994</v>
      </c>
      <c r="B2724" s="551" t="s">
        <v>36995</v>
      </c>
      <c r="C2724" s="555" t="s">
        <v>158</v>
      </c>
      <c r="D2724" s="558">
        <v>34.39</v>
      </c>
      <c r="E2724" s="558">
        <v>15.24</v>
      </c>
      <c r="F2724" s="558">
        <v>19.149999999999999</v>
      </c>
      <c r="G2724" s="558">
        <v>34.39</v>
      </c>
    </row>
    <row r="2725" spans="1:7" ht="24.95" customHeight="1" x14ac:dyDescent="0.25">
      <c r="A2725" s="551" t="s">
        <v>36996</v>
      </c>
      <c r="B2725" s="342" t="s">
        <v>36997</v>
      </c>
      <c r="C2725" s="552" t="s">
        <v>226</v>
      </c>
      <c r="D2725" s="557">
        <v>32.15</v>
      </c>
      <c r="E2725" s="557">
        <v>20.18</v>
      </c>
      <c r="F2725" s="557">
        <v>11.97</v>
      </c>
      <c r="G2725" s="557">
        <v>32.15</v>
      </c>
    </row>
    <row r="2726" spans="1:7" ht="34.5" customHeight="1" x14ac:dyDescent="0.25">
      <c r="A2726" s="554" t="s">
        <v>36998</v>
      </c>
      <c r="B2726" s="551" t="s">
        <v>36999</v>
      </c>
      <c r="C2726" s="555" t="s">
        <v>226</v>
      </c>
      <c r="D2726" s="558">
        <v>287.58</v>
      </c>
      <c r="E2726" s="558">
        <v>263.64</v>
      </c>
      <c r="F2726" s="558">
        <v>23.94</v>
      </c>
      <c r="G2726" s="558">
        <v>287.58</v>
      </c>
    </row>
    <row r="2727" spans="1:7" ht="24.95" customHeight="1" x14ac:dyDescent="0.25">
      <c r="A2727" s="551" t="s">
        <v>37000</v>
      </c>
      <c r="B2727" s="342" t="s">
        <v>37001</v>
      </c>
      <c r="C2727" s="552" t="s">
        <v>226</v>
      </c>
      <c r="D2727" s="557">
        <v>168.17</v>
      </c>
      <c r="E2727" s="557">
        <v>144.22999999999999</v>
      </c>
      <c r="F2727" s="557">
        <v>23.94</v>
      </c>
      <c r="G2727" s="557">
        <v>168.17</v>
      </c>
    </row>
    <row r="2728" spans="1:7" ht="24.95" customHeight="1" x14ac:dyDescent="0.25">
      <c r="A2728" s="551" t="s">
        <v>37002</v>
      </c>
      <c r="B2728" s="342" t="s">
        <v>37003</v>
      </c>
      <c r="C2728" s="552" t="s">
        <v>226</v>
      </c>
      <c r="D2728" s="557">
        <v>208.89</v>
      </c>
      <c r="E2728" s="557">
        <v>184.95</v>
      </c>
      <c r="F2728" s="557">
        <v>23.94</v>
      </c>
      <c r="G2728" s="557">
        <v>208.89</v>
      </c>
    </row>
    <row r="2729" spans="1:7" ht="34.5" customHeight="1" x14ac:dyDescent="0.25">
      <c r="A2729" s="554" t="s">
        <v>37004</v>
      </c>
      <c r="B2729" s="551" t="s">
        <v>37005</v>
      </c>
      <c r="C2729" s="555" t="s">
        <v>226</v>
      </c>
      <c r="D2729" s="558">
        <v>59.25</v>
      </c>
      <c r="E2729" s="558">
        <v>47.28</v>
      </c>
      <c r="F2729" s="558">
        <v>11.97</v>
      </c>
      <c r="G2729" s="558">
        <v>59.25</v>
      </c>
    </row>
    <row r="2730" spans="1:7" ht="34.5" customHeight="1" x14ac:dyDescent="0.25">
      <c r="A2730" s="554" t="s">
        <v>37006</v>
      </c>
      <c r="B2730" s="342" t="s">
        <v>37007</v>
      </c>
      <c r="C2730" s="555" t="s">
        <v>226</v>
      </c>
      <c r="D2730" s="558">
        <v>12.74</v>
      </c>
      <c r="E2730" s="558">
        <v>3.17</v>
      </c>
      <c r="F2730" s="558">
        <v>9.57</v>
      </c>
      <c r="G2730" s="558">
        <v>12.74</v>
      </c>
    </row>
    <row r="2731" spans="1:7" ht="34.5" customHeight="1" x14ac:dyDescent="0.25">
      <c r="A2731" s="554" t="s">
        <v>37008</v>
      </c>
      <c r="B2731" s="342" t="s">
        <v>37009</v>
      </c>
      <c r="C2731" s="555" t="s">
        <v>226</v>
      </c>
      <c r="D2731" s="558">
        <v>22.33</v>
      </c>
      <c r="E2731" s="558">
        <v>10.36</v>
      </c>
      <c r="F2731" s="558">
        <v>11.97</v>
      </c>
      <c r="G2731" s="558">
        <v>22.33</v>
      </c>
    </row>
    <row r="2732" spans="1:7" ht="34.5" customHeight="1" x14ac:dyDescent="0.25">
      <c r="A2732" s="554" t="s">
        <v>37010</v>
      </c>
      <c r="B2732" s="551" t="s">
        <v>37011</v>
      </c>
      <c r="C2732" s="555" t="s">
        <v>158</v>
      </c>
      <c r="D2732" s="558">
        <v>39.65</v>
      </c>
      <c r="E2732" s="558">
        <v>15.71</v>
      </c>
      <c r="F2732" s="558">
        <v>23.94</v>
      </c>
      <c r="G2732" s="558">
        <v>39.65</v>
      </c>
    </row>
    <row r="2733" spans="1:7" ht="24.95" customHeight="1" x14ac:dyDescent="0.25">
      <c r="A2733" s="551" t="s">
        <v>37012</v>
      </c>
      <c r="B2733" s="342" t="s">
        <v>37013</v>
      </c>
      <c r="C2733" s="552" t="s">
        <v>226</v>
      </c>
      <c r="D2733" s="557">
        <v>23.1</v>
      </c>
      <c r="E2733" s="557">
        <v>11.13</v>
      </c>
      <c r="F2733" s="557">
        <v>11.97</v>
      </c>
      <c r="G2733" s="557">
        <v>23.1</v>
      </c>
    </row>
    <row r="2734" spans="1:7" ht="24.95" customHeight="1" x14ac:dyDescent="0.25">
      <c r="A2734" s="551" t="s">
        <v>37014</v>
      </c>
      <c r="B2734" s="342" t="s">
        <v>37015</v>
      </c>
      <c r="C2734" s="552" t="s">
        <v>226</v>
      </c>
      <c r="D2734" s="557">
        <v>47.99</v>
      </c>
      <c r="E2734" s="557">
        <v>38.42</v>
      </c>
      <c r="F2734" s="557">
        <v>9.57</v>
      </c>
      <c r="G2734" s="557">
        <v>47.99</v>
      </c>
    </row>
    <row r="2735" spans="1:7" ht="24.95" customHeight="1" x14ac:dyDescent="0.25">
      <c r="A2735" s="551" t="s">
        <v>37016</v>
      </c>
      <c r="B2735" s="342" t="s">
        <v>37017</v>
      </c>
      <c r="C2735" s="552" t="s">
        <v>226</v>
      </c>
      <c r="D2735" s="557">
        <v>16.93</v>
      </c>
      <c r="E2735" s="557">
        <v>4.96</v>
      </c>
      <c r="F2735" s="557">
        <v>11.97</v>
      </c>
      <c r="G2735" s="557">
        <v>16.93</v>
      </c>
    </row>
    <row r="2736" spans="1:7" ht="34.5" customHeight="1" x14ac:dyDescent="0.25">
      <c r="A2736" s="554" t="s">
        <v>37018</v>
      </c>
      <c r="B2736" s="551" t="s">
        <v>37019</v>
      </c>
      <c r="C2736" s="555" t="s">
        <v>226</v>
      </c>
      <c r="D2736" s="558">
        <v>50.51</v>
      </c>
      <c r="E2736" s="558">
        <v>48.12</v>
      </c>
      <c r="F2736" s="558">
        <v>2.39</v>
      </c>
      <c r="G2736" s="558">
        <v>50.51</v>
      </c>
    </row>
    <row r="2737" spans="1:7" ht="34.5" customHeight="1" x14ac:dyDescent="0.25">
      <c r="A2737" s="554" t="s">
        <v>37020</v>
      </c>
      <c r="B2737" s="551" t="s">
        <v>37021</v>
      </c>
      <c r="C2737" s="555" t="s">
        <v>226</v>
      </c>
      <c r="D2737" s="558">
        <v>30.94</v>
      </c>
      <c r="E2737" s="558">
        <v>18.97</v>
      </c>
      <c r="F2737" s="558">
        <v>11.97</v>
      </c>
      <c r="G2737" s="558">
        <v>30.94</v>
      </c>
    </row>
    <row r="2738" spans="1:7" ht="24.95" customHeight="1" x14ac:dyDescent="0.25">
      <c r="A2738" s="551" t="s">
        <v>37022</v>
      </c>
      <c r="B2738" s="342" t="s">
        <v>37023</v>
      </c>
      <c r="C2738" s="552" t="s">
        <v>226</v>
      </c>
      <c r="D2738" s="557">
        <v>39.57</v>
      </c>
      <c r="E2738" s="557">
        <v>27.6</v>
      </c>
      <c r="F2738" s="557">
        <v>11.97</v>
      </c>
      <c r="G2738" s="557">
        <v>39.57</v>
      </c>
    </row>
    <row r="2739" spans="1:7" ht="34.5" customHeight="1" x14ac:dyDescent="0.25">
      <c r="A2739" s="554" t="s">
        <v>37024</v>
      </c>
      <c r="B2739" s="551" t="s">
        <v>37025</v>
      </c>
      <c r="C2739" s="555" t="s">
        <v>226</v>
      </c>
      <c r="D2739" s="558">
        <v>54.32</v>
      </c>
      <c r="E2739" s="558">
        <v>42.35</v>
      </c>
      <c r="F2739" s="558">
        <v>11.97</v>
      </c>
      <c r="G2739" s="558">
        <v>54.32</v>
      </c>
    </row>
    <row r="2740" spans="1:7" ht="24.95" customHeight="1" x14ac:dyDescent="0.25">
      <c r="A2740" s="551" t="s">
        <v>37026</v>
      </c>
      <c r="B2740" s="342" t="s">
        <v>37027</v>
      </c>
      <c r="C2740" s="552" t="s">
        <v>158</v>
      </c>
      <c r="D2740" s="557">
        <v>197.09</v>
      </c>
      <c r="E2740" s="557">
        <v>173.15</v>
      </c>
      <c r="F2740" s="557">
        <v>23.94</v>
      </c>
      <c r="G2740" s="557">
        <v>197.09</v>
      </c>
    </row>
    <row r="2741" spans="1:7" ht="11.45" customHeight="1" x14ac:dyDescent="0.25">
      <c r="A2741" s="543" t="s">
        <v>37028</v>
      </c>
      <c r="B2741" s="544" t="s">
        <v>37029</v>
      </c>
      <c r="C2741" s="544" t="s">
        <v>226</v>
      </c>
      <c r="D2741" s="543">
        <v>554.27</v>
      </c>
      <c r="E2741" s="545">
        <v>506.41</v>
      </c>
      <c r="F2741" s="546">
        <v>47.86</v>
      </c>
      <c r="G2741" s="543">
        <v>554.27</v>
      </c>
    </row>
    <row r="2742" spans="1:7" ht="34.5" customHeight="1" x14ac:dyDescent="0.25">
      <c r="A2742" s="551" t="s">
        <v>37030</v>
      </c>
      <c r="B2742" s="342" t="s">
        <v>37031</v>
      </c>
      <c r="C2742" s="552" t="s">
        <v>226</v>
      </c>
      <c r="D2742" s="557">
        <v>402.3</v>
      </c>
      <c r="E2742" s="557">
        <v>354.44</v>
      </c>
      <c r="F2742" s="557">
        <v>47.86</v>
      </c>
      <c r="G2742" s="557">
        <v>402.3</v>
      </c>
    </row>
    <row r="2743" spans="1:7" ht="24.95" customHeight="1" x14ac:dyDescent="0.25">
      <c r="A2743" s="551" t="s">
        <v>37032</v>
      </c>
      <c r="B2743" s="342" t="s">
        <v>37033</v>
      </c>
      <c r="C2743" s="552" t="s">
        <v>226</v>
      </c>
      <c r="D2743" s="557">
        <v>3.41</v>
      </c>
      <c r="E2743" s="557">
        <v>1.46</v>
      </c>
      <c r="F2743" s="557">
        <v>1.95</v>
      </c>
      <c r="G2743" s="557">
        <v>3.41</v>
      </c>
    </row>
    <row r="2744" spans="1:7" ht="34.5" customHeight="1" x14ac:dyDescent="0.25">
      <c r="A2744" s="554" t="s">
        <v>37034</v>
      </c>
      <c r="B2744" s="342" t="s">
        <v>37035</v>
      </c>
      <c r="C2744" s="555" t="s">
        <v>226</v>
      </c>
      <c r="D2744" s="558">
        <v>19.5</v>
      </c>
      <c r="E2744" s="558">
        <v>7.53</v>
      </c>
      <c r="F2744" s="558">
        <v>11.97</v>
      </c>
      <c r="G2744" s="558">
        <v>19.5</v>
      </c>
    </row>
    <row r="2745" spans="1:7" ht="24.95" customHeight="1" x14ac:dyDescent="0.25">
      <c r="A2745" s="551" t="s">
        <v>37036</v>
      </c>
      <c r="B2745" s="342" t="s">
        <v>37037</v>
      </c>
      <c r="C2745" s="552" t="s">
        <v>158</v>
      </c>
      <c r="D2745" s="557">
        <v>32.229999999999997</v>
      </c>
      <c r="E2745" s="557">
        <v>8.2899999999999991</v>
      </c>
      <c r="F2745" s="557">
        <v>23.94</v>
      </c>
      <c r="G2745" s="557">
        <v>32.229999999999997</v>
      </c>
    </row>
    <row r="2746" spans="1:7" ht="12.6" customHeight="1" x14ac:dyDescent="0.2">
      <c r="A2746" s="548" t="s">
        <v>37038</v>
      </c>
      <c r="B2746" s="548" t="s">
        <v>37039</v>
      </c>
      <c r="C2746" s="550" t="s">
        <v>226</v>
      </c>
      <c r="D2746" s="550">
        <v>23.31</v>
      </c>
      <c r="E2746" s="550">
        <v>18.52</v>
      </c>
      <c r="F2746" s="550">
        <v>4.79</v>
      </c>
      <c r="G2746" s="550">
        <v>23.31</v>
      </c>
    </row>
    <row r="2747" spans="1:7" ht="24.95" customHeight="1" x14ac:dyDescent="0.25">
      <c r="A2747" s="551" t="s">
        <v>37040</v>
      </c>
      <c r="B2747" s="342" t="s">
        <v>37041</v>
      </c>
      <c r="C2747" s="552" t="s">
        <v>226</v>
      </c>
      <c r="D2747" s="557">
        <v>19.510000000000002</v>
      </c>
      <c r="E2747" s="557">
        <v>7.54</v>
      </c>
      <c r="F2747" s="557">
        <v>11.97</v>
      </c>
      <c r="G2747" s="557">
        <v>19.510000000000002</v>
      </c>
    </row>
    <row r="2748" spans="1:7" ht="12.6" customHeight="1" x14ac:dyDescent="0.2">
      <c r="A2748" s="548" t="s">
        <v>37042</v>
      </c>
      <c r="B2748" s="548" t="s">
        <v>37043</v>
      </c>
      <c r="C2748" s="550" t="s">
        <v>226</v>
      </c>
      <c r="D2748" s="550">
        <v>18</v>
      </c>
      <c r="E2748" s="550">
        <v>6.03</v>
      </c>
      <c r="F2748" s="550">
        <v>11.97</v>
      </c>
      <c r="G2748" s="550">
        <v>18</v>
      </c>
    </row>
    <row r="2749" spans="1:7" ht="24.95" customHeight="1" x14ac:dyDescent="0.25">
      <c r="A2749" s="551" t="s">
        <v>37044</v>
      </c>
      <c r="B2749" s="342" t="s">
        <v>37045</v>
      </c>
      <c r="C2749" s="552" t="s">
        <v>158</v>
      </c>
      <c r="D2749" s="557">
        <v>77.02</v>
      </c>
      <c r="E2749" s="557">
        <v>65.05</v>
      </c>
      <c r="F2749" s="557">
        <v>11.97</v>
      </c>
      <c r="G2749" s="557">
        <v>77.02</v>
      </c>
    </row>
    <row r="2750" spans="1:7" ht="24.95" customHeight="1" x14ac:dyDescent="0.25">
      <c r="A2750" s="551" t="s">
        <v>37046</v>
      </c>
      <c r="B2750" s="342" t="s">
        <v>37047</v>
      </c>
      <c r="C2750" s="552" t="s">
        <v>226</v>
      </c>
      <c r="D2750" s="557">
        <v>57.75</v>
      </c>
      <c r="E2750" s="557">
        <v>45.78</v>
      </c>
      <c r="F2750" s="557">
        <v>11.97</v>
      </c>
      <c r="G2750" s="557">
        <v>57.75</v>
      </c>
    </row>
    <row r="2751" spans="1:7" ht="12.6" customHeight="1" x14ac:dyDescent="0.2">
      <c r="A2751" s="551" t="s">
        <v>37048</v>
      </c>
      <c r="B2751" s="551" t="s">
        <v>37049</v>
      </c>
      <c r="C2751" s="552" t="s">
        <v>226</v>
      </c>
      <c r="D2751" s="557">
        <v>63.11</v>
      </c>
      <c r="E2751" s="343">
        <v>51.14</v>
      </c>
      <c r="F2751" s="557">
        <v>11.97</v>
      </c>
      <c r="G2751" s="557">
        <v>63.11</v>
      </c>
    </row>
    <row r="2752" spans="1:7" ht="12.6" customHeight="1" x14ac:dyDescent="0.2">
      <c r="A2752" s="551" t="s">
        <v>37050</v>
      </c>
      <c r="B2752" s="551" t="s">
        <v>37051</v>
      </c>
      <c r="C2752" s="552" t="s">
        <v>226</v>
      </c>
      <c r="D2752" s="557">
        <v>18.16</v>
      </c>
      <c r="E2752" s="343">
        <v>6.19</v>
      </c>
      <c r="F2752" s="557">
        <v>11.97</v>
      </c>
      <c r="G2752" s="557">
        <v>18.16</v>
      </c>
    </row>
    <row r="2753" spans="1:7" ht="12.6" customHeight="1" x14ac:dyDescent="0.2">
      <c r="A2753" s="548" t="s">
        <v>37052</v>
      </c>
      <c r="B2753" s="548" t="s">
        <v>37053</v>
      </c>
      <c r="C2753" s="550" t="s">
        <v>226</v>
      </c>
      <c r="D2753" s="550">
        <v>20.59</v>
      </c>
      <c r="E2753" s="550">
        <v>8.6199999999999992</v>
      </c>
      <c r="F2753" s="550">
        <v>11.97</v>
      </c>
      <c r="G2753" s="550">
        <v>20.59</v>
      </c>
    </row>
    <row r="2754" spans="1:7" ht="24.95" customHeight="1" x14ac:dyDescent="0.25">
      <c r="A2754" s="551" t="s">
        <v>37054</v>
      </c>
      <c r="B2754" s="342" t="s">
        <v>37055</v>
      </c>
      <c r="C2754" s="552" t="s">
        <v>226</v>
      </c>
      <c r="D2754" s="557">
        <v>24.25</v>
      </c>
      <c r="E2754" s="557">
        <v>12.28</v>
      </c>
      <c r="F2754" s="557">
        <v>11.97</v>
      </c>
      <c r="G2754" s="557">
        <v>24.25</v>
      </c>
    </row>
    <row r="2755" spans="1:7" ht="34.5" customHeight="1" x14ac:dyDescent="0.25">
      <c r="A2755" s="554" t="s">
        <v>37056</v>
      </c>
      <c r="B2755" s="551" t="s">
        <v>37057</v>
      </c>
      <c r="C2755" s="555" t="s">
        <v>226</v>
      </c>
      <c r="D2755" s="558">
        <v>30.68</v>
      </c>
      <c r="E2755" s="558">
        <v>18.71</v>
      </c>
      <c r="F2755" s="558">
        <v>11.97</v>
      </c>
      <c r="G2755" s="558">
        <v>30.68</v>
      </c>
    </row>
    <row r="2756" spans="1:7" ht="24.95" customHeight="1" x14ac:dyDescent="0.25">
      <c r="A2756" s="551" t="s">
        <v>37058</v>
      </c>
      <c r="B2756" s="342" t="s">
        <v>37059</v>
      </c>
      <c r="C2756" s="552" t="s">
        <v>226</v>
      </c>
      <c r="D2756" s="557">
        <v>115.61</v>
      </c>
      <c r="E2756" s="557">
        <v>103.64</v>
      </c>
      <c r="F2756" s="557">
        <v>11.97</v>
      </c>
      <c r="G2756" s="557">
        <v>115.61</v>
      </c>
    </row>
    <row r="2757" spans="1:7" ht="34.5" customHeight="1" x14ac:dyDescent="0.25">
      <c r="A2757" s="554" t="s">
        <v>37060</v>
      </c>
      <c r="B2757" s="551" t="s">
        <v>37061</v>
      </c>
      <c r="C2757" s="555" t="s">
        <v>227</v>
      </c>
      <c r="D2757" s="558">
        <v>221.1</v>
      </c>
      <c r="E2757" s="558">
        <v>216.23</v>
      </c>
      <c r="F2757" s="558">
        <v>4.87</v>
      </c>
      <c r="G2757" s="558">
        <v>221.1</v>
      </c>
    </row>
    <row r="2758" spans="1:7" ht="24.95" customHeight="1" x14ac:dyDescent="0.25">
      <c r="A2758" s="551" t="s">
        <v>37062</v>
      </c>
      <c r="B2758" s="342" t="s">
        <v>37063</v>
      </c>
      <c r="C2758" s="552"/>
      <c r="D2758" s="557"/>
      <c r="E2758" s="557"/>
      <c r="F2758" s="557"/>
      <c r="G2758" s="557"/>
    </row>
    <row r="2759" spans="1:7" ht="24.95" customHeight="1" x14ac:dyDescent="0.25">
      <c r="A2759" s="551" t="s">
        <v>37064</v>
      </c>
      <c r="B2759" s="342" t="s">
        <v>37065</v>
      </c>
      <c r="C2759" s="552" t="s">
        <v>226</v>
      </c>
      <c r="D2759" s="557">
        <v>34</v>
      </c>
      <c r="E2759" s="557">
        <v>10.06</v>
      </c>
      <c r="F2759" s="557">
        <v>23.94</v>
      </c>
      <c r="G2759" s="557">
        <v>34</v>
      </c>
    </row>
    <row r="2760" spans="1:7" ht="12.6" customHeight="1" x14ac:dyDescent="0.2">
      <c r="A2760" s="559" t="s">
        <v>37066</v>
      </c>
      <c r="B2760" s="548" t="s">
        <v>37067</v>
      </c>
      <c r="C2760" s="550" t="s">
        <v>226</v>
      </c>
      <c r="D2760" s="550">
        <v>43.78</v>
      </c>
      <c r="E2760" s="550">
        <v>19.84</v>
      </c>
      <c r="F2760" s="550">
        <v>23.94</v>
      </c>
      <c r="G2760" s="550">
        <v>43.78</v>
      </c>
    </row>
    <row r="2761" spans="1:7" ht="12.6" customHeight="1" x14ac:dyDescent="0.2">
      <c r="A2761" s="548" t="s">
        <v>37068</v>
      </c>
      <c r="B2761" s="548" t="s">
        <v>37069</v>
      </c>
      <c r="C2761" s="550" t="s">
        <v>226</v>
      </c>
      <c r="D2761" s="550">
        <v>43.88</v>
      </c>
      <c r="E2761" s="550">
        <v>19.940000000000001</v>
      </c>
      <c r="F2761" s="550">
        <v>23.94</v>
      </c>
      <c r="G2761" s="550">
        <v>43.88</v>
      </c>
    </row>
    <row r="2762" spans="1:7" ht="23.1" customHeight="1" x14ac:dyDescent="0.25">
      <c r="A2762" s="551" t="s">
        <v>37070</v>
      </c>
      <c r="B2762" s="551" t="s">
        <v>37071</v>
      </c>
      <c r="C2762" s="552" t="s">
        <v>226</v>
      </c>
      <c r="D2762" s="557">
        <v>60.92</v>
      </c>
      <c r="E2762" s="557">
        <v>36.979999999999997</v>
      </c>
      <c r="F2762" s="557">
        <v>23.94</v>
      </c>
      <c r="G2762" s="557">
        <v>60.92</v>
      </c>
    </row>
    <row r="2763" spans="1:7" ht="23.1" customHeight="1" x14ac:dyDescent="0.25">
      <c r="A2763" s="551" t="s">
        <v>37072</v>
      </c>
      <c r="B2763" s="551" t="s">
        <v>37073</v>
      </c>
      <c r="C2763" s="552" t="s">
        <v>226</v>
      </c>
      <c r="D2763" s="557">
        <v>34.17</v>
      </c>
      <c r="E2763" s="557">
        <v>10.23</v>
      </c>
      <c r="F2763" s="557">
        <v>23.94</v>
      </c>
      <c r="G2763" s="557">
        <v>34.17</v>
      </c>
    </row>
    <row r="2764" spans="1:7" ht="12.6" customHeight="1" x14ac:dyDescent="0.25">
      <c r="A2764" s="551" t="s">
        <v>37074</v>
      </c>
      <c r="B2764" s="551" t="s">
        <v>37075</v>
      </c>
      <c r="C2764" s="552" t="s">
        <v>226</v>
      </c>
      <c r="D2764" s="557">
        <v>43.68</v>
      </c>
      <c r="E2764" s="557">
        <v>19.739999999999998</v>
      </c>
      <c r="F2764" s="557">
        <v>23.94</v>
      </c>
      <c r="G2764" s="557">
        <v>43.68</v>
      </c>
    </row>
    <row r="2765" spans="1:7" ht="12.6" customHeight="1" x14ac:dyDescent="0.25">
      <c r="A2765" s="551" t="s">
        <v>37076</v>
      </c>
      <c r="B2765" s="551" t="s">
        <v>37077</v>
      </c>
      <c r="C2765" s="552" t="s">
        <v>226</v>
      </c>
      <c r="D2765" s="557">
        <v>34.01</v>
      </c>
      <c r="E2765" s="557">
        <v>10.07</v>
      </c>
      <c r="F2765" s="557">
        <v>23.94</v>
      </c>
      <c r="G2765" s="557">
        <v>34.01</v>
      </c>
    </row>
    <row r="2766" spans="1:7" ht="12.6" customHeight="1" x14ac:dyDescent="0.25">
      <c r="A2766" s="551" t="s">
        <v>37078</v>
      </c>
      <c r="B2766" s="551" t="s">
        <v>37079</v>
      </c>
      <c r="C2766" s="552" t="s">
        <v>226</v>
      </c>
      <c r="D2766" s="557">
        <v>60.75</v>
      </c>
      <c r="E2766" s="557">
        <v>36.81</v>
      </c>
      <c r="F2766" s="557">
        <v>23.94</v>
      </c>
      <c r="G2766" s="557">
        <v>60.75</v>
      </c>
    </row>
    <row r="2767" spans="1:7" ht="12.6" customHeight="1" x14ac:dyDescent="0.25">
      <c r="A2767" s="551" t="s">
        <v>37080</v>
      </c>
      <c r="B2767" s="551" t="s">
        <v>37081</v>
      </c>
      <c r="C2767" s="552" t="s">
        <v>226</v>
      </c>
      <c r="D2767" s="557">
        <v>43.92</v>
      </c>
      <c r="E2767" s="557">
        <v>19.98</v>
      </c>
      <c r="F2767" s="557">
        <v>23.94</v>
      </c>
      <c r="G2767" s="557">
        <v>43.92</v>
      </c>
    </row>
    <row r="2768" spans="1:7" ht="23.1" customHeight="1" x14ac:dyDescent="0.25">
      <c r="A2768" s="551" t="s">
        <v>37082</v>
      </c>
      <c r="B2768" s="551" t="s">
        <v>37083</v>
      </c>
      <c r="C2768" s="552" t="s">
        <v>226</v>
      </c>
      <c r="D2768" s="557">
        <v>60.71</v>
      </c>
      <c r="E2768" s="557">
        <v>36.770000000000003</v>
      </c>
      <c r="F2768" s="557">
        <v>23.94</v>
      </c>
      <c r="G2768" s="557">
        <v>60.71</v>
      </c>
    </row>
    <row r="2769" spans="1:7" ht="23.1" customHeight="1" x14ac:dyDescent="0.25">
      <c r="A2769" s="551" t="s">
        <v>37084</v>
      </c>
      <c r="B2769" s="551" t="s">
        <v>37085</v>
      </c>
      <c r="C2769" s="552" t="s">
        <v>226</v>
      </c>
      <c r="D2769" s="557">
        <v>44.3</v>
      </c>
      <c r="E2769" s="557">
        <v>20.36</v>
      </c>
      <c r="F2769" s="557">
        <v>23.94</v>
      </c>
      <c r="G2769" s="557">
        <v>44.3</v>
      </c>
    </row>
    <row r="2770" spans="1:7" ht="12.6" customHeight="1" x14ac:dyDescent="0.2">
      <c r="A2770" s="548" t="s">
        <v>37086</v>
      </c>
      <c r="B2770" s="548" t="s">
        <v>37087</v>
      </c>
      <c r="C2770" s="550" t="s">
        <v>226</v>
      </c>
      <c r="D2770" s="550">
        <v>43.34</v>
      </c>
      <c r="E2770" s="550">
        <v>19.399999999999999</v>
      </c>
      <c r="F2770" s="550">
        <v>23.94</v>
      </c>
      <c r="G2770" s="550">
        <v>43.34</v>
      </c>
    </row>
    <row r="2771" spans="1:7" ht="12.6" customHeight="1" x14ac:dyDescent="0.25">
      <c r="A2771" s="551" t="s">
        <v>37088</v>
      </c>
      <c r="B2771" s="551" t="s">
        <v>37089</v>
      </c>
      <c r="C2771" s="552" t="s">
        <v>226</v>
      </c>
      <c r="D2771" s="557">
        <v>43.67</v>
      </c>
      <c r="E2771" s="557">
        <v>19.73</v>
      </c>
      <c r="F2771" s="557">
        <v>23.94</v>
      </c>
      <c r="G2771" s="557">
        <v>43.67</v>
      </c>
    </row>
    <row r="2772" spans="1:7" ht="12.6" customHeight="1" x14ac:dyDescent="0.25">
      <c r="A2772" s="551" t="s">
        <v>37090</v>
      </c>
      <c r="B2772" s="551" t="s">
        <v>37091</v>
      </c>
      <c r="C2772" s="552" t="s">
        <v>226</v>
      </c>
      <c r="D2772" s="557">
        <v>33.94</v>
      </c>
      <c r="E2772" s="557">
        <v>10</v>
      </c>
      <c r="F2772" s="557">
        <v>23.94</v>
      </c>
      <c r="G2772" s="557">
        <v>33.94</v>
      </c>
    </row>
    <row r="2773" spans="1:7" ht="12.6" customHeight="1" x14ac:dyDescent="0.25">
      <c r="A2773" s="551" t="s">
        <v>37092</v>
      </c>
      <c r="B2773" s="551" t="s">
        <v>37093</v>
      </c>
      <c r="C2773" s="552" t="s">
        <v>226</v>
      </c>
      <c r="D2773" s="557">
        <v>45.49</v>
      </c>
      <c r="E2773" s="557">
        <v>21.55</v>
      </c>
      <c r="F2773" s="557">
        <v>23.94</v>
      </c>
      <c r="G2773" s="557">
        <v>45.49</v>
      </c>
    </row>
    <row r="2774" spans="1:7" ht="12.6" customHeight="1" x14ac:dyDescent="0.25">
      <c r="A2774" s="551" t="s">
        <v>37094</v>
      </c>
      <c r="B2774" s="551" t="s">
        <v>37095</v>
      </c>
      <c r="C2774" s="552" t="s">
        <v>226</v>
      </c>
      <c r="D2774" s="557">
        <v>43.66</v>
      </c>
      <c r="E2774" s="557">
        <v>19.72</v>
      </c>
      <c r="F2774" s="557">
        <v>23.94</v>
      </c>
      <c r="G2774" s="557">
        <v>43.66</v>
      </c>
    </row>
    <row r="2775" spans="1:7" ht="23.1" customHeight="1" x14ac:dyDescent="0.25">
      <c r="A2775" s="551" t="s">
        <v>37096</v>
      </c>
      <c r="B2775" s="551" t="s">
        <v>37097</v>
      </c>
      <c r="C2775" s="552" t="s">
        <v>226</v>
      </c>
      <c r="D2775" s="557">
        <v>43.67</v>
      </c>
      <c r="E2775" s="557">
        <v>19.73</v>
      </c>
      <c r="F2775" s="557">
        <v>23.94</v>
      </c>
      <c r="G2775" s="557">
        <v>43.67</v>
      </c>
    </row>
    <row r="2776" spans="1:7" ht="11.45" customHeight="1" x14ac:dyDescent="0.25">
      <c r="A2776" s="543" t="s">
        <v>37098</v>
      </c>
      <c r="B2776" s="544" t="s">
        <v>37099</v>
      </c>
      <c r="C2776" s="544" t="s">
        <v>226</v>
      </c>
      <c r="D2776" s="543">
        <v>33.950000000000003</v>
      </c>
      <c r="E2776" s="545">
        <v>10.01</v>
      </c>
      <c r="F2776" s="546">
        <v>23.94</v>
      </c>
      <c r="G2776" s="543">
        <v>33.950000000000003</v>
      </c>
    </row>
    <row r="2777" spans="1:7" ht="23.1" customHeight="1" x14ac:dyDescent="0.25">
      <c r="A2777" s="551" t="s">
        <v>37100</v>
      </c>
      <c r="B2777" s="551" t="s">
        <v>37101</v>
      </c>
      <c r="C2777" s="552" t="s">
        <v>226</v>
      </c>
      <c r="D2777" s="557">
        <v>34.08</v>
      </c>
      <c r="E2777" s="557">
        <v>10.14</v>
      </c>
      <c r="F2777" s="557">
        <v>23.94</v>
      </c>
      <c r="G2777" s="557">
        <v>34.08</v>
      </c>
    </row>
    <row r="2778" spans="1:7" ht="12.6" customHeight="1" x14ac:dyDescent="0.2">
      <c r="A2778" s="548" t="s">
        <v>37102</v>
      </c>
      <c r="B2778" s="548" t="s">
        <v>37103</v>
      </c>
      <c r="C2778" s="550" t="s">
        <v>226</v>
      </c>
      <c r="D2778" s="550">
        <v>43.75</v>
      </c>
      <c r="E2778" s="550">
        <v>19.809999999999999</v>
      </c>
      <c r="F2778" s="550">
        <v>23.94</v>
      </c>
      <c r="G2778" s="550">
        <v>43.75</v>
      </c>
    </row>
    <row r="2779" spans="1:7" ht="23.1" customHeight="1" x14ac:dyDescent="0.25">
      <c r="A2779" s="551" t="s">
        <v>37104</v>
      </c>
      <c r="B2779" s="551" t="s">
        <v>37105</v>
      </c>
      <c r="C2779" s="552"/>
      <c r="D2779" s="557"/>
      <c r="E2779" s="557"/>
      <c r="F2779" s="557"/>
      <c r="G2779" s="557"/>
    </row>
    <row r="2780" spans="1:7" ht="23.1" customHeight="1" x14ac:dyDescent="0.25">
      <c r="A2780" s="551" t="s">
        <v>37106</v>
      </c>
      <c r="B2780" s="551" t="s">
        <v>37107</v>
      </c>
      <c r="C2780" s="552"/>
      <c r="D2780" s="557"/>
      <c r="E2780" s="557"/>
      <c r="F2780" s="557"/>
      <c r="G2780" s="557"/>
    </row>
    <row r="2781" spans="1:7" ht="23.1" customHeight="1" x14ac:dyDescent="0.25">
      <c r="A2781" s="551" t="s">
        <v>37108</v>
      </c>
      <c r="B2781" s="551" t="s">
        <v>37109</v>
      </c>
      <c r="C2781" s="552" t="s">
        <v>226</v>
      </c>
      <c r="D2781" s="557">
        <v>1578.4</v>
      </c>
      <c r="E2781" s="557">
        <v>1511.07</v>
      </c>
      <c r="F2781" s="557">
        <v>67.33</v>
      </c>
      <c r="G2781" s="557">
        <v>1578.4</v>
      </c>
    </row>
    <row r="2782" spans="1:7" ht="23.1" customHeight="1" x14ac:dyDescent="0.25">
      <c r="A2782" s="551" t="s">
        <v>37110</v>
      </c>
      <c r="B2782" s="551" t="s">
        <v>37111</v>
      </c>
      <c r="C2782" s="552" t="s">
        <v>226</v>
      </c>
      <c r="D2782" s="557">
        <v>1749.46</v>
      </c>
      <c r="E2782" s="557">
        <v>1682.13</v>
      </c>
      <c r="F2782" s="557">
        <v>67.33</v>
      </c>
      <c r="G2782" s="557">
        <v>1749.46</v>
      </c>
    </row>
    <row r="2783" spans="1:7" ht="12.6" customHeight="1" x14ac:dyDescent="0.2">
      <c r="A2783" s="548" t="s">
        <v>37112</v>
      </c>
      <c r="B2783" s="548" t="s">
        <v>37113</v>
      </c>
      <c r="C2783" s="550"/>
      <c r="D2783" s="550"/>
      <c r="E2783" s="550"/>
      <c r="F2783" s="550"/>
      <c r="G2783" s="550"/>
    </row>
    <row r="2784" spans="1:7" ht="12.6" customHeight="1" x14ac:dyDescent="0.25">
      <c r="A2784" s="551" t="s">
        <v>37114</v>
      </c>
      <c r="B2784" s="551" t="s">
        <v>37115</v>
      </c>
      <c r="C2784" s="552" t="s">
        <v>226</v>
      </c>
      <c r="D2784" s="557">
        <v>42.71</v>
      </c>
      <c r="E2784" s="557">
        <v>18.77</v>
      </c>
      <c r="F2784" s="557">
        <v>23.94</v>
      </c>
      <c r="G2784" s="557">
        <v>42.71</v>
      </c>
    </row>
    <row r="2785" spans="1:7" ht="12.6" customHeight="1" x14ac:dyDescent="0.25">
      <c r="A2785" s="551" t="s">
        <v>37116</v>
      </c>
      <c r="B2785" s="551" t="s">
        <v>37117</v>
      </c>
      <c r="C2785" s="552" t="s">
        <v>226</v>
      </c>
      <c r="D2785" s="557">
        <v>931.29</v>
      </c>
      <c r="E2785" s="557">
        <v>885.82</v>
      </c>
      <c r="F2785" s="557">
        <v>45.47</v>
      </c>
      <c r="G2785" s="557">
        <v>931.29</v>
      </c>
    </row>
    <row r="2786" spans="1:7" ht="12.6" customHeight="1" x14ac:dyDescent="0.25">
      <c r="A2786" s="551" t="s">
        <v>37118</v>
      </c>
      <c r="B2786" s="551" t="s">
        <v>37119</v>
      </c>
      <c r="C2786" s="552" t="s">
        <v>226</v>
      </c>
      <c r="D2786" s="557">
        <v>466.98</v>
      </c>
      <c r="E2786" s="557">
        <v>428.84</v>
      </c>
      <c r="F2786" s="557">
        <v>38.14</v>
      </c>
      <c r="G2786" s="557">
        <v>466.98</v>
      </c>
    </row>
    <row r="2787" spans="1:7" ht="12.6" customHeight="1" x14ac:dyDescent="0.25">
      <c r="A2787" s="551" t="s">
        <v>37120</v>
      </c>
      <c r="B2787" s="551" t="s">
        <v>37121</v>
      </c>
      <c r="C2787" s="552" t="s">
        <v>226</v>
      </c>
      <c r="D2787" s="557">
        <v>198.73</v>
      </c>
      <c r="E2787" s="557">
        <v>174.79</v>
      </c>
      <c r="F2787" s="557">
        <v>23.94</v>
      </c>
      <c r="G2787" s="557">
        <v>198.73</v>
      </c>
    </row>
    <row r="2788" spans="1:7" ht="12.6" customHeight="1" x14ac:dyDescent="0.25">
      <c r="A2788" s="551" t="s">
        <v>37122</v>
      </c>
      <c r="B2788" s="551" t="s">
        <v>37123</v>
      </c>
      <c r="C2788" s="552" t="s">
        <v>226</v>
      </c>
      <c r="D2788" s="557">
        <v>46.03</v>
      </c>
      <c r="E2788" s="557">
        <v>17.23</v>
      </c>
      <c r="F2788" s="557">
        <v>28.8</v>
      </c>
      <c r="G2788" s="557">
        <v>46.03</v>
      </c>
    </row>
    <row r="2789" spans="1:7" ht="12.6" customHeight="1" x14ac:dyDescent="0.25">
      <c r="A2789" s="551" t="s">
        <v>37124</v>
      </c>
      <c r="B2789" s="551" t="s">
        <v>37125</v>
      </c>
      <c r="C2789" s="552" t="s">
        <v>226</v>
      </c>
      <c r="D2789" s="557">
        <v>120.57</v>
      </c>
      <c r="E2789" s="557">
        <v>82.43</v>
      </c>
      <c r="F2789" s="557">
        <v>38.14</v>
      </c>
      <c r="G2789" s="557">
        <v>120.57</v>
      </c>
    </row>
    <row r="2790" spans="1:7" ht="12.6" customHeight="1" x14ac:dyDescent="0.25">
      <c r="A2790" s="551" t="s">
        <v>37126</v>
      </c>
      <c r="B2790" s="551" t="s">
        <v>37127</v>
      </c>
      <c r="C2790" s="552" t="s">
        <v>226</v>
      </c>
      <c r="D2790" s="557">
        <v>2081.42</v>
      </c>
      <c r="E2790" s="557">
        <v>1985.7</v>
      </c>
      <c r="F2790" s="557">
        <v>95.72</v>
      </c>
      <c r="G2790" s="557">
        <v>2081.42</v>
      </c>
    </row>
    <row r="2791" spans="1:7" ht="12.6" customHeight="1" x14ac:dyDescent="0.2">
      <c r="A2791" s="548" t="s">
        <v>37128</v>
      </c>
      <c r="B2791" s="548" t="s">
        <v>37129</v>
      </c>
      <c r="C2791" s="550" t="s">
        <v>226</v>
      </c>
      <c r="D2791" s="550">
        <v>489.37</v>
      </c>
      <c r="E2791" s="550">
        <v>451.23</v>
      </c>
      <c r="F2791" s="550">
        <v>38.14</v>
      </c>
      <c r="G2791" s="550">
        <v>489.37</v>
      </c>
    </row>
    <row r="2792" spans="1:7" ht="12.6" customHeight="1" x14ac:dyDescent="0.25">
      <c r="A2792" s="551" t="s">
        <v>37130</v>
      </c>
      <c r="B2792" s="551" t="s">
        <v>37131</v>
      </c>
      <c r="C2792" s="552" t="s">
        <v>226</v>
      </c>
      <c r="D2792" s="557">
        <v>187.03</v>
      </c>
      <c r="E2792" s="557">
        <v>148.88999999999999</v>
      </c>
      <c r="F2792" s="557">
        <v>38.14</v>
      </c>
      <c r="G2792" s="557">
        <v>187.03</v>
      </c>
    </row>
    <row r="2793" spans="1:7" ht="23.1" customHeight="1" x14ac:dyDescent="0.25">
      <c r="A2793" s="551" t="s">
        <v>37132</v>
      </c>
      <c r="B2793" s="551" t="s">
        <v>37133</v>
      </c>
      <c r="C2793" s="552"/>
      <c r="D2793" s="557"/>
      <c r="E2793" s="557"/>
      <c r="F2793" s="557"/>
      <c r="G2793" s="557"/>
    </row>
    <row r="2794" spans="1:7" ht="12.6" customHeight="1" x14ac:dyDescent="0.25">
      <c r="A2794" s="551" t="s">
        <v>37134</v>
      </c>
      <c r="B2794" s="551" t="s">
        <v>37135</v>
      </c>
      <c r="C2794" s="552" t="s">
        <v>226</v>
      </c>
      <c r="D2794" s="557">
        <v>22304.01</v>
      </c>
      <c r="E2794" s="557">
        <v>22112.57</v>
      </c>
      <c r="F2794" s="557">
        <v>191.44</v>
      </c>
      <c r="G2794" s="557">
        <v>22304.01</v>
      </c>
    </row>
    <row r="2795" spans="1:7" ht="12.6" customHeight="1" x14ac:dyDescent="0.25">
      <c r="A2795" s="551" t="s">
        <v>37136</v>
      </c>
      <c r="B2795" s="551" t="s">
        <v>37137</v>
      </c>
      <c r="C2795" s="552" t="s">
        <v>226</v>
      </c>
      <c r="D2795" s="557">
        <v>16918.66</v>
      </c>
      <c r="E2795" s="557">
        <v>16703.28</v>
      </c>
      <c r="F2795" s="557">
        <v>215.38</v>
      </c>
      <c r="G2795" s="557">
        <v>16918.66</v>
      </c>
    </row>
    <row r="2796" spans="1:7" ht="12.6" customHeight="1" x14ac:dyDescent="0.25">
      <c r="A2796" s="551" t="s">
        <v>37138</v>
      </c>
      <c r="B2796" s="551" t="s">
        <v>37139</v>
      </c>
      <c r="C2796" s="552" t="s">
        <v>226</v>
      </c>
      <c r="D2796" s="557">
        <v>751.81</v>
      </c>
      <c r="E2796" s="557">
        <v>512.51</v>
      </c>
      <c r="F2796" s="557">
        <v>239.3</v>
      </c>
      <c r="G2796" s="557">
        <v>751.81</v>
      </c>
    </row>
    <row r="2797" spans="1:7" ht="12.6" customHeight="1" x14ac:dyDescent="0.25">
      <c r="A2797" s="551" t="s">
        <v>37140</v>
      </c>
      <c r="B2797" s="551" t="s">
        <v>37141</v>
      </c>
      <c r="C2797" s="552" t="s">
        <v>19518</v>
      </c>
      <c r="D2797" s="557">
        <v>18613.23</v>
      </c>
      <c r="E2797" s="557">
        <v>13538.35</v>
      </c>
      <c r="F2797" s="557">
        <v>5074.88</v>
      </c>
      <c r="G2797" s="557">
        <v>18613.23</v>
      </c>
    </row>
    <row r="2798" spans="1:7" ht="12.6" customHeight="1" x14ac:dyDescent="0.25">
      <c r="A2798" s="551" t="s">
        <v>37142</v>
      </c>
      <c r="B2798" s="551" t="s">
        <v>37143</v>
      </c>
      <c r="C2798" s="552" t="s">
        <v>19518</v>
      </c>
      <c r="D2798" s="557">
        <v>33793.800000000003</v>
      </c>
      <c r="E2798" s="557">
        <v>28084.560000000001</v>
      </c>
      <c r="F2798" s="557">
        <v>5709.24</v>
      </c>
      <c r="G2798" s="557">
        <v>33793.800000000003</v>
      </c>
    </row>
    <row r="2799" spans="1:7" ht="23.1" customHeight="1" x14ac:dyDescent="0.25">
      <c r="A2799" s="551" t="s">
        <v>37144</v>
      </c>
      <c r="B2799" s="551" t="s">
        <v>37145</v>
      </c>
      <c r="C2799" s="552" t="s">
        <v>19518</v>
      </c>
      <c r="D2799" s="557">
        <v>40329.15</v>
      </c>
      <c r="E2799" s="557">
        <v>33615.620000000003</v>
      </c>
      <c r="F2799" s="557">
        <v>6713.53</v>
      </c>
      <c r="G2799" s="557">
        <v>40329.15</v>
      </c>
    </row>
    <row r="2800" spans="1:7" ht="12.6" customHeight="1" x14ac:dyDescent="0.25">
      <c r="A2800" s="551" t="s">
        <v>37146</v>
      </c>
      <c r="B2800" s="551" t="s">
        <v>37147</v>
      </c>
      <c r="C2800" s="552" t="s">
        <v>226</v>
      </c>
      <c r="D2800" s="557">
        <v>1432.76</v>
      </c>
      <c r="E2800" s="557">
        <v>1383.11</v>
      </c>
      <c r="F2800" s="557">
        <v>49.65</v>
      </c>
      <c r="G2800" s="557">
        <v>1432.76</v>
      </c>
    </row>
    <row r="2801" spans="1:7" ht="12.6" customHeight="1" x14ac:dyDescent="0.25">
      <c r="A2801" s="551" t="s">
        <v>37148</v>
      </c>
      <c r="B2801" s="551" t="s">
        <v>37149</v>
      </c>
      <c r="C2801" s="552" t="s">
        <v>226</v>
      </c>
      <c r="D2801" s="557">
        <v>2062.4</v>
      </c>
      <c r="E2801" s="557">
        <v>2000.34</v>
      </c>
      <c r="F2801" s="557">
        <v>62.06</v>
      </c>
      <c r="G2801" s="557">
        <v>2062.4</v>
      </c>
    </row>
    <row r="2802" spans="1:7" ht="12.6" customHeight="1" x14ac:dyDescent="0.25">
      <c r="A2802" s="551" t="s">
        <v>37150</v>
      </c>
      <c r="B2802" s="551" t="s">
        <v>37151</v>
      </c>
      <c r="C2802" s="552" t="s">
        <v>226</v>
      </c>
      <c r="D2802" s="557">
        <v>3682.52</v>
      </c>
      <c r="E2802" s="557">
        <v>3615.19</v>
      </c>
      <c r="F2802" s="557">
        <v>67.33</v>
      </c>
      <c r="G2802" s="557">
        <v>3682.52</v>
      </c>
    </row>
    <row r="2803" spans="1:7" ht="12.6" customHeight="1" x14ac:dyDescent="0.25">
      <c r="A2803" s="551" t="s">
        <v>37152</v>
      </c>
      <c r="B2803" s="551" t="s">
        <v>37153</v>
      </c>
      <c r="C2803" s="552"/>
      <c r="D2803" s="557"/>
      <c r="E2803" s="557"/>
      <c r="F2803" s="557"/>
      <c r="G2803" s="557"/>
    </row>
    <row r="2804" spans="1:7" ht="12.6" customHeight="1" x14ac:dyDescent="0.25">
      <c r="A2804" s="551" t="s">
        <v>37154</v>
      </c>
      <c r="B2804" s="551" t="s">
        <v>37155</v>
      </c>
      <c r="C2804" s="552" t="s">
        <v>226</v>
      </c>
      <c r="D2804" s="557">
        <v>241.33</v>
      </c>
      <c r="E2804" s="557">
        <v>203.19</v>
      </c>
      <c r="F2804" s="557">
        <v>38.14</v>
      </c>
      <c r="G2804" s="557">
        <v>241.33</v>
      </c>
    </row>
    <row r="2805" spans="1:7" ht="12.6" customHeight="1" x14ac:dyDescent="0.25">
      <c r="A2805" s="551" t="s">
        <v>37156</v>
      </c>
      <c r="B2805" s="551" t="s">
        <v>37157</v>
      </c>
      <c r="C2805" s="552"/>
      <c r="D2805" s="557"/>
      <c r="E2805" s="557"/>
      <c r="F2805" s="557"/>
      <c r="G2805" s="557"/>
    </row>
    <row r="2806" spans="1:7" ht="12.6" customHeight="1" x14ac:dyDescent="0.25">
      <c r="A2806" s="551" t="s">
        <v>37158</v>
      </c>
      <c r="B2806" s="551" t="s">
        <v>37159</v>
      </c>
      <c r="C2806" s="552" t="s">
        <v>226</v>
      </c>
      <c r="D2806" s="557">
        <v>391.37</v>
      </c>
      <c r="E2806" s="557">
        <v>343.51</v>
      </c>
      <c r="F2806" s="557">
        <v>47.86</v>
      </c>
      <c r="G2806" s="557">
        <v>391.37</v>
      </c>
    </row>
    <row r="2807" spans="1:7" ht="12.6" customHeight="1" x14ac:dyDescent="0.25">
      <c r="A2807" s="551" t="s">
        <v>37160</v>
      </c>
      <c r="B2807" s="551" t="s">
        <v>37161</v>
      </c>
      <c r="C2807" s="552" t="s">
        <v>226</v>
      </c>
      <c r="D2807" s="557">
        <v>383.8</v>
      </c>
      <c r="E2807" s="557">
        <v>335.94</v>
      </c>
      <c r="F2807" s="557">
        <v>47.86</v>
      </c>
      <c r="G2807" s="557">
        <v>383.8</v>
      </c>
    </row>
    <row r="2808" spans="1:7" ht="12.6" customHeight="1" x14ac:dyDescent="0.25">
      <c r="A2808" s="551" t="s">
        <v>37162</v>
      </c>
      <c r="B2808" s="551" t="s">
        <v>37163</v>
      </c>
      <c r="C2808" s="552"/>
      <c r="D2808" s="557"/>
      <c r="E2808" s="557"/>
      <c r="F2808" s="557"/>
      <c r="G2808" s="557"/>
    </row>
    <row r="2809" spans="1:7" ht="12.6" customHeight="1" x14ac:dyDescent="0.25">
      <c r="A2809" s="551" t="s">
        <v>37164</v>
      </c>
      <c r="B2809" s="551" t="s">
        <v>37165</v>
      </c>
      <c r="C2809" s="552" t="s">
        <v>226</v>
      </c>
      <c r="D2809" s="557">
        <v>63</v>
      </c>
      <c r="E2809" s="557">
        <v>39.06</v>
      </c>
      <c r="F2809" s="557">
        <v>23.94</v>
      </c>
      <c r="G2809" s="557">
        <v>63</v>
      </c>
    </row>
    <row r="2810" spans="1:7" ht="24.95" customHeight="1" x14ac:dyDescent="0.25">
      <c r="A2810" s="551" t="s">
        <v>37166</v>
      </c>
      <c r="B2810" s="342" t="s">
        <v>37167</v>
      </c>
      <c r="C2810" s="552"/>
      <c r="D2810" s="557"/>
      <c r="E2810" s="557"/>
      <c r="F2810" s="557"/>
      <c r="G2810" s="557"/>
    </row>
    <row r="2811" spans="1:7" ht="12.6" customHeight="1" x14ac:dyDescent="0.25">
      <c r="A2811" s="551" t="s">
        <v>37168</v>
      </c>
      <c r="B2811" s="551" t="s">
        <v>37169</v>
      </c>
      <c r="C2811" s="552" t="s">
        <v>19518</v>
      </c>
      <c r="D2811" s="557">
        <v>15990.08</v>
      </c>
      <c r="E2811" s="557">
        <v>15600.65</v>
      </c>
      <c r="F2811" s="557">
        <v>389.43</v>
      </c>
      <c r="G2811" s="557">
        <v>15990.08</v>
      </c>
    </row>
    <row r="2812" spans="1:7" ht="24.95" customHeight="1" x14ac:dyDescent="0.25">
      <c r="A2812" s="551" t="s">
        <v>37170</v>
      </c>
      <c r="B2812" s="342" t="s">
        <v>37171</v>
      </c>
      <c r="C2812" s="552" t="s">
        <v>19518</v>
      </c>
      <c r="D2812" s="557">
        <v>8165.29</v>
      </c>
      <c r="E2812" s="557">
        <v>7788.06</v>
      </c>
      <c r="F2812" s="557">
        <v>377.23</v>
      </c>
      <c r="G2812" s="557">
        <v>8165.29</v>
      </c>
    </row>
    <row r="2813" spans="1:7" ht="24.95" customHeight="1" x14ac:dyDescent="0.25">
      <c r="A2813" s="551" t="s">
        <v>37172</v>
      </c>
      <c r="B2813" s="342" t="s">
        <v>37173</v>
      </c>
      <c r="C2813" s="552" t="s">
        <v>19518</v>
      </c>
      <c r="D2813" s="557">
        <v>9016.1</v>
      </c>
      <c r="E2813" s="557">
        <v>8626.67</v>
      </c>
      <c r="F2813" s="557">
        <v>389.43</v>
      </c>
      <c r="G2813" s="557">
        <v>9016.1</v>
      </c>
    </row>
    <row r="2814" spans="1:7" ht="12.6" customHeight="1" x14ac:dyDescent="0.25">
      <c r="A2814" s="551" t="s">
        <v>37174</v>
      </c>
      <c r="B2814" s="551" t="s">
        <v>37175</v>
      </c>
      <c r="C2814" s="552" t="s">
        <v>19518</v>
      </c>
      <c r="D2814" s="557">
        <v>14136.87</v>
      </c>
      <c r="E2814" s="557">
        <v>13747.44</v>
      </c>
      <c r="F2814" s="557">
        <v>389.43</v>
      </c>
      <c r="G2814" s="557">
        <v>14136.87</v>
      </c>
    </row>
    <row r="2815" spans="1:7" ht="24.95" customHeight="1" x14ac:dyDescent="0.25">
      <c r="A2815" s="551" t="s">
        <v>37176</v>
      </c>
      <c r="B2815" s="342" t="s">
        <v>37177</v>
      </c>
      <c r="C2815" s="552" t="s">
        <v>19518</v>
      </c>
      <c r="D2815" s="557">
        <v>3630.58</v>
      </c>
      <c r="E2815" s="557">
        <v>3253.35</v>
      </c>
      <c r="F2815" s="557">
        <v>377.23</v>
      </c>
      <c r="G2815" s="557">
        <v>3630.58</v>
      </c>
    </row>
    <row r="2816" spans="1:7" ht="24.95" customHeight="1" x14ac:dyDescent="0.25">
      <c r="A2816" s="551" t="s">
        <v>37178</v>
      </c>
      <c r="B2816" s="342" t="s">
        <v>37179</v>
      </c>
      <c r="C2816" s="552" t="s">
        <v>19518</v>
      </c>
      <c r="D2816" s="557">
        <v>4883.08</v>
      </c>
      <c r="E2816" s="557">
        <v>4505.8500000000004</v>
      </c>
      <c r="F2816" s="557">
        <v>377.23</v>
      </c>
      <c r="G2816" s="557">
        <v>4883.08</v>
      </c>
    </row>
    <row r="2817" spans="1:7" ht="24.95" customHeight="1" x14ac:dyDescent="0.25">
      <c r="A2817" s="551" t="s">
        <v>37180</v>
      </c>
      <c r="B2817" s="342" t="s">
        <v>37181</v>
      </c>
      <c r="C2817" s="552" t="s">
        <v>19518</v>
      </c>
      <c r="D2817" s="557">
        <v>6722.47</v>
      </c>
      <c r="E2817" s="557">
        <v>6333.04</v>
      </c>
      <c r="F2817" s="557">
        <v>389.43</v>
      </c>
      <c r="G2817" s="557">
        <v>6722.47</v>
      </c>
    </row>
    <row r="2818" spans="1:7" ht="24.95" customHeight="1" x14ac:dyDescent="0.25">
      <c r="A2818" s="551" t="s">
        <v>37182</v>
      </c>
      <c r="B2818" s="342" t="s">
        <v>37183</v>
      </c>
      <c r="C2818" s="552" t="s">
        <v>19518</v>
      </c>
      <c r="D2818" s="557">
        <v>7861.15</v>
      </c>
      <c r="E2818" s="557">
        <v>7471.72</v>
      </c>
      <c r="F2818" s="557">
        <v>389.43</v>
      </c>
      <c r="G2818" s="557">
        <v>7861.15</v>
      </c>
    </row>
    <row r="2819" spans="1:7" ht="11.45" customHeight="1" x14ac:dyDescent="0.25">
      <c r="A2819" s="543" t="s">
        <v>37184</v>
      </c>
      <c r="B2819" s="544" t="s">
        <v>37185</v>
      </c>
      <c r="C2819" s="544" t="s">
        <v>19518</v>
      </c>
      <c r="D2819" s="543">
        <v>7660.84</v>
      </c>
      <c r="E2819" s="545">
        <v>7271.41</v>
      </c>
      <c r="F2819" s="546">
        <v>389.43</v>
      </c>
      <c r="G2819" s="543">
        <v>7660.84</v>
      </c>
    </row>
    <row r="2820" spans="1:7" ht="24.95" customHeight="1" x14ac:dyDescent="0.25">
      <c r="A2820" s="551" t="s">
        <v>37186</v>
      </c>
      <c r="B2820" s="342" t="s">
        <v>37187</v>
      </c>
      <c r="C2820" s="552" t="s">
        <v>19518</v>
      </c>
      <c r="D2820" s="557">
        <v>11739.61</v>
      </c>
      <c r="E2820" s="557">
        <v>11350.18</v>
      </c>
      <c r="F2820" s="557">
        <v>389.43</v>
      </c>
      <c r="G2820" s="557">
        <v>11739.61</v>
      </c>
    </row>
    <row r="2821" spans="1:7" ht="24.95" customHeight="1" x14ac:dyDescent="0.25">
      <c r="A2821" s="551" t="s">
        <v>37188</v>
      </c>
      <c r="B2821" s="342" t="s">
        <v>37189</v>
      </c>
      <c r="C2821" s="552"/>
      <c r="D2821" s="557"/>
      <c r="E2821" s="557"/>
      <c r="F2821" s="557"/>
      <c r="G2821" s="557"/>
    </row>
    <row r="2822" spans="1:7" ht="12.6" customHeight="1" x14ac:dyDescent="0.25">
      <c r="A2822" s="551" t="s">
        <v>37190</v>
      </c>
      <c r="B2822" s="551" t="s">
        <v>37191</v>
      </c>
      <c r="C2822" s="552" t="s">
        <v>226</v>
      </c>
      <c r="D2822" s="557">
        <v>43010.94</v>
      </c>
      <c r="E2822" s="557">
        <v>42129.26</v>
      </c>
      <c r="F2822" s="557">
        <v>881.68</v>
      </c>
      <c r="G2822" s="557">
        <v>43010.94</v>
      </c>
    </row>
    <row r="2823" spans="1:7" ht="24.95" customHeight="1" x14ac:dyDescent="0.25">
      <c r="A2823" s="551" t="s">
        <v>37192</v>
      </c>
      <c r="B2823" s="342" t="s">
        <v>37193</v>
      </c>
      <c r="C2823" s="552" t="s">
        <v>226</v>
      </c>
      <c r="D2823" s="557">
        <v>49581.22</v>
      </c>
      <c r="E2823" s="557">
        <v>48699.54</v>
      </c>
      <c r="F2823" s="557">
        <v>881.68</v>
      </c>
      <c r="G2823" s="557">
        <v>49581.22</v>
      </c>
    </row>
    <row r="2824" spans="1:7" ht="24.95" customHeight="1" x14ac:dyDescent="0.25">
      <c r="A2824" s="551" t="s">
        <v>37194</v>
      </c>
      <c r="B2824" s="342" t="s">
        <v>37195</v>
      </c>
      <c r="C2824" s="552" t="s">
        <v>226</v>
      </c>
      <c r="D2824" s="557">
        <v>57150.43</v>
      </c>
      <c r="E2824" s="557">
        <v>56268.75</v>
      </c>
      <c r="F2824" s="557">
        <v>881.68</v>
      </c>
      <c r="G2824" s="557">
        <v>57150.43</v>
      </c>
    </row>
    <row r="2825" spans="1:7" ht="12.6" customHeight="1" x14ac:dyDescent="0.25">
      <c r="A2825" s="551" t="s">
        <v>37196</v>
      </c>
      <c r="B2825" s="551" t="s">
        <v>37197</v>
      </c>
      <c r="C2825" s="552" t="s">
        <v>226</v>
      </c>
      <c r="D2825" s="557">
        <v>63586.83</v>
      </c>
      <c r="E2825" s="557">
        <v>62705.15</v>
      </c>
      <c r="F2825" s="557">
        <v>881.68</v>
      </c>
      <c r="G2825" s="557">
        <v>63586.83</v>
      </c>
    </row>
    <row r="2826" spans="1:7" ht="24.95" customHeight="1" x14ac:dyDescent="0.25">
      <c r="A2826" s="551" t="s">
        <v>37198</v>
      </c>
      <c r="B2826" s="342" t="s">
        <v>37199</v>
      </c>
      <c r="C2826" s="552" t="s">
        <v>226</v>
      </c>
      <c r="D2826" s="557">
        <v>4822.21</v>
      </c>
      <c r="E2826" s="557">
        <v>4050.74</v>
      </c>
      <c r="F2826" s="557">
        <v>771.47</v>
      </c>
      <c r="G2826" s="557">
        <v>4822.21</v>
      </c>
    </row>
    <row r="2827" spans="1:7" ht="12.6" customHeight="1" x14ac:dyDescent="0.25">
      <c r="A2827" s="551" t="s">
        <v>37200</v>
      </c>
      <c r="B2827" s="551" t="s">
        <v>37201</v>
      </c>
      <c r="C2827" s="552" t="s">
        <v>226</v>
      </c>
      <c r="D2827" s="557">
        <v>6008.37</v>
      </c>
      <c r="E2827" s="557">
        <v>5236.8999999999996</v>
      </c>
      <c r="F2827" s="557">
        <v>771.47</v>
      </c>
      <c r="G2827" s="557">
        <v>6008.37</v>
      </c>
    </row>
    <row r="2828" spans="1:7" ht="24.95" customHeight="1" x14ac:dyDescent="0.25">
      <c r="A2828" s="551" t="s">
        <v>37202</v>
      </c>
      <c r="B2828" s="342" t="s">
        <v>37203</v>
      </c>
      <c r="C2828" s="552" t="s">
        <v>226</v>
      </c>
      <c r="D2828" s="557">
        <v>7813.03</v>
      </c>
      <c r="E2828" s="557">
        <v>7041.56</v>
      </c>
      <c r="F2828" s="557">
        <v>771.47</v>
      </c>
      <c r="G2828" s="557">
        <v>7813.03</v>
      </c>
    </row>
    <row r="2829" spans="1:7" ht="12.6" customHeight="1" x14ac:dyDescent="0.25">
      <c r="A2829" s="551" t="s">
        <v>37204</v>
      </c>
      <c r="B2829" s="551" t="s">
        <v>37205</v>
      </c>
      <c r="C2829" s="552" t="s">
        <v>226</v>
      </c>
      <c r="D2829" s="557">
        <v>5280.87</v>
      </c>
      <c r="E2829" s="557">
        <v>4509.3999999999996</v>
      </c>
      <c r="F2829" s="557">
        <v>771.47</v>
      </c>
      <c r="G2829" s="557">
        <v>5280.87</v>
      </c>
    </row>
    <row r="2830" spans="1:7" ht="12.6" customHeight="1" x14ac:dyDescent="0.25">
      <c r="A2830" s="551" t="s">
        <v>37206</v>
      </c>
      <c r="B2830" s="551" t="s">
        <v>37207</v>
      </c>
      <c r="C2830" s="552" t="s">
        <v>226</v>
      </c>
      <c r="D2830" s="557">
        <v>5963.88</v>
      </c>
      <c r="E2830" s="557">
        <v>5192.41</v>
      </c>
      <c r="F2830" s="557">
        <v>771.47</v>
      </c>
      <c r="G2830" s="557">
        <v>5963.88</v>
      </c>
    </row>
    <row r="2831" spans="1:7" ht="12.6" customHeight="1" x14ac:dyDescent="0.25">
      <c r="A2831" s="551" t="s">
        <v>37208</v>
      </c>
      <c r="B2831" s="551" t="s">
        <v>37209</v>
      </c>
      <c r="C2831" s="552" t="s">
        <v>226</v>
      </c>
      <c r="D2831" s="557">
        <v>6936.16</v>
      </c>
      <c r="E2831" s="557">
        <v>6164.69</v>
      </c>
      <c r="F2831" s="557">
        <v>771.47</v>
      </c>
      <c r="G2831" s="557">
        <v>6936.16</v>
      </c>
    </row>
    <row r="2832" spans="1:7" ht="12.6" customHeight="1" x14ac:dyDescent="0.25">
      <c r="A2832" s="551" t="s">
        <v>37210</v>
      </c>
      <c r="B2832" s="551" t="s">
        <v>37211</v>
      </c>
      <c r="C2832" s="552" t="s">
        <v>226</v>
      </c>
      <c r="D2832" s="557">
        <v>7911.56</v>
      </c>
      <c r="E2832" s="557">
        <v>7140.09</v>
      </c>
      <c r="F2832" s="557">
        <v>771.47</v>
      </c>
      <c r="G2832" s="557">
        <v>7911.56</v>
      </c>
    </row>
    <row r="2833" spans="1:7" ht="12.6" customHeight="1" x14ac:dyDescent="0.25">
      <c r="A2833" s="551" t="s">
        <v>37212</v>
      </c>
      <c r="B2833" s="551" t="s">
        <v>37213</v>
      </c>
      <c r="C2833" s="552" t="s">
        <v>226</v>
      </c>
      <c r="D2833" s="557">
        <v>4933.25</v>
      </c>
      <c r="E2833" s="557">
        <v>4161.78</v>
      </c>
      <c r="F2833" s="557">
        <v>771.47</v>
      </c>
      <c r="G2833" s="557">
        <v>4933.25</v>
      </c>
    </row>
    <row r="2834" spans="1:7" ht="12.6" customHeight="1" x14ac:dyDescent="0.25">
      <c r="A2834" s="551" t="s">
        <v>37214</v>
      </c>
      <c r="B2834" s="551" t="s">
        <v>37215</v>
      </c>
      <c r="C2834" s="552" t="s">
        <v>226</v>
      </c>
      <c r="D2834" s="557">
        <v>5499.78</v>
      </c>
      <c r="E2834" s="557">
        <v>4728.3100000000004</v>
      </c>
      <c r="F2834" s="557">
        <v>771.47</v>
      </c>
      <c r="G2834" s="557">
        <v>5499.78</v>
      </c>
    </row>
    <row r="2835" spans="1:7" ht="24.95" customHeight="1" x14ac:dyDescent="0.25">
      <c r="A2835" s="551" t="s">
        <v>37216</v>
      </c>
      <c r="B2835" s="342" t="s">
        <v>37217</v>
      </c>
      <c r="C2835" s="552" t="s">
        <v>226</v>
      </c>
      <c r="D2835" s="557">
        <v>5903.53</v>
      </c>
      <c r="E2835" s="557">
        <v>5132.0600000000004</v>
      </c>
      <c r="F2835" s="557">
        <v>771.47</v>
      </c>
      <c r="G2835" s="557">
        <v>5903.53</v>
      </c>
    </row>
    <row r="2836" spans="1:7" ht="24.95" customHeight="1" x14ac:dyDescent="0.25">
      <c r="A2836" s="551" t="s">
        <v>37218</v>
      </c>
      <c r="B2836" s="342" t="s">
        <v>37219</v>
      </c>
      <c r="C2836" s="552" t="s">
        <v>226</v>
      </c>
      <c r="D2836" s="557">
        <v>6071.87</v>
      </c>
      <c r="E2836" s="557">
        <v>5300.4</v>
      </c>
      <c r="F2836" s="557">
        <v>771.47</v>
      </c>
      <c r="G2836" s="557">
        <v>6071.87</v>
      </c>
    </row>
    <row r="2837" spans="1:7" ht="12.6" customHeight="1" x14ac:dyDescent="0.2">
      <c r="A2837" s="548" t="s">
        <v>37220</v>
      </c>
      <c r="B2837" s="548" t="s">
        <v>37221</v>
      </c>
      <c r="C2837" s="550"/>
      <c r="D2837" s="550"/>
      <c r="E2837" s="550"/>
      <c r="F2837" s="550"/>
      <c r="G2837" s="550"/>
    </row>
    <row r="2838" spans="1:7" ht="24.95" customHeight="1" x14ac:dyDescent="0.25">
      <c r="A2838" s="551" t="s">
        <v>37222</v>
      </c>
      <c r="B2838" s="342" t="s">
        <v>37223</v>
      </c>
      <c r="C2838" s="552" t="s">
        <v>226</v>
      </c>
      <c r="D2838" s="557">
        <v>10576.75</v>
      </c>
      <c r="E2838" s="557">
        <v>10307.43</v>
      </c>
      <c r="F2838" s="557">
        <v>269.32</v>
      </c>
      <c r="G2838" s="557">
        <v>10576.75</v>
      </c>
    </row>
    <row r="2839" spans="1:7" ht="24.95" customHeight="1" x14ac:dyDescent="0.25">
      <c r="A2839" s="551" t="s">
        <v>37224</v>
      </c>
      <c r="B2839" s="342" t="s">
        <v>37225</v>
      </c>
      <c r="C2839" s="552" t="s">
        <v>226</v>
      </c>
      <c r="D2839" s="557">
        <v>17915.45</v>
      </c>
      <c r="E2839" s="557">
        <v>17646.13</v>
      </c>
      <c r="F2839" s="557">
        <v>269.32</v>
      </c>
      <c r="G2839" s="557">
        <v>17915.45</v>
      </c>
    </row>
    <row r="2840" spans="1:7" ht="24.95" customHeight="1" x14ac:dyDescent="0.25">
      <c r="A2840" s="551" t="s">
        <v>37226</v>
      </c>
      <c r="B2840" s="342" t="s">
        <v>37227</v>
      </c>
      <c r="C2840" s="552" t="s">
        <v>226</v>
      </c>
      <c r="D2840" s="557">
        <v>5060.13</v>
      </c>
      <c r="E2840" s="557">
        <v>4790.8100000000004</v>
      </c>
      <c r="F2840" s="557">
        <v>269.32</v>
      </c>
      <c r="G2840" s="557">
        <v>5060.13</v>
      </c>
    </row>
    <row r="2841" spans="1:7" ht="24.95" customHeight="1" x14ac:dyDescent="0.25">
      <c r="A2841" s="551" t="s">
        <v>37228</v>
      </c>
      <c r="B2841" s="342" t="s">
        <v>37229</v>
      </c>
      <c r="C2841" s="552" t="s">
        <v>226</v>
      </c>
      <c r="D2841" s="557">
        <v>2869.55</v>
      </c>
      <c r="E2841" s="557">
        <v>2600.23</v>
      </c>
      <c r="F2841" s="557">
        <v>269.32</v>
      </c>
      <c r="G2841" s="557">
        <v>2869.55</v>
      </c>
    </row>
    <row r="2842" spans="1:7" ht="24.95" customHeight="1" x14ac:dyDescent="0.25">
      <c r="A2842" s="551" t="s">
        <v>37230</v>
      </c>
      <c r="B2842" s="342" t="s">
        <v>37231</v>
      </c>
      <c r="C2842" s="552" t="s">
        <v>226</v>
      </c>
      <c r="D2842" s="557">
        <v>45395.91</v>
      </c>
      <c r="E2842" s="557">
        <v>45126.59</v>
      </c>
      <c r="F2842" s="557">
        <v>269.32</v>
      </c>
      <c r="G2842" s="557">
        <v>45395.91</v>
      </c>
    </row>
    <row r="2843" spans="1:7" ht="24.95" customHeight="1" x14ac:dyDescent="0.25">
      <c r="A2843" s="551" t="s">
        <v>37232</v>
      </c>
      <c r="B2843" s="342" t="s">
        <v>37233</v>
      </c>
      <c r="C2843" s="552" t="s">
        <v>226</v>
      </c>
      <c r="D2843" s="557">
        <v>3583.85</v>
      </c>
      <c r="E2843" s="557">
        <v>3314.53</v>
      </c>
      <c r="F2843" s="557">
        <v>269.32</v>
      </c>
      <c r="G2843" s="557">
        <v>3583.85</v>
      </c>
    </row>
    <row r="2844" spans="1:7" ht="24.95" customHeight="1" x14ac:dyDescent="0.25">
      <c r="A2844" s="551" t="s">
        <v>37234</v>
      </c>
      <c r="B2844" s="342" t="s">
        <v>37235</v>
      </c>
      <c r="C2844" s="552" t="s">
        <v>226</v>
      </c>
      <c r="D2844" s="557">
        <v>11539.58</v>
      </c>
      <c r="E2844" s="557">
        <v>11270.26</v>
      </c>
      <c r="F2844" s="557">
        <v>269.32</v>
      </c>
      <c r="G2844" s="557">
        <v>11539.58</v>
      </c>
    </row>
    <row r="2845" spans="1:7" ht="24.95" customHeight="1" x14ac:dyDescent="0.25">
      <c r="A2845" s="551" t="s">
        <v>37236</v>
      </c>
      <c r="B2845" s="342" t="s">
        <v>37237</v>
      </c>
      <c r="C2845" s="552" t="s">
        <v>226</v>
      </c>
      <c r="D2845" s="557">
        <v>5046.01</v>
      </c>
      <c r="E2845" s="557">
        <v>4776.6899999999996</v>
      </c>
      <c r="F2845" s="557">
        <v>269.32</v>
      </c>
      <c r="G2845" s="557">
        <v>5046.01</v>
      </c>
    </row>
    <row r="2846" spans="1:7" ht="24.95" customHeight="1" x14ac:dyDescent="0.25">
      <c r="A2846" s="551" t="s">
        <v>37238</v>
      </c>
      <c r="B2846" s="342" t="s">
        <v>37239</v>
      </c>
      <c r="C2846" s="552" t="s">
        <v>226</v>
      </c>
      <c r="D2846" s="557">
        <v>15312.42</v>
      </c>
      <c r="E2846" s="557">
        <v>15043.1</v>
      </c>
      <c r="F2846" s="557">
        <v>269.32</v>
      </c>
      <c r="G2846" s="557">
        <v>15312.42</v>
      </c>
    </row>
    <row r="2847" spans="1:7" ht="24.95" customHeight="1" x14ac:dyDescent="0.25">
      <c r="A2847" s="551" t="s">
        <v>37240</v>
      </c>
      <c r="B2847" s="342" t="s">
        <v>37241</v>
      </c>
      <c r="C2847" s="552" t="s">
        <v>226</v>
      </c>
      <c r="D2847" s="557">
        <v>3179.6</v>
      </c>
      <c r="E2847" s="557">
        <v>2910.28</v>
      </c>
      <c r="F2847" s="557">
        <v>269.32</v>
      </c>
      <c r="G2847" s="557">
        <v>3179.6</v>
      </c>
    </row>
    <row r="2848" spans="1:7" ht="24.95" customHeight="1" x14ac:dyDescent="0.25">
      <c r="A2848" s="551" t="s">
        <v>37242</v>
      </c>
      <c r="B2848" s="342" t="s">
        <v>37243</v>
      </c>
      <c r="C2848" s="552" t="s">
        <v>226</v>
      </c>
      <c r="D2848" s="557">
        <v>5855.76</v>
      </c>
      <c r="E2848" s="557">
        <v>5586.44</v>
      </c>
      <c r="F2848" s="557">
        <v>269.32</v>
      </c>
      <c r="G2848" s="557">
        <v>5855.76</v>
      </c>
    </row>
    <row r="2849" spans="1:7" ht="24.95" customHeight="1" x14ac:dyDescent="0.25">
      <c r="A2849" s="551" t="s">
        <v>37244</v>
      </c>
      <c r="B2849" s="342" t="s">
        <v>37245</v>
      </c>
      <c r="C2849" s="552" t="s">
        <v>226</v>
      </c>
      <c r="D2849" s="557">
        <v>5037.13</v>
      </c>
      <c r="E2849" s="557">
        <v>4767.8100000000004</v>
      </c>
      <c r="F2849" s="557">
        <v>269.32</v>
      </c>
      <c r="G2849" s="557">
        <v>5037.13</v>
      </c>
    </row>
    <row r="2850" spans="1:7" ht="24.95" customHeight="1" x14ac:dyDescent="0.25">
      <c r="A2850" s="551" t="s">
        <v>37246</v>
      </c>
      <c r="B2850" s="342" t="s">
        <v>37247</v>
      </c>
      <c r="C2850" s="552" t="s">
        <v>226</v>
      </c>
      <c r="D2850" s="557">
        <v>8746.34</v>
      </c>
      <c r="E2850" s="557">
        <v>8477.02</v>
      </c>
      <c r="F2850" s="557">
        <v>269.32</v>
      </c>
      <c r="G2850" s="557">
        <v>8746.34</v>
      </c>
    </row>
    <row r="2851" spans="1:7" ht="24.95" customHeight="1" x14ac:dyDescent="0.25">
      <c r="A2851" s="551" t="s">
        <v>37248</v>
      </c>
      <c r="B2851" s="342" t="s">
        <v>37249</v>
      </c>
      <c r="C2851" s="552" t="s">
        <v>226</v>
      </c>
      <c r="D2851" s="557">
        <v>5760.73</v>
      </c>
      <c r="E2851" s="557">
        <v>5491.41</v>
      </c>
      <c r="F2851" s="557">
        <v>269.32</v>
      </c>
      <c r="G2851" s="557">
        <v>5760.73</v>
      </c>
    </row>
    <row r="2852" spans="1:7" ht="24.95" customHeight="1" x14ac:dyDescent="0.25">
      <c r="A2852" s="551" t="s">
        <v>37250</v>
      </c>
      <c r="B2852" s="342" t="s">
        <v>37251</v>
      </c>
      <c r="C2852" s="552" t="s">
        <v>226</v>
      </c>
      <c r="D2852" s="557">
        <v>1475.13</v>
      </c>
      <c r="E2852" s="557">
        <v>1205.81</v>
      </c>
      <c r="F2852" s="557">
        <v>269.32</v>
      </c>
      <c r="G2852" s="557">
        <v>1475.13</v>
      </c>
    </row>
    <row r="2853" spans="1:7" ht="11.45" customHeight="1" x14ac:dyDescent="0.25">
      <c r="A2853" s="543" t="s">
        <v>37252</v>
      </c>
      <c r="B2853" s="544" t="s">
        <v>37253</v>
      </c>
      <c r="C2853" s="544" t="s">
        <v>226</v>
      </c>
      <c r="D2853" s="543">
        <v>1444.05</v>
      </c>
      <c r="E2853" s="545">
        <v>1174.73</v>
      </c>
      <c r="F2853" s="546">
        <v>269.32</v>
      </c>
      <c r="G2853" s="543">
        <v>1444.05</v>
      </c>
    </row>
    <row r="2854" spans="1:7" ht="24.95" customHeight="1" x14ac:dyDescent="0.25">
      <c r="A2854" s="551" t="s">
        <v>37254</v>
      </c>
      <c r="B2854" s="342" t="s">
        <v>37255</v>
      </c>
      <c r="C2854" s="552" t="s">
        <v>226</v>
      </c>
      <c r="D2854" s="557">
        <v>18495.88</v>
      </c>
      <c r="E2854" s="557">
        <v>18226.560000000001</v>
      </c>
      <c r="F2854" s="557">
        <v>269.32</v>
      </c>
      <c r="G2854" s="557">
        <v>18495.88</v>
      </c>
    </row>
    <row r="2855" spans="1:7" ht="24.95" customHeight="1" x14ac:dyDescent="0.25">
      <c r="A2855" s="551" t="s">
        <v>37256</v>
      </c>
      <c r="B2855" s="342" t="s">
        <v>37257</v>
      </c>
      <c r="C2855" s="552" t="s">
        <v>226</v>
      </c>
      <c r="D2855" s="557">
        <v>13639.94</v>
      </c>
      <c r="E2855" s="557">
        <v>13370.62</v>
      </c>
      <c r="F2855" s="557">
        <v>269.32</v>
      </c>
      <c r="G2855" s="557">
        <v>13639.94</v>
      </c>
    </row>
    <row r="2856" spans="1:7" ht="24.95" customHeight="1" x14ac:dyDescent="0.25">
      <c r="A2856" s="551" t="s">
        <v>37258</v>
      </c>
      <c r="B2856" s="342" t="s">
        <v>37259</v>
      </c>
      <c r="C2856" s="552" t="s">
        <v>226</v>
      </c>
      <c r="D2856" s="557">
        <v>1857.46</v>
      </c>
      <c r="E2856" s="557">
        <v>1588.14</v>
      </c>
      <c r="F2856" s="557">
        <v>269.32</v>
      </c>
      <c r="G2856" s="557">
        <v>1857.46</v>
      </c>
    </row>
    <row r="2857" spans="1:7" ht="24.95" customHeight="1" x14ac:dyDescent="0.25">
      <c r="A2857" s="551" t="s">
        <v>37260</v>
      </c>
      <c r="B2857" s="342" t="s">
        <v>37261</v>
      </c>
      <c r="C2857" s="552" t="s">
        <v>226</v>
      </c>
      <c r="D2857" s="557">
        <v>29471.89</v>
      </c>
      <c r="E2857" s="557">
        <v>29202.57</v>
      </c>
      <c r="F2857" s="557">
        <v>269.32</v>
      </c>
      <c r="G2857" s="557">
        <v>29471.89</v>
      </c>
    </row>
    <row r="2858" spans="1:7" ht="24.95" customHeight="1" x14ac:dyDescent="0.25">
      <c r="A2858" s="551" t="s">
        <v>37262</v>
      </c>
      <c r="B2858" s="342" t="s">
        <v>37263</v>
      </c>
      <c r="C2858" s="552" t="s">
        <v>226</v>
      </c>
      <c r="D2858" s="557">
        <v>33803.599999999999</v>
      </c>
      <c r="E2858" s="557">
        <v>33534.28</v>
      </c>
      <c r="F2858" s="557">
        <v>269.32</v>
      </c>
      <c r="G2858" s="557">
        <v>33803.599999999999</v>
      </c>
    </row>
    <row r="2859" spans="1:7" ht="12.6" customHeight="1" x14ac:dyDescent="0.2">
      <c r="A2859" s="559" t="s">
        <v>37264</v>
      </c>
      <c r="B2859" s="548" t="s">
        <v>37265</v>
      </c>
      <c r="C2859" s="550" t="s">
        <v>226</v>
      </c>
      <c r="D2859" s="550">
        <v>2504.58</v>
      </c>
      <c r="E2859" s="550">
        <v>2235.2600000000002</v>
      </c>
      <c r="F2859" s="550">
        <v>269.32</v>
      </c>
      <c r="G2859" s="550">
        <v>2504.58</v>
      </c>
    </row>
    <row r="2860" spans="1:7" ht="12.6" customHeight="1" x14ac:dyDescent="0.2">
      <c r="A2860" s="548" t="s">
        <v>37266</v>
      </c>
      <c r="B2860" s="548" t="s">
        <v>37267</v>
      </c>
      <c r="C2860" s="550" t="s">
        <v>226</v>
      </c>
      <c r="D2860" s="550">
        <v>4009.08</v>
      </c>
      <c r="E2860" s="550">
        <v>3739.76</v>
      </c>
      <c r="F2860" s="550">
        <v>269.32</v>
      </c>
      <c r="G2860" s="550">
        <v>4009.08</v>
      </c>
    </row>
    <row r="2861" spans="1:7" ht="34.5" customHeight="1" x14ac:dyDescent="0.25">
      <c r="A2861" s="554" t="s">
        <v>37268</v>
      </c>
      <c r="B2861" s="551" t="s">
        <v>37269</v>
      </c>
      <c r="C2861" s="555"/>
      <c r="D2861" s="556"/>
      <c r="E2861" s="556"/>
      <c r="F2861" s="558"/>
      <c r="G2861" s="556"/>
    </row>
    <row r="2862" spans="1:7" ht="34.5" customHeight="1" x14ac:dyDescent="0.25">
      <c r="A2862" s="554" t="s">
        <v>37270</v>
      </c>
      <c r="B2862" s="342" t="s">
        <v>37271</v>
      </c>
      <c r="C2862" s="555" t="s">
        <v>226</v>
      </c>
      <c r="D2862" s="556">
        <v>8585.6200000000008</v>
      </c>
      <c r="E2862" s="556">
        <v>8011.3</v>
      </c>
      <c r="F2862" s="558">
        <v>574.32000000000005</v>
      </c>
      <c r="G2862" s="556">
        <v>8585.6200000000008</v>
      </c>
    </row>
    <row r="2863" spans="1:7" ht="12.6" customHeight="1" x14ac:dyDescent="0.2">
      <c r="A2863" s="548" t="s">
        <v>37272</v>
      </c>
      <c r="B2863" s="548" t="s">
        <v>37273</v>
      </c>
      <c r="C2863" s="550" t="s">
        <v>226</v>
      </c>
      <c r="D2863" s="550">
        <v>9475.48</v>
      </c>
      <c r="E2863" s="550">
        <v>8901.16</v>
      </c>
      <c r="F2863" s="550">
        <v>574.32000000000005</v>
      </c>
      <c r="G2863" s="550">
        <v>9475.48</v>
      </c>
    </row>
    <row r="2864" spans="1:7" ht="12.6" customHeight="1" x14ac:dyDescent="0.25">
      <c r="A2864" s="551" t="s">
        <v>37274</v>
      </c>
      <c r="B2864" s="551" t="s">
        <v>37275</v>
      </c>
      <c r="C2864" s="552" t="s">
        <v>226</v>
      </c>
      <c r="D2864" s="557">
        <v>19764.009999999998</v>
      </c>
      <c r="E2864" s="557">
        <v>19189.689999999999</v>
      </c>
      <c r="F2864" s="557">
        <v>574.32000000000005</v>
      </c>
      <c r="G2864" s="557">
        <v>19764.009999999998</v>
      </c>
    </row>
    <row r="2865" spans="1:7" ht="12.6" customHeight="1" x14ac:dyDescent="0.25">
      <c r="A2865" s="551" t="s">
        <v>37276</v>
      </c>
      <c r="B2865" s="551" t="s">
        <v>37277</v>
      </c>
      <c r="C2865" s="552" t="s">
        <v>226</v>
      </c>
      <c r="D2865" s="557">
        <v>9563.92</v>
      </c>
      <c r="E2865" s="557">
        <v>8989.6</v>
      </c>
      <c r="F2865" s="557">
        <v>574.32000000000005</v>
      </c>
      <c r="G2865" s="557">
        <v>9563.92</v>
      </c>
    </row>
    <row r="2866" spans="1:7" ht="12.6" customHeight="1" x14ac:dyDescent="0.25">
      <c r="A2866" s="551" t="s">
        <v>37278</v>
      </c>
      <c r="B2866" s="551" t="s">
        <v>37279</v>
      </c>
      <c r="C2866" s="552" t="s">
        <v>226</v>
      </c>
      <c r="D2866" s="557">
        <v>9086.24</v>
      </c>
      <c r="E2866" s="557">
        <v>8511.92</v>
      </c>
      <c r="F2866" s="557">
        <v>574.32000000000005</v>
      </c>
      <c r="G2866" s="557">
        <v>9086.24</v>
      </c>
    </row>
    <row r="2867" spans="1:7" ht="12.6" customHeight="1" x14ac:dyDescent="0.25">
      <c r="A2867" s="551" t="s">
        <v>37280</v>
      </c>
      <c r="B2867" s="551" t="s">
        <v>37281</v>
      </c>
      <c r="C2867" s="552" t="s">
        <v>226</v>
      </c>
      <c r="D2867" s="557">
        <v>17971.490000000002</v>
      </c>
      <c r="E2867" s="557">
        <v>17397.169999999998</v>
      </c>
      <c r="F2867" s="557">
        <v>574.32000000000005</v>
      </c>
      <c r="G2867" s="557">
        <v>17971.490000000002</v>
      </c>
    </row>
    <row r="2868" spans="1:7" ht="12.6" customHeight="1" x14ac:dyDescent="0.25">
      <c r="A2868" s="551" t="s">
        <v>37282</v>
      </c>
      <c r="B2868" s="551" t="s">
        <v>37283</v>
      </c>
      <c r="C2868" s="552" t="s">
        <v>226</v>
      </c>
      <c r="D2868" s="557">
        <v>6467.38</v>
      </c>
      <c r="E2868" s="557">
        <v>6084.5</v>
      </c>
      <c r="F2868" s="557">
        <v>382.88</v>
      </c>
      <c r="G2868" s="557">
        <v>6467.38</v>
      </c>
    </row>
    <row r="2869" spans="1:7" ht="12.6" customHeight="1" x14ac:dyDescent="0.25">
      <c r="A2869" s="551" t="s">
        <v>37284</v>
      </c>
      <c r="B2869" s="551" t="s">
        <v>37285</v>
      </c>
      <c r="C2869" s="552" t="s">
        <v>226</v>
      </c>
      <c r="D2869" s="557">
        <v>8587.33</v>
      </c>
      <c r="E2869" s="557">
        <v>8204.4500000000007</v>
      </c>
      <c r="F2869" s="557">
        <v>382.88</v>
      </c>
      <c r="G2869" s="557">
        <v>8587.33</v>
      </c>
    </row>
    <row r="2870" spans="1:7" ht="24.95" customHeight="1" x14ac:dyDescent="0.25">
      <c r="A2870" s="551" t="s">
        <v>37286</v>
      </c>
      <c r="B2870" s="342" t="s">
        <v>37287</v>
      </c>
      <c r="C2870" s="552" t="s">
        <v>226</v>
      </c>
      <c r="D2870" s="553">
        <v>2763.3</v>
      </c>
      <c r="E2870" s="553">
        <v>2380.42</v>
      </c>
      <c r="F2870" s="557">
        <v>382.88</v>
      </c>
      <c r="G2870" s="553">
        <v>2763.3</v>
      </c>
    </row>
    <row r="2871" spans="1:7" ht="12.6" customHeight="1" x14ac:dyDescent="0.25">
      <c r="A2871" s="551" t="s">
        <v>37288</v>
      </c>
      <c r="B2871" s="551" t="s">
        <v>37289</v>
      </c>
      <c r="C2871" s="552" t="s">
        <v>226</v>
      </c>
      <c r="D2871" s="557">
        <v>3598.94</v>
      </c>
      <c r="E2871" s="557">
        <v>3216.06</v>
      </c>
      <c r="F2871" s="557">
        <v>382.88</v>
      </c>
      <c r="G2871" s="557">
        <v>3598.94</v>
      </c>
    </row>
    <row r="2872" spans="1:7" ht="12.6" customHeight="1" x14ac:dyDescent="0.25">
      <c r="A2872" s="551" t="s">
        <v>37290</v>
      </c>
      <c r="B2872" s="551" t="s">
        <v>37291</v>
      </c>
      <c r="C2872" s="552" t="s">
        <v>226</v>
      </c>
      <c r="D2872" s="557">
        <v>6694.46</v>
      </c>
      <c r="E2872" s="557">
        <v>6311.58</v>
      </c>
      <c r="F2872" s="557">
        <v>382.88</v>
      </c>
      <c r="G2872" s="557">
        <v>6694.46</v>
      </c>
    </row>
    <row r="2873" spans="1:7" ht="12.6" customHeight="1" x14ac:dyDescent="0.2">
      <c r="A2873" s="548" t="s">
        <v>37292</v>
      </c>
      <c r="B2873" s="548" t="s">
        <v>37293</v>
      </c>
      <c r="C2873" s="550" t="s">
        <v>226</v>
      </c>
      <c r="D2873" s="550">
        <v>4636.34</v>
      </c>
      <c r="E2873" s="550">
        <v>4253.46</v>
      </c>
      <c r="F2873" s="550">
        <v>382.88</v>
      </c>
      <c r="G2873" s="550">
        <v>4636.34</v>
      </c>
    </row>
    <row r="2874" spans="1:7" ht="12.6" customHeight="1" x14ac:dyDescent="0.25">
      <c r="A2874" s="551" t="s">
        <v>37294</v>
      </c>
      <c r="B2874" s="551" t="s">
        <v>37295</v>
      </c>
      <c r="C2874" s="552" t="s">
        <v>226</v>
      </c>
      <c r="D2874" s="553">
        <v>14918.83</v>
      </c>
      <c r="E2874" s="553">
        <v>14535.95</v>
      </c>
      <c r="F2874" s="557">
        <v>382.88</v>
      </c>
      <c r="G2874" s="553">
        <v>14918.83</v>
      </c>
    </row>
    <row r="2875" spans="1:7" ht="12.6" customHeight="1" x14ac:dyDescent="0.25">
      <c r="A2875" s="551" t="s">
        <v>37296</v>
      </c>
      <c r="B2875" s="551" t="s">
        <v>37297</v>
      </c>
      <c r="C2875" s="552" t="s">
        <v>226</v>
      </c>
      <c r="D2875" s="553">
        <v>24875.11</v>
      </c>
      <c r="E2875" s="553">
        <v>24492.23</v>
      </c>
      <c r="F2875" s="557">
        <v>382.88</v>
      </c>
      <c r="G2875" s="553">
        <v>24875.11</v>
      </c>
    </row>
    <row r="2876" spans="1:7" ht="24.95" customHeight="1" x14ac:dyDescent="0.25">
      <c r="A2876" s="551" t="s">
        <v>37298</v>
      </c>
      <c r="B2876" s="342" t="s">
        <v>37299</v>
      </c>
      <c r="C2876" s="552" t="s">
        <v>226</v>
      </c>
      <c r="D2876" s="557">
        <v>8191.31</v>
      </c>
      <c r="E2876" s="557">
        <v>7808.43</v>
      </c>
      <c r="F2876" s="557">
        <v>382.88</v>
      </c>
      <c r="G2876" s="557">
        <v>8191.31</v>
      </c>
    </row>
    <row r="2877" spans="1:7" ht="24.95" customHeight="1" x14ac:dyDescent="0.25">
      <c r="A2877" s="551" t="s">
        <v>37300</v>
      </c>
      <c r="B2877" s="342" t="s">
        <v>37301</v>
      </c>
      <c r="C2877" s="552" t="s">
        <v>226</v>
      </c>
      <c r="D2877" s="553">
        <v>28949.1</v>
      </c>
      <c r="E2877" s="553">
        <v>28566.22</v>
      </c>
      <c r="F2877" s="553">
        <v>382.88</v>
      </c>
      <c r="G2877" s="553">
        <v>28949.1</v>
      </c>
    </row>
    <row r="2878" spans="1:7" ht="24.95" customHeight="1" x14ac:dyDescent="0.25">
      <c r="A2878" s="551" t="s">
        <v>37302</v>
      </c>
      <c r="B2878" s="342" t="s">
        <v>37303</v>
      </c>
      <c r="C2878" s="552"/>
      <c r="D2878" s="553"/>
      <c r="E2878" s="553"/>
      <c r="F2878" s="553"/>
      <c r="G2878" s="553"/>
    </row>
    <row r="2879" spans="1:7" ht="24.95" customHeight="1" x14ac:dyDescent="0.25">
      <c r="A2879" s="551" t="s">
        <v>37304</v>
      </c>
      <c r="B2879" s="342" t="s">
        <v>37305</v>
      </c>
      <c r="C2879" s="552" t="s">
        <v>226</v>
      </c>
      <c r="D2879" s="553">
        <v>3793.28</v>
      </c>
      <c r="E2879" s="553">
        <v>3658.62</v>
      </c>
      <c r="F2879" s="553">
        <v>134.66</v>
      </c>
      <c r="G2879" s="553">
        <v>3793.28</v>
      </c>
    </row>
    <row r="2880" spans="1:7" ht="24.95" customHeight="1" x14ac:dyDescent="0.25">
      <c r="A2880" s="551" t="s">
        <v>37306</v>
      </c>
      <c r="B2880" s="342" t="s">
        <v>37307</v>
      </c>
      <c r="C2880" s="552"/>
      <c r="D2880" s="553"/>
      <c r="E2880" s="553"/>
      <c r="F2880" s="557"/>
      <c r="G2880" s="553"/>
    </row>
    <row r="2881" spans="1:7" ht="24.95" customHeight="1" x14ac:dyDescent="0.25">
      <c r="A2881" s="551" t="s">
        <v>37308</v>
      </c>
      <c r="B2881" s="342" t="s">
        <v>37309</v>
      </c>
      <c r="C2881" s="552" t="s">
        <v>226</v>
      </c>
      <c r="D2881" s="553">
        <v>42.09</v>
      </c>
      <c r="E2881" s="553">
        <v>29.14</v>
      </c>
      <c r="F2881" s="557">
        <v>12.95</v>
      </c>
      <c r="G2881" s="553">
        <v>42.09</v>
      </c>
    </row>
    <row r="2882" spans="1:7" ht="24.95" customHeight="1" x14ac:dyDescent="0.25">
      <c r="A2882" s="551" t="s">
        <v>37310</v>
      </c>
      <c r="B2882" s="342" t="s">
        <v>37311</v>
      </c>
      <c r="C2882" s="552" t="s">
        <v>226</v>
      </c>
      <c r="D2882" s="553">
        <v>791.97</v>
      </c>
      <c r="E2882" s="553">
        <v>744.11</v>
      </c>
      <c r="F2882" s="557">
        <v>47.86</v>
      </c>
      <c r="G2882" s="553">
        <v>791.97</v>
      </c>
    </row>
    <row r="2883" spans="1:7" ht="12.6" customHeight="1" x14ac:dyDescent="0.2">
      <c r="A2883" s="548" t="s">
        <v>37312</v>
      </c>
      <c r="B2883" s="548" t="s">
        <v>37313</v>
      </c>
      <c r="C2883" s="550" t="s">
        <v>226</v>
      </c>
      <c r="D2883" s="550">
        <v>359.38</v>
      </c>
      <c r="E2883" s="550">
        <v>335.44</v>
      </c>
      <c r="F2883" s="550">
        <v>23.94</v>
      </c>
      <c r="G2883" s="550">
        <v>359.38</v>
      </c>
    </row>
    <row r="2884" spans="1:7" ht="12.6" customHeight="1" x14ac:dyDescent="0.25">
      <c r="A2884" s="551" t="s">
        <v>37314</v>
      </c>
      <c r="B2884" s="551" t="s">
        <v>37315</v>
      </c>
      <c r="C2884" s="552" t="s">
        <v>226</v>
      </c>
      <c r="D2884" s="557">
        <v>634.73</v>
      </c>
      <c r="E2884" s="557">
        <v>610.79</v>
      </c>
      <c r="F2884" s="557">
        <v>23.94</v>
      </c>
      <c r="G2884" s="557">
        <v>634.73</v>
      </c>
    </row>
    <row r="2885" spans="1:7" ht="12.6" customHeight="1" x14ac:dyDescent="0.2">
      <c r="A2885" s="548" t="s">
        <v>37316</v>
      </c>
      <c r="B2885" s="548" t="s">
        <v>37317</v>
      </c>
      <c r="C2885" s="550" t="s">
        <v>226</v>
      </c>
      <c r="D2885" s="550">
        <v>68.5</v>
      </c>
      <c r="E2885" s="550">
        <v>58.93</v>
      </c>
      <c r="F2885" s="550">
        <v>9.57</v>
      </c>
      <c r="G2885" s="550">
        <v>68.5</v>
      </c>
    </row>
    <row r="2886" spans="1:7" ht="12.6" customHeight="1" x14ac:dyDescent="0.25">
      <c r="A2886" s="551" t="s">
        <v>37318</v>
      </c>
      <c r="B2886" s="551" t="s">
        <v>37319</v>
      </c>
      <c r="C2886" s="552" t="s">
        <v>226</v>
      </c>
      <c r="D2886" s="557">
        <v>479.95</v>
      </c>
      <c r="E2886" s="557">
        <v>456.01</v>
      </c>
      <c r="F2886" s="557">
        <v>23.94</v>
      </c>
      <c r="G2886" s="557">
        <v>479.95</v>
      </c>
    </row>
    <row r="2887" spans="1:7" ht="24.95" customHeight="1" x14ac:dyDescent="0.25">
      <c r="A2887" s="551" t="s">
        <v>37320</v>
      </c>
      <c r="B2887" s="342" t="s">
        <v>37321</v>
      </c>
      <c r="C2887" s="552"/>
      <c r="D2887" s="557"/>
      <c r="E2887" s="557"/>
      <c r="F2887" s="557"/>
      <c r="G2887" s="557"/>
    </row>
    <row r="2888" spans="1:7" ht="12.6" customHeight="1" x14ac:dyDescent="0.2">
      <c r="A2888" s="548" t="s">
        <v>37322</v>
      </c>
      <c r="B2888" s="548" t="s">
        <v>37323</v>
      </c>
      <c r="C2888" s="550"/>
      <c r="D2888" s="550"/>
      <c r="E2888" s="550"/>
      <c r="F2888" s="550"/>
      <c r="G2888" s="550"/>
    </row>
    <row r="2889" spans="1:7" ht="12.6" customHeight="1" x14ac:dyDescent="0.25">
      <c r="A2889" s="551" t="s">
        <v>37324</v>
      </c>
      <c r="B2889" s="551" t="s">
        <v>37325</v>
      </c>
      <c r="C2889" s="552" t="s">
        <v>226</v>
      </c>
      <c r="D2889" s="557">
        <v>764.52</v>
      </c>
      <c r="E2889" s="557">
        <v>706.92</v>
      </c>
      <c r="F2889" s="557">
        <v>57.6</v>
      </c>
      <c r="G2889" s="557">
        <v>764.52</v>
      </c>
    </row>
    <row r="2890" spans="1:7" ht="12.6" customHeight="1" x14ac:dyDescent="0.2">
      <c r="A2890" s="548" t="s">
        <v>37326</v>
      </c>
      <c r="B2890" s="548" t="s">
        <v>37327</v>
      </c>
      <c r="C2890" s="550" t="s">
        <v>226</v>
      </c>
      <c r="D2890" s="550">
        <v>869.36</v>
      </c>
      <c r="E2890" s="550">
        <v>802.03</v>
      </c>
      <c r="F2890" s="550">
        <v>67.33</v>
      </c>
      <c r="G2890" s="550">
        <v>869.36</v>
      </c>
    </row>
    <row r="2891" spans="1:7" ht="23.1" customHeight="1" x14ac:dyDescent="0.25">
      <c r="A2891" s="551" t="s">
        <v>37328</v>
      </c>
      <c r="B2891" s="551" t="s">
        <v>37329</v>
      </c>
      <c r="C2891" s="552" t="s">
        <v>226</v>
      </c>
      <c r="D2891" s="553">
        <v>287.02</v>
      </c>
      <c r="E2891" s="553">
        <v>229.42</v>
      </c>
      <c r="F2891" s="557">
        <v>57.6</v>
      </c>
      <c r="G2891" s="553">
        <v>287.02</v>
      </c>
    </row>
    <row r="2892" spans="1:7" ht="11.45" customHeight="1" x14ac:dyDescent="0.25">
      <c r="A2892" s="543" t="s">
        <v>37330</v>
      </c>
      <c r="B2892" s="544" t="s">
        <v>37331</v>
      </c>
      <c r="C2892" s="544" t="s">
        <v>226</v>
      </c>
      <c r="D2892" s="543">
        <v>477.69</v>
      </c>
      <c r="E2892" s="545">
        <v>420.09</v>
      </c>
      <c r="F2892" s="546">
        <v>57.6</v>
      </c>
      <c r="G2892" s="543">
        <v>477.69</v>
      </c>
    </row>
    <row r="2893" spans="1:7" ht="23.1" customHeight="1" x14ac:dyDescent="0.25">
      <c r="A2893" s="551" t="s">
        <v>37332</v>
      </c>
      <c r="B2893" s="551" t="s">
        <v>37333</v>
      </c>
      <c r="C2893" s="552" t="s">
        <v>226</v>
      </c>
      <c r="D2893" s="553">
        <v>145.72999999999999</v>
      </c>
      <c r="E2893" s="553">
        <v>78.400000000000006</v>
      </c>
      <c r="F2893" s="557">
        <v>67.33</v>
      </c>
      <c r="G2893" s="553">
        <v>145.72999999999999</v>
      </c>
    </row>
    <row r="2894" spans="1:7" ht="23.1" customHeight="1" x14ac:dyDescent="0.25">
      <c r="A2894" s="551" t="s">
        <v>37334</v>
      </c>
      <c r="B2894" s="551" t="s">
        <v>37335</v>
      </c>
      <c r="C2894" s="552" t="s">
        <v>226</v>
      </c>
      <c r="D2894" s="553">
        <v>284.86</v>
      </c>
      <c r="E2894" s="553">
        <v>217.53</v>
      </c>
      <c r="F2894" s="557">
        <v>67.33</v>
      </c>
      <c r="G2894" s="553">
        <v>284.86</v>
      </c>
    </row>
    <row r="2895" spans="1:7" ht="23.1" customHeight="1" x14ac:dyDescent="0.25">
      <c r="A2895" s="551" t="s">
        <v>37336</v>
      </c>
      <c r="B2895" s="551" t="s">
        <v>37337</v>
      </c>
      <c r="C2895" s="552" t="s">
        <v>226</v>
      </c>
      <c r="D2895" s="553">
        <v>812.47</v>
      </c>
      <c r="E2895" s="553">
        <v>745.14</v>
      </c>
      <c r="F2895" s="557">
        <v>67.33</v>
      </c>
      <c r="G2895" s="553">
        <v>812.47</v>
      </c>
    </row>
    <row r="2896" spans="1:7" ht="23.1" customHeight="1" x14ac:dyDescent="0.25">
      <c r="A2896" s="551" t="s">
        <v>37338</v>
      </c>
      <c r="B2896" s="551" t="s">
        <v>37339</v>
      </c>
      <c r="C2896" s="552" t="s">
        <v>226</v>
      </c>
      <c r="D2896" s="553">
        <v>65.86</v>
      </c>
      <c r="E2896" s="553">
        <v>41.92</v>
      </c>
      <c r="F2896" s="557">
        <v>23.94</v>
      </c>
      <c r="G2896" s="553">
        <v>65.86</v>
      </c>
    </row>
    <row r="2897" spans="1:7" ht="23.1" customHeight="1" x14ac:dyDescent="0.25">
      <c r="A2897" s="551" t="s">
        <v>37340</v>
      </c>
      <c r="B2897" s="551" t="s">
        <v>37341</v>
      </c>
      <c r="C2897" s="552" t="s">
        <v>226</v>
      </c>
      <c r="D2897" s="553">
        <v>466.43</v>
      </c>
      <c r="E2897" s="553">
        <v>399.1</v>
      </c>
      <c r="F2897" s="557">
        <v>67.33</v>
      </c>
      <c r="G2897" s="553">
        <v>466.43</v>
      </c>
    </row>
    <row r="2898" spans="1:7" ht="23.1" customHeight="1" x14ac:dyDescent="0.25">
      <c r="A2898" s="551" t="s">
        <v>37342</v>
      </c>
      <c r="B2898" s="551" t="s">
        <v>37343</v>
      </c>
      <c r="C2898" s="552" t="s">
        <v>226</v>
      </c>
      <c r="D2898" s="553">
        <v>667.8</v>
      </c>
      <c r="E2898" s="553">
        <v>600.47</v>
      </c>
      <c r="F2898" s="557">
        <v>67.33</v>
      </c>
      <c r="G2898" s="553">
        <v>667.8</v>
      </c>
    </row>
    <row r="2899" spans="1:7" ht="23.1" customHeight="1" x14ac:dyDescent="0.25">
      <c r="A2899" s="551" t="s">
        <v>37344</v>
      </c>
      <c r="B2899" s="551" t="s">
        <v>37345</v>
      </c>
      <c r="C2899" s="552" t="s">
        <v>226</v>
      </c>
      <c r="D2899" s="553">
        <v>136.29</v>
      </c>
      <c r="E2899" s="553">
        <v>112.35</v>
      </c>
      <c r="F2899" s="557">
        <v>23.94</v>
      </c>
      <c r="G2899" s="553">
        <v>136.29</v>
      </c>
    </row>
    <row r="2900" spans="1:7" ht="23.1" customHeight="1" x14ac:dyDescent="0.25">
      <c r="A2900" s="551" t="s">
        <v>37346</v>
      </c>
      <c r="B2900" s="551" t="s">
        <v>37347</v>
      </c>
      <c r="C2900" s="552" t="s">
        <v>226</v>
      </c>
      <c r="D2900" s="553">
        <v>846.49</v>
      </c>
      <c r="E2900" s="553">
        <v>702.91</v>
      </c>
      <c r="F2900" s="557">
        <v>143.58000000000001</v>
      </c>
      <c r="G2900" s="553">
        <v>846.49</v>
      </c>
    </row>
    <row r="2901" spans="1:7" ht="23.1" customHeight="1" x14ac:dyDescent="0.25">
      <c r="A2901" s="551" t="s">
        <v>37348</v>
      </c>
      <c r="B2901" s="551" t="s">
        <v>37349</v>
      </c>
      <c r="C2901" s="552" t="s">
        <v>226</v>
      </c>
      <c r="D2901" s="553">
        <v>714.23</v>
      </c>
      <c r="E2901" s="553">
        <v>570.65</v>
      </c>
      <c r="F2901" s="557">
        <v>143.58000000000001</v>
      </c>
      <c r="G2901" s="553">
        <v>714.23</v>
      </c>
    </row>
    <row r="2902" spans="1:7" ht="12.6" customHeight="1" x14ac:dyDescent="0.2">
      <c r="A2902" s="548" t="s">
        <v>37350</v>
      </c>
      <c r="B2902" s="548" t="s">
        <v>37351</v>
      </c>
      <c r="C2902" s="550" t="s">
        <v>226</v>
      </c>
      <c r="D2902" s="550">
        <v>252.53</v>
      </c>
      <c r="E2902" s="550">
        <v>204.67</v>
      </c>
      <c r="F2902" s="550">
        <v>47.86</v>
      </c>
      <c r="G2902" s="550">
        <v>252.53</v>
      </c>
    </row>
    <row r="2903" spans="1:7" ht="23.1" customHeight="1" x14ac:dyDescent="0.25">
      <c r="A2903" s="551" t="s">
        <v>37352</v>
      </c>
      <c r="B2903" s="551" t="s">
        <v>37353</v>
      </c>
      <c r="C2903" s="552" t="s">
        <v>226</v>
      </c>
      <c r="D2903" s="553">
        <v>237.78</v>
      </c>
      <c r="E2903" s="553">
        <v>213.84</v>
      </c>
      <c r="F2903" s="557">
        <v>23.94</v>
      </c>
      <c r="G2903" s="553">
        <v>237.78</v>
      </c>
    </row>
    <row r="2904" spans="1:7" ht="24.95" customHeight="1" x14ac:dyDescent="0.25">
      <c r="A2904" s="551" t="s">
        <v>37354</v>
      </c>
      <c r="B2904" s="342" t="s">
        <v>37355</v>
      </c>
      <c r="C2904" s="552" t="s">
        <v>226</v>
      </c>
      <c r="D2904" s="553">
        <v>99.23</v>
      </c>
      <c r="E2904" s="553">
        <v>83.43</v>
      </c>
      <c r="F2904" s="557">
        <v>15.8</v>
      </c>
      <c r="G2904" s="553">
        <v>99.23</v>
      </c>
    </row>
    <row r="2905" spans="1:7" ht="24.95" customHeight="1" x14ac:dyDescent="0.25">
      <c r="A2905" s="551" t="s">
        <v>37356</v>
      </c>
      <c r="B2905" s="342" t="s">
        <v>37357</v>
      </c>
      <c r="C2905" s="552" t="s">
        <v>226</v>
      </c>
      <c r="D2905" s="553">
        <v>687.43</v>
      </c>
      <c r="E2905" s="553">
        <v>543.85</v>
      </c>
      <c r="F2905" s="557">
        <v>143.58000000000001</v>
      </c>
      <c r="G2905" s="553">
        <v>687.43</v>
      </c>
    </row>
    <row r="2906" spans="1:7" ht="24.95" customHeight="1" x14ac:dyDescent="0.25">
      <c r="A2906" s="551" t="s">
        <v>37358</v>
      </c>
      <c r="B2906" s="342" t="s">
        <v>37359</v>
      </c>
      <c r="C2906" s="552" t="s">
        <v>19518</v>
      </c>
      <c r="D2906" s="553">
        <v>729.67</v>
      </c>
      <c r="E2906" s="553">
        <v>672.07</v>
      </c>
      <c r="F2906" s="557">
        <v>57.6</v>
      </c>
      <c r="G2906" s="553">
        <v>729.67</v>
      </c>
    </row>
    <row r="2907" spans="1:7" ht="24.95" customHeight="1" x14ac:dyDescent="0.25">
      <c r="A2907" s="551" t="s">
        <v>37360</v>
      </c>
      <c r="B2907" s="342" t="s">
        <v>37361</v>
      </c>
      <c r="C2907" s="552" t="s">
        <v>226</v>
      </c>
      <c r="D2907" s="553">
        <v>135.31</v>
      </c>
      <c r="E2907" s="553">
        <v>111.37</v>
      </c>
      <c r="F2907" s="557">
        <v>23.94</v>
      </c>
      <c r="G2907" s="553">
        <v>135.31</v>
      </c>
    </row>
    <row r="2908" spans="1:7" ht="24.95" customHeight="1" x14ac:dyDescent="0.25">
      <c r="A2908" s="551" t="s">
        <v>37362</v>
      </c>
      <c r="B2908" s="342" t="s">
        <v>37363</v>
      </c>
      <c r="C2908" s="552"/>
      <c r="D2908" s="553"/>
      <c r="E2908" s="553"/>
      <c r="F2908" s="557"/>
      <c r="G2908" s="553"/>
    </row>
    <row r="2909" spans="1:7" ht="24.95" customHeight="1" x14ac:dyDescent="0.25">
      <c r="A2909" s="551" t="s">
        <v>37364</v>
      </c>
      <c r="B2909" s="342" t="s">
        <v>37365</v>
      </c>
      <c r="C2909" s="552" t="s">
        <v>227</v>
      </c>
      <c r="D2909" s="553">
        <v>821.14</v>
      </c>
      <c r="E2909" s="553">
        <v>742.04</v>
      </c>
      <c r="F2909" s="557">
        <v>79.099999999999994</v>
      </c>
      <c r="G2909" s="553">
        <v>821.14</v>
      </c>
    </row>
    <row r="2910" spans="1:7" ht="24.95" customHeight="1" x14ac:dyDescent="0.25">
      <c r="A2910" s="551" t="s">
        <v>37366</v>
      </c>
      <c r="B2910" s="342" t="s">
        <v>37367</v>
      </c>
      <c r="C2910" s="552" t="s">
        <v>227</v>
      </c>
      <c r="D2910" s="553">
        <v>1358.68</v>
      </c>
      <c r="E2910" s="553">
        <v>1272.3599999999999</v>
      </c>
      <c r="F2910" s="557">
        <v>86.32</v>
      </c>
      <c r="G2910" s="553">
        <v>1358.68</v>
      </c>
    </row>
    <row r="2911" spans="1:7" ht="24.95" customHeight="1" x14ac:dyDescent="0.25">
      <c r="A2911" s="551" t="s">
        <v>37368</v>
      </c>
      <c r="B2911" s="342" t="s">
        <v>37369</v>
      </c>
      <c r="C2911" s="552" t="s">
        <v>227</v>
      </c>
      <c r="D2911" s="553">
        <v>1357.99</v>
      </c>
      <c r="E2911" s="553">
        <v>1183.1300000000001</v>
      </c>
      <c r="F2911" s="557">
        <v>174.86</v>
      </c>
      <c r="G2911" s="553">
        <v>1357.99</v>
      </c>
    </row>
    <row r="2912" spans="1:7" ht="24.95" customHeight="1" x14ac:dyDescent="0.25">
      <c r="A2912" s="551" t="s">
        <v>37370</v>
      </c>
      <c r="B2912" s="342" t="s">
        <v>37371</v>
      </c>
      <c r="C2912" s="552" t="s">
        <v>227</v>
      </c>
      <c r="D2912" s="553">
        <v>2857.38</v>
      </c>
      <c r="E2912" s="553">
        <v>2857.38</v>
      </c>
      <c r="F2912" s="557"/>
      <c r="G2912" s="553">
        <v>2857.38</v>
      </c>
    </row>
    <row r="2913" spans="1:7" ht="24.95" customHeight="1" x14ac:dyDescent="0.25">
      <c r="A2913" s="551" t="s">
        <v>37372</v>
      </c>
      <c r="B2913" s="342" t="s">
        <v>37373</v>
      </c>
      <c r="C2913" s="552"/>
      <c r="D2913" s="553"/>
      <c r="E2913" s="553"/>
      <c r="F2913" s="557"/>
      <c r="G2913" s="553"/>
    </row>
    <row r="2914" spans="1:7" ht="24.95" customHeight="1" x14ac:dyDescent="0.25">
      <c r="A2914" s="551" t="s">
        <v>37374</v>
      </c>
      <c r="B2914" s="342" t="s">
        <v>37375</v>
      </c>
      <c r="C2914" s="552" t="s">
        <v>226</v>
      </c>
      <c r="D2914" s="553">
        <v>258.27</v>
      </c>
      <c r="E2914" s="553">
        <v>252.35</v>
      </c>
      <c r="F2914" s="557">
        <v>5.92</v>
      </c>
      <c r="G2914" s="553">
        <v>258.27</v>
      </c>
    </row>
    <row r="2915" spans="1:7" ht="24.95" customHeight="1" x14ac:dyDescent="0.25">
      <c r="A2915" s="551" t="s">
        <v>37376</v>
      </c>
      <c r="B2915" s="342" t="s">
        <v>37377</v>
      </c>
      <c r="C2915" s="552" t="s">
        <v>226</v>
      </c>
      <c r="D2915" s="553">
        <v>60.67</v>
      </c>
      <c r="E2915" s="553">
        <v>46.42</v>
      </c>
      <c r="F2915" s="557">
        <v>14.25</v>
      </c>
      <c r="G2915" s="553">
        <v>60.67</v>
      </c>
    </row>
    <row r="2916" spans="1:7" ht="24.95" customHeight="1" x14ac:dyDescent="0.25">
      <c r="A2916" s="551" t="s">
        <v>37378</v>
      </c>
      <c r="B2916" s="342" t="s">
        <v>37379</v>
      </c>
      <c r="C2916" s="552" t="s">
        <v>226</v>
      </c>
      <c r="D2916" s="553">
        <v>93</v>
      </c>
      <c r="E2916" s="553">
        <v>87.08</v>
      </c>
      <c r="F2916" s="557">
        <v>5.92</v>
      </c>
      <c r="G2916" s="553">
        <v>93</v>
      </c>
    </row>
    <row r="2917" spans="1:7" ht="24.95" customHeight="1" x14ac:dyDescent="0.25">
      <c r="A2917" s="551" t="s">
        <v>37380</v>
      </c>
      <c r="B2917" s="342" t="s">
        <v>37381</v>
      </c>
      <c r="C2917" s="552" t="s">
        <v>226</v>
      </c>
      <c r="D2917" s="553">
        <v>68.22</v>
      </c>
      <c r="E2917" s="553">
        <v>53.97</v>
      </c>
      <c r="F2917" s="557">
        <v>14.25</v>
      </c>
      <c r="G2917" s="553">
        <v>68.22</v>
      </c>
    </row>
    <row r="2918" spans="1:7" ht="12.6" customHeight="1" x14ac:dyDescent="0.2">
      <c r="A2918" s="548" t="s">
        <v>37382</v>
      </c>
      <c r="B2918" s="548" t="s">
        <v>37383</v>
      </c>
      <c r="C2918" s="550" t="s">
        <v>226</v>
      </c>
      <c r="D2918" s="550">
        <v>89.55</v>
      </c>
      <c r="E2918" s="550">
        <v>83.63</v>
      </c>
      <c r="F2918" s="550">
        <v>5.92</v>
      </c>
      <c r="G2918" s="550">
        <v>89.55</v>
      </c>
    </row>
    <row r="2919" spans="1:7" ht="24.95" customHeight="1" x14ac:dyDescent="0.25">
      <c r="A2919" s="551" t="s">
        <v>37384</v>
      </c>
      <c r="B2919" s="342" t="s">
        <v>37385</v>
      </c>
      <c r="C2919" s="552" t="s">
        <v>226</v>
      </c>
      <c r="D2919" s="553">
        <v>70.27</v>
      </c>
      <c r="E2919" s="553">
        <v>56.02</v>
      </c>
      <c r="F2919" s="557">
        <v>14.25</v>
      </c>
      <c r="G2919" s="553">
        <v>70.27</v>
      </c>
    </row>
    <row r="2920" spans="1:7" ht="24.95" customHeight="1" x14ac:dyDescent="0.25">
      <c r="A2920" s="551" t="s">
        <v>37386</v>
      </c>
      <c r="B2920" s="342" t="s">
        <v>37387</v>
      </c>
      <c r="C2920" s="552" t="s">
        <v>226</v>
      </c>
      <c r="D2920" s="553">
        <v>44.15</v>
      </c>
      <c r="E2920" s="553">
        <v>38.229999999999997</v>
      </c>
      <c r="F2920" s="557">
        <v>5.92</v>
      </c>
      <c r="G2920" s="553">
        <v>44.15</v>
      </c>
    </row>
    <row r="2921" spans="1:7" ht="24.95" customHeight="1" x14ac:dyDescent="0.25">
      <c r="A2921" s="551" t="s">
        <v>37388</v>
      </c>
      <c r="B2921" s="342" t="s">
        <v>37389</v>
      </c>
      <c r="C2921" s="552" t="s">
        <v>226</v>
      </c>
      <c r="D2921" s="553">
        <v>61.6</v>
      </c>
      <c r="E2921" s="553">
        <v>55.68</v>
      </c>
      <c r="F2921" s="557">
        <v>5.92</v>
      </c>
      <c r="G2921" s="553">
        <v>61.6</v>
      </c>
    </row>
    <row r="2922" spans="1:7" ht="11.45" customHeight="1" x14ac:dyDescent="0.25">
      <c r="A2922" s="543" t="s">
        <v>37390</v>
      </c>
      <c r="B2922" s="544" t="s">
        <v>37391</v>
      </c>
      <c r="C2922" s="544" t="s">
        <v>226</v>
      </c>
      <c r="D2922" s="543">
        <v>81.48</v>
      </c>
      <c r="E2922" s="545">
        <v>75.56</v>
      </c>
      <c r="F2922" s="546">
        <v>5.92</v>
      </c>
      <c r="G2922" s="543">
        <v>81.48</v>
      </c>
    </row>
    <row r="2923" spans="1:7" ht="24.95" customHeight="1" x14ac:dyDescent="0.25">
      <c r="A2923" s="551" t="s">
        <v>37392</v>
      </c>
      <c r="B2923" s="342" t="s">
        <v>37393</v>
      </c>
      <c r="C2923" s="552" t="s">
        <v>226</v>
      </c>
      <c r="D2923" s="553">
        <v>87.82</v>
      </c>
      <c r="E2923" s="553">
        <v>63.88</v>
      </c>
      <c r="F2923" s="557">
        <v>23.94</v>
      </c>
      <c r="G2923" s="553">
        <v>87.82</v>
      </c>
    </row>
    <row r="2924" spans="1:7" ht="24.95" customHeight="1" x14ac:dyDescent="0.25">
      <c r="A2924" s="551" t="s">
        <v>37394</v>
      </c>
      <c r="B2924" s="342" t="s">
        <v>37395</v>
      </c>
      <c r="C2924" s="552" t="s">
        <v>226</v>
      </c>
      <c r="D2924" s="553">
        <v>161.44999999999999</v>
      </c>
      <c r="E2924" s="553">
        <v>118.29</v>
      </c>
      <c r="F2924" s="557">
        <v>43.16</v>
      </c>
      <c r="G2924" s="553">
        <v>161.44999999999999</v>
      </c>
    </row>
    <row r="2925" spans="1:7" ht="24.95" customHeight="1" x14ac:dyDescent="0.25">
      <c r="A2925" s="551" t="s">
        <v>37396</v>
      </c>
      <c r="B2925" s="342" t="s">
        <v>37397</v>
      </c>
      <c r="C2925" s="552" t="s">
        <v>226</v>
      </c>
      <c r="D2925" s="553">
        <v>354.32</v>
      </c>
      <c r="E2925" s="553">
        <v>336.06</v>
      </c>
      <c r="F2925" s="557">
        <v>18.260000000000002</v>
      </c>
      <c r="G2925" s="553">
        <v>354.32</v>
      </c>
    </row>
    <row r="2926" spans="1:7" ht="24.95" customHeight="1" x14ac:dyDescent="0.25">
      <c r="A2926" s="551" t="s">
        <v>37398</v>
      </c>
      <c r="B2926" s="342" t="s">
        <v>37399</v>
      </c>
      <c r="C2926" s="552" t="s">
        <v>226</v>
      </c>
      <c r="D2926" s="553">
        <v>128.82</v>
      </c>
      <c r="E2926" s="553">
        <v>110.56</v>
      </c>
      <c r="F2926" s="557">
        <v>18.260000000000002</v>
      </c>
      <c r="G2926" s="553">
        <v>128.82</v>
      </c>
    </row>
    <row r="2927" spans="1:7" ht="24.95" customHeight="1" x14ac:dyDescent="0.25">
      <c r="A2927" s="551" t="s">
        <v>37400</v>
      </c>
      <c r="B2927" s="342" t="s">
        <v>37401</v>
      </c>
      <c r="C2927" s="552" t="s">
        <v>226</v>
      </c>
      <c r="D2927" s="553">
        <v>450.41</v>
      </c>
      <c r="E2927" s="553">
        <v>383.4</v>
      </c>
      <c r="F2927" s="557">
        <v>67.010000000000005</v>
      </c>
      <c r="G2927" s="553">
        <v>450.41</v>
      </c>
    </row>
    <row r="2928" spans="1:7" ht="24.95" customHeight="1" x14ac:dyDescent="0.25">
      <c r="A2928" s="551" t="s">
        <v>37402</v>
      </c>
      <c r="B2928" s="342" t="s">
        <v>37403</v>
      </c>
      <c r="C2928" s="552" t="s">
        <v>226</v>
      </c>
      <c r="D2928" s="553">
        <v>632.20000000000005</v>
      </c>
      <c r="E2928" s="553">
        <v>608.26</v>
      </c>
      <c r="F2928" s="557">
        <v>23.94</v>
      </c>
      <c r="G2928" s="553">
        <v>632.20000000000005</v>
      </c>
    </row>
    <row r="2929" spans="1:7" ht="24.95" customHeight="1" x14ac:dyDescent="0.25">
      <c r="A2929" s="551" t="s">
        <v>37404</v>
      </c>
      <c r="B2929" s="342" t="s">
        <v>37405</v>
      </c>
      <c r="C2929" s="552" t="s">
        <v>226</v>
      </c>
      <c r="D2929" s="553">
        <v>50.01</v>
      </c>
      <c r="E2929" s="553">
        <v>33.17</v>
      </c>
      <c r="F2929" s="557">
        <v>16.84</v>
      </c>
      <c r="G2929" s="553">
        <v>50.01</v>
      </c>
    </row>
    <row r="2930" spans="1:7" ht="24.95" customHeight="1" x14ac:dyDescent="0.25">
      <c r="A2930" s="551" t="s">
        <v>37406</v>
      </c>
      <c r="B2930" s="342" t="s">
        <v>37407</v>
      </c>
      <c r="C2930" s="552" t="s">
        <v>226</v>
      </c>
      <c r="D2930" s="553">
        <v>48.57</v>
      </c>
      <c r="E2930" s="553">
        <v>31.73</v>
      </c>
      <c r="F2930" s="557">
        <v>16.84</v>
      </c>
      <c r="G2930" s="553">
        <v>48.57</v>
      </c>
    </row>
    <row r="2931" spans="1:7" ht="24.95" customHeight="1" x14ac:dyDescent="0.25">
      <c r="A2931" s="551" t="s">
        <v>37408</v>
      </c>
      <c r="B2931" s="342" t="s">
        <v>37409</v>
      </c>
      <c r="C2931" s="552" t="s">
        <v>226</v>
      </c>
      <c r="D2931" s="553">
        <v>55.71</v>
      </c>
      <c r="E2931" s="553">
        <v>38.869999999999997</v>
      </c>
      <c r="F2931" s="557">
        <v>16.84</v>
      </c>
      <c r="G2931" s="553">
        <v>55.71</v>
      </c>
    </row>
    <row r="2932" spans="1:7" ht="24.95" customHeight="1" x14ac:dyDescent="0.25">
      <c r="A2932" s="551" t="s">
        <v>37410</v>
      </c>
      <c r="B2932" s="342" t="s">
        <v>37411</v>
      </c>
      <c r="C2932" s="552" t="s">
        <v>226</v>
      </c>
      <c r="D2932" s="553">
        <v>37.369999999999997</v>
      </c>
      <c r="E2932" s="553">
        <v>20.53</v>
      </c>
      <c r="F2932" s="557">
        <v>16.84</v>
      </c>
      <c r="G2932" s="553">
        <v>37.369999999999997</v>
      </c>
    </row>
    <row r="2933" spans="1:7" ht="24.95" customHeight="1" x14ac:dyDescent="0.25">
      <c r="A2933" s="551" t="s">
        <v>37412</v>
      </c>
      <c r="B2933" s="342" t="s">
        <v>37413</v>
      </c>
      <c r="C2933" s="552" t="s">
        <v>226</v>
      </c>
      <c r="D2933" s="553">
        <v>46.6</v>
      </c>
      <c r="E2933" s="553">
        <v>29.76</v>
      </c>
      <c r="F2933" s="557">
        <v>16.84</v>
      </c>
      <c r="G2933" s="553">
        <v>46.6</v>
      </c>
    </row>
    <row r="2934" spans="1:7" ht="24.95" customHeight="1" x14ac:dyDescent="0.25">
      <c r="A2934" s="551" t="s">
        <v>37414</v>
      </c>
      <c r="B2934" s="342" t="s">
        <v>37415</v>
      </c>
      <c r="C2934" s="552" t="s">
        <v>226</v>
      </c>
      <c r="D2934" s="553">
        <v>46.62</v>
      </c>
      <c r="E2934" s="553">
        <v>29.78</v>
      </c>
      <c r="F2934" s="557">
        <v>16.84</v>
      </c>
      <c r="G2934" s="553">
        <v>46.62</v>
      </c>
    </row>
    <row r="2935" spans="1:7" ht="24.95" customHeight="1" x14ac:dyDescent="0.25">
      <c r="A2935" s="551" t="s">
        <v>37416</v>
      </c>
      <c r="B2935" s="342" t="s">
        <v>37417</v>
      </c>
      <c r="C2935" s="552" t="s">
        <v>226</v>
      </c>
      <c r="D2935" s="553">
        <v>68.62</v>
      </c>
      <c r="E2935" s="553">
        <v>51.78</v>
      </c>
      <c r="F2935" s="557">
        <v>16.84</v>
      </c>
      <c r="G2935" s="553">
        <v>68.62</v>
      </c>
    </row>
    <row r="2936" spans="1:7" ht="24.95" customHeight="1" x14ac:dyDescent="0.25">
      <c r="A2936" s="551" t="s">
        <v>37418</v>
      </c>
      <c r="B2936" s="342" t="s">
        <v>37419</v>
      </c>
      <c r="C2936" s="552" t="s">
        <v>226</v>
      </c>
      <c r="D2936" s="553">
        <v>72.11</v>
      </c>
      <c r="E2936" s="553">
        <v>55.27</v>
      </c>
      <c r="F2936" s="557">
        <v>16.84</v>
      </c>
      <c r="G2936" s="553">
        <v>72.11</v>
      </c>
    </row>
    <row r="2937" spans="1:7" ht="24.95" customHeight="1" x14ac:dyDescent="0.25">
      <c r="A2937" s="551" t="s">
        <v>37420</v>
      </c>
      <c r="B2937" s="342" t="s">
        <v>37421</v>
      </c>
      <c r="C2937" s="552" t="s">
        <v>226</v>
      </c>
      <c r="D2937" s="553">
        <v>431.4</v>
      </c>
      <c r="E2937" s="553">
        <v>364.39</v>
      </c>
      <c r="F2937" s="557">
        <v>67.010000000000005</v>
      </c>
      <c r="G2937" s="553">
        <v>431.4</v>
      </c>
    </row>
    <row r="2938" spans="1:7" ht="24.95" customHeight="1" x14ac:dyDescent="0.25">
      <c r="A2938" s="551" t="s">
        <v>37422</v>
      </c>
      <c r="B2938" s="342" t="s">
        <v>37423</v>
      </c>
      <c r="C2938" s="552" t="s">
        <v>226</v>
      </c>
      <c r="D2938" s="553">
        <v>499.94</v>
      </c>
      <c r="E2938" s="553">
        <v>461.57</v>
      </c>
      <c r="F2938" s="557">
        <v>38.369999999999997</v>
      </c>
      <c r="G2938" s="553">
        <v>499.94</v>
      </c>
    </row>
    <row r="2939" spans="1:7" ht="24.95" customHeight="1" x14ac:dyDescent="0.25">
      <c r="A2939" s="551" t="s">
        <v>37424</v>
      </c>
      <c r="B2939" s="342" t="s">
        <v>37425</v>
      </c>
      <c r="C2939" s="552" t="s">
        <v>226</v>
      </c>
      <c r="D2939" s="553">
        <v>214.16</v>
      </c>
      <c r="E2939" s="553">
        <v>195.9</v>
      </c>
      <c r="F2939" s="557">
        <v>18.260000000000002</v>
      </c>
      <c r="G2939" s="553">
        <v>214.16</v>
      </c>
    </row>
    <row r="2940" spans="1:7" ht="24.95" customHeight="1" x14ac:dyDescent="0.25">
      <c r="A2940" s="551" t="s">
        <v>37426</v>
      </c>
      <c r="B2940" s="342" t="s">
        <v>37427</v>
      </c>
      <c r="C2940" s="552" t="s">
        <v>226</v>
      </c>
      <c r="D2940" s="553">
        <v>80.13</v>
      </c>
      <c r="E2940" s="553">
        <v>63.29</v>
      </c>
      <c r="F2940" s="557">
        <v>16.84</v>
      </c>
      <c r="G2940" s="553">
        <v>80.13</v>
      </c>
    </row>
    <row r="2941" spans="1:7" ht="24.95" customHeight="1" x14ac:dyDescent="0.25">
      <c r="A2941" s="551" t="s">
        <v>37428</v>
      </c>
      <c r="B2941" s="342" t="s">
        <v>37429</v>
      </c>
      <c r="C2941" s="552" t="s">
        <v>226</v>
      </c>
      <c r="D2941" s="553">
        <v>478.95</v>
      </c>
      <c r="E2941" s="553">
        <v>462.11</v>
      </c>
      <c r="F2941" s="557">
        <v>16.84</v>
      </c>
      <c r="G2941" s="553">
        <v>478.95</v>
      </c>
    </row>
    <row r="2942" spans="1:7" ht="24.95" customHeight="1" x14ac:dyDescent="0.25">
      <c r="A2942" s="551" t="s">
        <v>37430</v>
      </c>
      <c r="B2942" s="342" t="s">
        <v>37431</v>
      </c>
      <c r="C2942" s="552" t="s">
        <v>226</v>
      </c>
      <c r="D2942" s="553">
        <v>159.87</v>
      </c>
      <c r="E2942" s="553">
        <v>141.61000000000001</v>
      </c>
      <c r="F2942" s="557">
        <v>18.260000000000002</v>
      </c>
      <c r="G2942" s="553">
        <v>159.87</v>
      </c>
    </row>
    <row r="2943" spans="1:7" ht="12.6" customHeight="1" x14ac:dyDescent="0.2">
      <c r="A2943" s="548" t="s">
        <v>37432</v>
      </c>
      <c r="B2943" s="548" t="s">
        <v>37433</v>
      </c>
      <c r="C2943" s="550" t="s">
        <v>19518</v>
      </c>
      <c r="D2943" s="550">
        <v>822.79</v>
      </c>
      <c r="E2943" s="550">
        <v>755.69</v>
      </c>
      <c r="F2943" s="550">
        <v>67.099999999999994</v>
      </c>
      <c r="G2943" s="550">
        <v>822.79</v>
      </c>
    </row>
    <row r="2944" spans="1:7" ht="24.95" customHeight="1" x14ac:dyDescent="0.25">
      <c r="A2944" s="551" t="s">
        <v>37434</v>
      </c>
      <c r="B2944" s="342" t="s">
        <v>37435</v>
      </c>
      <c r="C2944" s="552" t="s">
        <v>226</v>
      </c>
      <c r="D2944" s="553">
        <v>20.37</v>
      </c>
      <c r="E2944" s="553">
        <v>3.53</v>
      </c>
      <c r="F2944" s="557">
        <v>16.84</v>
      </c>
      <c r="G2944" s="553">
        <v>20.37</v>
      </c>
    </row>
    <row r="2945" spans="1:7" ht="24.95" customHeight="1" x14ac:dyDescent="0.25">
      <c r="A2945" s="551" t="s">
        <v>37436</v>
      </c>
      <c r="B2945" s="342" t="s">
        <v>37437</v>
      </c>
      <c r="C2945" s="552" t="s">
        <v>226</v>
      </c>
      <c r="D2945" s="553">
        <v>21.43</v>
      </c>
      <c r="E2945" s="553">
        <v>4.59</v>
      </c>
      <c r="F2945" s="557">
        <v>16.84</v>
      </c>
      <c r="G2945" s="553">
        <v>21.43</v>
      </c>
    </row>
    <row r="2946" spans="1:7" ht="24.95" customHeight="1" x14ac:dyDescent="0.25">
      <c r="A2946" s="551" t="s">
        <v>37438</v>
      </c>
      <c r="B2946" s="342" t="s">
        <v>37439</v>
      </c>
      <c r="C2946" s="552" t="s">
        <v>226</v>
      </c>
      <c r="D2946" s="553">
        <v>666.11</v>
      </c>
      <c r="E2946" s="553">
        <v>647.85</v>
      </c>
      <c r="F2946" s="557">
        <v>18.260000000000002</v>
      </c>
      <c r="G2946" s="553">
        <v>666.11</v>
      </c>
    </row>
    <row r="2947" spans="1:7" ht="24.95" customHeight="1" x14ac:dyDescent="0.25">
      <c r="A2947" s="551" t="s">
        <v>37440</v>
      </c>
      <c r="B2947" s="342" t="s">
        <v>37441</v>
      </c>
      <c r="C2947" s="552" t="s">
        <v>226</v>
      </c>
      <c r="D2947" s="553">
        <v>917.49</v>
      </c>
      <c r="E2947" s="553">
        <v>850.48</v>
      </c>
      <c r="F2947" s="557">
        <v>67.010000000000005</v>
      </c>
      <c r="G2947" s="553">
        <v>917.49</v>
      </c>
    </row>
    <row r="2948" spans="1:7" ht="24.95" customHeight="1" x14ac:dyDescent="0.25">
      <c r="A2948" s="551" t="s">
        <v>37442</v>
      </c>
      <c r="B2948" s="342" t="s">
        <v>37443</v>
      </c>
      <c r="C2948" s="552" t="s">
        <v>226</v>
      </c>
      <c r="D2948" s="553">
        <v>2232.56</v>
      </c>
      <c r="E2948" s="553">
        <v>2165.5500000000002</v>
      </c>
      <c r="F2948" s="557">
        <v>67.010000000000005</v>
      </c>
      <c r="G2948" s="553">
        <v>2232.56</v>
      </c>
    </row>
    <row r="2949" spans="1:7" ht="24.95" customHeight="1" x14ac:dyDescent="0.25">
      <c r="A2949" s="551" t="s">
        <v>37444</v>
      </c>
      <c r="B2949" s="342" t="s">
        <v>37445</v>
      </c>
      <c r="C2949" s="552" t="s">
        <v>226</v>
      </c>
      <c r="D2949" s="553">
        <v>1371.89</v>
      </c>
      <c r="E2949" s="553">
        <v>1365.97</v>
      </c>
      <c r="F2949" s="557">
        <v>5.92</v>
      </c>
      <c r="G2949" s="553">
        <v>1371.89</v>
      </c>
    </row>
    <row r="2950" spans="1:7" ht="34.5" customHeight="1" x14ac:dyDescent="0.25">
      <c r="A2950" s="554" t="s">
        <v>37446</v>
      </c>
      <c r="B2950" s="551" t="s">
        <v>37447</v>
      </c>
      <c r="C2950" s="555" t="s">
        <v>226</v>
      </c>
      <c r="D2950" s="556">
        <v>282.27</v>
      </c>
      <c r="E2950" s="556">
        <v>258.33</v>
      </c>
      <c r="F2950" s="558">
        <v>23.94</v>
      </c>
      <c r="G2950" s="556">
        <v>282.27</v>
      </c>
    </row>
    <row r="2951" spans="1:7" ht="11.45" customHeight="1" x14ac:dyDescent="0.25">
      <c r="A2951" s="543" t="s">
        <v>37448</v>
      </c>
      <c r="B2951" s="544" t="s">
        <v>37449</v>
      </c>
      <c r="C2951" s="544" t="s">
        <v>226</v>
      </c>
      <c r="D2951" s="543">
        <v>73.319999999999993</v>
      </c>
      <c r="E2951" s="545">
        <v>44.93</v>
      </c>
      <c r="F2951" s="546">
        <v>28.39</v>
      </c>
      <c r="G2951" s="543">
        <v>73.319999999999993</v>
      </c>
    </row>
    <row r="2952" spans="1:7" ht="34.5" customHeight="1" x14ac:dyDescent="0.25">
      <c r="A2952" s="551" t="s">
        <v>37450</v>
      </c>
      <c r="B2952" s="551" t="s">
        <v>37451</v>
      </c>
      <c r="C2952" s="552" t="s">
        <v>226</v>
      </c>
      <c r="D2952" s="553">
        <v>298.7</v>
      </c>
      <c r="E2952" s="553">
        <v>274.76</v>
      </c>
      <c r="F2952" s="557">
        <v>23.94</v>
      </c>
      <c r="G2952" s="553">
        <v>298.7</v>
      </c>
    </row>
    <row r="2953" spans="1:7" ht="24.95" customHeight="1" x14ac:dyDescent="0.25">
      <c r="A2953" s="551" t="s">
        <v>37452</v>
      </c>
      <c r="B2953" s="342" t="s">
        <v>37453</v>
      </c>
      <c r="C2953" s="552" t="s">
        <v>226</v>
      </c>
      <c r="D2953" s="553">
        <v>411.54</v>
      </c>
      <c r="E2953" s="553">
        <v>387.6</v>
      </c>
      <c r="F2953" s="557">
        <v>23.94</v>
      </c>
      <c r="G2953" s="553">
        <v>411.54</v>
      </c>
    </row>
    <row r="2954" spans="1:7" ht="24.95" customHeight="1" x14ac:dyDescent="0.25">
      <c r="A2954" s="551" t="s">
        <v>37454</v>
      </c>
      <c r="B2954" s="342" t="s">
        <v>37455</v>
      </c>
      <c r="C2954" s="552"/>
      <c r="D2954" s="553"/>
      <c r="E2954" s="553"/>
      <c r="F2954" s="557"/>
      <c r="G2954" s="553"/>
    </row>
    <row r="2955" spans="1:7" ht="24.95" customHeight="1" x14ac:dyDescent="0.25">
      <c r="A2955" s="551" t="s">
        <v>37456</v>
      </c>
      <c r="B2955" s="342" t="s">
        <v>37457</v>
      </c>
      <c r="C2955" s="552" t="s">
        <v>227</v>
      </c>
      <c r="D2955" s="553">
        <v>514.66999999999996</v>
      </c>
      <c r="E2955" s="553">
        <v>486.61</v>
      </c>
      <c r="F2955" s="557">
        <v>28.06</v>
      </c>
      <c r="G2955" s="553">
        <v>514.66999999999996</v>
      </c>
    </row>
    <row r="2956" spans="1:7" ht="24.95" customHeight="1" x14ac:dyDescent="0.25">
      <c r="A2956" s="551" t="s">
        <v>37458</v>
      </c>
      <c r="B2956" s="342" t="s">
        <v>37459</v>
      </c>
      <c r="C2956" s="552" t="s">
        <v>227</v>
      </c>
      <c r="D2956" s="553">
        <v>345.6</v>
      </c>
      <c r="E2956" s="553">
        <v>259.27999999999997</v>
      </c>
      <c r="F2956" s="557">
        <v>86.32</v>
      </c>
      <c r="G2956" s="553">
        <v>345.6</v>
      </c>
    </row>
    <row r="2957" spans="1:7" ht="24.95" customHeight="1" x14ac:dyDescent="0.25">
      <c r="A2957" s="551" t="s">
        <v>37460</v>
      </c>
      <c r="B2957" s="342" t="s">
        <v>37461</v>
      </c>
      <c r="C2957" s="552" t="s">
        <v>227</v>
      </c>
      <c r="D2957" s="553">
        <v>873.09</v>
      </c>
      <c r="E2957" s="553">
        <v>845.03</v>
      </c>
      <c r="F2957" s="557">
        <v>28.06</v>
      </c>
      <c r="G2957" s="553">
        <v>873.09</v>
      </c>
    </row>
    <row r="2958" spans="1:7" ht="24.95" customHeight="1" x14ac:dyDescent="0.25">
      <c r="A2958" s="551" t="s">
        <v>37462</v>
      </c>
      <c r="B2958" s="342" t="s">
        <v>37463</v>
      </c>
      <c r="C2958" s="552"/>
      <c r="D2958" s="553"/>
      <c r="E2958" s="553"/>
      <c r="F2958" s="557"/>
      <c r="G2958" s="553"/>
    </row>
    <row r="2959" spans="1:7" ht="34.5" customHeight="1" x14ac:dyDescent="0.25">
      <c r="A2959" s="554" t="s">
        <v>37464</v>
      </c>
      <c r="B2959" s="551" t="s">
        <v>37465</v>
      </c>
      <c r="C2959" s="555" t="s">
        <v>158</v>
      </c>
      <c r="D2959" s="556">
        <v>1116.9100000000001</v>
      </c>
      <c r="E2959" s="556">
        <v>1049.58</v>
      </c>
      <c r="F2959" s="558">
        <v>67.33</v>
      </c>
      <c r="G2959" s="556">
        <v>1116.9100000000001</v>
      </c>
    </row>
    <row r="2960" spans="1:7" ht="24.95" customHeight="1" x14ac:dyDescent="0.25">
      <c r="A2960" s="551" t="s">
        <v>37466</v>
      </c>
      <c r="B2960" s="342" t="s">
        <v>37467</v>
      </c>
      <c r="C2960" s="552" t="s">
        <v>158</v>
      </c>
      <c r="D2960" s="553">
        <v>985.45</v>
      </c>
      <c r="E2960" s="553">
        <v>918.12</v>
      </c>
      <c r="F2960" s="557">
        <v>67.33</v>
      </c>
      <c r="G2960" s="553">
        <v>985.45</v>
      </c>
    </row>
    <row r="2961" spans="1:7" ht="12.6" customHeight="1" x14ac:dyDescent="0.2">
      <c r="A2961" s="548" t="s">
        <v>37468</v>
      </c>
      <c r="B2961" s="548" t="s">
        <v>37469</v>
      </c>
      <c r="C2961" s="550" t="s">
        <v>226</v>
      </c>
      <c r="D2961" s="550">
        <v>1280.1099999999999</v>
      </c>
      <c r="E2961" s="550">
        <v>1136.53</v>
      </c>
      <c r="F2961" s="550">
        <v>143.58000000000001</v>
      </c>
      <c r="G2961" s="550">
        <v>1280.1099999999999</v>
      </c>
    </row>
    <row r="2962" spans="1:7" ht="12.6" customHeight="1" x14ac:dyDescent="0.25">
      <c r="A2962" s="551" t="s">
        <v>37470</v>
      </c>
      <c r="B2962" s="551" t="s">
        <v>37471</v>
      </c>
      <c r="C2962" s="552" t="s">
        <v>226</v>
      </c>
      <c r="D2962" s="553">
        <v>264.83</v>
      </c>
      <c r="E2962" s="553">
        <v>240.89</v>
      </c>
      <c r="F2962" s="557">
        <v>23.94</v>
      </c>
      <c r="G2962" s="553">
        <v>264.83</v>
      </c>
    </row>
    <row r="2963" spans="1:7" ht="12.6" customHeight="1" x14ac:dyDescent="0.2">
      <c r="A2963" s="548" t="s">
        <v>37472</v>
      </c>
      <c r="B2963" s="548" t="s">
        <v>37473</v>
      </c>
      <c r="C2963" s="550" t="s">
        <v>226</v>
      </c>
      <c r="D2963" s="550">
        <v>269.43</v>
      </c>
      <c r="E2963" s="550">
        <v>245.49</v>
      </c>
      <c r="F2963" s="550">
        <v>23.94</v>
      </c>
      <c r="G2963" s="550">
        <v>269.43</v>
      </c>
    </row>
    <row r="2964" spans="1:7" ht="24.95" customHeight="1" x14ac:dyDescent="0.25">
      <c r="A2964" s="551" t="s">
        <v>37474</v>
      </c>
      <c r="B2964" s="342" t="s">
        <v>37475</v>
      </c>
      <c r="C2964" s="552" t="s">
        <v>226</v>
      </c>
      <c r="D2964" s="557">
        <v>323.82</v>
      </c>
      <c r="E2964" s="557">
        <v>299.88</v>
      </c>
      <c r="F2964" s="557">
        <v>23.94</v>
      </c>
      <c r="G2964" s="557">
        <v>323.82</v>
      </c>
    </row>
    <row r="2965" spans="1:7" ht="12.6" customHeight="1" x14ac:dyDescent="0.25">
      <c r="A2965" s="551" t="s">
        <v>37476</v>
      </c>
      <c r="B2965" s="551" t="s">
        <v>37477</v>
      </c>
      <c r="C2965" s="552" t="s">
        <v>226</v>
      </c>
      <c r="D2965" s="557">
        <v>344.76</v>
      </c>
      <c r="E2965" s="557">
        <v>320.82</v>
      </c>
      <c r="F2965" s="557">
        <v>23.94</v>
      </c>
      <c r="G2965" s="557">
        <v>344.76</v>
      </c>
    </row>
    <row r="2966" spans="1:7" ht="12.6" customHeight="1" x14ac:dyDescent="0.25">
      <c r="A2966" s="551" t="s">
        <v>37478</v>
      </c>
      <c r="B2966" s="551" t="s">
        <v>37479</v>
      </c>
      <c r="C2966" s="552" t="s">
        <v>226</v>
      </c>
      <c r="D2966" s="557">
        <v>702.1</v>
      </c>
      <c r="E2966" s="557">
        <v>678.16</v>
      </c>
      <c r="F2966" s="557">
        <v>23.94</v>
      </c>
      <c r="G2966" s="557">
        <v>702.1</v>
      </c>
    </row>
    <row r="2967" spans="1:7" ht="12.6" customHeight="1" x14ac:dyDescent="0.25">
      <c r="A2967" s="551" t="s">
        <v>37480</v>
      </c>
      <c r="B2967" s="551" t="s">
        <v>37481</v>
      </c>
      <c r="C2967" s="552" t="s">
        <v>226</v>
      </c>
      <c r="D2967" s="557">
        <v>469.01</v>
      </c>
      <c r="E2967" s="557">
        <v>445.07</v>
      </c>
      <c r="F2967" s="557">
        <v>23.94</v>
      </c>
      <c r="G2967" s="557">
        <v>469.01</v>
      </c>
    </row>
    <row r="2968" spans="1:7" ht="23.1" customHeight="1" x14ac:dyDescent="0.25">
      <c r="A2968" s="551" t="s">
        <v>37482</v>
      </c>
      <c r="B2968" s="551" t="s">
        <v>37483</v>
      </c>
      <c r="C2968" s="552" t="s">
        <v>226</v>
      </c>
      <c r="D2968" s="557">
        <v>592.76</v>
      </c>
      <c r="E2968" s="557">
        <v>568.82000000000005</v>
      </c>
      <c r="F2968" s="557">
        <v>23.94</v>
      </c>
      <c r="G2968" s="557">
        <v>592.76</v>
      </c>
    </row>
    <row r="2969" spans="1:7" ht="23.1" customHeight="1" x14ac:dyDescent="0.25">
      <c r="A2969" s="551" t="s">
        <v>37484</v>
      </c>
      <c r="B2969" s="551" t="s">
        <v>37485</v>
      </c>
      <c r="C2969" s="552" t="s">
        <v>226</v>
      </c>
      <c r="D2969" s="557">
        <v>639.45000000000005</v>
      </c>
      <c r="E2969" s="557">
        <v>615.51</v>
      </c>
      <c r="F2969" s="557">
        <v>23.94</v>
      </c>
      <c r="G2969" s="557">
        <v>639.45000000000005</v>
      </c>
    </row>
    <row r="2970" spans="1:7" ht="12.6" customHeight="1" x14ac:dyDescent="0.2">
      <c r="A2970" s="559" t="s">
        <v>37486</v>
      </c>
      <c r="B2970" s="548" t="s">
        <v>37487</v>
      </c>
      <c r="C2970" s="550" t="s">
        <v>226</v>
      </c>
      <c r="D2970" s="550">
        <v>848.9</v>
      </c>
      <c r="E2970" s="550">
        <v>824.96</v>
      </c>
      <c r="F2970" s="550">
        <v>23.94</v>
      </c>
      <c r="G2970" s="550">
        <v>848.9</v>
      </c>
    </row>
    <row r="2971" spans="1:7" ht="12.6" customHeight="1" x14ac:dyDescent="0.2">
      <c r="A2971" s="548" t="s">
        <v>37488</v>
      </c>
      <c r="B2971" s="548" t="s">
        <v>37489</v>
      </c>
      <c r="C2971" s="550" t="s">
        <v>226</v>
      </c>
      <c r="D2971" s="550">
        <v>1223.8699999999999</v>
      </c>
      <c r="E2971" s="550">
        <v>1199.93</v>
      </c>
      <c r="F2971" s="550">
        <v>23.94</v>
      </c>
      <c r="G2971" s="550">
        <v>1223.8699999999999</v>
      </c>
    </row>
    <row r="2972" spans="1:7" ht="12.6" customHeight="1" x14ac:dyDescent="0.25">
      <c r="A2972" s="551" t="s">
        <v>37490</v>
      </c>
      <c r="B2972" s="551" t="s">
        <v>37491</v>
      </c>
      <c r="C2972" s="552" t="s">
        <v>226</v>
      </c>
      <c r="D2972" s="557">
        <v>1512.89</v>
      </c>
      <c r="E2972" s="557">
        <v>1488.95</v>
      </c>
      <c r="F2972" s="557">
        <v>23.94</v>
      </c>
      <c r="G2972" s="557">
        <v>1512.89</v>
      </c>
    </row>
    <row r="2973" spans="1:7" ht="12.6" customHeight="1" x14ac:dyDescent="0.25">
      <c r="A2973" s="551" t="s">
        <v>37492</v>
      </c>
      <c r="B2973" s="342" t="s">
        <v>37493</v>
      </c>
      <c r="C2973" s="552" t="s">
        <v>226</v>
      </c>
      <c r="D2973" s="557">
        <v>1739.04</v>
      </c>
      <c r="E2973" s="557">
        <v>1715.1</v>
      </c>
      <c r="F2973" s="557">
        <v>23.94</v>
      </c>
      <c r="G2973" s="557">
        <v>1739.04</v>
      </c>
    </row>
    <row r="2974" spans="1:7" ht="12.6" customHeight="1" x14ac:dyDescent="0.25">
      <c r="A2974" s="551" t="s">
        <v>37494</v>
      </c>
      <c r="B2974" s="551" t="s">
        <v>37495</v>
      </c>
      <c r="C2974" s="552" t="s">
        <v>226</v>
      </c>
      <c r="D2974" s="557">
        <v>4943.99</v>
      </c>
      <c r="E2974" s="557">
        <v>4920.05</v>
      </c>
      <c r="F2974" s="557">
        <v>23.94</v>
      </c>
      <c r="G2974" s="557">
        <v>4943.99</v>
      </c>
    </row>
    <row r="2975" spans="1:7" ht="12.6" customHeight="1" x14ac:dyDescent="0.25">
      <c r="A2975" s="551" t="s">
        <v>37496</v>
      </c>
      <c r="B2975" s="551" t="s">
        <v>37497</v>
      </c>
      <c r="C2975" s="552" t="s">
        <v>226</v>
      </c>
      <c r="D2975" s="557">
        <v>2103.39</v>
      </c>
      <c r="E2975" s="557">
        <v>2079.4499999999998</v>
      </c>
      <c r="F2975" s="557">
        <v>23.94</v>
      </c>
      <c r="G2975" s="557">
        <v>2103.39</v>
      </c>
    </row>
    <row r="2976" spans="1:7" ht="12.6" customHeight="1" x14ac:dyDescent="0.25">
      <c r="A2976" s="551" t="s">
        <v>37498</v>
      </c>
      <c r="B2976" s="551" t="s">
        <v>37499</v>
      </c>
      <c r="C2976" s="552" t="s">
        <v>226</v>
      </c>
      <c r="D2976" s="557">
        <v>776.39</v>
      </c>
      <c r="E2976" s="557">
        <v>752.45</v>
      </c>
      <c r="F2976" s="557">
        <v>23.94</v>
      </c>
      <c r="G2976" s="557">
        <v>776.39</v>
      </c>
    </row>
    <row r="2977" spans="1:7" ht="12.6" customHeight="1" x14ac:dyDescent="0.25">
      <c r="A2977" s="551" t="s">
        <v>37500</v>
      </c>
      <c r="B2977" s="551" t="s">
        <v>37501</v>
      </c>
      <c r="C2977" s="552" t="s">
        <v>226</v>
      </c>
      <c r="D2977" s="557">
        <v>777.7</v>
      </c>
      <c r="E2977" s="557">
        <v>753.76</v>
      </c>
      <c r="F2977" s="557">
        <v>23.94</v>
      </c>
      <c r="G2977" s="557">
        <v>777.7</v>
      </c>
    </row>
    <row r="2978" spans="1:7" ht="12.6" customHeight="1" x14ac:dyDescent="0.25">
      <c r="A2978" s="551" t="s">
        <v>37502</v>
      </c>
      <c r="B2978" s="551" t="s">
        <v>37503</v>
      </c>
      <c r="C2978" s="552" t="s">
        <v>226</v>
      </c>
      <c r="D2978" s="557">
        <v>1213.8399999999999</v>
      </c>
      <c r="E2978" s="557">
        <v>1189.9000000000001</v>
      </c>
      <c r="F2978" s="557">
        <v>23.94</v>
      </c>
      <c r="G2978" s="557">
        <v>1213.8399999999999</v>
      </c>
    </row>
    <row r="2979" spans="1:7" ht="12.6" customHeight="1" x14ac:dyDescent="0.25">
      <c r="A2979" s="551" t="s">
        <v>37504</v>
      </c>
      <c r="B2979" s="551" t="s">
        <v>37505</v>
      </c>
      <c r="C2979" s="552"/>
      <c r="D2979" s="557"/>
      <c r="E2979" s="557"/>
      <c r="F2979" s="557"/>
      <c r="G2979" s="557"/>
    </row>
    <row r="2980" spans="1:7" ht="12.6" customHeight="1" x14ac:dyDescent="0.25">
      <c r="A2980" s="551" t="s">
        <v>37506</v>
      </c>
      <c r="B2980" s="551" t="s">
        <v>37507</v>
      </c>
      <c r="C2980" s="552" t="s">
        <v>226</v>
      </c>
      <c r="D2980" s="557">
        <v>30.74</v>
      </c>
      <c r="E2980" s="557">
        <v>11.59</v>
      </c>
      <c r="F2980" s="557">
        <v>19.149999999999999</v>
      </c>
      <c r="G2980" s="557">
        <v>30.74</v>
      </c>
    </row>
    <row r="2981" spans="1:7" ht="12.6" customHeight="1" x14ac:dyDescent="0.25">
      <c r="A2981" s="551" t="s">
        <v>37508</v>
      </c>
      <c r="B2981" s="551" t="s">
        <v>37509</v>
      </c>
      <c r="C2981" s="552" t="s">
        <v>226</v>
      </c>
      <c r="D2981" s="557">
        <v>24</v>
      </c>
      <c r="E2981" s="557">
        <v>0.06</v>
      </c>
      <c r="F2981" s="557">
        <v>23.94</v>
      </c>
      <c r="G2981" s="557">
        <v>24</v>
      </c>
    </row>
    <row r="2982" spans="1:7" ht="12.6" customHeight="1" x14ac:dyDescent="0.25">
      <c r="A2982" s="551" t="s">
        <v>37510</v>
      </c>
      <c r="B2982" s="551" t="s">
        <v>37511</v>
      </c>
      <c r="C2982" s="552" t="s">
        <v>226</v>
      </c>
      <c r="D2982" s="557">
        <v>24</v>
      </c>
      <c r="E2982" s="557">
        <v>0.06</v>
      </c>
      <c r="F2982" s="557">
        <v>23.94</v>
      </c>
      <c r="G2982" s="557">
        <v>24</v>
      </c>
    </row>
    <row r="2983" spans="1:7" ht="12.6" customHeight="1" x14ac:dyDescent="0.25">
      <c r="A2983" s="551" t="s">
        <v>37512</v>
      </c>
      <c r="B2983" s="551" t="s">
        <v>37513</v>
      </c>
      <c r="C2983" s="552" t="s">
        <v>226</v>
      </c>
      <c r="D2983" s="557">
        <v>68.3</v>
      </c>
      <c r="E2983" s="557">
        <v>0.97</v>
      </c>
      <c r="F2983" s="557">
        <v>67.33</v>
      </c>
      <c r="G2983" s="557">
        <v>68.3</v>
      </c>
    </row>
    <row r="2984" spans="1:7" ht="12.6" customHeight="1" x14ac:dyDescent="0.25">
      <c r="A2984" s="551" t="s">
        <v>37514</v>
      </c>
      <c r="B2984" s="551" t="s">
        <v>37515</v>
      </c>
      <c r="C2984" s="552" t="s">
        <v>226</v>
      </c>
      <c r="D2984" s="557">
        <v>119.66</v>
      </c>
      <c r="E2984" s="557"/>
      <c r="F2984" s="557">
        <v>119.66</v>
      </c>
      <c r="G2984" s="557">
        <v>119.66</v>
      </c>
    </row>
    <row r="2985" spans="1:7" ht="12.6" customHeight="1" x14ac:dyDescent="0.25">
      <c r="A2985" s="551" t="s">
        <v>37516</v>
      </c>
      <c r="B2985" s="551" t="s">
        <v>37517</v>
      </c>
      <c r="C2985" s="552" t="s">
        <v>226</v>
      </c>
      <c r="D2985" s="557">
        <v>41.32</v>
      </c>
      <c r="E2985" s="557">
        <v>35.479999999999997</v>
      </c>
      <c r="F2985" s="557">
        <v>5.84</v>
      </c>
      <c r="G2985" s="557">
        <v>41.32</v>
      </c>
    </row>
    <row r="2986" spans="1:7" ht="12.6" customHeight="1" x14ac:dyDescent="0.25">
      <c r="A2986" s="551" t="s">
        <v>37518</v>
      </c>
      <c r="B2986" s="551" t="s">
        <v>37519</v>
      </c>
      <c r="C2986" s="552" t="s">
        <v>226</v>
      </c>
      <c r="D2986" s="557">
        <v>12.33</v>
      </c>
      <c r="E2986" s="557">
        <v>6.49</v>
      </c>
      <c r="F2986" s="557">
        <v>5.84</v>
      </c>
      <c r="G2986" s="557">
        <v>12.33</v>
      </c>
    </row>
    <row r="2987" spans="1:7" ht="24.95" customHeight="1" x14ac:dyDescent="0.25">
      <c r="A2987" s="551" t="s">
        <v>37520</v>
      </c>
      <c r="B2987" s="342" t="s">
        <v>37521</v>
      </c>
      <c r="C2987" s="552" t="s">
        <v>226</v>
      </c>
      <c r="D2987" s="557">
        <v>127.83</v>
      </c>
      <c r="E2987" s="557">
        <v>124.52</v>
      </c>
      <c r="F2987" s="557">
        <v>3.31</v>
      </c>
      <c r="G2987" s="557">
        <v>127.83</v>
      </c>
    </row>
    <row r="2988" spans="1:7" ht="12.6" customHeight="1" x14ac:dyDescent="0.25">
      <c r="A2988" s="551" t="s">
        <v>37522</v>
      </c>
      <c r="B2988" s="551" t="s">
        <v>37523</v>
      </c>
      <c r="C2988" s="552" t="s">
        <v>226</v>
      </c>
      <c r="D2988" s="557">
        <v>44.45</v>
      </c>
      <c r="E2988" s="557">
        <v>42.5</v>
      </c>
      <c r="F2988" s="557">
        <v>1.95</v>
      </c>
      <c r="G2988" s="557">
        <v>44.45</v>
      </c>
    </row>
    <row r="2989" spans="1:7" ht="12.6" customHeight="1" x14ac:dyDescent="0.25">
      <c r="A2989" s="551" t="s">
        <v>37524</v>
      </c>
      <c r="B2989" s="551" t="s">
        <v>37525</v>
      </c>
      <c r="C2989" s="552" t="s">
        <v>226</v>
      </c>
      <c r="D2989" s="557">
        <v>70.75</v>
      </c>
      <c r="E2989" s="557">
        <v>64.91</v>
      </c>
      <c r="F2989" s="557">
        <v>5.84</v>
      </c>
      <c r="G2989" s="557">
        <v>70.75</v>
      </c>
    </row>
    <row r="2990" spans="1:7" ht="12.6" customHeight="1" x14ac:dyDescent="0.25">
      <c r="A2990" s="551" t="s">
        <v>37526</v>
      </c>
      <c r="B2990" s="551" t="s">
        <v>37527</v>
      </c>
      <c r="C2990" s="552" t="s">
        <v>226</v>
      </c>
      <c r="D2990" s="557">
        <v>61.91</v>
      </c>
      <c r="E2990" s="557">
        <v>58.6</v>
      </c>
      <c r="F2990" s="557">
        <v>3.31</v>
      </c>
      <c r="G2990" s="557">
        <v>61.91</v>
      </c>
    </row>
    <row r="2991" spans="1:7" ht="12.6" customHeight="1" x14ac:dyDescent="0.2">
      <c r="A2991" s="548" t="s">
        <v>37528</v>
      </c>
      <c r="B2991" s="548" t="s">
        <v>37529</v>
      </c>
      <c r="C2991" s="550" t="s">
        <v>226</v>
      </c>
      <c r="D2991" s="550">
        <v>71.66</v>
      </c>
      <c r="E2991" s="550">
        <v>68.349999999999994</v>
      </c>
      <c r="F2991" s="550">
        <v>3.31</v>
      </c>
      <c r="G2991" s="550">
        <v>71.66</v>
      </c>
    </row>
    <row r="2992" spans="1:7" ht="24.95" customHeight="1" x14ac:dyDescent="0.25">
      <c r="A2992" s="551" t="s">
        <v>37530</v>
      </c>
      <c r="B2992" s="342" t="s">
        <v>37531</v>
      </c>
      <c r="C2992" s="552" t="s">
        <v>226</v>
      </c>
      <c r="D2992" s="557">
        <v>111.78</v>
      </c>
      <c r="E2992" s="557">
        <v>68.709999999999994</v>
      </c>
      <c r="F2992" s="557">
        <v>43.07</v>
      </c>
      <c r="G2992" s="557">
        <v>111.78</v>
      </c>
    </row>
    <row r="2993" spans="1:7" ht="11.45" customHeight="1" x14ac:dyDescent="0.25">
      <c r="A2993" s="543" t="s">
        <v>37532</v>
      </c>
      <c r="B2993" s="544" t="s">
        <v>37533</v>
      </c>
      <c r="C2993" s="544" t="s">
        <v>226</v>
      </c>
      <c r="D2993" s="543">
        <v>174.91</v>
      </c>
      <c r="E2993" s="545">
        <v>150.97</v>
      </c>
      <c r="F2993" s="546">
        <v>23.94</v>
      </c>
      <c r="G2993" s="543">
        <v>174.91</v>
      </c>
    </row>
    <row r="2994" spans="1:7" ht="12.6" customHeight="1" x14ac:dyDescent="0.25">
      <c r="A2994" s="551" t="s">
        <v>37534</v>
      </c>
      <c r="B2994" s="551" t="s">
        <v>37535</v>
      </c>
      <c r="C2994" s="552" t="s">
        <v>226</v>
      </c>
      <c r="D2994" s="553">
        <v>217.5</v>
      </c>
      <c r="E2994" s="557">
        <v>193.56</v>
      </c>
      <c r="F2994" s="557">
        <v>23.94</v>
      </c>
      <c r="G2994" s="553">
        <v>217.5</v>
      </c>
    </row>
    <row r="2995" spans="1:7" ht="24.95" customHeight="1" x14ac:dyDescent="0.25">
      <c r="A2995" s="551" t="s">
        <v>37536</v>
      </c>
      <c r="B2995" s="342" t="s">
        <v>37537</v>
      </c>
      <c r="C2995" s="552" t="s">
        <v>226</v>
      </c>
      <c r="D2995" s="553">
        <v>41.96</v>
      </c>
      <c r="E2995" s="553">
        <v>36.119999999999997</v>
      </c>
      <c r="F2995" s="557">
        <v>5.84</v>
      </c>
      <c r="G2995" s="553">
        <v>41.96</v>
      </c>
    </row>
    <row r="2996" spans="1:7" ht="12.6" customHeight="1" x14ac:dyDescent="0.2">
      <c r="A2996" s="551" t="s">
        <v>37538</v>
      </c>
      <c r="B2996" s="551" t="s">
        <v>37539</v>
      </c>
      <c r="C2996" s="552" t="s">
        <v>226</v>
      </c>
      <c r="D2996" s="553">
        <v>41.85</v>
      </c>
      <c r="E2996" s="553">
        <v>22.7</v>
      </c>
      <c r="F2996" s="343">
        <v>19.149999999999999</v>
      </c>
      <c r="G2996" s="553">
        <v>41.85</v>
      </c>
    </row>
    <row r="2997" spans="1:7" ht="12.6" customHeight="1" x14ac:dyDescent="0.2">
      <c r="A2997" s="548" t="s">
        <v>37540</v>
      </c>
      <c r="B2997" s="548" t="s">
        <v>37541</v>
      </c>
      <c r="C2997" s="550" t="s">
        <v>226</v>
      </c>
      <c r="D2997" s="550">
        <v>32.19</v>
      </c>
      <c r="E2997" s="550">
        <v>13.04</v>
      </c>
      <c r="F2997" s="550">
        <v>19.149999999999999</v>
      </c>
      <c r="G2997" s="550">
        <v>32.19</v>
      </c>
    </row>
    <row r="2998" spans="1:7" ht="24.95" customHeight="1" x14ac:dyDescent="0.25">
      <c r="A2998" s="551" t="s">
        <v>37542</v>
      </c>
      <c r="B2998" s="342" t="s">
        <v>37543</v>
      </c>
      <c r="C2998" s="552" t="s">
        <v>226</v>
      </c>
      <c r="D2998" s="557">
        <v>44.04</v>
      </c>
      <c r="E2998" s="557">
        <v>41.12</v>
      </c>
      <c r="F2998" s="557">
        <v>2.92</v>
      </c>
      <c r="G2998" s="557">
        <v>44.04</v>
      </c>
    </row>
    <row r="2999" spans="1:7" ht="12.6" customHeight="1" x14ac:dyDescent="0.25">
      <c r="A2999" s="551" t="s">
        <v>37544</v>
      </c>
      <c r="B2999" s="551" t="s">
        <v>37545</v>
      </c>
      <c r="C2999" s="552" t="s">
        <v>226</v>
      </c>
      <c r="D2999" s="557">
        <v>16.690000000000001</v>
      </c>
      <c r="E2999" s="557">
        <v>8.5500000000000007</v>
      </c>
      <c r="F2999" s="557">
        <v>8.14</v>
      </c>
      <c r="G2999" s="557">
        <v>16.690000000000001</v>
      </c>
    </row>
    <row r="3000" spans="1:7" ht="24.95" customHeight="1" x14ac:dyDescent="0.25">
      <c r="A3000" s="551" t="s">
        <v>37546</v>
      </c>
      <c r="B3000" s="342" t="s">
        <v>37547</v>
      </c>
      <c r="C3000" s="552" t="s">
        <v>226</v>
      </c>
      <c r="D3000" s="557">
        <v>326.56</v>
      </c>
      <c r="E3000" s="557">
        <v>292.89</v>
      </c>
      <c r="F3000" s="557">
        <v>33.67</v>
      </c>
      <c r="G3000" s="557">
        <v>326.56</v>
      </c>
    </row>
    <row r="3001" spans="1:7" ht="12.6" customHeight="1" x14ac:dyDescent="0.25">
      <c r="A3001" s="551" t="s">
        <v>37548</v>
      </c>
      <c r="B3001" s="551" t="s">
        <v>37549</v>
      </c>
      <c r="C3001" s="552" t="s">
        <v>226</v>
      </c>
      <c r="D3001" s="557">
        <v>7.75</v>
      </c>
      <c r="E3001" s="557">
        <v>5.8</v>
      </c>
      <c r="F3001" s="557">
        <v>1.95</v>
      </c>
      <c r="G3001" s="557">
        <v>7.75</v>
      </c>
    </row>
    <row r="3002" spans="1:7" ht="12.6" customHeight="1" x14ac:dyDescent="0.25">
      <c r="A3002" s="551" t="s">
        <v>37550</v>
      </c>
      <c r="B3002" s="551" t="s">
        <v>37551</v>
      </c>
      <c r="C3002" s="552" t="s">
        <v>226</v>
      </c>
      <c r="D3002" s="557">
        <v>57.03</v>
      </c>
      <c r="E3002" s="557">
        <v>55.08</v>
      </c>
      <c r="F3002" s="557">
        <v>1.95</v>
      </c>
      <c r="G3002" s="557">
        <v>57.03</v>
      </c>
    </row>
    <row r="3003" spans="1:7" ht="12.6" customHeight="1" x14ac:dyDescent="0.25">
      <c r="A3003" s="551" t="s">
        <v>37552</v>
      </c>
      <c r="B3003" s="551" t="s">
        <v>37553</v>
      </c>
      <c r="C3003" s="552" t="s">
        <v>226</v>
      </c>
      <c r="D3003" s="557">
        <v>87.3</v>
      </c>
      <c r="E3003" s="557">
        <v>77.73</v>
      </c>
      <c r="F3003" s="557">
        <v>9.57</v>
      </c>
      <c r="G3003" s="557">
        <v>87.3</v>
      </c>
    </row>
    <row r="3004" spans="1:7" ht="12.6" customHeight="1" x14ac:dyDescent="0.25">
      <c r="A3004" s="551" t="s">
        <v>37554</v>
      </c>
      <c r="B3004" s="551" t="s">
        <v>37555</v>
      </c>
      <c r="C3004" s="552" t="s">
        <v>226</v>
      </c>
      <c r="D3004" s="557">
        <v>49.37</v>
      </c>
      <c r="E3004" s="557">
        <v>39.799999999999997</v>
      </c>
      <c r="F3004" s="557">
        <v>9.57</v>
      </c>
      <c r="G3004" s="557">
        <v>49.37</v>
      </c>
    </row>
    <row r="3005" spans="1:7" ht="12.6" customHeight="1" x14ac:dyDescent="0.25">
      <c r="A3005" s="551" t="s">
        <v>37556</v>
      </c>
      <c r="B3005" s="551" t="s">
        <v>37557</v>
      </c>
      <c r="C3005" s="552"/>
      <c r="D3005" s="557"/>
      <c r="E3005" s="557"/>
      <c r="F3005" s="557"/>
      <c r="G3005" s="557"/>
    </row>
    <row r="3006" spans="1:7" ht="12.6" customHeight="1" x14ac:dyDescent="0.25">
      <c r="A3006" s="551" t="s">
        <v>37558</v>
      </c>
      <c r="B3006" s="551" t="s">
        <v>37559</v>
      </c>
      <c r="C3006" s="552"/>
      <c r="D3006" s="557"/>
      <c r="E3006" s="557"/>
      <c r="F3006" s="557"/>
      <c r="G3006" s="557"/>
    </row>
    <row r="3007" spans="1:7" ht="12.6" customHeight="1" x14ac:dyDescent="0.25">
      <c r="A3007" s="551" t="s">
        <v>37560</v>
      </c>
      <c r="B3007" s="551" t="s">
        <v>37561</v>
      </c>
      <c r="C3007" s="552" t="s">
        <v>226</v>
      </c>
      <c r="D3007" s="557">
        <v>1404</v>
      </c>
      <c r="E3007" s="557">
        <v>815.09</v>
      </c>
      <c r="F3007" s="557">
        <v>588.91</v>
      </c>
      <c r="G3007" s="557">
        <v>1404</v>
      </c>
    </row>
    <row r="3008" spans="1:7" ht="12.6" customHeight="1" x14ac:dyDescent="0.25">
      <c r="A3008" s="551" t="s">
        <v>37562</v>
      </c>
      <c r="B3008" s="551" t="s">
        <v>37563</v>
      </c>
      <c r="C3008" s="552" t="s">
        <v>226</v>
      </c>
      <c r="D3008" s="557">
        <v>1454.8</v>
      </c>
      <c r="E3008" s="557">
        <v>865.89</v>
      </c>
      <c r="F3008" s="557">
        <v>588.91</v>
      </c>
      <c r="G3008" s="557">
        <v>1454.8</v>
      </c>
    </row>
    <row r="3009" spans="1:7" ht="12.6" customHeight="1" x14ac:dyDescent="0.25">
      <c r="A3009" s="551" t="s">
        <v>37564</v>
      </c>
      <c r="B3009" s="551" t="s">
        <v>37565</v>
      </c>
      <c r="C3009" s="552" t="s">
        <v>226</v>
      </c>
      <c r="D3009" s="557">
        <v>3501.94</v>
      </c>
      <c r="E3009" s="557">
        <v>2463.4499999999998</v>
      </c>
      <c r="F3009" s="557">
        <v>1038.49</v>
      </c>
      <c r="G3009" s="557">
        <v>3501.94</v>
      </c>
    </row>
    <row r="3010" spans="1:7" ht="12.6" customHeight="1" x14ac:dyDescent="0.25">
      <c r="A3010" s="551" t="s">
        <v>37566</v>
      </c>
      <c r="B3010" s="551" t="s">
        <v>37567</v>
      </c>
      <c r="C3010" s="552" t="s">
        <v>226</v>
      </c>
      <c r="D3010" s="557">
        <v>3638.1</v>
      </c>
      <c r="E3010" s="557">
        <v>2599.61</v>
      </c>
      <c r="F3010" s="557">
        <v>1038.49</v>
      </c>
      <c r="G3010" s="557">
        <v>3638.1</v>
      </c>
    </row>
    <row r="3011" spans="1:7" ht="24.95" customHeight="1" x14ac:dyDescent="0.25">
      <c r="A3011" s="551" t="s">
        <v>37568</v>
      </c>
      <c r="B3011" s="342" t="s">
        <v>37569</v>
      </c>
      <c r="C3011" s="552" t="s">
        <v>226</v>
      </c>
      <c r="D3011" s="557">
        <v>3968.4</v>
      </c>
      <c r="E3011" s="557">
        <v>2929.91</v>
      </c>
      <c r="F3011" s="557">
        <v>1038.49</v>
      </c>
      <c r="G3011" s="557">
        <v>3968.4</v>
      </c>
    </row>
    <row r="3012" spans="1:7" ht="12.6" customHeight="1" x14ac:dyDescent="0.25">
      <c r="A3012" s="551" t="s">
        <v>37570</v>
      </c>
      <c r="B3012" s="551" t="s">
        <v>37571</v>
      </c>
      <c r="C3012" s="552" t="s">
        <v>226</v>
      </c>
      <c r="D3012" s="557">
        <v>4269.63</v>
      </c>
      <c r="E3012" s="557">
        <v>3231.14</v>
      </c>
      <c r="F3012" s="557">
        <v>1038.49</v>
      </c>
      <c r="G3012" s="557">
        <v>4269.63</v>
      </c>
    </row>
    <row r="3013" spans="1:7" ht="24.95" customHeight="1" x14ac:dyDescent="0.25">
      <c r="A3013" s="551" t="s">
        <v>37572</v>
      </c>
      <c r="B3013" s="342" t="s">
        <v>37573</v>
      </c>
      <c r="C3013" s="552"/>
      <c r="D3013" s="557"/>
      <c r="E3013" s="557"/>
      <c r="F3013" s="557"/>
      <c r="G3013" s="557"/>
    </row>
    <row r="3014" spans="1:7" ht="24.95" customHeight="1" x14ac:dyDescent="0.25">
      <c r="A3014" s="551" t="s">
        <v>37574</v>
      </c>
      <c r="B3014" s="342" t="s">
        <v>37575</v>
      </c>
      <c r="C3014" s="552" t="s">
        <v>226</v>
      </c>
      <c r="D3014" s="557">
        <v>2767.14</v>
      </c>
      <c r="E3014" s="557">
        <v>2016.45</v>
      </c>
      <c r="F3014" s="557">
        <v>750.69</v>
      </c>
      <c r="G3014" s="557">
        <v>2767.14</v>
      </c>
    </row>
    <row r="3015" spans="1:7" ht="23.1" customHeight="1" x14ac:dyDescent="0.25">
      <c r="A3015" s="551" t="s">
        <v>37576</v>
      </c>
      <c r="B3015" s="551" t="s">
        <v>37577</v>
      </c>
      <c r="C3015" s="552" t="s">
        <v>226</v>
      </c>
      <c r="D3015" s="557">
        <v>6575.1</v>
      </c>
      <c r="E3015" s="557">
        <v>4971.54</v>
      </c>
      <c r="F3015" s="557">
        <v>1603.56</v>
      </c>
      <c r="G3015" s="557">
        <v>6575.1</v>
      </c>
    </row>
    <row r="3016" spans="1:7" ht="24.95" customHeight="1" x14ac:dyDescent="0.25">
      <c r="A3016" s="551" t="s">
        <v>37578</v>
      </c>
      <c r="B3016" s="342" t="s">
        <v>37579</v>
      </c>
      <c r="C3016" s="552" t="s">
        <v>226</v>
      </c>
      <c r="D3016" s="557">
        <v>10408.65</v>
      </c>
      <c r="E3016" s="557">
        <v>8294.9</v>
      </c>
      <c r="F3016" s="557">
        <v>2113.75</v>
      </c>
      <c r="G3016" s="557">
        <v>10408.65</v>
      </c>
    </row>
    <row r="3017" spans="1:7" ht="23.1" customHeight="1" x14ac:dyDescent="0.25">
      <c r="A3017" s="551" t="s">
        <v>37580</v>
      </c>
      <c r="B3017" s="551" t="s">
        <v>37581</v>
      </c>
      <c r="C3017" s="552" t="s">
        <v>226</v>
      </c>
      <c r="D3017" s="557">
        <v>14161.02</v>
      </c>
      <c r="E3017" s="557">
        <v>11598.27</v>
      </c>
      <c r="F3017" s="557">
        <v>2562.75</v>
      </c>
      <c r="G3017" s="557">
        <v>14161.02</v>
      </c>
    </row>
    <row r="3018" spans="1:7" ht="23.1" customHeight="1" x14ac:dyDescent="0.25">
      <c r="A3018" s="551" t="s">
        <v>37582</v>
      </c>
      <c r="B3018" s="551" t="s">
        <v>37583</v>
      </c>
      <c r="C3018" s="552" t="s">
        <v>226</v>
      </c>
      <c r="D3018" s="557">
        <v>1114.26</v>
      </c>
      <c r="E3018" s="557">
        <v>604.17999999999995</v>
      </c>
      <c r="F3018" s="557">
        <v>510.08</v>
      </c>
      <c r="G3018" s="557">
        <v>1114.26</v>
      </c>
    </row>
    <row r="3019" spans="1:7" ht="12.6" customHeight="1" x14ac:dyDescent="0.25">
      <c r="A3019" s="551" t="s">
        <v>37584</v>
      </c>
      <c r="B3019" s="551" t="s">
        <v>37585</v>
      </c>
      <c r="C3019" s="552"/>
      <c r="D3019" s="557"/>
      <c r="E3019" s="557"/>
      <c r="F3019" s="557"/>
      <c r="G3019" s="557"/>
    </row>
    <row r="3020" spans="1:7" ht="24.95" customHeight="1" x14ac:dyDescent="0.25">
      <c r="A3020" s="551" t="s">
        <v>37586</v>
      </c>
      <c r="B3020" s="342" t="s">
        <v>37587</v>
      </c>
      <c r="C3020" s="552" t="s">
        <v>226</v>
      </c>
      <c r="D3020" s="557">
        <v>2541.14</v>
      </c>
      <c r="E3020" s="557">
        <v>2505.25</v>
      </c>
      <c r="F3020" s="557">
        <v>35.89</v>
      </c>
      <c r="G3020" s="557">
        <v>2541.14</v>
      </c>
    </row>
    <row r="3021" spans="1:7" ht="24.95" customHeight="1" x14ac:dyDescent="0.25">
      <c r="A3021" s="551" t="s">
        <v>37588</v>
      </c>
      <c r="B3021" s="342" t="s">
        <v>37589</v>
      </c>
      <c r="C3021" s="552" t="s">
        <v>226</v>
      </c>
      <c r="D3021" s="557">
        <v>3570.87</v>
      </c>
      <c r="E3021" s="557">
        <v>3534.98</v>
      </c>
      <c r="F3021" s="557">
        <v>35.89</v>
      </c>
      <c r="G3021" s="557">
        <v>3570.87</v>
      </c>
    </row>
    <row r="3022" spans="1:7" ht="12.6" customHeight="1" x14ac:dyDescent="0.25">
      <c r="A3022" s="551" t="s">
        <v>37590</v>
      </c>
      <c r="B3022" s="551" t="s">
        <v>37591</v>
      </c>
      <c r="C3022" s="552" t="s">
        <v>226</v>
      </c>
      <c r="D3022" s="557">
        <v>696.66</v>
      </c>
      <c r="E3022" s="557">
        <v>639.23</v>
      </c>
      <c r="F3022" s="557">
        <v>57.43</v>
      </c>
      <c r="G3022" s="557">
        <v>696.66</v>
      </c>
    </row>
    <row r="3023" spans="1:7" ht="24.95" customHeight="1" x14ac:dyDescent="0.25">
      <c r="A3023" s="551" t="s">
        <v>37592</v>
      </c>
      <c r="B3023" s="342" t="s">
        <v>37593</v>
      </c>
      <c r="C3023" s="552" t="s">
        <v>226</v>
      </c>
      <c r="D3023" s="557">
        <v>1070.5999999999999</v>
      </c>
      <c r="E3023" s="557">
        <v>1013.17</v>
      </c>
      <c r="F3023" s="557">
        <v>57.43</v>
      </c>
      <c r="G3023" s="557">
        <v>1070.5999999999999</v>
      </c>
    </row>
    <row r="3024" spans="1:7" ht="24.95" customHeight="1" x14ac:dyDescent="0.25">
      <c r="A3024" s="551" t="s">
        <v>37594</v>
      </c>
      <c r="B3024" s="342" t="s">
        <v>37595</v>
      </c>
      <c r="C3024" s="552" t="s">
        <v>226</v>
      </c>
      <c r="D3024" s="557">
        <v>2490.94</v>
      </c>
      <c r="E3024" s="557">
        <v>2455.0500000000002</v>
      </c>
      <c r="F3024" s="557">
        <v>35.89</v>
      </c>
      <c r="G3024" s="557">
        <v>2490.94</v>
      </c>
    </row>
    <row r="3025" spans="1:7" ht="24.95" customHeight="1" x14ac:dyDescent="0.25">
      <c r="A3025" s="551" t="s">
        <v>37596</v>
      </c>
      <c r="B3025" s="342" t="s">
        <v>37597</v>
      </c>
      <c r="C3025" s="552"/>
      <c r="D3025" s="557"/>
      <c r="E3025" s="557"/>
      <c r="F3025" s="557"/>
      <c r="G3025" s="557"/>
    </row>
    <row r="3026" spans="1:7" ht="24.95" customHeight="1" x14ac:dyDescent="0.25">
      <c r="A3026" s="551" t="s">
        <v>37598</v>
      </c>
      <c r="B3026" s="342" t="s">
        <v>37599</v>
      </c>
      <c r="C3026" s="552" t="s">
        <v>226</v>
      </c>
      <c r="D3026" s="557">
        <v>979.5</v>
      </c>
      <c r="E3026" s="557">
        <v>979.5</v>
      </c>
      <c r="F3026" s="557"/>
      <c r="G3026" s="557">
        <v>979.5</v>
      </c>
    </row>
    <row r="3027" spans="1:7" ht="12.6" customHeight="1" x14ac:dyDescent="0.25">
      <c r="A3027" s="551" t="s">
        <v>37600</v>
      </c>
      <c r="B3027" s="551" t="s">
        <v>37601</v>
      </c>
      <c r="C3027" s="552"/>
      <c r="D3027" s="557"/>
      <c r="E3027" s="557"/>
      <c r="F3027" s="557"/>
      <c r="G3027" s="557"/>
    </row>
    <row r="3028" spans="1:7" ht="12.6" customHeight="1" x14ac:dyDescent="0.25">
      <c r="A3028" s="551" t="s">
        <v>37602</v>
      </c>
      <c r="B3028" s="551" t="s">
        <v>37603</v>
      </c>
      <c r="C3028" s="552"/>
      <c r="D3028" s="557"/>
      <c r="E3028" s="557"/>
      <c r="F3028" s="557"/>
      <c r="G3028" s="557"/>
    </row>
    <row r="3029" spans="1:7" ht="12.6" customHeight="1" x14ac:dyDescent="0.25">
      <c r="A3029" s="551" t="s">
        <v>37604</v>
      </c>
      <c r="B3029" s="551" t="s">
        <v>37605</v>
      </c>
      <c r="C3029" s="552" t="s">
        <v>158</v>
      </c>
      <c r="D3029" s="557">
        <v>30.42</v>
      </c>
      <c r="E3029" s="557">
        <v>6.48</v>
      </c>
      <c r="F3029" s="557">
        <v>23.94</v>
      </c>
      <c r="G3029" s="557">
        <v>30.42</v>
      </c>
    </row>
    <row r="3030" spans="1:7" ht="34.5" customHeight="1" x14ac:dyDescent="0.25">
      <c r="A3030" s="554" t="s">
        <v>37606</v>
      </c>
      <c r="B3030" s="551" t="s">
        <v>37607</v>
      </c>
      <c r="C3030" s="555" t="s">
        <v>158</v>
      </c>
      <c r="D3030" s="558">
        <v>31.05</v>
      </c>
      <c r="E3030" s="558">
        <v>7.11</v>
      </c>
      <c r="F3030" s="558">
        <v>23.94</v>
      </c>
      <c r="G3030" s="558">
        <v>31.05</v>
      </c>
    </row>
    <row r="3031" spans="1:7" ht="23.1" customHeight="1" x14ac:dyDescent="0.25">
      <c r="A3031" s="551" t="s">
        <v>37608</v>
      </c>
      <c r="B3031" s="551" t="s">
        <v>37609</v>
      </c>
      <c r="C3031" s="552" t="s">
        <v>158</v>
      </c>
      <c r="D3031" s="557">
        <v>40.119999999999997</v>
      </c>
      <c r="E3031" s="557">
        <v>16.18</v>
      </c>
      <c r="F3031" s="557">
        <v>23.94</v>
      </c>
      <c r="G3031" s="557">
        <v>40.119999999999997</v>
      </c>
    </row>
    <row r="3032" spans="1:7" ht="11.45" customHeight="1" x14ac:dyDescent="0.25">
      <c r="A3032" s="543" t="s">
        <v>37610</v>
      </c>
      <c r="B3032" s="544" t="s">
        <v>37611</v>
      </c>
      <c r="C3032" s="544" t="s">
        <v>158</v>
      </c>
      <c r="D3032" s="543">
        <v>48.34</v>
      </c>
      <c r="E3032" s="545">
        <v>24.4</v>
      </c>
      <c r="F3032" s="546">
        <v>23.94</v>
      </c>
      <c r="G3032" s="543">
        <v>48.34</v>
      </c>
    </row>
    <row r="3033" spans="1:7" ht="23.1" customHeight="1" x14ac:dyDescent="0.25">
      <c r="A3033" s="551" t="s">
        <v>37612</v>
      </c>
      <c r="B3033" s="551" t="s">
        <v>37613</v>
      </c>
      <c r="C3033" s="552" t="s">
        <v>158</v>
      </c>
      <c r="D3033" s="553">
        <v>52.62</v>
      </c>
      <c r="E3033" s="553">
        <v>23.91</v>
      </c>
      <c r="F3033" s="557">
        <v>28.71</v>
      </c>
      <c r="G3033" s="553">
        <v>52.62</v>
      </c>
    </row>
    <row r="3034" spans="1:7" ht="12.6" customHeight="1" x14ac:dyDescent="0.25">
      <c r="A3034" s="551" t="s">
        <v>37614</v>
      </c>
      <c r="B3034" s="551" t="s">
        <v>37615</v>
      </c>
      <c r="C3034" s="552" t="s">
        <v>158</v>
      </c>
      <c r="D3034" s="553">
        <v>77.69</v>
      </c>
      <c r="E3034" s="553">
        <v>44.19</v>
      </c>
      <c r="F3034" s="557">
        <v>33.5</v>
      </c>
      <c r="G3034" s="553">
        <v>77.69</v>
      </c>
    </row>
    <row r="3035" spans="1:7" ht="12.6" customHeight="1" x14ac:dyDescent="0.25">
      <c r="A3035" s="551" t="s">
        <v>37616</v>
      </c>
      <c r="B3035" s="551" t="s">
        <v>37617</v>
      </c>
      <c r="C3035" s="552" t="s">
        <v>158</v>
      </c>
      <c r="D3035" s="557">
        <v>111.8</v>
      </c>
      <c r="E3035" s="557">
        <v>68.73</v>
      </c>
      <c r="F3035" s="557">
        <v>43.07</v>
      </c>
      <c r="G3035" s="557">
        <v>111.8</v>
      </c>
    </row>
    <row r="3036" spans="1:7" ht="12.6" customHeight="1" x14ac:dyDescent="0.25">
      <c r="A3036" s="551" t="s">
        <v>37618</v>
      </c>
      <c r="B3036" s="551" t="s">
        <v>37619</v>
      </c>
      <c r="C3036" s="552" t="s">
        <v>158</v>
      </c>
      <c r="D3036" s="557">
        <v>131.75</v>
      </c>
      <c r="E3036" s="557">
        <v>83.89</v>
      </c>
      <c r="F3036" s="557">
        <v>47.86</v>
      </c>
      <c r="G3036" s="557">
        <v>131.75</v>
      </c>
    </row>
    <row r="3037" spans="1:7" ht="24.95" customHeight="1" x14ac:dyDescent="0.25">
      <c r="A3037" s="551" t="s">
        <v>37620</v>
      </c>
      <c r="B3037" s="342" t="s">
        <v>37621</v>
      </c>
      <c r="C3037" s="552" t="s">
        <v>158</v>
      </c>
      <c r="D3037" s="557">
        <v>213.32</v>
      </c>
      <c r="E3037" s="557">
        <v>160.66999999999999</v>
      </c>
      <c r="F3037" s="557">
        <v>52.65</v>
      </c>
      <c r="G3037" s="557">
        <v>213.32</v>
      </c>
    </row>
    <row r="3038" spans="1:7" ht="24.95" customHeight="1" x14ac:dyDescent="0.25">
      <c r="A3038" s="551" t="s">
        <v>37622</v>
      </c>
      <c r="B3038" s="342" t="s">
        <v>37623</v>
      </c>
      <c r="C3038" s="552"/>
      <c r="D3038" s="557"/>
      <c r="E3038" s="557"/>
      <c r="F3038" s="557"/>
      <c r="G3038" s="557"/>
    </row>
    <row r="3039" spans="1:7" ht="12.6" customHeight="1" x14ac:dyDescent="0.2">
      <c r="A3039" s="548" t="s">
        <v>37624</v>
      </c>
      <c r="B3039" s="548" t="s">
        <v>37625</v>
      </c>
      <c r="C3039" s="550" t="s">
        <v>158</v>
      </c>
      <c r="D3039" s="550">
        <v>36.31</v>
      </c>
      <c r="E3039" s="550">
        <v>12.37</v>
      </c>
      <c r="F3039" s="550">
        <v>23.94</v>
      </c>
      <c r="G3039" s="550">
        <v>36.31</v>
      </c>
    </row>
    <row r="3040" spans="1:7" ht="12.6" customHeight="1" x14ac:dyDescent="0.25">
      <c r="A3040" s="551" t="s">
        <v>37626</v>
      </c>
      <c r="B3040" s="551" t="s">
        <v>37627</v>
      </c>
      <c r="C3040" s="552" t="s">
        <v>158</v>
      </c>
      <c r="D3040" s="557">
        <v>45.51</v>
      </c>
      <c r="E3040" s="557">
        <v>16.8</v>
      </c>
      <c r="F3040" s="557">
        <v>28.71</v>
      </c>
      <c r="G3040" s="557">
        <v>45.51</v>
      </c>
    </row>
    <row r="3041" spans="1:7" ht="12.6" customHeight="1" x14ac:dyDescent="0.25">
      <c r="A3041" s="551" t="s">
        <v>37628</v>
      </c>
      <c r="B3041" s="551" t="s">
        <v>37629</v>
      </c>
      <c r="C3041" s="552" t="s">
        <v>158</v>
      </c>
      <c r="D3041" s="557">
        <v>71.28</v>
      </c>
      <c r="E3041" s="557">
        <v>28.21</v>
      </c>
      <c r="F3041" s="557">
        <v>43.07</v>
      </c>
      <c r="G3041" s="557">
        <v>71.28</v>
      </c>
    </row>
    <row r="3042" spans="1:7" ht="12.6" customHeight="1" x14ac:dyDescent="0.25">
      <c r="A3042" s="551" t="s">
        <v>37630</v>
      </c>
      <c r="B3042" s="551" t="s">
        <v>37631</v>
      </c>
      <c r="C3042" s="552" t="s">
        <v>158</v>
      </c>
      <c r="D3042" s="557">
        <v>77.84</v>
      </c>
      <c r="E3042" s="557">
        <v>25.19</v>
      </c>
      <c r="F3042" s="557">
        <v>52.65</v>
      </c>
      <c r="G3042" s="557">
        <v>77.84</v>
      </c>
    </row>
    <row r="3043" spans="1:7" ht="12.6" customHeight="1" x14ac:dyDescent="0.2">
      <c r="A3043" s="548" t="s">
        <v>37632</v>
      </c>
      <c r="B3043" s="548" t="s">
        <v>37633</v>
      </c>
      <c r="C3043" s="550"/>
      <c r="D3043" s="550"/>
      <c r="E3043" s="550"/>
      <c r="F3043" s="550"/>
      <c r="G3043" s="550"/>
    </row>
    <row r="3044" spans="1:7" ht="12.6" customHeight="1" x14ac:dyDescent="0.25">
      <c r="A3044" s="551" t="s">
        <v>37634</v>
      </c>
      <c r="B3044" s="551" t="s">
        <v>37635</v>
      </c>
      <c r="C3044" s="552" t="s">
        <v>158</v>
      </c>
      <c r="D3044" s="553">
        <v>50.85</v>
      </c>
      <c r="E3044" s="553">
        <v>22.14</v>
      </c>
      <c r="F3044" s="557">
        <v>28.71</v>
      </c>
      <c r="G3044" s="553">
        <v>50.85</v>
      </c>
    </row>
    <row r="3045" spans="1:7" ht="12.6" customHeight="1" x14ac:dyDescent="0.25">
      <c r="A3045" s="551" t="s">
        <v>37636</v>
      </c>
      <c r="B3045" s="551" t="s">
        <v>37637</v>
      </c>
      <c r="C3045" s="552" t="s">
        <v>158</v>
      </c>
      <c r="D3045" s="557">
        <v>83.34</v>
      </c>
      <c r="E3045" s="557">
        <v>40.270000000000003</v>
      </c>
      <c r="F3045" s="557">
        <v>43.07</v>
      </c>
      <c r="G3045" s="557">
        <v>83.34</v>
      </c>
    </row>
    <row r="3046" spans="1:7" ht="12.6" customHeight="1" x14ac:dyDescent="0.25">
      <c r="A3046" s="551" t="s">
        <v>37638</v>
      </c>
      <c r="B3046" s="551" t="s">
        <v>37639</v>
      </c>
      <c r="C3046" s="552" t="s">
        <v>158</v>
      </c>
      <c r="D3046" s="553">
        <v>107.55</v>
      </c>
      <c r="E3046" s="553">
        <v>54.9</v>
      </c>
      <c r="F3046" s="557">
        <v>52.65</v>
      </c>
      <c r="G3046" s="553">
        <v>107.55</v>
      </c>
    </row>
    <row r="3047" spans="1:7" ht="12.6" customHeight="1" x14ac:dyDescent="0.25">
      <c r="A3047" s="551" t="s">
        <v>37640</v>
      </c>
      <c r="B3047" s="551" t="s">
        <v>37641</v>
      </c>
      <c r="C3047" s="552" t="s">
        <v>158</v>
      </c>
      <c r="D3047" s="557">
        <v>156.78</v>
      </c>
      <c r="E3047" s="557">
        <v>104.13</v>
      </c>
      <c r="F3047" s="557">
        <v>52.65</v>
      </c>
      <c r="G3047" s="557">
        <v>156.78</v>
      </c>
    </row>
    <row r="3048" spans="1:7" ht="12.6" customHeight="1" x14ac:dyDescent="0.25">
      <c r="A3048" s="551" t="s">
        <v>37642</v>
      </c>
      <c r="B3048" s="551" t="s">
        <v>37643</v>
      </c>
      <c r="C3048" s="552" t="s">
        <v>158</v>
      </c>
      <c r="D3048" s="557">
        <v>43.07</v>
      </c>
      <c r="E3048" s="557">
        <v>19.13</v>
      </c>
      <c r="F3048" s="557">
        <v>23.94</v>
      </c>
      <c r="G3048" s="557">
        <v>43.07</v>
      </c>
    </row>
    <row r="3049" spans="1:7" ht="12.6" customHeight="1" x14ac:dyDescent="0.25">
      <c r="A3049" s="551" t="s">
        <v>37644</v>
      </c>
      <c r="B3049" s="551" t="s">
        <v>37645</v>
      </c>
      <c r="C3049" s="552"/>
      <c r="D3049" s="557"/>
      <c r="E3049" s="557"/>
      <c r="F3049" s="557"/>
      <c r="G3049" s="557"/>
    </row>
    <row r="3050" spans="1:7" ht="12.6" customHeight="1" x14ac:dyDescent="0.25">
      <c r="A3050" s="551" t="s">
        <v>37646</v>
      </c>
      <c r="B3050" s="551" t="s">
        <v>37647</v>
      </c>
      <c r="C3050" s="552" t="s">
        <v>158</v>
      </c>
      <c r="D3050" s="557">
        <v>45.19</v>
      </c>
      <c r="E3050" s="557">
        <v>28.35</v>
      </c>
      <c r="F3050" s="557">
        <v>16.84</v>
      </c>
      <c r="G3050" s="557">
        <v>45.19</v>
      </c>
    </row>
    <row r="3051" spans="1:7" ht="12.6" customHeight="1" x14ac:dyDescent="0.25">
      <c r="A3051" s="551" t="s">
        <v>37648</v>
      </c>
      <c r="B3051" s="551" t="s">
        <v>37649</v>
      </c>
      <c r="C3051" s="552" t="s">
        <v>158</v>
      </c>
      <c r="D3051" s="557">
        <v>66</v>
      </c>
      <c r="E3051" s="557">
        <v>49.16</v>
      </c>
      <c r="F3051" s="557">
        <v>16.84</v>
      </c>
      <c r="G3051" s="557">
        <v>66</v>
      </c>
    </row>
    <row r="3052" spans="1:7" ht="12.6" customHeight="1" x14ac:dyDescent="0.25">
      <c r="A3052" s="551" t="s">
        <v>37650</v>
      </c>
      <c r="B3052" s="551" t="s">
        <v>37651</v>
      </c>
      <c r="C3052" s="552" t="s">
        <v>158</v>
      </c>
      <c r="D3052" s="557">
        <v>123.54</v>
      </c>
      <c r="E3052" s="557">
        <v>106.7</v>
      </c>
      <c r="F3052" s="557">
        <v>16.84</v>
      </c>
      <c r="G3052" s="557">
        <v>123.54</v>
      </c>
    </row>
    <row r="3053" spans="1:7" ht="12.6" customHeight="1" x14ac:dyDescent="0.25">
      <c r="A3053" s="551" t="s">
        <v>37652</v>
      </c>
      <c r="B3053" s="551" t="s">
        <v>37653</v>
      </c>
      <c r="C3053" s="552" t="s">
        <v>158</v>
      </c>
      <c r="D3053" s="557">
        <v>100.53</v>
      </c>
      <c r="E3053" s="557">
        <v>83.69</v>
      </c>
      <c r="F3053" s="557">
        <v>16.84</v>
      </c>
      <c r="G3053" s="557">
        <v>100.53</v>
      </c>
    </row>
    <row r="3054" spans="1:7" ht="12.6" customHeight="1" x14ac:dyDescent="0.25">
      <c r="A3054" s="551" t="s">
        <v>37654</v>
      </c>
      <c r="B3054" s="551" t="s">
        <v>37655</v>
      </c>
      <c r="C3054" s="552" t="s">
        <v>158</v>
      </c>
      <c r="D3054" s="557">
        <v>190.53</v>
      </c>
      <c r="E3054" s="557">
        <v>173.69</v>
      </c>
      <c r="F3054" s="557">
        <v>16.84</v>
      </c>
      <c r="G3054" s="557">
        <v>190.53</v>
      </c>
    </row>
    <row r="3055" spans="1:7" ht="12.6" customHeight="1" x14ac:dyDescent="0.25">
      <c r="A3055" s="551" t="s">
        <v>37656</v>
      </c>
      <c r="B3055" s="551" t="s">
        <v>37657</v>
      </c>
      <c r="C3055" s="552" t="s">
        <v>158</v>
      </c>
      <c r="D3055" s="557">
        <v>276</v>
      </c>
      <c r="E3055" s="557">
        <v>242.33</v>
      </c>
      <c r="F3055" s="557">
        <v>33.67</v>
      </c>
      <c r="G3055" s="557">
        <v>276</v>
      </c>
    </row>
    <row r="3056" spans="1:7" ht="12.6" customHeight="1" x14ac:dyDescent="0.25">
      <c r="A3056" s="551" t="s">
        <v>37658</v>
      </c>
      <c r="B3056" s="551" t="s">
        <v>37659</v>
      </c>
      <c r="C3056" s="552" t="s">
        <v>158</v>
      </c>
      <c r="D3056" s="553">
        <v>438.53</v>
      </c>
      <c r="E3056" s="553">
        <v>404.86</v>
      </c>
      <c r="F3056" s="557">
        <v>33.67</v>
      </c>
      <c r="G3056" s="553">
        <v>438.53</v>
      </c>
    </row>
    <row r="3057" spans="1:7" ht="12.6" customHeight="1" x14ac:dyDescent="0.25">
      <c r="A3057" s="551" t="s">
        <v>37660</v>
      </c>
      <c r="B3057" s="551" t="s">
        <v>37661</v>
      </c>
      <c r="C3057" s="552" t="s">
        <v>158</v>
      </c>
      <c r="D3057" s="553">
        <v>668.64</v>
      </c>
      <c r="E3057" s="553">
        <v>634.97</v>
      </c>
      <c r="F3057" s="557">
        <v>33.67</v>
      </c>
      <c r="G3057" s="553">
        <v>668.64</v>
      </c>
    </row>
    <row r="3058" spans="1:7" ht="12.6" customHeight="1" x14ac:dyDescent="0.25">
      <c r="A3058" s="551" t="s">
        <v>37662</v>
      </c>
      <c r="B3058" s="551" t="s">
        <v>37663</v>
      </c>
      <c r="C3058" s="552"/>
      <c r="D3058" s="553"/>
      <c r="E3058" s="553"/>
      <c r="F3058" s="557"/>
      <c r="G3058" s="553"/>
    </row>
    <row r="3059" spans="1:7" ht="12.6" customHeight="1" x14ac:dyDescent="0.25">
      <c r="A3059" s="551" t="s">
        <v>37664</v>
      </c>
      <c r="B3059" s="551" t="s">
        <v>37665</v>
      </c>
      <c r="C3059" s="552" t="s">
        <v>158</v>
      </c>
      <c r="D3059" s="553">
        <v>53.98</v>
      </c>
      <c r="E3059" s="553">
        <v>37.14</v>
      </c>
      <c r="F3059" s="557">
        <v>16.84</v>
      </c>
      <c r="G3059" s="553">
        <v>53.98</v>
      </c>
    </row>
    <row r="3060" spans="1:7" ht="12.6" customHeight="1" x14ac:dyDescent="0.25">
      <c r="A3060" s="551" t="s">
        <v>37666</v>
      </c>
      <c r="B3060" s="551" t="s">
        <v>37667</v>
      </c>
      <c r="C3060" s="552" t="s">
        <v>158</v>
      </c>
      <c r="D3060" s="553">
        <v>91.42</v>
      </c>
      <c r="E3060" s="553">
        <v>74.58</v>
      </c>
      <c r="F3060" s="557">
        <v>16.84</v>
      </c>
      <c r="G3060" s="553">
        <v>91.42</v>
      </c>
    </row>
    <row r="3061" spans="1:7" ht="12.6" customHeight="1" x14ac:dyDescent="0.25">
      <c r="A3061" s="551" t="s">
        <v>37668</v>
      </c>
      <c r="B3061" s="551" t="s">
        <v>37669</v>
      </c>
      <c r="C3061" s="552" t="s">
        <v>158</v>
      </c>
      <c r="D3061" s="557">
        <v>156.43</v>
      </c>
      <c r="E3061" s="557">
        <v>122.76</v>
      </c>
      <c r="F3061" s="557">
        <v>33.67</v>
      </c>
      <c r="G3061" s="557">
        <v>156.43</v>
      </c>
    </row>
    <row r="3062" spans="1:7" ht="12.6" customHeight="1" x14ac:dyDescent="0.25">
      <c r="A3062" s="551" t="s">
        <v>37670</v>
      </c>
      <c r="B3062" s="551" t="s">
        <v>37671</v>
      </c>
      <c r="C3062" s="552" t="s">
        <v>158</v>
      </c>
      <c r="D3062" s="557">
        <v>240.36</v>
      </c>
      <c r="E3062" s="557">
        <v>206.69</v>
      </c>
      <c r="F3062" s="557">
        <v>33.67</v>
      </c>
      <c r="G3062" s="557">
        <v>240.36</v>
      </c>
    </row>
    <row r="3063" spans="1:7" ht="12.6" customHeight="1" x14ac:dyDescent="0.25">
      <c r="A3063" s="551" t="s">
        <v>37672</v>
      </c>
      <c r="B3063" s="551" t="s">
        <v>37673</v>
      </c>
      <c r="C3063" s="552" t="s">
        <v>158</v>
      </c>
      <c r="D3063" s="553">
        <v>376.8</v>
      </c>
      <c r="E3063" s="553">
        <v>343.13</v>
      </c>
      <c r="F3063" s="557">
        <v>33.67</v>
      </c>
      <c r="G3063" s="553">
        <v>376.8</v>
      </c>
    </row>
    <row r="3064" spans="1:7" ht="12.6" customHeight="1" x14ac:dyDescent="0.2">
      <c r="A3064" s="548" t="s">
        <v>37674</v>
      </c>
      <c r="B3064" s="548" t="s">
        <v>37675</v>
      </c>
      <c r="C3064" s="550" t="s">
        <v>158</v>
      </c>
      <c r="D3064" s="550">
        <v>675.81</v>
      </c>
      <c r="E3064" s="550">
        <v>642.14</v>
      </c>
      <c r="F3064" s="550">
        <v>33.67</v>
      </c>
      <c r="G3064" s="550">
        <v>675.81</v>
      </c>
    </row>
    <row r="3065" spans="1:7" ht="12.6" customHeight="1" x14ac:dyDescent="0.25">
      <c r="A3065" s="551" t="s">
        <v>37676</v>
      </c>
      <c r="B3065" s="551" t="s">
        <v>37677</v>
      </c>
      <c r="C3065" s="552"/>
      <c r="D3065" s="557"/>
      <c r="E3065" s="557"/>
      <c r="F3065" s="557"/>
      <c r="G3065" s="557"/>
    </row>
    <row r="3066" spans="1:7" ht="12.6" customHeight="1" x14ac:dyDescent="0.25">
      <c r="A3066" s="551" t="s">
        <v>37678</v>
      </c>
      <c r="B3066" s="551" t="s">
        <v>37679</v>
      </c>
      <c r="C3066" s="552" t="s">
        <v>158</v>
      </c>
      <c r="D3066" s="557">
        <v>91.94</v>
      </c>
      <c r="E3066" s="557">
        <v>44.08</v>
      </c>
      <c r="F3066" s="557">
        <v>47.86</v>
      </c>
      <c r="G3066" s="557">
        <v>91.94</v>
      </c>
    </row>
    <row r="3067" spans="1:7" ht="12.6" customHeight="1" x14ac:dyDescent="0.25">
      <c r="A3067" s="551" t="s">
        <v>37680</v>
      </c>
      <c r="B3067" s="551" t="s">
        <v>37681</v>
      </c>
      <c r="C3067" s="552" t="s">
        <v>158</v>
      </c>
      <c r="D3067" s="557">
        <v>101.52</v>
      </c>
      <c r="E3067" s="557">
        <v>48.87</v>
      </c>
      <c r="F3067" s="557">
        <v>52.65</v>
      </c>
      <c r="G3067" s="557">
        <v>101.52</v>
      </c>
    </row>
    <row r="3068" spans="1:7" ht="12.6" customHeight="1" x14ac:dyDescent="0.25">
      <c r="A3068" s="551" t="s">
        <v>37682</v>
      </c>
      <c r="B3068" s="551" t="s">
        <v>37683</v>
      </c>
      <c r="C3068" s="552" t="s">
        <v>158</v>
      </c>
      <c r="D3068" s="557">
        <v>134.03</v>
      </c>
      <c r="E3068" s="557">
        <v>71.81</v>
      </c>
      <c r="F3068" s="557">
        <v>62.22</v>
      </c>
      <c r="G3068" s="557">
        <v>134.03</v>
      </c>
    </row>
    <row r="3069" spans="1:7" ht="12.6" customHeight="1" x14ac:dyDescent="0.2">
      <c r="A3069" s="551" t="s">
        <v>37684</v>
      </c>
      <c r="B3069" s="551" t="s">
        <v>37685</v>
      </c>
      <c r="C3069" s="552" t="s">
        <v>158</v>
      </c>
      <c r="D3069" s="557">
        <v>155.66</v>
      </c>
      <c r="E3069" s="343">
        <v>88.65</v>
      </c>
      <c r="F3069" s="557">
        <v>67.010000000000005</v>
      </c>
      <c r="G3069" s="557">
        <v>155.66</v>
      </c>
    </row>
    <row r="3070" spans="1:7" ht="12.6" customHeight="1" x14ac:dyDescent="0.25">
      <c r="A3070" s="551" t="s">
        <v>37686</v>
      </c>
      <c r="B3070" s="551" t="s">
        <v>37687</v>
      </c>
      <c r="C3070" s="552" t="s">
        <v>158</v>
      </c>
      <c r="D3070" s="557">
        <v>179.17</v>
      </c>
      <c r="E3070" s="557">
        <v>102.6</v>
      </c>
      <c r="F3070" s="557">
        <v>76.569999999999993</v>
      </c>
      <c r="G3070" s="557">
        <v>179.17</v>
      </c>
    </row>
    <row r="3071" spans="1:7" ht="12.6" customHeight="1" x14ac:dyDescent="0.25">
      <c r="A3071" s="551" t="s">
        <v>37688</v>
      </c>
      <c r="B3071" s="551" t="s">
        <v>37689</v>
      </c>
      <c r="C3071" s="552" t="s">
        <v>158</v>
      </c>
      <c r="D3071" s="557">
        <v>221.48</v>
      </c>
      <c r="E3071" s="557">
        <v>135.33000000000001</v>
      </c>
      <c r="F3071" s="557">
        <v>86.15</v>
      </c>
      <c r="G3071" s="557">
        <v>221.48</v>
      </c>
    </row>
    <row r="3072" spans="1:7" ht="12.6" customHeight="1" x14ac:dyDescent="0.25">
      <c r="A3072" s="551" t="s">
        <v>37690</v>
      </c>
      <c r="B3072" s="551" t="s">
        <v>37691</v>
      </c>
      <c r="C3072" s="552" t="s">
        <v>158</v>
      </c>
      <c r="D3072" s="557">
        <v>274.89</v>
      </c>
      <c r="E3072" s="557">
        <v>179.17</v>
      </c>
      <c r="F3072" s="557">
        <v>95.72</v>
      </c>
      <c r="G3072" s="557">
        <v>274.89</v>
      </c>
    </row>
    <row r="3073" spans="1:7" ht="23.1" customHeight="1" x14ac:dyDescent="0.25">
      <c r="A3073" s="551" t="s">
        <v>37692</v>
      </c>
      <c r="B3073" s="551" t="s">
        <v>37693</v>
      </c>
      <c r="C3073" s="552" t="s">
        <v>158</v>
      </c>
      <c r="D3073" s="557">
        <v>308.3</v>
      </c>
      <c r="E3073" s="557">
        <v>200.61</v>
      </c>
      <c r="F3073" s="557">
        <v>107.69</v>
      </c>
      <c r="G3073" s="557">
        <v>308.3</v>
      </c>
    </row>
    <row r="3074" spans="1:7" ht="12.6" customHeight="1" x14ac:dyDescent="0.25">
      <c r="A3074" s="551" t="s">
        <v>37694</v>
      </c>
      <c r="B3074" s="551" t="s">
        <v>37695</v>
      </c>
      <c r="C3074" s="552" t="s">
        <v>158</v>
      </c>
      <c r="D3074" s="557">
        <v>410.96</v>
      </c>
      <c r="E3074" s="557">
        <v>291.3</v>
      </c>
      <c r="F3074" s="557">
        <v>119.66</v>
      </c>
      <c r="G3074" s="557">
        <v>410.96</v>
      </c>
    </row>
    <row r="3075" spans="1:7" ht="12.6" customHeight="1" x14ac:dyDescent="0.25">
      <c r="A3075" s="551" t="s">
        <v>37696</v>
      </c>
      <c r="B3075" s="551" t="s">
        <v>37697</v>
      </c>
      <c r="C3075" s="552" t="s">
        <v>158</v>
      </c>
      <c r="D3075" s="557">
        <v>641.78</v>
      </c>
      <c r="E3075" s="557">
        <v>510.17</v>
      </c>
      <c r="F3075" s="557">
        <v>131.61000000000001</v>
      </c>
      <c r="G3075" s="557">
        <v>641.78</v>
      </c>
    </row>
    <row r="3076" spans="1:7" ht="12.6" customHeight="1" x14ac:dyDescent="0.25">
      <c r="A3076" s="551" t="s">
        <v>37698</v>
      </c>
      <c r="B3076" s="551" t="s">
        <v>37699</v>
      </c>
      <c r="C3076" s="552"/>
      <c r="D3076" s="557"/>
      <c r="E3076" s="557"/>
      <c r="F3076" s="557"/>
      <c r="G3076" s="557"/>
    </row>
    <row r="3077" spans="1:7" ht="12.6" customHeight="1" x14ac:dyDescent="0.25">
      <c r="A3077" s="551" t="s">
        <v>37700</v>
      </c>
      <c r="B3077" s="551" t="s">
        <v>37701</v>
      </c>
      <c r="C3077" s="552" t="s">
        <v>158</v>
      </c>
      <c r="D3077" s="557">
        <v>115.56</v>
      </c>
      <c r="E3077" s="557">
        <v>67.7</v>
      </c>
      <c r="F3077" s="557">
        <v>47.86</v>
      </c>
      <c r="G3077" s="557">
        <v>115.56</v>
      </c>
    </row>
    <row r="3078" spans="1:7" ht="12.6" customHeight="1" x14ac:dyDescent="0.25">
      <c r="A3078" s="551" t="s">
        <v>37702</v>
      </c>
      <c r="B3078" s="551" t="s">
        <v>37703</v>
      </c>
      <c r="C3078" s="552" t="s">
        <v>158</v>
      </c>
      <c r="D3078" s="557">
        <v>121.39</v>
      </c>
      <c r="E3078" s="557">
        <v>68.739999999999995</v>
      </c>
      <c r="F3078" s="557">
        <v>52.65</v>
      </c>
      <c r="G3078" s="557">
        <v>121.39</v>
      </c>
    </row>
    <row r="3079" spans="1:7" ht="12.6" customHeight="1" x14ac:dyDescent="0.25">
      <c r="A3079" s="551" t="s">
        <v>37704</v>
      </c>
      <c r="B3079" s="551" t="s">
        <v>37705</v>
      </c>
      <c r="C3079" s="552" t="s">
        <v>158</v>
      </c>
      <c r="D3079" s="557">
        <v>144.66999999999999</v>
      </c>
      <c r="E3079" s="557">
        <v>82.45</v>
      </c>
      <c r="F3079" s="557">
        <v>62.22</v>
      </c>
      <c r="G3079" s="557">
        <v>144.66999999999999</v>
      </c>
    </row>
    <row r="3080" spans="1:7" ht="12.6" customHeight="1" x14ac:dyDescent="0.25">
      <c r="A3080" s="551" t="s">
        <v>37706</v>
      </c>
      <c r="B3080" s="551" t="s">
        <v>37707</v>
      </c>
      <c r="C3080" s="552" t="s">
        <v>158</v>
      </c>
      <c r="D3080" s="557">
        <v>191.03</v>
      </c>
      <c r="E3080" s="557">
        <v>124.02</v>
      </c>
      <c r="F3080" s="557">
        <v>67.010000000000005</v>
      </c>
      <c r="G3080" s="557">
        <v>191.03</v>
      </c>
    </row>
    <row r="3081" spans="1:7" ht="12.6" customHeight="1" x14ac:dyDescent="0.25">
      <c r="A3081" s="551" t="s">
        <v>37708</v>
      </c>
      <c r="B3081" s="551" t="s">
        <v>37709</v>
      </c>
      <c r="C3081" s="552" t="s">
        <v>158</v>
      </c>
      <c r="D3081" s="557">
        <v>223.3</v>
      </c>
      <c r="E3081" s="557">
        <v>146.72999999999999</v>
      </c>
      <c r="F3081" s="557">
        <v>76.569999999999993</v>
      </c>
      <c r="G3081" s="557">
        <v>223.3</v>
      </c>
    </row>
    <row r="3082" spans="1:7" ht="12.6" customHeight="1" x14ac:dyDescent="0.25">
      <c r="A3082" s="551" t="s">
        <v>37710</v>
      </c>
      <c r="B3082" s="551" t="s">
        <v>37711</v>
      </c>
      <c r="C3082" s="552" t="s">
        <v>158</v>
      </c>
      <c r="D3082" s="557">
        <v>248.12</v>
      </c>
      <c r="E3082" s="557">
        <v>161.97</v>
      </c>
      <c r="F3082" s="557">
        <v>86.15</v>
      </c>
      <c r="G3082" s="557">
        <v>248.12</v>
      </c>
    </row>
    <row r="3083" spans="1:7" ht="12.6" customHeight="1" x14ac:dyDescent="0.25">
      <c r="A3083" s="551" t="s">
        <v>37712</v>
      </c>
      <c r="B3083" s="551" t="s">
        <v>37713</v>
      </c>
      <c r="C3083" s="552" t="s">
        <v>158</v>
      </c>
      <c r="D3083" s="557">
        <v>354.34</v>
      </c>
      <c r="E3083" s="557">
        <v>258.62</v>
      </c>
      <c r="F3083" s="557">
        <v>95.72</v>
      </c>
      <c r="G3083" s="557">
        <v>354.34</v>
      </c>
    </row>
    <row r="3084" spans="1:7" ht="12.6" customHeight="1" x14ac:dyDescent="0.25">
      <c r="A3084" s="551" t="s">
        <v>37714</v>
      </c>
      <c r="B3084" s="551" t="s">
        <v>37715</v>
      </c>
      <c r="C3084" s="552" t="s">
        <v>158</v>
      </c>
      <c r="D3084" s="557">
        <v>425.95</v>
      </c>
      <c r="E3084" s="557">
        <v>318.26</v>
      </c>
      <c r="F3084" s="557">
        <v>107.69</v>
      </c>
      <c r="G3084" s="557">
        <v>425.95</v>
      </c>
    </row>
    <row r="3085" spans="1:7" ht="12.6" customHeight="1" x14ac:dyDescent="0.25">
      <c r="A3085" s="551" t="s">
        <v>37716</v>
      </c>
      <c r="B3085" s="551" t="s">
        <v>37717</v>
      </c>
      <c r="C3085" s="552" t="s">
        <v>158</v>
      </c>
      <c r="D3085" s="557">
        <v>506.76</v>
      </c>
      <c r="E3085" s="557">
        <v>387.1</v>
      </c>
      <c r="F3085" s="557">
        <v>119.66</v>
      </c>
      <c r="G3085" s="557">
        <v>506.76</v>
      </c>
    </row>
    <row r="3086" spans="1:7" ht="11.45" customHeight="1" x14ac:dyDescent="0.25">
      <c r="A3086" s="543" t="s">
        <v>37718</v>
      </c>
      <c r="B3086" s="544" t="s">
        <v>37719</v>
      </c>
      <c r="C3086" s="544" t="s">
        <v>158</v>
      </c>
      <c r="D3086" s="543">
        <v>910.57</v>
      </c>
      <c r="E3086" s="545">
        <v>778.96</v>
      </c>
      <c r="F3086" s="546">
        <v>131.61000000000001</v>
      </c>
      <c r="G3086" s="543">
        <v>910.57</v>
      </c>
    </row>
    <row r="3087" spans="1:7" ht="12.6" customHeight="1" x14ac:dyDescent="0.25">
      <c r="A3087" s="551" t="s">
        <v>37720</v>
      </c>
      <c r="B3087" s="551" t="s">
        <v>37721</v>
      </c>
      <c r="C3087" s="552"/>
      <c r="D3087" s="557"/>
      <c r="E3087" s="557"/>
      <c r="F3087" s="557"/>
      <c r="G3087" s="557"/>
    </row>
    <row r="3088" spans="1:7" ht="12.6" customHeight="1" x14ac:dyDescent="0.25">
      <c r="A3088" s="551" t="s">
        <v>37722</v>
      </c>
      <c r="B3088" s="551" t="s">
        <v>37723</v>
      </c>
      <c r="C3088" s="552" t="s">
        <v>226</v>
      </c>
      <c r="D3088" s="557">
        <v>73.92</v>
      </c>
      <c r="E3088" s="557">
        <v>59.56</v>
      </c>
      <c r="F3088" s="557">
        <v>14.36</v>
      </c>
      <c r="G3088" s="557">
        <v>73.92</v>
      </c>
    </row>
    <row r="3089" spans="1:7" ht="12.6" customHeight="1" x14ac:dyDescent="0.25">
      <c r="A3089" s="551" t="s">
        <v>37724</v>
      </c>
      <c r="B3089" s="551" t="s">
        <v>37725</v>
      </c>
      <c r="C3089" s="552" t="s">
        <v>226</v>
      </c>
      <c r="D3089" s="557">
        <v>96.18</v>
      </c>
      <c r="E3089" s="557">
        <v>81.819999999999993</v>
      </c>
      <c r="F3089" s="557">
        <v>14.36</v>
      </c>
      <c r="G3089" s="557">
        <v>96.18</v>
      </c>
    </row>
    <row r="3090" spans="1:7" ht="12.6" customHeight="1" x14ac:dyDescent="0.25">
      <c r="A3090" s="551" t="s">
        <v>37726</v>
      </c>
      <c r="B3090" s="551" t="s">
        <v>37727</v>
      </c>
      <c r="C3090" s="552" t="s">
        <v>226</v>
      </c>
      <c r="D3090" s="557">
        <v>131.83000000000001</v>
      </c>
      <c r="E3090" s="557">
        <v>112.68</v>
      </c>
      <c r="F3090" s="557">
        <v>19.149999999999999</v>
      </c>
      <c r="G3090" s="557">
        <v>131.83000000000001</v>
      </c>
    </row>
    <row r="3091" spans="1:7" ht="12.6" customHeight="1" x14ac:dyDescent="0.2">
      <c r="A3091" s="559" t="s">
        <v>37728</v>
      </c>
      <c r="B3091" s="548" t="s">
        <v>37729</v>
      </c>
      <c r="C3091" s="550" t="s">
        <v>226</v>
      </c>
      <c r="D3091" s="550">
        <v>199.22</v>
      </c>
      <c r="E3091" s="550">
        <v>180.07</v>
      </c>
      <c r="F3091" s="550">
        <v>19.149999999999999</v>
      </c>
      <c r="G3091" s="550">
        <v>199.22</v>
      </c>
    </row>
    <row r="3092" spans="1:7" ht="12.6" customHeight="1" x14ac:dyDescent="0.2">
      <c r="A3092" s="548" t="s">
        <v>37730</v>
      </c>
      <c r="B3092" s="548" t="s">
        <v>37731</v>
      </c>
      <c r="C3092" s="550" t="s">
        <v>226</v>
      </c>
      <c r="D3092" s="550">
        <v>107.14</v>
      </c>
      <c r="E3092" s="550">
        <v>92.78</v>
      </c>
      <c r="F3092" s="550">
        <v>14.36</v>
      </c>
      <c r="G3092" s="550">
        <v>107.14</v>
      </c>
    </row>
    <row r="3093" spans="1:7" ht="12.6" customHeight="1" x14ac:dyDescent="0.25">
      <c r="A3093" s="551" t="s">
        <v>37732</v>
      </c>
      <c r="B3093" s="551" t="s">
        <v>37733</v>
      </c>
      <c r="C3093" s="552" t="s">
        <v>226</v>
      </c>
      <c r="D3093" s="553">
        <v>126.7</v>
      </c>
      <c r="E3093" s="557">
        <v>112.34</v>
      </c>
      <c r="F3093" s="557">
        <v>14.36</v>
      </c>
      <c r="G3093" s="553">
        <v>126.7</v>
      </c>
    </row>
    <row r="3094" spans="1:7" ht="12.6" customHeight="1" x14ac:dyDescent="0.25">
      <c r="A3094" s="551" t="s">
        <v>37734</v>
      </c>
      <c r="B3094" s="551" t="s">
        <v>37735</v>
      </c>
      <c r="C3094" s="552" t="s">
        <v>226</v>
      </c>
      <c r="D3094" s="553">
        <v>198.07</v>
      </c>
      <c r="E3094" s="557">
        <v>178.92</v>
      </c>
      <c r="F3094" s="557">
        <v>19.149999999999999</v>
      </c>
      <c r="G3094" s="553">
        <v>198.07</v>
      </c>
    </row>
    <row r="3095" spans="1:7" ht="23.1" customHeight="1" x14ac:dyDescent="0.25">
      <c r="A3095" s="551" t="s">
        <v>37736</v>
      </c>
      <c r="B3095" s="551" t="s">
        <v>37737</v>
      </c>
      <c r="C3095" s="552" t="s">
        <v>226</v>
      </c>
      <c r="D3095" s="553">
        <v>334.06</v>
      </c>
      <c r="E3095" s="553">
        <v>314.91000000000003</v>
      </c>
      <c r="F3095" s="557">
        <v>19.149999999999999</v>
      </c>
      <c r="G3095" s="553">
        <v>334.06</v>
      </c>
    </row>
    <row r="3096" spans="1:7" ht="12.6" customHeight="1" x14ac:dyDescent="0.25">
      <c r="A3096" s="551" t="s">
        <v>37738</v>
      </c>
      <c r="B3096" s="551" t="s">
        <v>37739</v>
      </c>
      <c r="C3096" s="552" t="s">
        <v>226</v>
      </c>
      <c r="D3096" s="553">
        <v>76.52</v>
      </c>
      <c r="E3096" s="553">
        <v>62.16</v>
      </c>
      <c r="F3096" s="557">
        <v>14.36</v>
      </c>
      <c r="G3096" s="553">
        <v>76.52</v>
      </c>
    </row>
    <row r="3097" spans="1:7" ht="23.1" customHeight="1" x14ac:dyDescent="0.25">
      <c r="A3097" s="551" t="s">
        <v>37740</v>
      </c>
      <c r="B3097" s="551" t="s">
        <v>37741</v>
      </c>
      <c r="C3097" s="552" t="s">
        <v>226</v>
      </c>
      <c r="D3097" s="553">
        <v>90.8</v>
      </c>
      <c r="E3097" s="553">
        <v>76.44</v>
      </c>
      <c r="F3097" s="557">
        <v>14.36</v>
      </c>
      <c r="G3097" s="553">
        <v>90.8</v>
      </c>
    </row>
    <row r="3098" spans="1:7" ht="12.6" customHeight="1" x14ac:dyDescent="0.25">
      <c r="A3098" s="551" t="s">
        <v>37742</v>
      </c>
      <c r="B3098" s="551" t="s">
        <v>37743</v>
      </c>
      <c r="C3098" s="552" t="s">
        <v>226</v>
      </c>
      <c r="D3098" s="553">
        <v>108.27</v>
      </c>
      <c r="E3098" s="553">
        <v>89.12</v>
      </c>
      <c r="F3098" s="557">
        <v>19.149999999999999</v>
      </c>
      <c r="G3098" s="553">
        <v>108.27</v>
      </c>
    </row>
    <row r="3099" spans="1:7" ht="12.6" customHeight="1" x14ac:dyDescent="0.2">
      <c r="A3099" s="548" t="s">
        <v>37744</v>
      </c>
      <c r="B3099" s="548" t="s">
        <v>37745</v>
      </c>
      <c r="C3099" s="550" t="s">
        <v>226</v>
      </c>
      <c r="D3099" s="550">
        <v>144.25</v>
      </c>
      <c r="E3099" s="550">
        <v>125.1</v>
      </c>
      <c r="F3099" s="550">
        <v>19.149999999999999</v>
      </c>
      <c r="G3099" s="550">
        <v>144.25</v>
      </c>
    </row>
    <row r="3100" spans="1:7" ht="12.6" customHeight="1" x14ac:dyDescent="0.25">
      <c r="A3100" s="551" t="s">
        <v>37746</v>
      </c>
      <c r="B3100" s="551" t="s">
        <v>37747</v>
      </c>
      <c r="C3100" s="552" t="s">
        <v>226</v>
      </c>
      <c r="D3100" s="553">
        <v>64.08</v>
      </c>
      <c r="E3100" s="553">
        <v>49.72</v>
      </c>
      <c r="F3100" s="557">
        <v>14.36</v>
      </c>
      <c r="G3100" s="553">
        <v>64.08</v>
      </c>
    </row>
    <row r="3101" spans="1:7" ht="12.6" customHeight="1" x14ac:dyDescent="0.25">
      <c r="A3101" s="551" t="s">
        <v>37748</v>
      </c>
      <c r="B3101" s="551" t="s">
        <v>37749</v>
      </c>
      <c r="C3101" s="552" t="s">
        <v>226</v>
      </c>
      <c r="D3101" s="553">
        <v>86.45</v>
      </c>
      <c r="E3101" s="553">
        <v>67.3</v>
      </c>
      <c r="F3101" s="553">
        <v>19.149999999999999</v>
      </c>
      <c r="G3101" s="553">
        <v>86.45</v>
      </c>
    </row>
    <row r="3102" spans="1:7" ht="12.6" customHeight="1" x14ac:dyDescent="0.25">
      <c r="A3102" s="551" t="s">
        <v>37750</v>
      </c>
      <c r="B3102" s="551" t="s">
        <v>37751</v>
      </c>
      <c r="C3102" s="552" t="s">
        <v>226</v>
      </c>
      <c r="D3102" s="553">
        <v>130.07</v>
      </c>
      <c r="E3102" s="553">
        <v>115.71</v>
      </c>
      <c r="F3102" s="553">
        <v>14.36</v>
      </c>
      <c r="G3102" s="553">
        <v>130.07</v>
      </c>
    </row>
    <row r="3103" spans="1:7" ht="12.6" customHeight="1" x14ac:dyDescent="0.25">
      <c r="A3103" s="551" t="s">
        <v>37752</v>
      </c>
      <c r="B3103" s="551" t="s">
        <v>37753</v>
      </c>
      <c r="C3103" s="552" t="s">
        <v>226</v>
      </c>
      <c r="D3103" s="553">
        <v>153.41999999999999</v>
      </c>
      <c r="E3103" s="553">
        <v>134.27000000000001</v>
      </c>
      <c r="F3103" s="553">
        <v>19.149999999999999</v>
      </c>
      <c r="G3103" s="553">
        <v>153.41999999999999</v>
      </c>
    </row>
    <row r="3104" spans="1:7" ht="12.6" customHeight="1" x14ac:dyDescent="0.25">
      <c r="A3104" s="551" t="s">
        <v>37754</v>
      </c>
      <c r="B3104" s="551" t="s">
        <v>37755</v>
      </c>
      <c r="C3104" s="552" t="s">
        <v>226</v>
      </c>
      <c r="D3104" s="553">
        <v>183.39</v>
      </c>
      <c r="E3104" s="557">
        <v>164.24</v>
      </c>
      <c r="F3104" s="557">
        <v>19.149999999999999</v>
      </c>
      <c r="G3104" s="553">
        <v>183.39</v>
      </c>
    </row>
    <row r="3105" spans="1:7" ht="12.6" customHeight="1" x14ac:dyDescent="0.2">
      <c r="A3105" s="548" t="s">
        <v>37756</v>
      </c>
      <c r="B3105" s="548" t="s">
        <v>37757</v>
      </c>
      <c r="C3105" s="550" t="s">
        <v>226</v>
      </c>
      <c r="D3105" s="550">
        <v>171.57</v>
      </c>
      <c r="E3105" s="550">
        <v>152.41999999999999</v>
      </c>
      <c r="F3105" s="550">
        <v>19.149999999999999</v>
      </c>
      <c r="G3105" s="550">
        <v>171.57</v>
      </c>
    </row>
    <row r="3106" spans="1:7" ht="12.6" customHeight="1" x14ac:dyDescent="0.25">
      <c r="A3106" s="551" t="s">
        <v>37758</v>
      </c>
      <c r="B3106" s="551" t="s">
        <v>37759</v>
      </c>
      <c r="C3106" s="552" t="s">
        <v>226</v>
      </c>
      <c r="D3106" s="553">
        <v>190.82</v>
      </c>
      <c r="E3106" s="553">
        <v>171.67</v>
      </c>
      <c r="F3106" s="557">
        <v>19.149999999999999</v>
      </c>
      <c r="G3106" s="553">
        <v>190.82</v>
      </c>
    </row>
    <row r="3107" spans="1:7" ht="12.6" customHeight="1" x14ac:dyDescent="0.25">
      <c r="A3107" s="551" t="s">
        <v>37760</v>
      </c>
      <c r="B3107" s="551" t="s">
        <v>37761</v>
      </c>
      <c r="C3107" s="552" t="s">
        <v>226</v>
      </c>
      <c r="D3107" s="553">
        <v>227.6</v>
      </c>
      <c r="E3107" s="553">
        <v>208.45</v>
      </c>
      <c r="F3107" s="557">
        <v>19.149999999999999</v>
      </c>
      <c r="G3107" s="553">
        <v>227.6</v>
      </c>
    </row>
    <row r="3108" spans="1:7" ht="12.6" customHeight="1" x14ac:dyDescent="0.25">
      <c r="A3108" s="551" t="s">
        <v>37762</v>
      </c>
      <c r="B3108" s="551" t="s">
        <v>37763</v>
      </c>
      <c r="C3108" s="552" t="s">
        <v>226</v>
      </c>
      <c r="D3108" s="557">
        <v>282.42</v>
      </c>
      <c r="E3108" s="557">
        <v>258.48</v>
      </c>
      <c r="F3108" s="557">
        <v>23.94</v>
      </c>
      <c r="G3108" s="557">
        <v>282.42</v>
      </c>
    </row>
    <row r="3109" spans="1:7" ht="12.6" customHeight="1" x14ac:dyDescent="0.25">
      <c r="A3109" s="551" t="s">
        <v>37764</v>
      </c>
      <c r="B3109" s="551" t="s">
        <v>37765</v>
      </c>
      <c r="C3109" s="552" t="s">
        <v>226</v>
      </c>
      <c r="D3109" s="557">
        <v>277.76</v>
      </c>
      <c r="E3109" s="557">
        <v>258.61</v>
      </c>
      <c r="F3109" s="557">
        <v>19.149999999999999</v>
      </c>
      <c r="G3109" s="557">
        <v>277.76</v>
      </c>
    </row>
    <row r="3110" spans="1:7" ht="12.6" customHeight="1" x14ac:dyDescent="0.25">
      <c r="A3110" s="551" t="s">
        <v>37766</v>
      </c>
      <c r="B3110" s="551" t="s">
        <v>37767</v>
      </c>
      <c r="C3110" s="552" t="s">
        <v>226</v>
      </c>
      <c r="D3110" s="553">
        <v>124.18</v>
      </c>
      <c r="E3110" s="553">
        <v>109.82</v>
      </c>
      <c r="F3110" s="557">
        <v>14.36</v>
      </c>
      <c r="G3110" s="553">
        <v>124.18</v>
      </c>
    </row>
    <row r="3111" spans="1:7" ht="12.6" customHeight="1" x14ac:dyDescent="0.2">
      <c r="A3111" s="548" t="s">
        <v>37768</v>
      </c>
      <c r="B3111" s="548" t="s">
        <v>37769</v>
      </c>
      <c r="C3111" s="550" t="s">
        <v>226</v>
      </c>
      <c r="D3111" s="550">
        <v>149.63</v>
      </c>
      <c r="E3111" s="550">
        <v>130.47999999999999</v>
      </c>
      <c r="F3111" s="550">
        <v>19.149999999999999</v>
      </c>
      <c r="G3111" s="550">
        <v>149.63</v>
      </c>
    </row>
    <row r="3112" spans="1:7" ht="12.6" customHeight="1" x14ac:dyDescent="0.2">
      <c r="A3112" s="551" t="s">
        <v>37770</v>
      </c>
      <c r="B3112" s="551" t="s">
        <v>37771</v>
      </c>
      <c r="C3112" s="552" t="s">
        <v>226</v>
      </c>
      <c r="D3112" s="557">
        <v>172.55</v>
      </c>
      <c r="E3112" s="557">
        <v>153.4</v>
      </c>
      <c r="F3112" s="343">
        <v>19.149999999999999</v>
      </c>
      <c r="G3112" s="557">
        <v>172.55</v>
      </c>
    </row>
    <row r="3113" spans="1:7" ht="12.6" customHeight="1" x14ac:dyDescent="0.2">
      <c r="A3113" s="559" t="s">
        <v>37772</v>
      </c>
      <c r="B3113" s="548" t="s">
        <v>37773</v>
      </c>
      <c r="C3113" s="550" t="s">
        <v>226</v>
      </c>
      <c r="D3113" s="550">
        <v>170.39</v>
      </c>
      <c r="E3113" s="550">
        <v>151.24</v>
      </c>
      <c r="F3113" s="550">
        <v>19.149999999999999</v>
      </c>
      <c r="G3113" s="550">
        <v>170.39</v>
      </c>
    </row>
    <row r="3114" spans="1:7" ht="12.6" customHeight="1" x14ac:dyDescent="0.2">
      <c r="A3114" s="548" t="s">
        <v>37774</v>
      </c>
      <c r="B3114" s="548" t="s">
        <v>37775</v>
      </c>
      <c r="C3114" s="550" t="s">
        <v>226</v>
      </c>
      <c r="D3114" s="550">
        <v>180.13</v>
      </c>
      <c r="E3114" s="550">
        <v>160.97999999999999</v>
      </c>
      <c r="F3114" s="550">
        <v>19.149999999999999</v>
      </c>
      <c r="G3114" s="550">
        <v>180.13</v>
      </c>
    </row>
    <row r="3115" spans="1:7" ht="23.1" customHeight="1" x14ac:dyDescent="0.25">
      <c r="A3115" s="551" t="s">
        <v>37776</v>
      </c>
      <c r="B3115" s="551" t="s">
        <v>37777</v>
      </c>
      <c r="C3115" s="552" t="s">
        <v>226</v>
      </c>
      <c r="D3115" s="557">
        <v>228.43</v>
      </c>
      <c r="E3115" s="557">
        <v>209.28</v>
      </c>
      <c r="F3115" s="557">
        <v>19.149999999999999</v>
      </c>
      <c r="G3115" s="557">
        <v>228.43</v>
      </c>
    </row>
    <row r="3116" spans="1:7" ht="23.1" customHeight="1" x14ac:dyDescent="0.25">
      <c r="A3116" s="551" t="s">
        <v>37778</v>
      </c>
      <c r="B3116" s="551" t="s">
        <v>37779</v>
      </c>
      <c r="C3116" s="552" t="s">
        <v>226</v>
      </c>
      <c r="D3116" s="557">
        <v>59.72</v>
      </c>
      <c r="E3116" s="557">
        <v>40.57</v>
      </c>
      <c r="F3116" s="557">
        <v>19.149999999999999</v>
      </c>
      <c r="G3116" s="557">
        <v>59.72</v>
      </c>
    </row>
    <row r="3117" spans="1:7" ht="23.1" customHeight="1" x14ac:dyDescent="0.25">
      <c r="A3117" s="551" t="s">
        <v>37780</v>
      </c>
      <c r="B3117" s="551" t="s">
        <v>37781</v>
      </c>
      <c r="C3117" s="552" t="s">
        <v>226</v>
      </c>
      <c r="D3117" s="557">
        <v>69.75</v>
      </c>
      <c r="E3117" s="557">
        <v>50.6</v>
      </c>
      <c r="F3117" s="557">
        <v>19.149999999999999</v>
      </c>
      <c r="G3117" s="557">
        <v>69.75</v>
      </c>
    </row>
    <row r="3118" spans="1:7" ht="23.1" customHeight="1" x14ac:dyDescent="0.25">
      <c r="A3118" s="551" t="s">
        <v>37782</v>
      </c>
      <c r="B3118" s="551" t="s">
        <v>37783</v>
      </c>
      <c r="C3118" s="552" t="s">
        <v>226</v>
      </c>
      <c r="D3118" s="557">
        <v>153.81</v>
      </c>
      <c r="E3118" s="557">
        <v>129.87</v>
      </c>
      <c r="F3118" s="557">
        <v>23.94</v>
      </c>
      <c r="G3118" s="557">
        <v>153.81</v>
      </c>
    </row>
    <row r="3119" spans="1:7" ht="23.1" customHeight="1" x14ac:dyDescent="0.25">
      <c r="A3119" s="551" t="s">
        <v>37784</v>
      </c>
      <c r="B3119" s="551" t="s">
        <v>37785</v>
      </c>
      <c r="C3119" s="552"/>
      <c r="D3119" s="557"/>
      <c r="E3119" s="557"/>
      <c r="F3119" s="557"/>
      <c r="G3119" s="557"/>
    </row>
    <row r="3120" spans="1:7" ht="23.1" customHeight="1" x14ac:dyDescent="0.25">
      <c r="A3120" s="551" t="s">
        <v>37786</v>
      </c>
      <c r="B3120" s="551" t="s">
        <v>37787</v>
      </c>
      <c r="C3120" s="552" t="s">
        <v>158</v>
      </c>
      <c r="D3120" s="557">
        <v>90.88</v>
      </c>
      <c r="E3120" s="557">
        <v>75.08</v>
      </c>
      <c r="F3120" s="557">
        <v>15.8</v>
      </c>
      <c r="G3120" s="557">
        <v>90.88</v>
      </c>
    </row>
    <row r="3121" spans="1:7" ht="23.1" customHeight="1" x14ac:dyDescent="0.25">
      <c r="A3121" s="551" t="s">
        <v>37788</v>
      </c>
      <c r="B3121" s="551" t="s">
        <v>37789</v>
      </c>
      <c r="C3121" s="552" t="s">
        <v>158</v>
      </c>
      <c r="D3121" s="557">
        <v>125.68</v>
      </c>
      <c r="E3121" s="557">
        <v>108.45</v>
      </c>
      <c r="F3121" s="557">
        <v>17.23</v>
      </c>
      <c r="G3121" s="557">
        <v>125.68</v>
      </c>
    </row>
    <row r="3122" spans="1:7" ht="23.1" customHeight="1" x14ac:dyDescent="0.25">
      <c r="A3122" s="551" t="s">
        <v>37790</v>
      </c>
      <c r="B3122" s="551" t="s">
        <v>37791</v>
      </c>
      <c r="C3122" s="552" t="s">
        <v>158</v>
      </c>
      <c r="D3122" s="557">
        <v>147.77000000000001</v>
      </c>
      <c r="E3122" s="557">
        <v>126.23</v>
      </c>
      <c r="F3122" s="557">
        <v>21.54</v>
      </c>
      <c r="G3122" s="557">
        <v>147.77000000000001</v>
      </c>
    </row>
    <row r="3123" spans="1:7" ht="23.1" customHeight="1" x14ac:dyDescent="0.25">
      <c r="A3123" s="551" t="s">
        <v>37792</v>
      </c>
      <c r="B3123" s="551" t="s">
        <v>37793</v>
      </c>
      <c r="C3123" s="552" t="s">
        <v>158</v>
      </c>
      <c r="D3123" s="557">
        <v>237.93</v>
      </c>
      <c r="E3123" s="557">
        <v>213.52</v>
      </c>
      <c r="F3123" s="557">
        <v>24.41</v>
      </c>
      <c r="G3123" s="557">
        <v>237.93</v>
      </c>
    </row>
    <row r="3124" spans="1:7" ht="12.6" customHeight="1" x14ac:dyDescent="0.2">
      <c r="A3124" s="548" t="s">
        <v>37794</v>
      </c>
      <c r="B3124" s="548" t="s">
        <v>37795</v>
      </c>
      <c r="C3124" s="550" t="s">
        <v>158</v>
      </c>
      <c r="D3124" s="550">
        <v>290.77999999999997</v>
      </c>
      <c r="E3124" s="550">
        <v>266.37</v>
      </c>
      <c r="F3124" s="550">
        <v>24.41</v>
      </c>
      <c r="G3124" s="550">
        <v>290.77999999999997</v>
      </c>
    </row>
    <row r="3125" spans="1:7" ht="24.95" customHeight="1" x14ac:dyDescent="0.25">
      <c r="A3125" s="551" t="s">
        <v>37796</v>
      </c>
      <c r="B3125" s="342" t="s">
        <v>37797</v>
      </c>
      <c r="C3125" s="552" t="s">
        <v>158</v>
      </c>
      <c r="D3125" s="557">
        <v>368.95</v>
      </c>
      <c r="E3125" s="557">
        <v>335.93</v>
      </c>
      <c r="F3125" s="557">
        <v>33.020000000000003</v>
      </c>
      <c r="G3125" s="557">
        <v>368.95</v>
      </c>
    </row>
    <row r="3126" spans="1:7" ht="24.95" customHeight="1" x14ac:dyDescent="0.25">
      <c r="A3126" s="551" t="s">
        <v>37798</v>
      </c>
      <c r="B3126" s="342" t="s">
        <v>37799</v>
      </c>
      <c r="C3126" s="552" t="s">
        <v>158</v>
      </c>
      <c r="D3126" s="557">
        <v>486.4</v>
      </c>
      <c r="E3126" s="557">
        <v>447.63</v>
      </c>
      <c r="F3126" s="557">
        <v>38.770000000000003</v>
      </c>
      <c r="G3126" s="557">
        <v>486.4</v>
      </c>
    </row>
    <row r="3127" spans="1:7" ht="24.95" customHeight="1" x14ac:dyDescent="0.25">
      <c r="A3127" s="551" t="s">
        <v>37800</v>
      </c>
      <c r="B3127" s="342" t="s">
        <v>37801</v>
      </c>
      <c r="C3127" s="552" t="s">
        <v>158</v>
      </c>
      <c r="D3127" s="557">
        <v>609</v>
      </c>
      <c r="E3127" s="557">
        <v>567.36</v>
      </c>
      <c r="F3127" s="557">
        <v>41.64</v>
      </c>
      <c r="G3127" s="557">
        <v>609</v>
      </c>
    </row>
    <row r="3128" spans="1:7" ht="24.95" customHeight="1" x14ac:dyDescent="0.25">
      <c r="A3128" s="551" t="s">
        <v>37802</v>
      </c>
      <c r="B3128" s="342" t="s">
        <v>37803</v>
      </c>
      <c r="C3128" s="552" t="s">
        <v>158</v>
      </c>
      <c r="D3128" s="557">
        <v>790.9</v>
      </c>
      <c r="E3128" s="557">
        <v>743.51</v>
      </c>
      <c r="F3128" s="557">
        <v>47.39</v>
      </c>
      <c r="G3128" s="557">
        <v>790.9</v>
      </c>
    </row>
    <row r="3129" spans="1:7" ht="11.45" customHeight="1" x14ac:dyDescent="0.25">
      <c r="A3129" s="543" t="s">
        <v>37804</v>
      </c>
      <c r="B3129" s="544" t="s">
        <v>37805</v>
      </c>
      <c r="C3129" s="544" t="s">
        <v>158</v>
      </c>
      <c r="D3129" s="543">
        <v>95.7</v>
      </c>
      <c r="E3129" s="545">
        <v>78.47</v>
      </c>
      <c r="F3129" s="546">
        <v>17.23</v>
      </c>
      <c r="G3129" s="543">
        <v>95.7</v>
      </c>
    </row>
    <row r="3130" spans="1:7" ht="12.6" customHeight="1" x14ac:dyDescent="0.25">
      <c r="A3130" s="548" t="s">
        <v>37806</v>
      </c>
      <c r="B3130" s="548" t="s">
        <v>37807</v>
      </c>
      <c r="C3130" s="549" t="s">
        <v>158</v>
      </c>
      <c r="D3130" s="549">
        <v>113.48</v>
      </c>
      <c r="E3130" s="549">
        <v>91.94</v>
      </c>
      <c r="F3130" s="549">
        <v>21.54</v>
      </c>
      <c r="G3130" s="549">
        <v>113.48</v>
      </c>
    </row>
    <row r="3131" spans="1:7" ht="24.95" customHeight="1" x14ac:dyDescent="0.25">
      <c r="A3131" s="551" t="s">
        <v>37808</v>
      </c>
      <c r="B3131" s="342" t="s">
        <v>37809</v>
      </c>
      <c r="C3131" s="552" t="s">
        <v>158</v>
      </c>
      <c r="D3131" s="557">
        <v>181.24</v>
      </c>
      <c r="E3131" s="557">
        <v>156.83000000000001</v>
      </c>
      <c r="F3131" s="557">
        <v>24.41</v>
      </c>
      <c r="G3131" s="557">
        <v>181.24</v>
      </c>
    </row>
    <row r="3132" spans="1:7" ht="24.95" customHeight="1" x14ac:dyDescent="0.25">
      <c r="A3132" s="551" t="s">
        <v>37810</v>
      </c>
      <c r="B3132" s="342" t="s">
        <v>37811</v>
      </c>
      <c r="C3132" s="552" t="s">
        <v>158</v>
      </c>
      <c r="D3132" s="557">
        <v>226.49</v>
      </c>
      <c r="E3132" s="557">
        <v>202.08</v>
      </c>
      <c r="F3132" s="557">
        <v>24.41</v>
      </c>
      <c r="G3132" s="557">
        <v>226.49</v>
      </c>
    </row>
    <row r="3133" spans="1:7" ht="24.95" customHeight="1" x14ac:dyDescent="0.25">
      <c r="A3133" s="551" t="s">
        <v>37812</v>
      </c>
      <c r="B3133" s="342" t="s">
        <v>37813</v>
      </c>
      <c r="C3133" s="552" t="s">
        <v>158</v>
      </c>
      <c r="D3133" s="557">
        <v>307.35000000000002</v>
      </c>
      <c r="E3133" s="557">
        <v>274.33</v>
      </c>
      <c r="F3133" s="557">
        <v>33.020000000000003</v>
      </c>
      <c r="G3133" s="557">
        <v>307.35000000000002</v>
      </c>
    </row>
    <row r="3134" spans="1:7" ht="24.95" customHeight="1" x14ac:dyDescent="0.25">
      <c r="A3134" s="551" t="s">
        <v>37814</v>
      </c>
      <c r="B3134" s="342" t="s">
        <v>37815</v>
      </c>
      <c r="C3134" s="552" t="s">
        <v>158</v>
      </c>
      <c r="D3134" s="557">
        <v>395.8</v>
      </c>
      <c r="E3134" s="557">
        <v>357.03</v>
      </c>
      <c r="F3134" s="557">
        <v>38.770000000000003</v>
      </c>
      <c r="G3134" s="557">
        <v>395.8</v>
      </c>
    </row>
    <row r="3135" spans="1:7" ht="24.95" customHeight="1" x14ac:dyDescent="0.25">
      <c r="A3135" s="551" t="s">
        <v>37816</v>
      </c>
      <c r="B3135" s="342" t="s">
        <v>37817</v>
      </c>
      <c r="C3135" s="552"/>
      <c r="D3135" s="557"/>
      <c r="E3135" s="557"/>
      <c r="F3135" s="557"/>
      <c r="G3135" s="557"/>
    </row>
    <row r="3136" spans="1:7" ht="23.1" customHeight="1" x14ac:dyDescent="0.25">
      <c r="A3136" s="548" t="s">
        <v>37818</v>
      </c>
      <c r="B3136" s="548" t="s">
        <v>37819</v>
      </c>
      <c r="C3136" s="549" t="s">
        <v>158</v>
      </c>
      <c r="D3136" s="549">
        <v>95.62</v>
      </c>
      <c r="E3136" s="549">
        <v>63.97</v>
      </c>
      <c r="F3136" s="549">
        <v>31.65</v>
      </c>
      <c r="G3136" s="549">
        <v>95.62</v>
      </c>
    </row>
    <row r="3137" spans="1:7" ht="24.95" customHeight="1" x14ac:dyDescent="0.25">
      <c r="A3137" s="551" t="s">
        <v>37820</v>
      </c>
      <c r="B3137" s="342" t="s">
        <v>37821</v>
      </c>
      <c r="C3137" s="552" t="s">
        <v>158</v>
      </c>
      <c r="D3137" s="557">
        <v>118.46</v>
      </c>
      <c r="E3137" s="557">
        <v>81.72</v>
      </c>
      <c r="F3137" s="557">
        <v>36.74</v>
      </c>
      <c r="G3137" s="557">
        <v>118.46</v>
      </c>
    </row>
    <row r="3138" spans="1:7" ht="24.95" customHeight="1" x14ac:dyDescent="0.25">
      <c r="A3138" s="551" t="s">
        <v>37822</v>
      </c>
      <c r="B3138" s="342" t="s">
        <v>37823</v>
      </c>
      <c r="C3138" s="552" t="s">
        <v>158</v>
      </c>
      <c r="D3138" s="557">
        <v>94.83</v>
      </c>
      <c r="E3138" s="557">
        <v>63.18</v>
      </c>
      <c r="F3138" s="557">
        <v>31.65</v>
      </c>
      <c r="G3138" s="557">
        <v>94.83</v>
      </c>
    </row>
    <row r="3139" spans="1:7" ht="24.95" customHeight="1" x14ac:dyDescent="0.25">
      <c r="A3139" s="551" t="s">
        <v>37824</v>
      </c>
      <c r="B3139" s="342" t="s">
        <v>37825</v>
      </c>
      <c r="C3139" s="552" t="s">
        <v>158</v>
      </c>
      <c r="D3139" s="557">
        <v>116.82</v>
      </c>
      <c r="E3139" s="557">
        <v>80.08</v>
      </c>
      <c r="F3139" s="557">
        <v>36.74</v>
      </c>
      <c r="G3139" s="557">
        <v>116.82</v>
      </c>
    </row>
    <row r="3140" spans="1:7" ht="23.1" customHeight="1" x14ac:dyDescent="0.25">
      <c r="A3140" s="551" t="s">
        <v>37826</v>
      </c>
      <c r="B3140" s="551" t="s">
        <v>37827</v>
      </c>
      <c r="C3140" s="552" t="s">
        <v>158</v>
      </c>
      <c r="D3140" s="557">
        <v>157.36000000000001</v>
      </c>
      <c r="E3140" s="557">
        <v>112</v>
      </c>
      <c r="F3140" s="557">
        <v>45.36</v>
      </c>
      <c r="G3140" s="557">
        <v>157.36000000000001</v>
      </c>
    </row>
    <row r="3141" spans="1:7" ht="23.1" customHeight="1" x14ac:dyDescent="0.25">
      <c r="A3141" s="551" t="s">
        <v>37828</v>
      </c>
      <c r="B3141" s="551" t="s">
        <v>37829</v>
      </c>
      <c r="C3141" s="552" t="s">
        <v>158</v>
      </c>
      <c r="D3141" s="557">
        <v>236.53</v>
      </c>
      <c r="E3141" s="557">
        <v>184.9</v>
      </c>
      <c r="F3141" s="557">
        <v>51.63</v>
      </c>
      <c r="G3141" s="557">
        <v>236.53</v>
      </c>
    </row>
    <row r="3142" spans="1:7" ht="23.1" customHeight="1" x14ac:dyDescent="0.25">
      <c r="A3142" s="551" t="s">
        <v>37830</v>
      </c>
      <c r="B3142" s="551" t="s">
        <v>37831</v>
      </c>
      <c r="C3142" s="552" t="s">
        <v>158</v>
      </c>
      <c r="D3142" s="557">
        <v>383.81</v>
      </c>
      <c r="E3142" s="557">
        <v>317.29000000000002</v>
      </c>
      <c r="F3142" s="557">
        <v>66.52</v>
      </c>
      <c r="G3142" s="557">
        <v>383.81</v>
      </c>
    </row>
    <row r="3143" spans="1:7" ht="23.1" customHeight="1" x14ac:dyDescent="0.25">
      <c r="A3143" s="551" t="s">
        <v>37832</v>
      </c>
      <c r="B3143" s="551" t="s">
        <v>37833</v>
      </c>
      <c r="C3143" s="552" t="s">
        <v>158</v>
      </c>
      <c r="D3143" s="557">
        <v>620.42999999999995</v>
      </c>
      <c r="E3143" s="557">
        <v>536.64</v>
      </c>
      <c r="F3143" s="557">
        <v>83.79</v>
      </c>
      <c r="G3143" s="557">
        <v>620.42999999999995</v>
      </c>
    </row>
    <row r="3144" spans="1:7" ht="23.1" customHeight="1" x14ac:dyDescent="0.25">
      <c r="A3144" s="551" t="s">
        <v>37834</v>
      </c>
      <c r="B3144" s="551" t="s">
        <v>37835</v>
      </c>
      <c r="C3144" s="552" t="s">
        <v>158</v>
      </c>
      <c r="D3144" s="557">
        <v>926.09</v>
      </c>
      <c r="E3144" s="557">
        <v>800.83</v>
      </c>
      <c r="F3144" s="557">
        <v>125.26</v>
      </c>
      <c r="G3144" s="557">
        <v>926.09</v>
      </c>
    </row>
    <row r="3145" spans="1:7" ht="12.6" customHeight="1" x14ac:dyDescent="0.2">
      <c r="A3145" s="548" t="s">
        <v>37836</v>
      </c>
      <c r="B3145" s="548" t="s">
        <v>37837</v>
      </c>
      <c r="C3145" s="550" t="s">
        <v>158</v>
      </c>
      <c r="D3145" s="550">
        <v>237.57</v>
      </c>
      <c r="E3145" s="550">
        <v>185.94</v>
      </c>
      <c r="F3145" s="550">
        <v>51.63</v>
      </c>
      <c r="G3145" s="550">
        <v>237.57</v>
      </c>
    </row>
    <row r="3146" spans="1:7" ht="24.95" customHeight="1" x14ac:dyDescent="0.25">
      <c r="A3146" s="551" t="s">
        <v>37838</v>
      </c>
      <c r="B3146" s="342" t="s">
        <v>37839</v>
      </c>
      <c r="C3146" s="552" t="s">
        <v>158</v>
      </c>
      <c r="D3146" s="557">
        <v>441.3</v>
      </c>
      <c r="E3146" s="557">
        <v>374.78</v>
      </c>
      <c r="F3146" s="557">
        <v>66.52</v>
      </c>
      <c r="G3146" s="557">
        <v>441.3</v>
      </c>
    </row>
    <row r="3147" spans="1:7" ht="24.95" customHeight="1" x14ac:dyDescent="0.25">
      <c r="A3147" s="551" t="s">
        <v>37840</v>
      </c>
      <c r="B3147" s="342" t="s">
        <v>37841</v>
      </c>
      <c r="C3147" s="552" t="s">
        <v>158</v>
      </c>
      <c r="D3147" s="557">
        <v>624.99</v>
      </c>
      <c r="E3147" s="557">
        <v>541.20000000000005</v>
      </c>
      <c r="F3147" s="557">
        <v>83.79</v>
      </c>
      <c r="G3147" s="557">
        <v>624.99</v>
      </c>
    </row>
    <row r="3148" spans="1:7" ht="24.95" customHeight="1" x14ac:dyDescent="0.25">
      <c r="A3148" s="551" t="s">
        <v>37842</v>
      </c>
      <c r="B3148" s="342" t="s">
        <v>37843</v>
      </c>
      <c r="C3148" s="552" t="s">
        <v>158</v>
      </c>
      <c r="D3148" s="557">
        <v>299.75</v>
      </c>
      <c r="E3148" s="557">
        <v>248.12</v>
      </c>
      <c r="F3148" s="557">
        <v>51.63</v>
      </c>
      <c r="G3148" s="557">
        <v>299.75</v>
      </c>
    </row>
    <row r="3149" spans="1:7" ht="24.95" customHeight="1" x14ac:dyDescent="0.25">
      <c r="A3149" s="551" t="s">
        <v>37844</v>
      </c>
      <c r="B3149" s="342" t="s">
        <v>37845</v>
      </c>
      <c r="C3149" s="552" t="s">
        <v>158</v>
      </c>
      <c r="D3149" s="557">
        <v>549.30999999999995</v>
      </c>
      <c r="E3149" s="557">
        <v>482.79</v>
      </c>
      <c r="F3149" s="557">
        <v>66.52</v>
      </c>
      <c r="G3149" s="557">
        <v>549.30999999999995</v>
      </c>
    </row>
    <row r="3150" spans="1:7" ht="24.95" customHeight="1" x14ac:dyDescent="0.25">
      <c r="A3150" s="551" t="s">
        <v>37846</v>
      </c>
      <c r="B3150" s="342" t="s">
        <v>37847</v>
      </c>
      <c r="C3150" s="552" t="s">
        <v>158</v>
      </c>
      <c r="D3150" s="557">
        <v>819.82</v>
      </c>
      <c r="E3150" s="557">
        <v>736.03</v>
      </c>
      <c r="F3150" s="557">
        <v>83.79</v>
      </c>
      <c r="G3150" s="557">
        <v>819.82</v>
      </c>
    </row>
    <row r="3151" spans="1:7" ht="24.95" customHeight="1" x14ac:dyDescent="0.25">
      <c r="A3151" s="551" t="s">
        <v>37848</v>
      </c>
      <c r="B3151" s="342" t="s">
        <v>37849</v>
      </c>
      <c r="C3151" s="552" t="s">
        <v>158</v>
      </c>
      <c r="D3151" s="557">
        <v>65.56</v>
      </c>
      <c r="E3151" s="557">
        <v>34.89</v>
      </c>
      <c r="F3151" s="557">
        <v>30.67</v>
      </c>
      <c r="G3151" s="557">
        <v>65.56</v>
      </c>
    </row>
    <row r="3152" spans="1:7" ht="12.6" customHeight="1" x14ac:dyDescent="0.2">
      <c r="A3152" s="548" t="s">
        <v>37850</v>
      </c>
      <c r="B3152" s="548" t="s">
        <v>37851</v>
      </c>
      <c r="C3152" s="550" t="s">
        <v>158</v>
      </c>
      <c r="D3152" s="550">
        <v>81.66</v>
      </c>
      <c r="E3152" s="550">
        <v>42.59</v>
      </c>
      <c r="F3152" s="550">
        <v>39.07</v>
      </c>
      <c r="G3152" s="550">
        <v>81.66</v>
      </c>
    </row>
    <row r="3153" spans="1:7" ht="12.6" customHeight="1" x14ac:dyDescent="0.25">
      <c r="A3153" s="551" t="s">
        <v>37852</v>
      </c>
      <c r="B3153" s="551" t="s">
        <v>37853</v>
      </c>
      <c r="C3153" s="552" t="s">
        <v>158</v>
      </c>
      <c r="D3153" s="557">
        <v>142.63</v>
      </c>
      <c r="E3153" s="557">
        <v>76.599999999999994</v>
      </c>
      <c r="F3153" s="557">
        <v>66.03</v>
      </c>
      <c r="G3153" s="557">
        <v>142.63</v>
      </c>
    </row>
    <row r="3154" spans="1:7" ht="12.6" customHeight="1" x14ac:dyDescent="0.25">
      <c r="A3154" s="551" t="s">
        <v>37854</v>
      </c>
      <c r="B3154" s="551" t="s">
        <v>37855</v>
      </c>
      <c r="C3154" s="552" t="s">
        <v>158</v>
      </c>
      <c r="D3154" s="557">
        <v>1305.0899999999999</v>
      </c>
      <c r="E3154" s="557">
        <v>1117.2</v>
      </c>
      <c r="F3154" s="557">
        <v>187.89</v>
      </c>
      <c r="G3154" s="557">
        <v>1305.0899999999999</v>
      </c>
    </row>
    <row r="3155" spans="1:7" ht="12.6" customHeight="1" x14ac:dyDescent="0.25">
      <c r="A3155" s="551" t="s">
        <v>37856</v>
      </c>
      <c r="B3155" s="551" t="s">
        <v>37857</v>
      </c>
      <c r="C3155" s="552" t="s">
        <v>158</v>
      </c>
      <c r="D3155" s="557">
        <v>147.56</v>
      </c>
      <c r="E3155" s="557">
        <v>110.82</v>
      </c>
      <c r="F3155" s="557">
        <v>36.74</v>
      </c>
      <c r="G3155" s="557">
        <v>147.56</v>
      </c>
    </row>
    <row r="3156" spans="1:7" ht="12.6" customHeight="1" x14ac:dyDescent="0.25">
      <c r="A3156" s="551" t="s">
        <v>37858</v>
      </c>
      <c r="B3156" s="551" t="s">
        <v>37859</v>
      </c>
      <c r="C3156" s="552" t="s">
        <v>158</v>
      </c>
      <c r="D3156" s="557">
        <v>142.93</v>
      </c>
      <c r="E3156" s="557">
        <v>106.19</v>
      </c>
      <c r="F3156" s="557">
        <v>36.74</v>
      </c>
      <c r="G3156" s="557">
        <v>142.93</v>
      </c>
    </row>
    <row r="3157" spans="1:7" ht="12.6" customHeight="1" x14ac:dyDescent="0.25">
      <c r="A3157" s="551" t="s">
        <v>37860</v>
      </c>
      <c r="B3157" s="551" t="s">
        <v>37861</v>
      </c>
      <c r="C3157" s="552" t="s">
        <v>158</v>
      </c>
      <c r="D3157" s="557">
        <v>183.4</v>
      </c>
      <c r="E3157" s="557">
        <v>146.66</v>
      </c>
      <c r="F3157" s="557">
        <v>36.74</v>
      </c>
      <c r="G3157" s="557">
        <v>183.4</v>
      </c>
    </row>
    <row r="3158" spans="1:7" ht="12.6" customHeight="1" x14ac:dyDescent="0.25">
      <c r="A3158" s="551" t="s">
        <v>37862</v>
      </c>
      <c r="B3158" s="551" t="s">
        <v>37863</v>
      </c>
      <c r="C3158" s="552" t="s">
        <v>158</v>
      </c>
      <c r="D3158" s="557">
        <v>292.24</v>
      </c>
      <c r="E3158" s="557">
        <v>234.35</v>
      </c>
      <c r="F3158" s="557">
        <v>57.89</v>
      </c>
      <c r="G3158" s="557">
        <v>292.24</v>
      </c>
    </row>
    <row r="3159" spans="1:7" ht="12.6" customHeight="1" x14ac:dyDescent="0.25">
      <c r="A3159" s="551" t="s">
        <v>37864</v>
      </c>
      <c r="B3159" s="551" t="s">
        <v>37865</v>
      </c>
      <c r="C3159" s="552" t="s">
        <v>158</v>
      </c>
      <c r="D3159" s="557">
        <v>189.43</v>
      </c>
      <c r="E3159" s="557">
        <v>144.07</v>
      </c>
      <c r="F3159" s="557">
        <v>45.36</v>
      </c>
      <c r="G3159" s="557">
        <v>189.43</v>
      </c>
    </row>
    <row r="3160" spans="1:7" ht="12.6" customHeight="1" x14ac:dyDescent="0.25">
      <c r="A3160" s="551" t="s">
        <v>37866</v>
      </c>
      <c r="B3160" s="551" t="s">
        <v>37867</v>
      </c>
      <c r="C3160" s="552" t="s">
        <v>158</v>
      </c>
      <c r="D3160" s="557">
        <v>502.85</v>
      </c>
      <c r="E3160" s="557">
        <v>427.69</v>
      </c>
      <c r="F3160" s="557">
        <v>75.16</v>
      </c>
      <c r="G3160" s="557">
        <v>502.85</v>
      </c>
    </row>
    <row r="3161" spans="1:7" ht="12.6" customHeight="1" x14ac:dyDescent="0.25">
      <c r="A3161" s="551" t="s">
        <v>37868</v>
      </c>
      <c r="B3161" s="551" t="s">
        <v>37869</v>
      </c>
      <c r="C3161" s="552" t="s">
        <v>158</v>
      </c>
      <c r="D3161" s="557">
        <v>138.97999999999999</v>
      </c>
      <c r="E3161" s="557">
        <v>107.33</v>
      </c>
      <c r="F3161" s="557">
        <v>31.65</v>
      </c>
      <c r="G3161" s="557">
        <v>138.97999999999999</v>
      </c>
    </row>
    <row r="3162" spans="1:7" ht="12.6" customHeight="1" x14ac:dyDescent="0.25">
      <c r="A3162" s="551" t="s">
        <v>37870</v>
      </c>
      <c r="B3162" s="551" t="s">
        <v>37871</v>
      </c>
      <c r="C3162" s="552" t="s">
        <v>158</v>
      </c>
      <c r="D3162" s="557">
        <v>127.32</v>
      </c>
      <c r="E3162" s="557">
        <v>95.67</v>
      </c>
      <c r="F3162" s="557">
        <v>31.65</v>
      </c>
      <c r="G3162" s="557">
        <v>127.32</v>
      </c>
    </row>
    <row r="3163" spans="1:7" ht="12.6" customHeight="1" x14ac:dyDescent="0.2">
      <c r="A3163" s="548" t="s">
        <v>37872</v>
      </c>
      <c r="B3163" s="548" t="s">
        <v>37873</v>
      </c>
      <c r="C3163" s="550" t="s">
        <v>158</v>
      </c>
      <c r="D3163" s="550">
        <v>34.61</v>
      </c>
      <c r="E3163" s="550">
        <v>23.44</v>
      </c>
      <c r="F3163" s="550">
        <v>11.17</v>
      </c>
      <c r="G3163" s="550">
        <v>34.61</v>
      </c>
    </row>
    <row r="3164" spans="1:7" ht="23.1" customHeight="1" x14ac:dyDescent="0.25">
      <c r="A3164" s="551" t="s">
        <v>37874</v>
      </c>
      <c r="B3164" s="551" t="s">
        <v>37875</v>
      </c>
      <c r="C3164" s="552"/>
      <c r="D3164" s="557"/>
      <c r="E3164" s="557"/>
      <c r="F3164" s="557"/>
      <c r="G3164" s="557"/>
    </row>
    <row r="3165" spans="1:7" ht="11.45" customHeight="1" x14ac:dyDescent="0.25">
      <c r="A3165" s="543" t="s">
        <v>37876</v>
      </c>
      <c r="B3165" s="544" t="s">
        <v>37877</v>
      </c>
      <c r="C3165" s="544" t="s">
        <v>158</v>
      </c>
      <c r="D3165" s="543">
        <v>10.119999999999999</v>
      </c>
      <c r="E3165" s="545">
        <v>8.52</v>
      </c>
      <c r="F3165" s="546">
        <v>1.6</v>
      </c>
      <c r="G3165" s="543">
        <v>10.119999999999999</v>
      </c>
    </row>
    <row r="3166" spans="1:7" ht="23.1" customHeight="1" x14ac:dyDescent="0.25">
      <c r="A3166" s="551" t="s">
        <v>37878</v>
      </c>
      <c r="B3166" s="551" t="s">
        <v>37879</v>
      </c>
      <c r="C3166" s="552" t="s">
        <v>158</v>
      </c>
      <c r="D3166" s="557">
        <v>11.79</v>
      </c>
      <c r="E3166" s="557">
        <v>10.19</v>
      </c>
      <c r="F3166" s="557">
        <v>1.6</v>
      </c>
      <c r="G3166" s="557">
        <v>11.79</v>
      </c>
    </row>
    <row r="3167" spans="1:7" ht="23.1" customHeight="1" x14ac:dyDescent="0.25">
      <c r="A3167" s="551" t="s">
        <v>37880</v>
      </c>
      <c r="B3167" s="551" t="s">
        <v>37881</v>
      </c>
      <c r="C3167" s="552" t="s">
        <v>158</v>
      </c>
      <c r="D3167" s="557">
        <v>15.19</v>
      </c>
      <c r="E3167" s="557">
        <v>13.59</v>
      </c>
      <c r="F3167" s="557">
        <v>1.6</v>
      </c>
      <c r="G3167" s="557">
        <v>15.19</v>
      </c>
    </row>
    <row r="3168" spans="1:7" ht="23.1" customHeight="1" x14ac:dyDescent="0.25">
      <c r="A3168" s="551" t="s">
        <v>37882</v>
      </c>
      <c r="B3168" s="551" t="s">
        <v>37883</v>
      </c>
      <c r="C3168" s="552" t="s">
        <v>158</v>
      </c>
      <c r="D3168" s="557">
        <v>42.74</v>
      </c>
      <c r="E3168" s="557">
        <v>41.14</v>
      </c>
      <c r="F3168" s="557">
        <v>1.6</v>
      </c>
      <c r="G3168" s="557">
        <v>42.74</v>
      </c>
    </row>
    <row r="3169" spans="1:7" ht="23.1" customHeight="1" x14ac:dyDescent="0.25">
      <c r="A3169" s="551" t="s">
        <v>37884</v>
      </c>
      <c r="B3169" s="551" t="s">
        <v>37885</v>
      </c>
      <c r="C3169" s="552" t="s">
        <v>158</v>
      </c>
      <c r="D3169" s="557">
        <v>36.06</v>
      </c>
      <c r="E3169" s="557">
        <v>34.46</v>
      </c>
      <c r="F3169" s="557">
        <v>1.6</v>
      </c>
      <c r="G3169" s="557">
        <v>36.06</v>
      </c>
    </row>
    <row r="3170" spans="1:7" ht="23.1" customHeight="1" x14ac:dyDescent="0.25">
      <c r="A3170" s="551" t="s">
        <v>37886</v>
      </c>
      <c r="B3170" s="551" t="s">
        <v>37887</v>
      </c>
      <c r="C3170" s="552" t="s">
        <v>158</v>
      </c>
      <c r="D3170" s="557">
        <v>88.61</v>
      </c>
      <c r="E3170" s="557">
        <v>86.22</v>
      </c>
      <c r="F3170" s="557">
        <v>2.39</v>
      </c>
      <c r="G3170" s="557">
        <v>88.61</v>
      </c>
    </row>
    <row r="3171" spans="1:7" ht="23.1" customHeight="1" x14ac:dyDescent="0.25">
      <c r="A3171" s="551" t="s">
        <v>37888</v>
      </c>
      <c r="B3171" s="551" t="s">
        <v>37889</v>
      </c>
      <c r="C3171" s="552" t="s">
        <v>158</v>
      </c>
      <c r="D3171" s="557">
        <v>119.22</v>
      </c>
      <c r="E3171" s="557">
        <v>116.83</v>
      </c>
      <c r="F3171" s="557">
        <v>2.39</v>
      </c>
      <c r="G3171" s="557">
        <v>119.22</v>
      </c>
    </row>
    <row r="3172" spans="1:7" ht="23.1" customHeight="1" x14ac:dyDescent="0.25">
      <c r="A3172" s="551" t="s">
        <v>37890</v>
      </c>
      <c r="B3172" s="551" t="s">
        <v>37891</v>
      </c>
      <c r="C3172" s="552" t="s">
        <v>158</v>
      </c>
      <c r="D3172" s="557">
        <v>188.85</v>
      </c>
      <c r="E3172" s="557">
        <v>186.46</v>
      </c>
      <c r="F3172" s="557">
        <v>2.39</v>
      </c>
      <c r="G3172" s="557">
        <v>188.85</v>
      </c>
    </row>
    <row r="3173" spans="1:7" ht="23.1" customHeight="1" x14ac:dyDescent="0.25">
      <c r="A3173" s="551" t="s">
        <v>37892</v>
      </c>
      <c r="B3173" s="551" t="s">
        <v>37893</v>
      </c>
      <c r="C3173" s="552" t="s">
        <v>158</v>
      </c>
      <c r="D3173" s="557">
        <v>289.22000000000003</v>
      </c>
      <c r="E3173" s="557">
        <v>286.83</v>
      </c>
      <c r="F3173" s="557">
        <v>2.39</v>
      </c>
      <c r="G3173" s="557">
        <v>289.22000000000003</v>
      </c>
    </row>
    <row r="3174" spans="1:7" ht="23.1" customHeight="1" x14ac:dyDescent="0.25">
      <c r="A3174" s="551" t="s">
        <v>37894</v>
      </c>
      <c r="B3174" s="551" t="s">
        <v>37895</v>
      </c>
      <c r="C3174" s="552" t="s">
        <v>158</v>
      </c>
      <c r="D3174" s="557">
        <v>425.53</v>
      </c>
      <c r="E3174" s="557">
        <v>423.14</v>
      </c>
      <c r="F3174" s="557">
        <v>2.39</v>
      </c>
      <c r="G3174" s="557">
        <v>425.53</v>
      </c>
    </row>
    <row r="3175" spans="1:7" ht="23.1" customHeight="1" x14ac:dyDescent="0.25">
      <c r="A3175" s="548" t="s">
        <v>37896</v>
      </c>
      <c r="B3175" s="548" t="s">
        <v>37897</v>
      </c>
      <c r="C3175" s="549" t="s">
        <v>158</v>
      </c>
      <c r="D3175" s="549">
        <v>660.8</v>
      </c>
      <c r="E3175" s="549">
        <v>658.41</v>
      </c>
      <c r="F3175" s="549">
        <v>2.39</v>
      </c>
      <c r="G3175" s="549">
        <v>660.8</v>
      </c>
    </row>
    <row r="3176" spans="1:7" ht="12.6" customHeight="1" x14ac:dyDescent="0.25">
      <c r="A3176" s="551" t="s">
        <v>37898</v>
      </c>
      <c r="B3176" s="551" t="s">
        <v>37899</v>
      </c>
      <c r="C3176" s="552" t="s">
        <v>158</v>
      </c>
      <c r="D3176" s="557">
        <v>964.15</v>
      </c>
      <c r="E3176" s="557">
        <v>961.76</v>
      </c>
      <c r="F3176" s="557">
        <v>2.39</v>
      </c>
      <c r="G3176" s="557">
        <v>964.15</v>
      </c>
    </row>
    <row r="3177" spans="1:7" ht="12.6" customHeight="1" x14ac:dyDescent="0.25">
      <c r="A3177" s="551" t="s">
        <v>37900</v>
      </c>
      <c r="B3177" s="551" t="s">
        <v>37901</v>
      </c>
      <c r="C3177" s="552" t="s">
        <v>158</v>
      </c>
      <c r="D3177" s="557">
        <v>1394.08</v>
      </c>
      <c r="E3177" s="557">
        <v>1391.69</v>
      </c>
      <c r="F3177" s="557">
        <v>2.39</v>
      </c>
      <c r="G3177" s="557">
        <v>1394.08</v>
      </c>
    </row>
    <row r="3178" spans="1:7" ht="12.6" customHeight="1" x14ac:dyDescent="0.25">
      <c r="A3178" s="551" t="s">
        <v>37902</v>
      </c>
      <c r="B3178" s="551" t="s">
        <v>37903</v>
      </c>
      <c r="C3178" s="552"/>
      <c r="D3178" s="557"/>
      <c r="E3178" s="557"/>
      <c r="F3178" s="557"/>
      <c r="G3178" s="557"/>
    </row>
    <row r="3179" spans="1:7" ht="12.6" customHeight="1" x14ac:dyDescent="0.25">
      <c r="A3179" s="551" t="s">
        <v>37904</v>
      </c>
      <c r="B3179" s="551" t="s">
        <v>37905</v>
      </c>
      <c r="C3179" s="552" t="s">
        <v>158</v>
      </c>
      <c r="D3179" s="557">
        <v>569.03</v>
      </c>
      <c r="E3179" s="557">
        <v>535.36</v>
      </c>
      <c r="F3179" s="557">
        <v>33.67</v>
      </c>
      <c r="G3179" s="557">
        <v>569.03</v>
      </c>
    </row>
    <row r="3180" spans="1:7" ht="23.1" customHeight="1" x14ac:dyDescent="0.25">
      <c r="A3180" s="551" t="s">
        <v>37906</v>
      </c>
      <c r="B3180" s="551" t="s">
        <v>37907</v>
      </c>
      <c r="C3180" s="552" t="s">
        <v>158</v>
      </c>
      <c r="D3180" s="557">
        <v>651.54999999999995</v>
      </c>
      <c r="E3180" s="557">
        <v>617.88</v>
      </c>
      <c r="F3180" s="557">
        <v>33.67</v>
      </c>
      <c r="G3180" s="557">
        <v>651.54999999999995</v>
      </c>
    </row>
    <row r="3181" spans="1:7" ht="23.1" customHeight="1" x14ac:dyDescent="0.25">
      <c r="A3181" s="551" t="s">
        <v>37908</v>
      </c>
      <c r="B3181" s="551" t="s">
        <v>37909</v>
      </c>
      <c r="C3181" s="552" t="s">
        <v>158</v>
      </c>
      <c r="D3181" s="557">
        <v>809.03</v>
      </c>
      <c r="E3181" s="557">
        <v>775.36</v>
      </c>
      <c r="F3181" s="557">
        <v>33.67</v>
      </c>
      <c r="G3181" s="557">
        <v>809.03</v>
      </c>
    </row>
    <row r="3182" spans="1:7" ht="23.1" customHeight="1" x14ac:dyDescent="0.25">
      <c r="A3182" s="551" t="s">
        <v>37910</v>
      </c>
      <c r="B3182" s="551" t="s">
        <v>37911</v>
      </c>
      <c r="C3182" s="552" t="s">
        <v>158</v>
      </c>
      <c r="D3182" s="557">
        <v>1182.0899999999999</v>
      </c>
      <c r="E3182" s="557">
        <v>1148.42</v>
      </c>
      <c r="F3182" s="557">
        <v>33.67</v>
      </c>
      <c r="G3182" s="557">
        <v>1182.0899999999999</v>
      </c>
    </row>
    <row r="3183" spans="1:7" ht="23.1" customHeight="1" x14ac:dyDescent="0.25">
      <c r="A3183" s="551" t="s">
        <v>37912</v>
      </c>
      <c r="B3183" s="551" t="s">
        <v>37913</v>
      </c>
      <c r="C3183" s="552" t="s">
        <v>158</v>
      </c>
      <c r="D3183" s="557">
        <v>967.38</v>
      </c>
      <c r="E3183" s="557">
        <v>933.71</v>
      </c>
      <c r="F3183" s="557">
        <v>33.67</v>
      </c>
      <c r="G3183" s="557">
        <v>967.38</v>
      </c>
    </row>
    <row r="3184" spans="1:7" ht="23.1" customHeight="1" x14ac:dyDescent="0.25">
      <c r="A3184" s="551" t="s">
        <v>37914</v>
      </c>
      <c r="B3184" s="551" t="s">
        <v>37915</v>
      </c>
      <c r="C3184" s="552" t="s">
        <v>158</v>
      </c>
      <c r="D3184" s="557">
        <v>485.97</v>
      </c>
      <c r="E3184" s="557">
        <v>452.3</v>
      </c>
      <c r="F3184" s="557">
        <v>33.67</v>
      </c>
      <c r="G3184" s="557">
        <v>485.97</v>
      </c>
    </row>
    <row r="3185" spans="1:7" ht="23.1" customHeight="1" x14ac:dyDescent="0.25">
      <c r="A3185" s="551" t="s">
        <v>37916</v>
      </c>
      <c r="B3185" s="551" t="s">
        <v>37917</v>
      </c>
      <c r="C3185" s="552" t="s">
        <v>158</v>
      </c>
      <c r="D3185" s="557">
        <v>488.87</v>
      </c>
      <c r="E3185" s="557">
        <v>455.2</v>
      </c>
      <c r="F3185" s="557">
        <v>33.67</v>
      </c>
      <c r="G3185" s="557">
        <v>488.87</v>
      </c>
    </row>
    <row r="3186" spans="1:7" ht="23.1" customHeight="1" x14ac:dyDescent="0.25">
      <c r="A3186" s="551" t="s">
        <v>37918</v>
      </c>
      <c r="B3186" s="551" t="s">
        <v>37919</v>
      </c>
      <c r="C3186" s="552" t="s">
        <v>158</v>
      </c>
      <c r="D3186" s="557">
        <v>609.88</v>
      </c>
      <c r="E3186" s="557">
        <v>576.21</v>
      </c>
      <c r="F3186" s="557">
        <v>33.67</v>
      </c>
      <c r="G3186" s="557">
        <v>609.88</v>
      </c>
    </row>
    <row r="3187" spans="1:7" ht="23.1" customHeight="1" x14ac:dyDescent="0.25">
      <c r="A3187" s="551" t="s">
        <v>37920</v>
      </c>
      <c r="B3187" s="551" t="s">
        <v>37921</v>
      </c>
      <c r="C3187" s="552" t="s">
        <v>158</v>
      </c>
      <c r="D3187" s="557">
        <v>740.32</v>
      </c>
      <c r="E3187" s="557">
        <v>706.65</v>
      </c>
      <c r="F3187" s="557">
        <v>33.67</v>
      </c>
      <c r="G3187" s="557">
        <v>740.32</v>
      </c>
    </row>
    <row r="3188" spans="1:7" ht="12.6" customHeight="1" x14ac:dyDescent="0.25">
      <c r="A3188" s="551" t="s">
        <v>37922</v>
      </c>
      <c r="B3188" s="551" t="s">
        <v>37923</v>
      </c>
      <c r="C3188" s="552" t="s">
        <v>158</v>
      </c>
      <c r="D3188" s="557">
        <v>860.29</v>
      </c>
      <c r="E3188" s="557">
        <v>826.62</v>
      </c>
      <c r="F3188" s="557">
        <v>33.67</v>
      </c>
      <c r="G3188" s="557">
        <v>860.29</v>
      </c>
    </row>
    <row r="3189" spans="1:7" ht="12.6" customHeight="1" x14ac:dyDescent="0.25">
      <c r="A3189" s="551" t="s">
        <v>37924</v>
      </c>
      <c r="B3189" s="551" t="s">
        <v>37925</v>
      </c>
      <c r="C3189" s="552" t="s">
        <v>158</v>
      </c>
      <c r="D3189" s="557">
        <v>953.94</v>
      </c>
      <c r="E3189" s="557">
        <v>920.27</v>
      </c>
      <c r="F3189" s="557">
        <v>33.67</v>
      </c>
      <c r="G3189" s="557">
        <v>953.94</v>
      </c>
    </row>
    <row r="3190" spans="1:7" ht="23.1" customHeight="1" x14ac:dyDescent="0.25">
      <c r="A3190" s="551" t="s">
        <v>37926</v>
      </c>
      <c r="B3190" s="551" t="s">
        <v>37927</v>
      </c>
      <c r="C3190" s="552" t="s">
        <v>158</v>
      </c>
      <c r="D3190" s="557">
        <v>1203.07</v>
      </c>
      <c r="E3190" s="557">
        <v>1169.4000000000001</v>
      </c>
      <c r="F3190" s="557">
        <v>33.67</v>
      </c>
      <c r="G3190" s="557">
        <v>1203.07</v>
      </c>
    </row>
    <row r="3191" spans="1:7" ht="23.1" customHeight="1" x14ac:dyDescent="0.25">
      <c r="A3191" s="551" t="s">
        <v>37928</v>
      </c>
      <c r="B3191" s="551" t="s">
        <v>37929</v>
      </c>
      <c r="C3191" s="552"/>
      <c r="D3191" s="557"/>
      <c r="E3191" s="557"/>
      <c r="F3191" s="557"/>
      <c r="G3191" s="557"/>
    </row>
    <row r="3192" spans="1:7" ht="23.1" customHeight="1" x14ac:dyDescent="0.25">
      <c r="A3192" s="551" t="s">
        <v>37930</v>
      </c>
      <c r="B3192" s="551" t="s">
        <v>37931</v>
      </c>
      <c r="C3192" s="552" t="s">
        <v>158</v>
      </c>
      <c r="D3192" s="557">
        <v>177.09</v>
      </c>
      <c r="E3192" s="557">
        <v>156.88999999999999</v>
      </c>
      <c r="F3192" s="557">
        <v>20.2</v>
      </c>
      <c r="G3192" s="557">
        <v>177.09</v>
      </c>
    </row>
    <row r="3193" spans="1:7" ht="23.1" customHeight="1" x14ac:dyDescent="0.25">
      <c r="A3193" s="551" t="s">
        <v>37932</v>
      </c>
      <c r="B3193" s="551" t="s">
        <v>37933</v>
      </c>
      <c r="C3193" s="552" t="s">
        <v>158</v>
      </c>
      <c r="D3193" s="557">
        <v>255.45</v>
      </c>
      <c r="E3193" s="557">
        <v>228.51</v>
      </c>
      <c r="F3193" s="557">
        <v>26.94</v>
      </c>
      <c r="G3193" s="557">
        <v>255.45</v>
      </c>
    </row>
    <row r="3194" spans="1:7" ht="23.1" customHeight="1" x14ac:dyDescent="0.25">
      <c r="A3194" s="551" t="s">
        <v>37934</v>
      </c>
      <c r="B3194" s="551" t="s">
        <v>37935</v>
      </c>
      <c r="C3194" s="552" t="s">
        <v>158</v>
      </c>
      <c r="D3194" s="557">
        <v>293.2</v>
      </c>
      <c r="E3194" s="557">
        <v>266.26</v>
      </c>
      <c r="F3194" s="557">
        <v>26.94</v>
      </c>
      <c r="G3194" s="557">
        <v>293.2</v>
      </c>
    </row>
    <row r="3195" spans="1:7" ht="23.1" customHeight="1" x14ac:dyDescent="0.25">
      <c r="A3195" s="551" t="s">
        <v>37936</v>
      </c>
      <c r="B3195" s="551" t="s">
        <v>37937</v>
      </c>
      <c r="C3195" s="552"/>
      <c r="D3195" s="557"/>
      <c r="E3195" s="557"/>
      <c r="F3195" s="557"/>
      <c r="G3195" s="557"/>
    </row>
    <row r="3196" spans="1:7" ht="23.1" customHeight="1" x14ac:dyDescent="0.25">
      <c r="A3196" s="551" t="s">
        <v>37938</v>
      </c>
      <c r="B3196" s="551" t="s">
        <v>37939</v>
      </c>
      <c r="C3196" s="552" t="s">
        <v>158</v>
      </c>
      <c r="D3196" s="557">
        <v>554.54999999999995</v>
      </c>
      <c r="E3196" s="557">
        <v>516.1</v>
      </c>
      <c r="F3196" s="557">
        <v>38.450000000000003</v>
      </c>
      <c r="G3196" s="557">
        <v>554.54999999999995</v>
      </c>
    </row>
    <row r="3197" spans="1:7" ht="11.45" customHeight="1" x14ac:dyDescent="0.25">
      <c r="A3197" s="543" t="s">
        <v>37940</v>
      </c>
      <c r="B3197" s="544" t="s">
        <v>37941</v>
      </c>
      <c r="C3197" s="544" t="s">
        <v>158</v>
      </c>
      <c r="D3197" s="543">
        <v>571.30999999999995</v>
      </c>
      <c r="E3197" s="545">
        <v>532.86</v>
      </c>
      <c r="F3197" s="546">
        <v>38.450000000000003</v>
      </c>
      <c r="G3197" s="543">
        <v>571.30999999999995</v>
      </c>
    </row>
    <row r="3198" spans="1:7" ht="23.1" customHeight="1" x14ac:dyDescent="0.25">
      <c r="A3198" s="551" t="s">
        <v>37942</v>
      </c>
      <c r="B3198" s="551" t="s">
        <v>37943</v>
      </c>
      <c r="C3198" s="552" t="s">
        <v>158</v>
      </c>
      <c r="D3198" s="557">
        <v>648.89</v>
      </c>
      <c r="E3198" s="557">
        <v>610.44000000000005</v>
      </c>
      <c r="F3198" s="557">
        <v>38.450000000000003</v>
      </c>
      <c r="G3198" s="557">
        <v>648.89</v>
      </c>
    </row>
    <row r="3199" spans="1:7" ht="24.95" customHeight="1" x14ac:dyDescent="0.25">
      <c r="A3199" s="551" t="s">
        <v>37944</v>
      </c>
      <c r="B3199" s="342" t="s">
        <v>37945</v>
      </c>
      <c r="C3199" s="552" t="s">
        <v>158</v>
      </c>
      <c r="D3199" s="557">
        <v>769.01</v>
      </c>
      <c r="E3199" s="557">
        <v>730.56</v>
      </c>
      <c r="F3199" s="557">
        <v>38.450000000000003</v>
      </c>
      <c r="G3199" s="557">
        <v>769.01</v>
      </c>
    </row>
    <row r="3200" spans="1:7" ht="24.95" customHeight="1" x14ac:dyDescent="0.25">
      <c r="A3200" s="551" t="s">
        <v>37946</v>
      </c>
      <c r="B3200" s="342" t="s">
        <v>37947</v>
      </c>
      <c r="C3200" s="552" t="s">
        <v>158</v>
      </c>
      <c r="D3200" s="557">
        <v>824.42</v>
      </c>
      <c r="E3200" s="557">
        <v>783.09</v>
      </c>
      <c r="F3200" s="557">
        <v>41.33</v>
      </c>
      <c r="G3200" s="557">
        <v>824.42</v>
      </c>
    </row>
    <row r="3201" spans="1:7" ht="24.95" customHeight="1" x14ac:dyDescent="0.25">
      <c r="A3201" s="551" t="s">
        <v>37948</v>
      </c>
      <c r="B3201" s="342" t="s">
        <v>37949</v>
      </c>
      <c r="C3201" s="552" t="s">
        <v>158</v>
      </c>
      <c r="D3201" s="557">
        <v>1129.8499999999999</v>
      </c>
      <c r="E3201" s="557">
        <v>1088.52</v>
      </c>
      <c r="F3201" s="557">
        <v>41.33</v>
      </c>
      <c r="G3201" s="557">
        <v>1129.8499999999999</v>
      </c>
    </row>
    <row r="3202" spans="1:7" ht="24.95" customHeight="1" x14ac:dyDescent="0.25">
      <c r="A3202" s="551" t="s">
        <v>37950</v>
      </c>
      <c r="B3202" s="342" t="s">
        <v>37951</v>
      </c>
      <c r="C3202" s="552" t="s">
        <v>226</v>
      </c>
      <c r="D3202" s="557">
        <v>132.21</v>
      </c>
      <c r="E3202" s="557">
        <v>111.15</v>
      </c>
      <c r="F3202" s="557">
        <v>21.06</v>
      </c>
      <c r="G3202" s="557">
        <v>132.21</v>
      </c>
    </row>
    <row r="3203" spans="1:7" ht="24.95" customHeight="1" x14ac:dyDescent="0.25">
      <c r="A3203" s="551" t="s">
        <v>37952</v>
      </c>
      <c r="B3203" s="342" t="s">
        <v>37953</v>
      </c>
      <c r="C3203" s="552" t="s">
        <v>226</v>
      </c>
      <c r="D3203" s="557">
        <v>172.96</v>
      </c>
      <c r="E3203" s="557">
        <v>151.9</v>
      </c>
      <c r="F3203" s="557">
        <v>21.06</v>
      </c>
      <c r="G3203" s="557">
        <v>172.96</v>
      </c>
    </row>
    <row r="3204" spans="1:7" ht="24.95" customHeight="1" x14ac:dyDescent="0.25">
      <c r="A3204" s="551" t="s">
        <v>37954</v>
      </c>
      <c r="B3204" s="342" t="s">
        <v>37955</v>
      </c>
      <c r="C3204" s="552" t="s">
        <v>226</v>
      </c>
      <c r="D3204" s="557">
        <v>212.13</v>
      </c>
      <c r="E3204" s="557">
        <v>189.15</v>
      </c>
      <c r="F3204" s="557">
        <v>22.98</v>
      </c>
      <c r="G3204" s="557">
        <v>212.13</v>
      </c>
    </row>
    <row r="3205" spans="1:7" ht="23.1" customHeight="1" x14ac:dyDescent="0.25">
      <c r="A3205" s="551" t="s">
        <v>37956</v>
      </c>
      <c r="B3205" s="551" t="s">
        <v>37957</v>
      </c>
      <c r="C3205" s="552" t="s">
        <v>226</v>
      </c>
      <c r="D3205" s="557">
        <v>319.01</v>
      </c>
      <c r="E3205" s="557">
        <v>294.13</v>
      </c>
      <c r="F3205" s="557">
        <v>24.88</v>
      </c>
      <c r="G3205" s="557">
        <v>319.01</v>
      </c>
    </row>
    <row r="3206" spans="1:7" ht="24.95" customHeight="1" x14ac:dyDescent="0.25">
      <c r="A3206" s="551" t="s">
        <v>37958</v>
      </c>
      <c r="B3206" s="342" t="s">
        <v>37959</v>
      </c>
      <c r="C3206" s="552" t="s">
        <v>226</v>
      </c>
      <c r="D3206" s="557">
        <v>389.7</v>
      </c>
      <c r="E3206" s="557">
        <v>362.9</v>
      </c>
      <c r="F3206" s="557">
        <v>26.8</v>
      </c>
      <c r="G3206" s="557">
        <v>389.7</v>
      </c>
    </row>
    <row r="3207" spans="1:7" ht="24.95" customHeight="1" x14ac:dyDescent="0.25">
      <c r="A3207" s="551" t="s">
        <v>37960</v>
      </c>
      <c r="B3207" s="342" t="s">
        <v>37961</v>
      </c>
      <c r="C3207" s="552" t="s">
        <v>226</v>
      </c>
      <c r="D3207" s="557">
        <v>537.19000000000005</v>
      </c>
      <c r="E3207" s="557">
        <v>508.48</v>
      </c>
      <c r="F3207" s="557">
        <v>28.71</v>
      </c>
      <c r="G3207" s="557">
        <v>537.19000000000005</v>
      </c>
    </row>
    <row r="3208" spans="1:7" ht="12.6" customHeight="1" x14ac:dyDescent="0.2">
      <c r="A3208" s="548" t="s">
        <v>37962</v>
      </c>
      <c r="B3208" s="548" t="s">
        <v>37963</v>
      </c>
      <c r="C3208" s="550" t="s">
        <v>226</v>
      </c>
      <c r="D3208" s="550">
        <v>680.06</v>
      </c>
      <c r="E3208" s="550">
        <v>649.42999999999995</v>
      </c>
      <c r="F3208" s="550">
        <v>30.63</v>
      </c>
      <c r="G3208" s="550">
        <v>680.06</v>
      </c>
    </row>
    <row r="3209" spans="1:7" ht="12.6" customHeight="1" x14ac:dyDescent="0.25">
      <c r="A3209" s="551" t="s">
        <v>37964</v>
      </c>
      <c r="B3209" s="551" t="s">
        <v>37965</v>
      </c>
      <c r="C3209" s="552" t="s">
        <v>226</v>
      </c>
      <c r="D3209" s="557">
        <v>289.27999999999997</v>
      </c>
      <c r="E3209" s="557">
        <v>262.48</v>
      </c>
      <c r="F3209" s="557">
        <v>26.8</v>
      </c>
      <c r="G3209" s="557">
        <v>289.27999999999997</v>
      </c>
    </row>
    <row r="3210" spans="1:7" ht="12.6" customHeight="1" x14ac:dyDescent="0.25">
      <c r="A3210" s="551" t="s">
        <v>37966</v>
      </c>
      <c r="B3210" s="551" t="s">
        <v>37967</v>
      </c>
      <c r="C3210" s="552" t="s">
        <v>226</v>
      </c>
      <c r="D3210" s="557">
        <v>355.2</v>
      </c>
      <c r="E3210" s="557">
        <v>334.14</v>
      </c>
      <c r="F3210" s="557">
        <v>21.06</v>
      </c>
      <c r="G3210" s="557">
        <v>355.2</v>
      </c>
    </row>
    <row r="3211" spans="1:7" ht="12.6" customHeight="1" x14ac:dyDescent="0.25">
      <c r="A3211" s="551" t="s">
        <v>37968</v>
      </c>
      <c r="B3211" s="551" t="s">
        <v>37969</v>
      </c>
      <c r="C3211" s="552" t="s">
        <v>226</v>
      </c>
      <c r="D3211" s="557">
        <v>396.97</v>
      </c>
      <c r="E3211" s="557">
        <v>370.17</v>
      </c>
      <c r="F3211" s="557">
        <v>26.8</v>
      </c>
      <c r="G3211" s="557">
        <v>396.97</v>
      </c>
    </row>
    <row r="3212" spans="1:7" ht="12.6" customHeight="1" x14ac:dyDescent="0.25">
      <c r="A3212" s="551" t="s">
        <v>37970</v>
      </c>
      <c r="B3212" s="551" t="s">
        <v>37971</v>
      </c>
      <c r="C3212" s="552" t="s">
        <v>226</v>
      </c>
      <c r="D3212" s="557">
        <v>720.32</v>
      </c>
      <c r="E3212" s="557">
        <v>689.69</v>
      </c>
      <c r="F3212" s="557">
        <v>30.63</v>
      </c>
      <c r="G3212" s="557">
        <v>720.32</v>
      </c>
    </row>
    <row r="3213" spans="1:7" ht="12.6" customHeight="1" x14ac:dyDescent="0.25">
      <c r="A3213" s="551" t="s">
        <v>37972</v>
      </c>
      <c r="B3213" s="551" t="s">
        <v>37973</v>
      </c>
      <c r="C3213" s="552" t="s">
        <v>226</v>
      </c>
      <c r="D3213" s="557">
        <v>556.73</v>
      </c>
      <c r="E3213" s="557">
        <v>533.75</v>
      </c>
      <c r="F3213" s="557">
        <v>22.98</v>
      </c>
      <c r="G3213" s="557">
        <v>556.73</v>
      </c>
    </row>
    <row r="3214" spans="1:7" ht="12.6" customHeight="1" x14ac:dyDescent="0.25">
      <c r="A3214" s="551" t="s">
        <v>37974</v>
      </c>
      <c r="B3214" s="551" t="s">
        <v>37975</v>
      </c>
      <c r="C3214" s="552" t="s">
        <v>226</v>
      </c>
      <c r="D3214" s="557">
        <v>577.96</v>
      </c>
      <c r="E3214" s="557">
        <v>551.16</v>
      </c>
      <c r="F3214" s="557">
        <v>26.8</v>
      </c>
      <c r="G3214" s="557">
        <v>577.96</v>
      </c>
    </row>
    <row r="3215" spans="1:7" ht="12.6" customHeight="1" x14ac:dyDescent="0.25">
      <c r="A3215" s="551" t="s">
        <v>37976</v>
      </c>
      <c r="B3215" s="551" t="s">
        <v>37977</v>
      </c>
      <c r="C3215" s="552" t="s">
        <v>226</v>
      </c>
      <c r="D3215" s="557">
        <v>1073.04</v>
      </c>
      <c r="E3215" s="557">
        <v>1042.4100000000001</v>
      </c>
      <c r="F3215" s="557">
        <v>30.63</v>
      </c>
      <c r="G3215" s="557">
        <v>1073.04</v>
      </c>
    </row>
    <row r="3216" spans="1:7" ht="12.6" customHeight="1" x14ac:dyDescent="0.25">
      <c r="A3216" s="551" t="s">
        <v>37978</v>
      </c>
      <c r="B3216" s="551" t="s">
        <v>37979</v>
      </c>
      <c r="C3216" s="552" t="s">
        <v>226</v>
      </c>
      <c r="D3216" s="557">
        <v>321.55</v>
      </c>
      <c r="E3216" s="557">
        <v>300.49</v>
      </c>
      <c r="F3216" s="557">
        <v>21.06</v>
      </c>
      <c r="G3216" s="557">
        <v>321.55</v>
      </c>
    </row>
    <row r="3217" spans="1:7" ht="12.6" customHeight="1" x14ac:dyDescent="0.25">
      <c r="A3217" s="551" t="s">
        <v>37980</v>
      </c>
      <c r="B3217" s="551" t="s">
        <v>37981</v>
      </c>
      <c r="C3217" s="552" t="s">
        <v>226</v>
      </c>
      <c r="D3217" s="557">
        <v>367.01</v>
      </c>
      <c r="E3217" s="557">
        <v>344.03</v>
      </c>
      <c r="F3217" s="557">
        <v>22.98</v>
      </c>
      <c r="G3217" s="557">
        <v>367.01</v>
      </c>
    </row>
    <row r="3218" spans="1:7" ht="12.6" customHeight="1" x14ac:dyDescent="0.25">
      <c r="A3218" s="551" t="s">
        <v>37982</v>
      </c>
      <c r="B3218" s="551" t="s">
        <v>37983</v>
      </c>
      <c r="C3218" s="552"/>
      <c r="D3218" s="557"/>
      <c r="E3218" s="557"/>
      <c r="F3218" s="557"/>
      <c r="G3218" s="557"/>
    </row>
    <row r="3219" spans="1:7" ht="12.6" customHeight="1" x14ac:dyDescent="0.25">
      <c r="A3219" s="551" t="s">
        <v>37984</v>
      </c>
      <c r="B3219" s="551" t="s">
        <v>37985</v>
      </c>
      <c r="C3219" s="552" t="s">
        <v>226</v>
      </c>
      <c r="D3219" s="557">
        <v>435.77</v>
      </c>
      <c r="E3219" s="557">
        <v>408.97</v>
      </c>
      <c r="F3219" s="557">
        <v>26.8</v>
      </c>
      <c r="G3219" s="557">
        <v>435.77</v>
      </c>
    </row>
    <row r="3220" spans="1:7" ht="12.6" customHeight="1" x14ac:dyDescent="0.25">
      <c r="A3220" s="551" t="s">
        <v>37986</v>
      </c>
      <c r="B3220" s="551" t="s">
        <v>37987</v>
      </c>
      <c r="C3220" s="552" t="s">
        <v>226</v>
      </c>
      <c r="D3220" s="557">
        <v>601.92999999999995</v>
      </c>
      <c r="E3220" s="557">
        <v>571.29999999999995</v>
      </c>
      <c r="F3220" s="557">
        <v>30.63</v>
      </c>
      <c r="G3220" s="557">
        <v>601.92999999999995</v>
      </c>
    </row>
    <row r="3221" spans="1:7" ht="12.6" customHeight="1" x14ac:dyDescent="0.25">
      <c r="A3221" s="551" t="s">
        <v>37988</v>
      </c>
      <c r="B3221" s="551" t="s">
        <v>37989</v>
      </c>
      <c r="C3221" s="552" t="s">
        <v>226</v>
      </c>
      <c r="D3221" s="557">
        <v>822.58</v>
      </c>
      <c r="E3221" s="557">
        <v>788.12</v>
      </c>
      <c r="F3221" s="557">
        <v>34.46</v>
      </c>
      <c r="G3221" s="557">
        <v>822.58</v>
      </c>
    </row>
    <row r="3222" spans="1:7" ht="12.6" customHeight="1" x14ac:dyDescent="0.25">
      <c r="A3222" s="551" t="s">
        <v>37990</v>
      </c>
      <c r="B3222" s="551" t="s">
        <v>37991</v>
      </c>
      <c r="C3222" s="552" t="s">
        <v>226</v>
      </c>
      <c r="D3222" s="557">
        <v>1440.77</v>
      </c>
      <c r="E3222" s="557">
        <v>1402.48</v>
      </c>
      <c r="F3222" s="557">
        <v>38.29</v>
      </c>
      <c r="G3222" s="557">
        <v>1440.77</v>
      </c>
    </row>
    <row r="3223" spans="1:7" ht="12.6" customHeight="1" x14ac:dyDescent="0.25">
      <c r="A3223" s="551" t="s">
        <v>37992</v>
      </c>
      <c r="B3223" s="551" t="s">
        <v>37993</v>
      </c>
      <c r="C3223" s="552" t="s">
        <v>226</v>
      </c>
      <c r="D3223" s="557">
        <v>335.78</v>
      </c>
      <c r="E3223" s="557">
        <v>308.98</v>
      </c>
      <c r="F3223" s="557">
        <v>26.8</v>
      </c>
      <c r="G3223" s="557">
        <v>335.78</v>
      </c>
    </row>
    <row r="3224" spans="1:7" ht="12.6" customHeight="1" x14ac:dyDescent="0.2">
      <c r="A3224" s="548" t="s">
        <v>37994</v>
      </c>
      <c r="B3224" s="548" t="s">
        <v>37995</v>
      </c>
      <c r="C3224" s="550" t="s">
        <v>226</v>
      </c>
      <c r="D3224" s="550">
        <v>396.39</v>
      </c>
      <c r="E3224" s="550">
        <v>369.59</v>
      </c>
      <c r="F3224" s="550">
        <v>26.8</v>
      </c>
      <c r="G3224" s="550">
        <v>396.39</v>
      </c>
    </row>
    <row r="3225" spans="1:7" ht="12.6" customHeight="1" x14ac:dyDescent="0.25">
      <c r="A3225" s="551" t="s">
        <v>37996</v>
      </c>
      <c r="B3225" s="551" t="s">
        <v>37997</v>
      </c>
      <c r="C3225" s="552" t="s">
        <v>226</v>
      </c>
      <c r="D3225" s="557">
        <v>667.43</v>
      </c>
      <c r="E3225" s="557">
        <v>636.79999999999995</v>
      </c>
      <c r="F3225" s="557">
        <v>30.63</v>
      </c>
      <c r="G3225" s="557">
        <v>667.43</v>
      </c>
    </row>
    <row r="3226" spans="1:7" ht="12.6" customHeight="1" x14ac:dyDescent="0.25">
      <c r="A3226" s="551" t="s">
        <v>37998</v>
      </c>
      <c r="B3226" s="551" t="s">
        <v>37999</v>
      </c>
      <c r="C3226" s="552" t="s">
        <v>226</v>
      </c>
      <c r="D3226" s="557">
        <v>893.56</v>
      </c>
      <c r="E3226" s="557">
        <v>859.1</v>
      </c>
      <c r="F3226" s="557">
        <v>34.46</v>
      </c>
      <c r="G3226" s="557">
        <v>893.56</v>
      </c>
    </row>
    <row r="3227" spans="1:7" ht="12.6" customHeight="1" x14ac:dyDescent="0.25">
      <c r="A3227" s="551" t="s">
        <v>38000</v>
      </c>
      <c r="B3227" s="551" t="s">
        <v>38001</v>
      </c>
      <c r="C3227" s="552" t="s">
        <v>226</v>
      </c>
      <c r="D3227" s="557">
        <v>1339.92</v>
      </c>
      <c r="E3227" s="557">
        <v>1301.6300000000001</v>
      </c>
      <c r="F3227" s="557">
        <v>38.29</v>
      </c>
      <c r="G3227" s="557">
        <v>1339.92</v>
      </c>
    </row>
    <row r="3228" spans="1:7" ht="12.6" customHeight="1" x14ac:dyDescent="0.25">
      <c r="A3228" s="551" t="s">
        <v>38002</v>
      </c>
      <c r="B3228" s="551" t="s">
        <v>38003</v>
      </c>
      <c r="C3228" s="552"/>
      <c r="D3228" s="557"/>
      <c r="E3228" s="557"/>
      <c r="F3228" s="557"/>
      <c r="G3228" s="557"/>
    </row>
    <row r="3229" spans="1:7" ht="12.6" customHeight="1" x14ac:dyDescent="0.25">
      <c r="A3229" s="551" t="s">
        <v>38004</v>
      </c>
      <c r="B3229" s="551" t="s">
        <v>38005</v>
      </c>
      <c r="C3229" s="552" t="s">
        <v>158</v>
      </c>
      <c r="D3229" s="557">
        <v>67.790000000000006</v>
      </c>
      <c r="E3229" s="557">
        <v>1.76</v>
      </c>
      <c r="F3229" s="557">
        <v>66.03</v>
      </c>
      <c r="G3229" s="557">
        <v>67.790000000000006</v>
      </c>
    </row>
    <row r="3230" spans="1:7" ht="12.6" customHeight="1" x14ac:dyDescent="0.25">
      <c r="A3230" s="551" t="s">
        <v>38006</v>
      </c>
      <c r="B3230" s="551" t="s">
        <v>38007</v>
      </c>
      <c r="C3230" s="552" t="s">
        <v>158</v>
      </c>
      <c r="D3230" s="557">
        <v>103.49</v>
      </c>
      <c r="E3230" s="557">
        <v>65.069999999999993</v>
      </c>
      <c r="F3230" s="557">
        <v>38.42</v>
      </c>
      <c r="G3230" s="557">
        <v>103.49</v>
      </c>
    </row>
    <row r="3231" spans="1:7" ht="12.6" customHeight="1" x14ac:dyDescent="0.25">
      <c r="A3231" s="551" t="s">
        <v>38008</v>
      </c>
      <c r="B3231" s="551" t="s">
        <v>38009</v>
      </c>
      <c r="C3231" s="552"/>
      <c r="D3231" s="557"/>
      <c r="E3231" s="557"/>
      <c r="F3231" s="557"/>
      <c r="G3231" s="557"/>
    </row>
    <row r="3232" spans="1:7" ht="12.6" customHeight="1" x14ac:dyDescent="0.25">
      <c r="A3232" s="551" t="s">
        <v>38010</v>
      </c>
      <c r="B3232" s="551" t="s">
        <v>38011</v>
      </c>
      <c r="C3232" s="552" t="s">
        <v>158</v>
      </c>
      <c r="D3232" s="557">
        <v>140.38</v>
      </c>
      <c r="E3232" s="557">
        <v>73.37</v>
      </c>
      <c r="F3232" s="557">
        <v>67.010000000000005</v>
      </c>
      <c r="G3232" s="557">
        <v>140.38</v>
      </c>
    </row>
    <row r="3233" spans="1:7" ht="12.6" customHeight="1" x14ac:dyDescent="0.25">
      <c r="A3233" s="551" t="s">
        <v>38012</v>
      </c>
      <c r="B3233" s="551" t="s">
        <v>38013</v>
      </c>
      <c r="C3233" s="552" t="s">
        <v>158</v>
      </c>
      <c r="D3233" s="557">
        <v>149.51</v>
      </c>
      <c r="E3233" s="557">
        <v>72.94</v>
      </c>
      <c r="F3233" s="557">
        <v>76.569999999999993</v>
      </c>
      <c r="G3233" s="557">
        <v>149.51</v>
      </c>
    </row>
    <row r="3234" spans="1:7" ht="12.6" customHeight="1" x14ac:dyDescent="0.25">
      <c r="A3234" s="551" t="s">
        <v>38014</v>
      </c>
      <c r="B3234" s="551" t="s">
        <v>38015</v>
      </c>
      <c r="C3234" s="552" t="s">
        <v>158</v>
      </c>
      <c r="D3234" s="557">
        <v>174.22</v>
      </c>
      <c r="E3234" s="557">
        <v>97.65</v>
      </c>
      <c r="F3234" s="557">
        <v>76.569999999999993</v>
      </c>
      <c r="G3234" s="557">
        <v>174.22</v>
      </c>
    </row>
    <row r="3235" spans="1:7" ht="12.6" customHeight="1" x14ac:dyDescent="0.25">
      <c r="A3235" s="551" t="s">
        <v>38016</v>
      </c>
      <c r="B3235" s="551" t="s">
        <v>38017</v>
      </c>
      <c r="C3235" s="552" t="s">
        <v>158</v>
      </c>
      <c r="D3235" s="557">
        <v>212.24</v>
      </c>
      <c r="E3235" s="557">
        <v>126.09</v>
      </c>
      <c r="F3235" s="557">
        <v>86.15</v>
      </c>
      <c r="G3235" s="557">
        <v>212.24</v>
      </c>
    </row>
    <row r="3236" spans="1:7" ht="12.6" customHeight="1" x14ac:dyDescent="0.25">
      <c r="A3236" s="551" t="s">
        <v>38018</v>
      </c>
      <c r="B3236" s="551" t="s">
        <v>38019</v>
      </c>
      <c r="C3236" s="552" t="s">
        <v>158</v>
      </c>
      <c r="D3236" s="557">
        <v>293.89</v>
      </c>
      <c r="E3236" s="557">
        <v>198.17</v>
      </c>
      <c r="F3236" s="557">
        <v>95.72</v>
      </c>
      <c r="G3236" s="557">
        <v>293.89</v>
      </c>
    </row>
    <row r="3237" spans="1:7" ht="12.6" customHeight="1" x14ac:dyDescent="0.25">
      <c r="A3237" s="551" t="s">
        <v>38020</v>
      </c>
      <c r="B3237" s="551" t="s">
        <v>38021</v>
      </c>
      <c r="C3237" s="552" t="s">
        <v>158</v>
      </c>
      <c r="D3237" s="557">
        <v>330.39</v>
      </c>
      <c r="E3237" s="557">
        <v>222.7</v>
      </c>
      <c r="F3237" s="557">
        <v>107.69</v>
      </c>
      <c r="G3237" s="557">
        <v>330.39</v>
      </c>
    </row>
    <row r="3238" spans="1:7" ht="12.6" customHeight="1" x14ac:dyDescent="0.25">
      <c r="A3238" s="551" t="s">
        <v>38022</v>
      </c>
      <c r="B3238" s="551" t="s">
        <v>38023</v>
      </c>
      <c r="C3238" s="552" t="s">
        <v>158</v>
      </c>
      <c r="D3238" s="557">
        <v>404.76</v>
      </c>
      <c r="E3238" s="557">
        <v>289.89</v>
      </c>
      <c r="F3238" s="557">
        <v>114.87</v>
      </c>
      <c r="G3238" s="557">
        <v>404.76</v>
      </c>
    </row>
    <row r="3239" spans="1:7" ht="12.6" customHeight="1" x14ac:dyDescent="0.25">
      <c r="A3239" s="551" t="s">
        <v>38024</v>
      </c>
      <c r="B3239" s="551" t="s">
        <v>38025</v>
      </c>
      <c r="C3239" s="552" t="s">
        <v>158</v>
      </c>
      <c r="D3239" s="557">
        <v>434.81</v>
      </c>
      <c r="E3239" s="557">
        <v>315.14999999999998</v>
      </c>
      <c r="F3239" s="557">
        <v>119.66</v>
      </c>
      <c r="G3239" s="557">
        <v>434.81</v>
      </c>
    </row>
    <row r="3240" spans="1:7" ht="12.6" customHeight="1" x14ac:dyDescent="0.25">
      <c r="A3240" s="551" t="s">
        <v>38026</v>
      </c>
      <c r="B3240" s="551" t="s">
        <v>38027</v>
      </c>
      <c r="C3240" s="552" t="s">
        <v>158</v>
      </c>
      <c r="D3240" s="557">
        <v>564.51</v>
      </c>
      <c r="E3240" s="557">
        <v>437.68</v>
      </c>
      <c r="F3240" s="557">
        <v>126.83</v>
      </c>
      <c r="G3240" s="557">
        <v>564.51</v>
      </c>
    </row>
    <row r="3241" spans="1:7" ht="12.6" customHeight="1" x14ac:dyDescent="0.25">
      <c r="A3241" s="551" t="s">
        <v>38028</v>
      </c>
      <c r="B3241" s="551" t="s">
        <v>38029</v>
      </c>
      <c r="C3241" s="552" t="s">
        <v>158</v>
      </c>
      <c r="D3241" s="557">
        <v>727.87</v>
      </c>
      <c r="E3241" s="557">
        <v>596.26</v>
      </c>
      <c r="F3241" s="557">
        <v>131.61000000000001</v>
      </c>
      <c r="G3241" s="557">
        <v>727.87</v>
      </c>
    </row>
    <row r="3242" spans="1:7" ht="12.6" customHeight="1" x14ac:dyDescent="0.25">
      <c r="A3242" s="551" t="s">
        <v>38030</v>
      </c>
      <c r="B3242" s="551" t="s">
        <v>38031</v>
      </c>
      <c r="C3242" s="552" t="s">
        <v>158</v>
      </c>
      <c r="D3242" s="557">
        <v>984.21</v>
      </c>
      <c r="E3242" s="557">
        <v>840.63</v>
      </c>
      <c r="F3242" s="557">
        <v>143.58000000000001</v>
      </c>
      <c r="G3242" s="557">
        <v>984.21</v>
      </c>
    </row>
    <row r="3243" spans="1:7" ht="12.6" customHeight="1" x14ac:dyDescent="0.25">
      <c r="A3243" s="551" t="s">
        <v>38032</v>
      </c>
      <c r="B3243" s="551" t="s">
        <v>38033</v>
      </c>
      <c r="C3243" s="552" t="s">
        <v>158</v>
      </c>
      <c r="D3243" s="553">
        <v>1051.29</v>
      </c>
      <c r="E3243" s="557">
        <v>893.35</v>
      </c>
      <c r="F3243" s="557">
        <v>157.94</v>
      </c>
      <c r="G3243" s="553">
        <v>1051.29</v>
      </c>
    </row>
    <row r="3244" spans="1:7" ht="12.6" customHeight="1" x14ac:dyDescent="0.25">
      <c r="A3244" s="551" t="s">
        <v>38034</v>
      </c>
      <c r="B3244" s="551" t="s">
        <v>38035</v>
      </c>
      <c r="C3244" s="552" t="s">
        <v>158</v>
      </c>
      <c r="D3244" s="557">
        <v>1472.06</v>
      </c>
      <c r="E3244" s="557">
        <v>1304.54</v>
      </c>
      <c r="F3244" s="557">
        <v>167.52</v>
      </c>
      <c r="G3244" s="557">
        <v>1472.06</v>
      </c>
    </row>
    <row r="3245" spans="1:7" ht="11.45" customHeight="1" x14ac:dyDescent="0.25">
      <c r="A3245" s="543" t="s">
        <v>38036</v>
      </c>
      <c r="B3245" s="544" t="s">
        <v>38037</v>
      </c>
      <c r="C3245" s="544"/>
      <c r="D3245" s="543"/>
      <c r="E3245" s="545"/>
      <c r="F3245" s="546"/>
      <c r="G3245" s="543"/>
    </row>
    <row r="3246" spans="1:7" ht="12.6" customHeight="1" x14ac:dyDescent="0.25">
      <c r="A3246" s="551" t="s">
        <v>38038</v>
      </c>
      <c r="B3246" s="551" t="s">
        <v>38039</v>
      </c>
      <c r="C3246" s="552" t="s">
        <v>158</v>
      </c>
      <c r="D3246" s="557">
        <v>172.55</v>
      </c>
      <c r="E3246" s="557">
        <v>156.97</v>
      </c>
      <c r="F3246" s="557">
        <v>15.58</v>
      </c>
      <c r="G3246" s="557">
        <v>172.55</v>
      </c>
    </row>
    <row r="3247" spans="1:7" ht="12.6" customHeight="1" x14ac:dyDescent="0.25">
      <c r="A3247" s="551" t="s">
        <v>38040</v>
      </c>
      <c r="B3247" s="551" t="s">
        <v>38041</v>
      </c>
      <c r="C3247" s="552" t="s">
        <v>158</v>
      </c>
      <c r="D3247" s="557">
        <v>249.33</v>
      </c>
      <c r="E3247" s="557">
        <v>225.97</v>
      </c>
      <c r="F3247" s="557">
        <v>23.36</v>
      </c>
      <c r="G3247" s="557">
        <v>249.33</v>
      </c>
    </row>
    <row r="3248" spans="1:7" ht="12.6" customHeight="1" x14ac:dyDescent="0.25">
      <c r="A3248" s="551" t="s">
        <v>38042</v>
      </c>
      <c r="B3248" s="551" t="s">
        <v>38043</v>
      </c>
      <c r="C3248" s="552" t="s">
        <v>158</v>
      </c>
      <c r="D3248" s="557">
        <v>309.52999999999997</v>
      </c>
      <c r="E3248" s="557">
        <v>282.27</v>
      </c>
      <c r="F3248" s="557">
        <v>27.26</v>
      </c>
      <c r="G3248" s="557">
        <v>309.52999999999997</v>
      </c>
    </row>
    <row r="3249" spans="1:7" ht="12.6" customHeight="1" x14ac:dyDescent="0.25">
      <c r="A3249" s="551" t="s">
        <v>38044</v>
      </c>
      <c r="B3249" s="551" t="s">
        <v>38045</v>
      </c>
      <c r="C3249" s="552" t="s">
        <v>158</v>
      </c>
      <c r="D3249" s="557">
        <v>423.86</v>
      </c>
      <c r="E3249" s="557">
        <v>392.71</v>
      </c>
      <c r="F3249" s="557">
        <v>31.15</v>
      </c>
      <c r="G3249" s="557">
        <v>423.86</v>
      </c>
    </row>
    <row r="3250" spans="1:7" ht="12.6" customHeight="1" x14ac:dyDescent="0.25">
      <c r="A3250" s="551" t="s">
        <v>38046</v>
      </c>
      <c r="B3250" s="551" t="s">
        <v>38047</v>
      </c>
      <c r="C3250" s="552" t="s">
        <v>158</v>
      </c>
      <c r="D3250" s="557">
        <v>499.75</v>
      </c>
      <c r="E3250" s="557">
        <v>460.81</v>
      </c>
      <c r="F3250" s="557">
        <v>38.94</v>
      </c>
      <c r="G3250" s="557">
        <v>499.75</v>
      </c>
    </row>
    <row r="3251" spans="1:7" ht="12.6" customHeight="1" x14ac:dyDescent="0.25">
      <c r="A3251" s="551" t="s">
        <v>38048</v>
      </c>
      <c r="B3251" s="551" t="s">
        <v>38049</v>
      </c>
      <c r="C3251" s="552" t="s">
        <v>158</v>
      </c>
      <c r="D3251" s="557">
        <v>793.62</v>
      </c>
      <c r="E3251" s="557">
        <v>746.89</v>
      </c>
      <c r="F3251" s="557">
        <v>46.73</v>
      </c>
      <c r="G3251" s="557">
        <v>793.62</v>
      </c>
    </row>
    <row r="3252" spans="1:7" ht="12.6" customHeight="1" x14ac:dyDescent="0.25">
      <c r="A3252" s="551" t="s">
        <v>38050</v>
      </c>
      <c r="B3252" s="551" t="s">
        <v>38051</v>
      </c>
      <c r="C3252" s="552" t="s">
        <v>158</v>
      </c>
      <c r="D3252" s="557">
        <v>741.33</v>
      </c>
      <c r="E3252" s="557">
        <v>682.92</v>
      </c>
      <c r="F3252" s="557">
        <v>58.41</v>
      </c>
      <c r="G3252" s="557">
        <v>741.33</v>
      </c>
    </row>
    <row r="3253" spans="1:7" ht="12.6" customHeight="1" x14ac:dyDescent="0.25">
      <c r="A3253" s="551" t="s">
        <v>38052</v>
      </c>
      <c r="B3253" s="551" t="s">
        <v>38053</v>
      </c>
      <c r="C3253" s="552" t="s">
        <v>158</v>
      </c>
      <c r="D3253" s="557">
        <v>1068.17</v>
      </c>
      <c r="E3253" s="557">
        <v>951.35</v>
      </c>
      <c r="F3253" s="557">
        <v>116.82</v>
      </c>
      <c r="G3253" s="557">
        <v>1068.17</v>
      </c>
    </row>
    <row r="3254" spans="1:7" ht="12.6" customHeight="1" x14ac:dyDescent="0.2">
      <c r="A3254" s="548" t="s">
        <v>38054</v>
      </c>
      <c r="B3254" s="548" t="s">
        <v>38055</v>
      </c>
      <c r="C3254" s="550"/>
      <c r="D3254" s="550"/>
      <c r="E3254" s="550"/>
      <c r="F3254" s="550"/>
      <c r="G3254" s="550"/>
    </row>
    <row r="3255" spans="1:7" ht="24.95" customHeight="1" x14ac:dyDescent="0.25">
      <c r="A3255" s="551" t="s">
        <v>38056</v>
      </c>
      <c r="B3255" s="342" t="s">
        <v>38057</v>
      </c>
      <c r="C3255" s="552" t="s">
        <v>158</v>
      </c>
      <c r="D3255" s="557">
        <v>115.21</v>
      </c>
      <c r="E3255" s="557">
        <v>75.489999999999995</v>
      </c>
      <c r="F3255" s="557">
        <v>39.72</v>
      </c>
      <c r="G3255" s="557">
        <v>115.21</v>
      </c>
    </row>
    <row r="3256" spans="1:7" ht="24.95" customHeight="1" x14ac:dyDescent="0.25">
      <c r="A3256" s="551" t="s">
        <v>38058</v>
      </c>
      <c r="B3256" s="342" t="s">
        <v>38059</v>
      </c>
      <c r="C3256" s="552"/>
      <c r="D3256" s="557"/>
      <c r="E3256" s="557"/>
      <c r="F3256" s="557"/>
      <c r="G3256" s="557"/>
    </row>
    <row r="3257" spans="1:7" ht="24.95" customHeight="1" x14ac:dyDescent="0.25">
      <c r="A3257" s="551" t="s">
        <v>38060</v>
      </c>
      <c r="B3257" s="342" t="s">
        <v>38061</v>
      </c>
      <c r="C3257" s="552" t="s">
        <v>158</v>
      </c>
      <c r="D3257" s="557">
        <v>174.93</v>
      </c>
      <c r="E3257" s="557">
        <v>150.99</v>
      </c>
      <c r="F3257" s="557">
        <v>23.94</v>
      </c>
      <c r="G3257" s="557">
        <v>174.93</v>
      </c>
    </row>
    <row r="3258" spans="1:7" ht="24.95" customHeight="1" x14ac:dyDescent="0.25">
      <c r="A3258" s="551" t="s">
        <v>38062</v>
      </c>
      <c r="B3258" s="342" t="s">
        <v>38063</v>
      </c>
      <c r="C3258" s="552" t="s">
        <v>158</v>
      </c>
      <c r="D3258" s="557">
        <v>219.03</v>
      </c>
      <c r="E3258" s="557">
        <v>195.09</v>
      </c>
      <c r="F3258" s="557">
        <v>23.94</v>
      </c>
      <c r="G3258" s="557">
        <v>219.03</v>
      </c>
    </row>
    <row r="3259" spans="1:7" ht="24.95" customHeight="1" x14ac:dyDescent="0.25">
      <c r="A3259" s="551" t="s">
        <v>38064</v>
      </c>
      <c r="B3259" s="342" t="s">
        <v>38065</v>
      </c>
      <c r="C3259" s="552" t="s">
        <v>158</v>
      </c>
      <c r="D3259" s="557">
        <v>276.77999999999997</v>
      </c>
      <c r="E3259" s="557">
        <v>243.11</v>
      </c>
      <c r="F3259" s="557">
        <v>33.67</v>
      </c>
      <c r="G3259" s="557">
        <v>276.77999999999997</v>
      </c>
    </row>
    <row r="3260" spans="1:7" ht="12.6" customHeight="1" x14ac:dyDescent="0.25">
      <c r="A3260" s="551" t="s">
        <v>38066</v>
      </c>
      <c r="B3260" s="551" t="s">
        <v>38067</v>
      </c>
      <c r="C3260" s="552" t="s">
        <v>158</v>
      </c>
      <c r="D3260" s="557">
        <v>341.26</v>
      </c>
      <c r="E3260" s="557">
        <v>307.58999999999997</v>
      </c>
      <c r="F3260" s="557">
        <v>33.67</v>
      </c>
      <c r="G3260" s="557">
        <v>341.26</v>
      </c>
    </row>
    <row r="3261" spans="1:7" ht="12.6" customHeight="1" x14ac:dyDescent="0.25">
      <c r="A3261" s="551" t="s">
        <v>38068</v>
      </c>
      <c r="B3261" s="551" t="s">
        <v>38069</v>
      </c>
      <c r="C3261" s="552" t="s">
        <v>158</v>
      </c>
      <c r="D3261" s="557">
        <v>571</v>
      </c>
      <c r="E3261" s="557">
        <v>537.33000000000004</v>
      </c>
      <c r="F3261" s="557">
        <v>33.67</v>
      </c>
      <c r="G3261" s="557">
        <v>571</v>
      </c>
    </row>
    <row r="3262" spans="1:7" ht="12.6" customHeight="1" x14ac:dyDescent="0.25">
      <c r="A3262" s="551" t="s">
        <v>38070</v>
      </c>
      <c r="B3262" s="551" t="s">
        <v>38071</v>
      </c>
      <c r="C3262" s="552" t="s">
        <v>226</v>
      </c>
      <c r="D3262" s="557">
        <v>97.85</v>
      </c>
      <c r="E3262" s="557">
        <v>78.7</v>
      </c>
      <c r="F3262" s="557">
        <v>19.149999999999999</v>
      </c>
      <c r="G3262" s="557">
        <v>97.85</v>
      </c>
    </row>
    <row r="3263" spans="1:7" ht="12.6" customHeight="1" x14ac:dyDescent="0.25">
      <c r="A3263" s="551" t="s">
        <v>38072</v>
      </c>
      <c r="B3263" s="551" t="s">
        <v>38073</v>
      </c>
      <c r="C3263" s="552" t="s">
        <v>226</v>
      </c>
      <c r="D3263" s="557">
        <v>112.23</v>
      </c>
      <c r="E3263" s="557">
        <v>93.08</v>
      </c>
      <c r="F3263" s="557">
        <v>19.149999999999999</v>
      </c>
      <c r="G3263" s="557">
        <v>112.23</v>
      </c>
    </row>
    <row r="3264" spans="1:7" ht="12.6" customHeight="1" x14ac:dyDescent="0.25">
      <c r="A3264" s="551" t="s">
        <v>38074</v>
      </c>
      <c r="B3264" s="551" t="s">
        <v>38075</v>
      </c>
      <c r="C3264" s="552" t="s">
        <v>226</v>
      </c>
      <c r="D3264" s="557">
        <v>133.15</v>
      </c>
      <c r="E3264" s="557">
        <v>109.21</v>
      </c>
      <c r="F3264" s="557">
        <v>23.94</v>
      </c>
      <c r="G3264" s="557">
        <v>133.15</v>
      </c>
    </row>
    <row r="3265" spans="1:7" ht="12.6" customHeight="1" x14ac:dyDescent="0.25">
      <c r="A3265" s="551" t="s">
        <v>38076</v>
      </c>
      <c r="B3265" s="551" t="s">
        <v>38077</v>
      </c>
      <c r="C3265" s="552" t="s">
        <v>226</v>
      </c>
      <c r="D3265" s="557">
        <v>215.15</v>
      </c>
      <c r="E3265" s="557">
        <v>191.21</v>
      </c>
      <c r="F3265" s="557">
        <v>23.94</v>
      </c>
      <c r="G3265" s="557">
        <v>215.15</v>
      </c>
    </row>
    <row r="3266" spans="1:7" ht="12.6" customHeight="1" x14ac:dyDescent="0.25">
      <c r="A3266" s="551" t="s">
        <v>38078</v>
      </c>
      <c r="B3266" s="551" t="s">
        <v>38079</v>
      </c>
      <c r="C3266" s="552" t="s">
        <v>226</v>
      </c>
      <c r="D3266" s="553">
        <v>304.04000000000002</v>
      </c>
      <c r="E3266" s="553">
        <v>280.10000000000002</v>
      </c>
      <c r="F3266" s="557">
        <v>23.94</v>
      </c>
      <c r="G3266" s="553">
        <v>304.04000000000002</v>
      </c>
    </row>
    <row r="3267" spans="1:7" ht="12.6" customHeight="1" x14ac:dyDescent="0.25">
      <c r="A3267" s="551" t="s">
        <v>38080</v>
      </c>
      <c r="B3267" s="551" t="s">
        <v>38081</v>
      </c>
      <c r="C3267" s="552" t="s">
        <v>19518</v>
      </c>
      <c r="D3267" s="553">
        <v>989.16</v>
      </c>
      <c r="E3267" s="553">
        <v>970.01</v>
      </c>
      <c r="F3267" s="557">
        <v>19.149999999999999</v>
      </c>
      <c r="G3267" s="553">
        <v>989.16</v>
      </c>
    </row>
    <row r="3268" spans="1:7" ht="12.6" customHeight="1" x14ac:dyDescent="0.2">
      <c r="A3268" s="548" t="s">
        <v>38082</v>
      </c>
      <c r="B3268" s="548" t="s">
        <v>38083</v>
      </c>
      <c r="C3268" s="550" t="s">
        <v>19518</v>
      </c>
      <c r="D3268" s="550">
        <v>1090.3399999999999</v>
      </c>
      <c r="E3268" s="550">
        <v>1071.19</v>
      </c>
      <c r="F3268" s="550">
        <v>19.149999999999999</v>
      </c>
      <c r="G3268" s="550">
        <v>1090.3399999999999</v>
      </c>
    </row>
    <row r="3269" spans="1:7" ht="24.95" customHeight="1" x14ac:dyDescent="0.25">
      <c r="A3269" s="551" t="s">
        <v>38084</v>
      </c>
      <c r="B3269" s="342" t="s">
        <v>38085</v>
      </c>
      <c r="C3269" s="552" t="s">
        <v>19518</v>
      </c>
      <c r="D3269" s="557">
        <v>1163.02</v>
      </c>
      <c r="E3269" s="557">
        <v>1139.08</v>
      </c>
      <c r="F3269" s="557">
        <v>23.94</v>
      </c>
      <c r="G3269" s="557">
        <v>1163.02</v>
      </c>
    </row>
    <row r="3270" spans="1:7" ht="24.95" customHeight="1" x14ac:dyDescent="0.25">
      <c r="A3270" s="551" t="s">
        <v>38086</v>
      </c>
      <c r="B3270" s="342" t="s">
        <v>38087</v>
      </c>
      <c r="C3270" s="552" t="s">
        <v>19518</v>
      </c>
      <c r="D3270" s="557">
        <v>1086.47</v>
      </c>
      <c r="E3270" s="557">
        <v>1062.53</v>
      </c>
      <c r="F3270" s="557">
        <v>23.94</v>
      </c>
      <c r="G3270" s="557">
        <v>1086.47</v>
      </c>
    </row>
    <row r="3271" spans="1:7" ht="24.95" customHeight="1" x14ac:dyDescent="0.25">
      <c r="A3271" s="551" t="s">
        <v>38088</v>
      </c>
      <c r="B3271" s="342" t="s">
        <v>38089</v>
      </c>
      <c r="C3271" s="552" t="s">
        <v>19518</v>
      </c>
      <c r="D3271" s="557">
        <v>1430.12</v>
      </c>
      <c r="E3271" s="557">
        <v>1406.18</v>
      </c>
      <c r="F3271" s="557">
        <v>23.94</v>
      </c>
      <c r="G3271" s="557">
        <v>1430.12</v>
      </c>
    </row>
    <row r="3272" spans="1:7" ht="24.95" customHeight="1" x14ac:dyDescent="0.25">
      <c r="A3272" s="551" t="s">
        <v>38090</v>
      </c>
      <c r="B3272" s="342" t="s">
        <v>38091</v>
      </c>
      <c r="C3272" s="552" t="s">
        <v>19518</v>
      </c>
      <c r="D3272" s="553">
        <v>2296.81</v>
      </c>
      <c r="E3272" s="553">
        <v>2272.87</v>
      </c>
      <c r="F3272" s="557">
        <v>23.94</v>
      </c>
      <c r="G3272" s="553">
        <v>2296.81</v>
      </c>
    </row>
    <row r="3273" spans="1:7" ht="24.95" customHeight="1" x14ac:dyDescent="0.25">
      <c r="A3273" s="551" t="s">
        <v>38092</v>
      </c>
      <c r="B3273" s="342" t="s">
        <v>38093</v>
      </c>
      <c r="C3273" s="552" t="s">
        <v>158</v>
      </c>
      <c r="D3273" s="553">
        <v>296.5</v>
      </c>
      <c r="E3273" s="553">
        <v>262.83</v>
      </c>
      <c r="F3273" s="557">
        <v>33.67</v>
      </c>
      <c r="G3273" s="553">
        <v>296.5</v>
      </c>
    </row>
    <row r="3274" spans="1:7" ht="24.95" customHeight="1" x14ac:dyDescent="0.25">
      <c r="A3274" s="551" t="s">
        <v>38094</v>
      </c>
      <c r="B3274" s="342" t="s">
        <v>38095</v>
      </c>
      <c r="C3274" s="552" t="s">
        <v>158</v>
      </c>
      <c r="D3274" s="557">
        <v>840.65</v>
      </c>
      <c r="E3274" s="557">
        <v>806.98</v>
      </c>
      <c r="F3274" s="557">
        <v>33.67</v>
      </c>
      <c r="G3274" s="557">
        <v>840.65</v>
      </c>
    </row>
    <row r="3275" spans="1:7" ht="24.95" customHeight="1" x14ac:dyDescent="0.25">
      <c r="A3275" s="551" t="s">
        <v>38096</v>
      </c>
      <c r="B3275" s="342" t="s">
        <v>38097</v>
      </c>
      <c r="C3275" s="552" t="s">
        <v>226</v>
      </c>
      <c r="D3275" s="557">
        <v>160.34</v>
      </c>
      <c r="E3275" s="557">
        <v>141.19</v>
      </c>
      <c r="F3275" s="557">
        <v>19.149999999999999</v>
      </c>
      <c r="G3275" s="557">
        <v>160.34</v>
      </c>
    </row>
    <row r="3276" spans="1:7" ht="24.95" customHeight="1" x14ac:dyDescent="0.25">
      <c r="A3276" s="551" t="s">
        <v>38098</v>
      </c>
      <c r="B3276" s="342" t="s">
        <v>38099</v>
      </c>
      <c r="C3276" s="552" t="s">
        <v>226</v>
      </c>
      <c r="D3276" s="557">
        <v>192.76</v>
      </c>
      <c r="E3276" s="557">
        <v>173.61</v>
      </c>
      <c r="F3276" s="557">
        <v>19.149999999999999</v>
      </c>
      <c r="G3276" s="557">
        <v>192.76</v>
      </c>
    </row>
    <row r="3277" spans="1:7" ht="24.95" customHeight="1" x14ac:dyDescent="0.25">
      <c r="A3277" s="551" t="s">
        <v>38100</v>
      </c>
      <c r="B3277" s="342" t="s">
        <v>38101</v>
      </c>
      <c r="C3277" s="552" t="s">
        <v>226</v>
      </c>
      <c r="D3277" s="557">
        <v>221.57</v>
      </c>
      <c r="E3277" s="557">
        <v>197.63</v>
      </c>
      <c r="F3277" s="557">
        <v>23.94</v>
      </c>
      <c r="G3277" s="557">
        <v>221.57</v>
      </c>
    </row>
    <row r="3278" spans="1:7" ht="24.95" customHeight="1" x14ac:dyDescent="0.25">
      <c r="A3278" s="551" t="s">
        <v>38102</v>
      </c>
      <c r="B3278" s="342" t="s">
        <v>38103</v>
      </c>
      <c r="C3278" s="552" t="s">
        <v>226</v>
      </c>
      <c r="D3278" s="557">
        <v>318.7</v>
      </c>
      <c r="E3278" s="557">
        <v>294.76</v>
      </c>
      <c r="F3278" s="557">
        <v>23.94</v>
      </c>
      <c r="G3278" s="557">
        <v>318.7</v>
      </c>
    </row>
    <row r="3279" spans="1:7" ht="24.95" customHeight="1" x14ac:dyDescent="0.25">
      <c r="A3279" s="551" t="s">
        <v>38104</v>
      </c>
      <c r="B3279" s="342" t="s">
        <v>38105</v>
      </c>
      <c r="C3279" s="552" t="s">
        <v>226</v>
      </c>
      <c r="D3279" s="553">
        <v>337.58</v>
      </c>
      <c r="E3279" s="553">
        <v>313.64</v>
      </c>
      <c r="F3279" s="557">
        <v>23.94</v>
      </c>
      <c r="G3279" s="553">
        <v>337.58</v>
      </c>
    </row>
    <row r="3280" spans="1:7" ht="24.95" customHeight="1" x14ac:dyDescent="0.25">
      <c r="A3280" s="551" t="s">
        <v>38106</v>
      </c>
      <c r="B3280" s="342" t="s">
        <v>38107</v>
      </c>
      <c r="C3280" s="552" t="s">
        <v>226</v>
      </c>
      <c r="D3280" s="553">
        <v>661.7</v>
      </c>
      <c r="E3280" s="553">
        <v>637.76</v>
      </c>
      <c r="F3280" s="557">
        <v>23.94</v>
      </c>
      <c r="G3280" s="553">
        <v>661.7</v>
      </c>
    </row>
    <row r="3281" spans="1:7" ht="12.6" customHeight="1" x14ac:dyDescent="0.2">
      <c r="A3281" s="548" t="s">
        <v>38108</v>
      </c>
      <c r="B3281" s="548" t="s">
        <v>38109</v>
      </c>
      <c r="C3281" s="550" t="s">
        <v>226</v>
      </c>
      <c r="D3281" s="550">
        <v>208.15</v>
      </c>
      <c r="E3281" s="550">
        <v>189</v>
      </c>
      <c r="F3281" s="550">
        <v>19.149999999999999</v>
      </c>
      <c r="G3281" s="550">
        <v>208.15</v>
      </c>
    </row>
    <row r="3282" spans="1:7" ht="24.95" customHeight="1" x14ac:dyDescent="0.25">
      <c r="A3282" s="551" t="s">
        <v>38110</v>
      </c>
      <c r="B3282" s="342" t="s">
        <v>38111</v>
      </c>
      <c r="C3282" s="552" t="s">
        <v>226</v>
      </c>
      <c r="D3282" s="557">
        <v>214.69</v>
      </c>
      <c r="E3282" s="557">
        <v>195.54</v>
      </c>
      <c r="F3282" s="557">
        <v>19.149999999999999</v>
      </c>
      <c r="G3282" s="557">
        <v>214.69</v>
      </c>
    </row>
    <row r="3283" spans="1:7" ht="24.95" customHeight="1" x14ac:dyDescent="0.25">
      <c r="A3283" s="551" t="s">
        <v>38112</v>
      </c>
      <c r="B3283" s="342" t="s">
        <v>38113</v>
      </c>
      <c r="C3283" s="552" t="s">
        <v>226</v>
      </c>
      <c r="D3283" s="557">
        <v>233.51</v>
      </c>
      <c r="E3283" s="557">
        <v>209.57</v>
      </c>
      <c r="F3283" s="557">
        <v>23.94</v>
      </c>
      <c r="G3283" s="557">
        <v>233.51</v>
      </c>
    </row>
    <row r="3284" spans="1:7" ht="11.45" customHeight="1" x14ac:dyDescent="0.25">
      <c r="A3284" s="543" t="s">
        <v>38114</v>
      </c>
      <c r="B3284" s="544" t="s">
        <v>38115</v>
      </c>
      <c r="C3284" s="544" t="s">
        <v>226</v>
      </c>
      <c r="D3284" s="543">
        <v>348.92</v>
      </c>
      <c r="E3284" s="545">
        <v>324.98</v>
      </c>
      <c r="F3284" s="546">
        <v>23.94</v>
      </c>
      <c r="G3284" s="543">
        <v>348.92</v>
      </c>
    </row>
    <row r="3285" spans="1:7" ht="24.95" customHeight="1" x14ac:dyDescent="0.25">
      <c r="A3285" s="551" t="s">
        <v>38116</v>
      </c>
      <c r="B3285" s="342" t="s">
        <v>38117</v>
      </c>
      <c r="C3285" s="552" t="s">
        <v>226</v>
      </c>
      <c r="D3285" s="557">
        <v>519.08000000000004</v>
      </c>
      <c r="E3285" s="557">
        <v>495.14</v>
      </c>
      <c r="F3285" s="557">
        <v>23.94</v>
      </c>
      <c r="G3285" s="557">
        <v>519.08000000000004</v>
      </c>
    </row>
    <row r="3286" spans="1:7" ht="12.6" customHeight="1" x14ac:dyDescent="0.2">
      <c r="A3286" s="548" t="s">
        <v>38118</v>
      </c>
      <c r="B3286" s="548" t="s">
        <v>38119</v>
      </c>
      <c r="C3286" s="550" t="s">
        <v>226</v>
      </c>
      <c r="D3286" s="550">
        <v>222.25</v>
      </c>
      <c r="E3286" s="550">
        <v>203.1</v>
      </c>
      <c r="F3286" s="550">
        <v>19.149999999999999</v>
      </c>
      <c r="G3286" s="550">
        <v>222.25</v>
      </c>
    </row>
    <row r="3287" spans="1:7" ht="24.95" customHeight="1" x14ac:dyDescent="0.25">
      <c r="A3287" s="551" t="s">
        <v>38120</v>
      </c>
      <c r="B3287" s="342" t="s">
        <v>38121</v>
      </c>
      <c r="C3287" s="552" t="s">
        <v>226</v>
      </c>
      <c r="D3287" s="557">
        <v>261.85000000000002</v>
      </c>
      <c r="E3287" s="557">
        <v>242.7</v>
      </c>
      <c r="F3287" s="557">
        <v>19.149999999999999</v>
      </c>
      <c r="G3287" s="557">
        <v>261.85000000000002</v>
      </c>
    </row>
    <row r="3288" spans="1:7" ht="24.95" customHeight="1" x14ac:dyDescent="0.25">
      <c r="A3288" s="551" t="s">
        <v>38122</v>
      </c>
      <c r="B3288" s="342" t="s">
        <v>38123</v>
      </c>
      <c r="C3288" s="552" t="s">
        <v>226</v>
      </c>
      <c r="D3288" s="557">
        <v>279.64</v>
      </c>
      <c r="E3288" s="557">
        <v>260.49</v>
      </c>
      <c r="F3288" s="557">
        <v>19.149999999999999</v>
      </c>
      <c r="G3288" s="557">
        <v>279.64</v>
      </c>
    </row>
    <row r="3289" spans="1:7" ht="24.95" customHeight="1" x14ac:dyDescent="0.25">
      <c r="A3289" s="551" t="s">
        <v>38124</v>
      </c>
      <c r="B3289" s="342" t="s">
        <v>38125</v>
      </c>
      <c r="C3289" s="552" t="s">
        <v>226</v>
      </c>
      <c r="D3289" s="557">
        <v>338.73</v>
      </c>
      <c r="E3289" s="557">
        <v>314.79000000000002</v>
      </c>
      <c r="F3289" s="557">
        <v>23.94</v>
      </c>
      <c r="G3289" s="557">
        <v>338.73</v>
      </c>
    </row>
    <row r="3290" spans="1:7" ht="24.95" customHeight="1" x14ac:dyDescent="0.25">
      <c r="A3290" s="551" t="s">
        <v>38126</v>
      </c>
      <c r="B3290" s="342" t="s">
        <v>38127</v>
      </c>
      <c r="C3290" s="552" t="s">
        <v>226</v>
      </c>
      <c r="D3290" s="557">
        <v>372.76</v>
      </c>
      <c r="E3290" s="557">
        <v>348.82</v>
      </c>
      <c r="F3290" s="557">
        <v>23.94</v>
      </c>
      <c r="G3290" s="557">
        <v>372.76</v>
      </c>
    </row>
    <row r="3291" spans="1:7" ht="24.95" customHeight="1" x14ac:dyDescent="0.25">
      <c r="A3291" s="551" t="s">
        <v>38128</v>
      </c>
      <c r="B3291" s="342" t="s">
        <v>38129</v>
      </c>
      <c r="C3291" s="552" t="s">
        <v>226</v>
      </c>
      <c r="D3291" s="557">
        <v>880.89</v>
      </c>
      <c r="E3291" s="557">
        <v>856.95</v>
      </c>
      <c r="F3291" s="557">
        <v>23.94</v>
      </c>
      <c r="G3291" s="557">
        <v>880.89</v>
      </c>
    </row>
    <row r="3292" spans="1:7" ht="24.95" customHeight="1" x14ac:dyDescent="0.25">
      <c r="A3292" s="551" t="s">
        <v>38130</v>
      </c>
      <c r="B3292" s="342" t="s">
        <v>38131</v>
      </c>
      <c r="C3292" s="552" t="s">
        <v>226</v>
      </c>
      <c r="D3292" s="553">
        <v>192.81</v>
      </c>
      <c r="E3292" s="553">
        <v>168.87</v>
      </c>
      <c r="F3292" s="557">
        <v>23.94</v>
      </c>
      <c r="G3292" s="553">
        <v>192.81</v>
      </c>
    </row>
    <row r="3293" spans="1:7" ht="12.6" customHeight="1" x14ac:dyDescent="0.25">
      <c r="A3293" s="551" t="s">
        <v>38132</v>
      </c>
      <c r="B3293" s="551" t="s">
        <v>38133</v>
      </c>
      <c r="C3293" s="552" t="s">
        <v>226</v>
      </c>
      <c r="D3293" s="557">
        <v>515.35</v>
      </c>
      <c r="E3293" s="557">
        <v>491.41</v>
      </c>
      <c r="F3293" s="557">
        <v>23.94</v>
      </c>
      <c r="G3293" s="557">
        <v>515.35</v>
      </c>
    </row>
    <row r="3294" spans="1:7" ht="12.6" customHeight="1" x14ac:dyDescent="0.25">
      <c r="A3294" s="551" t="s">
        <v>38134</v>
      </c>
      <c r="B3294" s="551" t="s">
        <v>38135</v>
      </c>
      <c r="C3294" s="552" t="s">
        <v>226</v>
      </c>
      <c r="D3294" s="557">
        <v>181.88</v>
      </c>
      <c r="E3294" s="557">
        <v>162.72999999999999</v>
      </c>
      <c r="F3294" s="557">
        <v>19.149999999999999</v>
      </c>
      <c r="G3294" s="557">
        <v>181.88</v>
      </c>
    </row>
    <row r="3295" spans="1:7" ht="12.6" customHeight="1" x14ac:dyDescent="0.25">
      <c r="A3295" s="551" t="s">
        <v>38136</v>
      </c>
      <c r="B3295" s="551" t="s">
        <v>38137</v>
      </c>
      <c r="C3295" s="552" t="s">
        <v>226</v>
      </c>
      <c r="D3295" s="557">
        <v>196.54</v>
      </c>
      <c r="E3295" s="557">
        <v>172.6</v>
      </c>
      <c r="F3295" s="557">
        <v>23.94</v>
      </c>
      <c r="G3295" s="557">
        <v>196.54</v>
      </c>
    </row>
    <row r="3296" spans="1:7" ht="12.6" customHeight="1" x14ac:dyDescent="0.25">
      <c r="A3296" s="551" t="s">
        <v>38138</v>
      </c>
      <c r="B3296" s="551" t="s">
        <v>38139</v>
      </c>
      <c r="C3296" s="552" t="s">
        <v>226</v>
      </c>
      <c r="D3296" s="557">
        <v>242.49</v>
      </c>
      <c r="E3296" s="557">
        <v>218.55</v>
      </c>
      <c r="F3296" s="557">
        <v>23.94</v>
      </c>
      <c r="G3296" s="557">
        <v>242.49</v>
      </c>
    </row>
    <row r="3297" spans="1:7" ht="12.6" customHeight="1" x14ac:dyDescent="0.25">
      <c r="A3297" s="551" t="s">
        <v>38140</v>
      </c>
      <c r="B3297" s="551" t="s">
        <v>38141</v>
      </c>
      <c r="C3297" s="552" t="s">
        <v>226</v>
      </c>
      <c r="D3297" s="557">
        <v>254.64</v>
      </c>
      <c r="E3297" s="557">
        <v>230.7</v>
      </c>
      <c r="F3297" s="557">
        <v>23.94</v>
      </c>
      <c r="G3297" s="557">
        <v>254.64</v>
      </c>
    </row>
    <row r="3298" spans="1:7" ht="12.6" customHeight="1" x14ac:dyDescent="0.25">
      <c r="A3298" s="551" t="s">
        <v>38142</v>
      </c>
      <c r="B3298" s="551" t="s">
        <v>38143</v>
      </c>
      <c r="C3298" s="552" t="s">
        <v>226</v>
      </c>
      <c r="D3298" s="557">
        <v>579.55999999999995</v>
      </c>
      <c r="E3298" s="557">
        <v>555.62</v>
      </c>
      <c r="F3298" s="557">
        <v>23.94</v>
      </c>
      <c r="G3298" s="557">
        <v>579.55999999999995</v>
      </c>
    </row>
    <row r="3299" spans="1:7" ht="12.6" customHeight="1" x14ac:dyDescent="0.25">
      <c r="A3299" s="551" t="s">
        <v>38144</v>
      </c>
      <c r="B3299" s="551" t="s">
        <v>38145</v>
      </c>
      <c r="C3299" s="552" t="s">
        <v>226</v>
      </c>
      <c r="D3299" s="557">
        <v>555.11</v>
      </c>
      <c r="E3299" s="557">
        <v>531.16999999999996</v>
      </c>
      <c r="F3299" s="557">
        <v>23.94</v>
      </c>
      <c r="G3299" s="557">
        <v>555.11</v>
      </c>
    </row>
    <row r="3300" spans="1:7" ht="12.6" customHeight="1" x14ac:dyDescent="0.25">
      <c r="A3300" s="551" t="s">
        <v>38146</v>
      </c>
      <c r="B3300" s="551" t="s">
        <v>38147</v>
      </c>
      <c r="C3300" s="552" t="s">
        <v>226</v>
      </c>
      <c r="D3300" s="557">
        <v>505.88</v>
      </c>
      <c r="E3300" s="557">
        <v>481.94</v>
      </c>
      <c r="F3300" s="557">
        <v>23.94</v>
      </c>
      <c r="G3300" s="557">
        <v>505.88</v>
      </c>
    </row>
    <row r="3301" spans="1:7" ht="23.1" customHeight="1" x14ac:dyDescent="0.25">
      <c r="A3301" s="551" t="s">
        <v>38148</v>
      </c>
      <c r="B3301" s="551" t="s">
        <v>38149</v>
      </c>
      <c r="C3301" s="552" t="s">
        <v>226</v>
      </c>
      <c r="D3301" s="557">
        <v>543.83000000000004</v>
      </c>
      <c r="E3301" s="557">
        <v>519.89</v>
      </c>
      <c r="F3301" s="557">
        <v>23.94</v>
      </c>
      <c r="G3301" s="557">
        <v>543.83000000000004</v>
      </c>
    </row>
    <row r="3302" spans="1:7" ht="23.1" customHeight="1" x14ac:dyDescent="0.25">
      <c r="A3302" s="551" t="s">
        <v>38150</v>
      </c>
      <c r="B3302" s="551" t="s">
        <v>38151</v>
      </c>
      <c r="C3302" s="552" t="s">
        <v>226</v>
      </c>
      <c r="D3302" s="557">
        <v>602.80999999999995</v>
      </c>
      <c r="E3302" s="557">
        <v>578.87</v>
      </c>
      <c r="F3302" s="557">
        <v>23.94</v>
      </c>
      <c r="G3302" s="557">
        <v>602.80999999999995</v>
      </c>
    </row>
    <row r="3303" spans="1:7" ht="23.1" customHeight="1" x14ac:dyDescent="0.25">
      <c r="A3303" s="551" t="s">
        <v>38152</v>
      </c>
      <c r="B3303" s="551" t="s">
        <v>38153</v>
      </c>
      <c r="C3303" s="552" t="s">
        <v>226</v>
      </c>
      <c r="D3303" s="557">
        <v>1098.47</v>
      </c>
      <c r="E3303" s="557">
        <v>1074.53</v>
      </c>
      <c r="F3303" s="557">
        <v>23.94</v>
      </c>
      <c r="G3303" s="557">
        <v>1098.47</v>
      </c>
    </row>
    <row r="3304" spans="1:7" ht="24.95" customHeight="1" x14ac:dyDescent="0.25">
      <c r="A3304" s="551" t="s">
        <v>38154</v>
      </c>
      <c r="B3304" s="342" t="s">
        <v>38155</v>
      </c>
      <c r="C3304" s="552" t="s">
        <v>226</v>
      </c>
      <c r="D3304" s="557">
        <v>539.46</v>
      </c>
      <c r="E3304" s="557">
        <v>520.30999999999995</v>
      </c>
      <c r="F3304" s="557">
        <v>19.149999999999999</v>
      </c>
      <c r="G3304" s="557">
        <v>539.46</v>
      </c>
    </row>
    <row r="3305" spans="1:7" ht="24.95" customHeight="1" x14ac:dyDescent="0.25">
      <c r="A3305" s="551" t="s">
        <v>38156</v>
      </c>
      <c r="B3305" s="342" t="s">
        <v>38157</v>
      </c>
      <c r="C3305" s="552" t="s">
        <v>226</v>
      </c>
      <c r="D3305" s="557">
        <v>717.02</v>
      </c>
      <c r="E3305" s="557">
        <v>693.08</v>
      </c>
      <c r="F3305" s="557">
        <v>23.94</v>
      </c>
      <c r="G3305" s="557">
        <v>717.02</v>
      </c>
    </row>
    <row r="3306" spans="1:7" ht="24.95" customHeight="1" x14ac:dyDescent="0.25">
      <c r="A3306" s="551" t="s">
        <v>38158</v>
      </c>
      <c r="B3306" s="342" t="s">
        <v>38159</v>
      </c>
      <c r="C3306" s="552" t="s">
        <v>226</v>
      </c>
      <c r="D3306" s="553">
        <v>1102.3699999999999</v>
      </c>
      <c r="E3306" s="553">
        <v>1078.43</v>
      </c>
      <c r="F3306" s="557">
        <v>23.94</v>
      </c>
      <c r="G3306" s="553">
        <v>1102.3699999999999</v>
      </c>
    </row>
    <row r="3307" spans="1:7" ht="12.6" customHeight="1" x14ac:dyDescent="0.25">
      <c r="A3307" s="551" t="s">
        <v>38160</v>
      </c>
      <c r="B3307" s="551" t="s">
        <v>38161</v>
      </c>
      <c r="C3307" s="552" t="s">
        <v>226</v>
      </c>
      <c r="D3307" s="557">
        <v>1282.24</v>
      </c>
      <c r="E3307" s="557">
        <v>1258.3</v>
      </c>
      <c r="F3307" s="557">
        <v>23.94</v>
      </c>
      <c r="G3307" s="557">
        <v>1282.24</v>
      </c>
    </row>
    <row r="3308" spans="1:7" ht="12.6" customHeight="1" x14ac:dyDescent="0.25">
      <c r="A3308" s="551" t="s">
        <v>38162</v>
      </c>
      <c r="B3308" s="551" t="s">
        <v>38163</v>
      </c>
      <c r="C3308" s="552" t="s">
        <v>226</v>
      </c>
      <c r="D3308" s="557">
        <v>2592.96</v>
      </c>
      <c r="E3308" s="557">
        <v>2569.02</v>
      </c>
      <c r="F3308" s="557">
        <v>23.94</v>
      </c>
      <c r="G3308" s="557">
        <v>2592.96</v>
      </c>
    </row>
    <row r="3309" spans="1:7" ht="12.6" customHeight="1" x14ac:dyDescent="0.2">
      <c r="A3309" s="548" t="s">
        <v>38164</v>
      </c>
      <c r="B3309" s="548" t="s">
        <v>38165</v>
      </c>
      <c r="C3309" s="550" t="s">
        <v>226</v>
      </c>
      <c r="D3309" s="550">
        <v>321.68</v>
      </c>
      <c r="E3309" s="550">
        <v>302.52999999999997</v>
      </c>
      <c r="F3309" s="550">
        <v>19.149999999999999</v>
      </c>
      <c r="G3309" s="550">
        <v>321.68</v>
      </c>
    </row>
    <row r="3310" spans="1:7" ht="24.95" customHeight="1" x14ac:dyDescent="0.25">
      <c r="A3310" s="551" t="s">
        <v>38166</v>
      </c>
      <c r="B3310" s="342" t="s">
        <v>38167</v>
      </c>
      <c r="C3310" s="552" t="s">
        <v>226</v>
      </c>
      <c r="D3310" s="557">
        <v>307.94</v>
      </c>
      <c r="E3310" s="557">
        <v>288.79000000000002</v>
      </c>
      <c r="F3310" s="557">
        <v>19.149999999999999</v>
      </c>
      <c r="G3310" s="557">
        <v>307.94</v>
      </c>
    </row>
    <row r="3311" spans="1:7" ht="24.95" customHeight="1" x14ac:dyDescent="0.25">
      <c r="A3311" s="551" t="s">
        <v>38168</v>
      </c>
      <c r="B3311" s="342" t="s">
        <v>38169</v>
      </c>
      <c r="C3311" s="552" t="s">
        <v>226</v>
      </c>
      <c r="D3311" s="557">
        <v>548.66</v>
      </c>
      <c r="E3311" s="557">
        <v>524.72</v>
      </c>
      <c r="F3311" s="557">
        <v>23.94</v>
      </c>
      <c r="G3311" s="557">
        <v>548.66</v>
      </c>
    </row>
    <row r="3312" spans="1:7" ht="24.95" customHeight="1" x14ac:dyDescent="0.25">
      <c r="A3312" s="551" t="s">
        <v>38170</v>
      </c>
      <c r="B3312" s="342" t="s">
        <v>38171</v>
      </c>
      <c r="C3312" s="552" t="s">
        <v>226</v>
      </c>
      <c r="D3312" s="557">
        <v>493.79</v>
      </c>
      <c r="E3312" s="557">
        <v>469.85</v>
      </c>
      <c r="F3312" s="557">
        <v>23.94</v>
      </c>
      <c r="G3312" s="557">
        <v>493.79</v>
      </c>
    </row>
    <row r="3313" spans="1:7" ht="24.95" customHeight="1" x14ac:dyDescent="0.25">
      <c r="A3313" s="551" t="s">
        <v>38172</v>
      </c>
      <c r="B3313" s="342" t="s">
        <v>38173</v>
      </c>
      <c r="C3313" s="552" t="s">
        <v>226</v>
      </c>
      <c r="D3313" s="553">
        <v>604.25</v>
      </c>
      <c r="E3313" s="553">
        <v>580.30999999999995</v>
      </c>
      <c r="F3313" s="557">
        <v>23.94</v>
      </c>
      <c r="G3313" s="553">
        <v>604.25</v>
      </c>
    </row>
    <row r="3314" spans="1:7" ht="24.95" customHeight="1" x14ac:dyDescent="0.25">
      <c r="A3314" s="551" t="s">
        <v>38174</v>
      </c>
      <c r="B3314" s="342" t="s">
        <v>38175</v>
      </c>
      <c r="C3314" s="552" t="s">
        <v>226</v>
      </c>
      <c r="D3314" s="557">
        <v>315.89999999999998</v>
      </c>
      <c r="E3314" s="557">
        <v>291.95999999999998</v>
      </c>
      <c r="F3314" s="557">
        <v>23.94</v>
      </c>
      <c r="G3314" s="557">
        <v>315.89999999999998</v>
      </c>
    </row>
    <row r="3315" spans="1:7" ht="24.95" customHeight="1" x14ac:dyDescent="0.25">
      <c r="A3315" s="551" t="s">
        <v>38176</v>
      </c>
      <c r="B3315" s="342" t="s">
        <v>38177</v>
      </c>
      <c r="C3315" s="552" t="s">
        <v>226</v>
      </c>
      <c r="D3315" s="557">
        <v>684.11</v>
      </c>
      <c r="E3315" s="557">
        <v>660.17</v>
      </c>
      <c r="F3315" s="557">
        <v>23.94</v>
      </c>
      <c r="G3315" s="557">
        <v>684.11</v>
      </c>
    </row>
    <row r="3316" spans="1:7" ht="24.95" customHeight="1" x14ac:dyDescent="0.25">
      <c r="A3316" s="551" t="s">
        <v>38178</v>
      </c>
      <c r="B3316" s="342" t="s">
        <v>38179</v>
      </c>
      <c r="C3316" s="552" t="s">
        <v>226</v>
      </c>
      <c r="D3316" s="557">
        <v>597.07000000000005</v>
      </c>
      <c r="E3316" s="557">
        <v>573.13</v>
      </c>
      <c r="F3316" s="557">
        <v>23.94</v>
      </c>
      <c r="G3316" s="557">
        <v>597.07000000000005</v>
      </c>
    </row>
    <row r="3317" spans="1:7" ht="24.95" customHeight="1" x14ac:dyDescent="0.25">
      <c r="A3317" s="551" t="s">
        <v>38180</v>
      </c>
      <c r="B3317" s="342" t="s">
        <v>38181</v>
      </c>
      <c r="C3317" s="552" t="s">
        <v>226</v>
      </c>
      <c r="D3317" s="557">
        <v>892.82</v>
      </c>
      <c r="E3317" s="557">
        <v>868.88</v>
      </c>
      <c r="F3317" s="557">
        <v>23.94</v>
      </c>
      <c r="G3317" s="557">
        <v>892.82</v>
      </c>
    </row>
    <row r="3318" spans="1:7" ht="24.95" customHeight="1" x14ac:dyDescent="0.25">
      <c r="A3318" s="551" t="s">
        <v>38182</v>
      </c>
      <c r="B3318" s="342" t="s">
        <v>38183</v>
      </c>
      <c r="C3318" s="552" t="s">
        <v>226</v>
      </c>
      <c r="D3318" s="553">
        <v>1637.86</v>
      </c>
      <c r="E3318" s="553">
        <v>1613.92</v>
      </c>
      <c r="F3318" s="557">
        <v>23.94</v>
      </c>
      <c r="G3318" s="553">
        <v>1637.86</v>
      </c>
    </row>
    <row r="3319" spans="1:7" ht="12.6" customHeight="1" x14ac:dyDescent="0.2">
      <c r="A3319" s="548" t="s">
        <v>38184</v>
      </c>
      <c r="B3319" s="548" t="s">
        <v>38185</v>
      </c>
      <c r="C3319" s="550" t="s">
        <v>226</v>
      </c>
      <c r="D3319" s="550">
        <v>3287.81</v>
      </c>
      <c r="E3319" s="550">
        <v>3263.87</v>
      </c>
      <c r="F3319" s="550">
        <v>23.94</v>
      </c>
      <c r="G3319" s="550">
        <v>3287.81</v>
      </c>
    </row>
    <row r="3320" spans="1:7" ht="11.45" customHeight="1" x14ac:dyDescent="0.25">
      <c r="A3320" s="543" t="s">
        <v>38186</v>
      </c>
      <c r="B3320" s="544" t="s">
        <v>38187</v>
      </c>
      <c r="C3320" s="544"/>
      <c r="D3320" s="543"/>
      <c r="E3320" s="545"/>
      <c r="F3320" s="546"/>
      <c r="G3320" s="543"/>
    </row>
    <row r="3321" spans="1:7" ht="12.6" customHeight="1" x14ac:dyDescent="0.25">
      <c r="A3321" s="551" t="s">
        <v>38188</v>
      </c>
      <c r="B3321" s="551" t="s">
        <v>38189</v>
      </c>
      <c r="C3321" s="552" t="s">
        <v>158</v>
      </c>
      <c r="D3321" s="557">
        <v>17.52</v>
      </c>
      <c r="E3321" s="557">
        <v>9.6300000000000008</v>
      </c>
      <c r="F3321" s="557">
        <v>7.89</v>
      </c>
      <c r="G3321" s="557">
        <v>17.52</v>
      </c>
    </row>
    <row r="3322" spans="1:7" ht="23.1" customHeight="1" x14ac:dyDescent="0.25">
      <c r="A3322" s="551" t="s">
        <v>38190</v>
      </c>
      <c r="B3322" s="551" t="s">
        <v>38191</v>
      </c>
      <c r="C3322" s="552" t="s">
        <v>158</v>
      </c>
      <c r="D3322" s="557">
        <v>20.74</v>
      </c>
      <c r="E3322" s="557">
        <v>12.85</v>
      </c>
      <c r="F3322" s="557">
        <v>7.89</v>
      </c>
      <c r="G3322" s="557">
        <v>20.74</v>
      </c>
    </row>
    <row r="3323" spans="1:7" ht="12.6" customHeight="1" x14ac:dyDescent="0.2">
      <c r="A3323" s="548" t="s">
        <v>38192</v>
      </c>
      <c r="B3323" s="548" t="s">
        <v>38193</v>
      </c>
      <c r="C3323" s="550" t="s">
        <v>158</v>
      </c>
      <c r="D3323" s="550">
        <v>23.78</v>
      </c>
      <c r="E3323" s="550">
        <v>15.89</v>
      </c>
      <c r="F3323" s="550">
        <v>7.89</v>
      </c>
      <c r="G3323" s="550">
        <v>23.78</v>
      </c>
    </row>
    <row r="3324" spans="1:7" ht="24.95" customHeight="1" x14ac:dyDescent="0.25">
      <c r="A3324" s="551" t="s">
        <v>38194</v>
      </c>
      <c r="B3324" s="342" t="s">
        <v>38195</v>
      </c>
      <c r="C3324" s="552" t="s">
        <v>158</v>
      </c>
      <c r="D3324" s="557">
        <v>32.44</v>
      </c>
      <c r="E3324" s="557">
        <v>20.47</v>
      </c>
      <c r="F3324" s="557">
        <v>11.97</v>
      </c>
      <c r="G3324" s="557">
        <v>32.44</v>
      </c>
    </row>
    <row r="3325" spans="1:7" ht="24.95" customHeight="1" x14ac:dyDescent="0.25">
      <c r="A3325" s="551" t="s">
        <v>38196</v>
      </c>
      <c r="B3325" s="342" t="s">
        <v>38197</v>
      </c>
      <c r="C3325" s="552" t="s">
        <v>158</v>
      </c>
      <c r="D3325" s="557">
        <v>39.89</v>
      </c>
      <c r="E3325" s="557">
        <v>27.92</v>
      </c>
      <c r="F3325" s="557">
        <v>11.97</v>
      </c>
      <c r="G3325" s="557">
        <v>39.89</v>
      </c>
    </row>
    <row r="3326" spans="1:7" ht="24.95" customHeight="1" x14ac:dyDescent="0.25">
      <c r="A3326" s="551" t="s">
        <v>38198</v>
      </c>
      <c r="B3326" s="342" t="s">
        <v>38199</v>
      </c>
      <c r="C3326" s="552" t="s">
        <v>158</v>
      </c>
      <c r="D3326" s="557">
        <v>46.25</v>
      </c>
      <c r="E3326" s="557">
        <v>34.28</v>
      </c>
      <c r="F3326" s="557">
        <v>11.97</v>
      </c>
      <c r="G3326" s="557">
        <v>46.25</v>
      </c>
    </row>
    <row r="3327" spans="1:7" ht="24.95" customHeight="1" x14ac:dyDescent="0.25">
      <c r="A3327" s="551" t="s">
        <v>38200</v>
      </c>
      <c r="B3327" s="342" t="s">
        <v>38201</v>
      </c>
      <c r="C3327" s="552" t="s">
        <v>158</v>
      </c>
      <c r="D3327" s="557">
        <v>54.37</v>
      </c>
      <c r="E3327" s="557">
        <v>42.4</v>
      </c>
      <c r="F3327" s="557">
        <v>11.97</v>
      </c>
      <c r="G3327" s="557">
        <v>54.37</v>
      </c>
    </row>
    <row r="3328" spans="1:7" ht="24.95" customHeight="1" x14ac:dyDescent="0.25">
      <c r="A3328" s="551" t="s">
        <v>38202</v>
      </c>
      <c r="B3328" s="342" t="s">
        <v>38203</v>
      </c>
      <c r="C3328" s="552"/>
      <c r="D3328" s="557"/>
      <c r="E3328" s="557"/>
      <c r="F3328" s="557"/>
      <c r="G3328" s="557"/>
    </row>
    <row r="3329" spans="1:7" ht="24.95" customHeight="1" x14ac:dyDescent="0.25">
      <c r="A3329" s="551" t="s">
        <v>38204</v>
      </c>
      <c r="B3329" s="342" t="s">
        <v>38205</v>
      </c>
      <c r="C3329" s="552" t="s">
        <v>158</v>
      </c>
      <c r="D3329" s="557">
        <v>65.69</v>
      </c>
      <c r="E3329" s="557">
        <v>48.46</v>
      </c>
      <c r="F3329" s="557">
        <v>17.23</v>
      </c>
      <c r="G3329" s="557">
        <v>65.69</v>
      </c>
    </row>
    <row r="3330" spans="1:7" ht="24.95" customHeight="1" x14ac:dyDescent="0.25">
      <c r="A3330" s="551" t="s">
        <v>38206</v>
      </c>
      <c r="B3330" s="342" t="s">
        <v>38207</v>
      </c>
      <c r="C3330" s="552" t="s">
        <v>158</v>
      </c>
      <c r="D3330" s="557">
        <v>88.12</v>
      </c>
      <c r="E3330" s="557">
        <v>70.89</v>
      </c>
      <c r="F3330" s="557">
        <v>17.23</v>
      </c>
      <c r="G3330" s="557">
        <v>88.12</v>
      </c>
    </row>
    <row r="3331" spans="1:7" ht="24.95" customHeight="1" x14ac:dyDescent="0.25">
      <c r="A3331" s="551" t="s">
        <v>38208</v>
      </c>
      <c r="B3331" s="342" t="s">
        <v>38209</v>
      </c>
      <c r="C3331" s="552" t="s">
        <v>158</v>
      </c>
      <c r="D3331" s="557">
        <v>100.18</v>
      </c>
      <c r="E3331" s="557">
        <v>82.95</v>
      </c>
      <c r="F3331" s="557">
        <v>17.23</v>
      </c>
      <c r="G3331" s="557">
        <v>100.18</v>
      </c>
    </row>
    <row r="3332" spans="1:7" ht="24.95" customHeight="1" x14ac:dyDescent="0.25">
      <c r="A3332" s="551" t="s">
        <v>38210</v>
      </c>
      <c r="B3332" s="342" t="s">
        <v>38211</v>
      </c>
      <c r="C3332" s="552" t="s">
        <v>158</v>
      </c>
      <c r="D3332" s="557">
        <v>126.27</v>
      </c>
      <c r="E3332" s="557">
        <v>109.04</v>
      </c>
      <c r="F3332" s="557">
        <v>17.23</v>
      </c>
      <c r="G3332" s="557">
        <v>126.27</v>
      </c>
    </row>
    <row r="3333" spans="1:7" ht="24.95" customHeight="1" x14ac:dyDescent="0.25">
      <c r="A3333" s="551" t="s">
        <v>38212</v>
      </c>
      <c r="B3333" s="342" t="s">
        <v>38213</v>
      </c>
      <c r="C3333" s="552" t="s">
        <v>158</v>
      </c>
      <c r="D3333" s="557">
        <v>146.75</v>
      </c>
      <c r="E3333" s="557">
        <v>129.52000000000001</v>
      </c>
      <c r="F3333" s="557">
        <v>17.23</v>
      </c>
      <c r="G3333" s="557">
        <v>146.75</v>
      </c>
    </row>
    <row r="3334" spans="1:7" ht="24.95" customHeight="1" x14ac:dyDescent="0.25">
      <c r="A3334" s="551" t="s">
        <v>38214</v>
      </c>
      <c r="B3334" s="342" t="s">
        <v>38215</v>
      </c>
      <c r="C3334" s="552" t="s">
        <v>158</v>
      </c>
      <c r="D3334" s="553">
        <v>162.54</v>
      </c>
      <c r="E3334" s="557">
        <v>145.31</v>
      </c>
      <c r="F3334" s="557">
        <v>17.23</v>
      </c>
      <c r="G3334" s="553">
        <v>162.54</v>
      </c>
    </row>
    <row r="3335" spans="1:7" ht="24.95" customHeight="1" x14ac:dyDescent="0.25">
      <c r="A3335" s="551" t="s">
        <v>38216</v>
      </c>
      <c r="B3335" s="342" t="s">
        <v>38217</v>
      </c>
      <c r="C3335" s="552" t="s">
        <v>158</v>
      </c>
      <c r="D3335" s="553">
        <v>179.56</v>
      </c>
      <c r="E3335" s="557">
        <v>162.33000000000001</v>
      </c>
      <c r="F3335" s="557">
        <v>17.23</v>
      </c>
      <c r="G3335" s="553">
        <v>179.56</v>
      </c>
    </row>
    <row r="3336" spans="1:7" ht="24.95" customHeight="1" x14ac:dyDescent="0.25">
      <c r="A3336" s="551" t="s">
        <v>38218</v>
      </c>
      <c r="B3336" s="342" t="s">
        <v>38219</v>
      </c>
      <c r="C3336" s="552" t="s">
        <v>158</v>
      </c>
      <c r="D3336" s="553">
        <v>204.3</v>
      </c>
      <c r="E3336" s="553">
        <v>187.07</v>
      </c>
      <c r="F3336" s="557">
        <v>17.23</v>
      </c>
      <c r="G3336" s="553">
        <v>204.3</v>
      </c>
    </row>
    <row r="3337" spans="1:7" ht="12.6" customHeight="1" x14ac:dyDescent="0.2">
      <c r="A3337" s="548" t="s">
        <v>38220</v>
      </c>
      <c r="B3337" s="548" t="s">
        <v>38221</v>
      </c>
      <c r="C3337" s="550" t="s">
        <v>158</v>
      </c>
      <c r="D3337" s="550">
        <v>228.77</v>
      </c>
      <c r="E3337" s="550">
        <v>211.54</v>
      </c>
      <c r="F3337" s="550">
        <v>17.23</v>
      </c>
      <c r="G3337" s="550">
        <v>228.77</v>
      </c>
    </row>
    <row r="3338" spans="1:7" ht="12.6" customHeight="1" x14ac:dyDescent="0.25">
      <c r="A3338" s="551" t="s">
        <v>38222</v>
      </c>
      <c r="B3338" s="551" t="s">
        <v>38223</v>
      </c>
      <c r="C3338" s="552" t="s">
        <v>158</v>
      </c>
      <c r="D3338" s="557">
        <v>249.87</v>
      </c>
      <c r="E3338" s="557">
        <v>232.64</v>
      </c>
      <c r="F3338" s="557">
        <v>17.23</v>
      </c>
      <c r="G3338" s="557">
        <v>249.87</v>
      </c>
    </row>
    <row r="3339" spans="1:7" ht="12.6" customHeight="1" x14ac:dyDescent="0.25">
      <c r="A3339" s="551" t="s">
        <v>38224</v>
      </c>
      <c r="B3339" s="551" t="s">
        <v>38225</v>
      </c>
      <c r="C3339" s="552" t="s">
        <v>158</v>
      </c>
      <c r="D3339" s="557">
        <v>270.75</v>
      </c>
      <c r="E3339" s="557">
        <v>253.52</v>
      </c>
      <c r="F3339" s="557">
        <v>17.23</v>
      </c>
      <c r="G3339" s="557">
        <v>270.75</v>
      </c>
    </row>
    <row r="3340" spans="1:7" ht="12.6" customHeight="1" x14ac:dyDescent="0.25">
      <c r="A3340" s="551" t="s">
        <v>38226</v>
      </c>
      <c r="B3340" s="551" t="s">
        <v>38227</v>
      </c>
      <c r="C3340" s="552"/>
      <c r="D3340" s="557"/>
      <c r="E3340" s="557"/>
      <c r="F3340" s="557"/>
      <c r="G3340" s="557"/>
    </row>
    <row r="3341" spans="1:7" ht="12.6" customHeight="1" x14ac:dyDescent="0.25">
      <c r="A3341" s="551" t="s">
        <v>38228</v>
      </c>
      <c r="B3341" s="551" t="s">
        <v>38229</v>
      </c>
      <c r="C3341" s="552" t="s">
        <v>158</v>
      </c>
      <c r="D3341" s="557">
        <v>55.91</v>
      </c>
      <c r="E3341" s="557">
        <v>39.07</v>
      </c>
      <c r="F3341" s="557">
        <v>16.84</v>
      </c>
      <c r="G3341" s="557">
        <v>55.91</v>
      </c>
    </row>
    <row r="3342" spans="1:7" ht="12.6" customHeight="1" x14ac:dyDescent="0.25">
      <c r="A3342" s="551" t="s">
        <v>38230</v>
      </c>
      <c r="B3342" s="551" t="s">
        <v>38231</v>
      </c>
      <c r="C3342" s="552" t="s">
        <v>158</v>
      </c>
      <c r="D3342" s="557">
        <v>64.62</v>
      </c>
      <c r="E3342" s="557">
        <v>47.78</v>
      </c>
      <c r="F3342" s="557">
        <v>16.84</v>
      </c>
      <c r="G3342" s="557">
        <v>64.62</v>
      </c>
    </row>
    <row r="3343" spans="1:7" ht="12.6" customHeight="1" x14ac:dyDescent="0.25">
      <c r="A3343" s="551" t="s">
        <v>38232</v>
      </c>
      <c r="B3343" s="551" t="s">
        <v>38233</v>
      </c>
      <c r="C3343" s="552" t="s">
        <v>158</v>
      </c>
      <c r="D3343" s="557">
        <v>70.400000000000006</v>
      </c>
      <c r="E3343" s="557">
        <v>53.56</v>
      </c>
      <c r="F3343" s="557">
        <v>16.84</v>
      </c>
      <c r="G3343" s="557">
        <v>70.400000000000006</v>
      </c>
    </row>
    <row r="3344" spans="1:7" ht="12.6" customHeight="1" x14ac:dyDescent="0.25">
      <c r="A3344" s="551" t="s">
        <v>38234</v>
      </c>
      <c r="B3344" s="551" t="s">
        <v>38235</v>
      </c>
      <c r="C3344" s="552" t="s">
        <v>158</v>
      </c>
      <c r="D3344" s="557">
        <v>141.16999999999999</v>
      </c>
      <c r="E3344" s="557">
        <v>115.92</v>
      </c>
      <c r="F3344" s="557">
        <v>25.25</v>
      </c>
      <c r="G3344" s="557">
        <v>141.16999999999999</v>
      </c>
    </row>
    <row r="3345" spans="1:7" ht="12.6" customHeight="1" x14ac:dyDescent="0.25">
      <c r="A3345" s="551" t="s">
        <v>38236</v>
      </c>
      <c r="B3345" s="551" t="s">
        <v>38237</v>
      </c>
      <c r="C3345" s="552" t="s">
        <v>226</v>
      </c>
      <c r="D3345" s="557">
        <v>23.56</v>
      </c>
      <c r="E3345" s="557">
        <v>12.55</v>
      </c>
      <c r="F3345" s="557">
        <v>11.01</v>
      </c>
      <c r="G3345" s="557">
        <v>23.56</v>
      </c>
    </row>
    <row r="3346" spans="1:7" ht="12.6" customHeight="1" x14ac:dyDescent="0.2">
      <c r="A3346" s="548" t="s">
        <v>38238</v>
      </c>
      <c r="B3346" s="548" t="s">
        <v>38239</v>
      </c>
      <c r="C3346" s="550" t="s">
        <v>226</v>
      </c>
      <c r="D3346" s="550">
        <v>29.31</v>
      </c>
      <c r="E3346" s="550">
        <v>18.3</v>
      </c>
      <c r="F3346" s="550">
        <v>11.01</v>
      </c>
      <c r="G3346" s="550">
        <v>29.31</v>
      </c>
    </row>
    <row r="3347" spans="1:7" ht="12.6" customHeight="1" x14ac:dyDescent="0.25">
      <c r="A3347" s="551" t="s">
        <v>38240</v>
      </c>
      <c r="B3347" s="551" t="s">
        <v>38241</v>
      </c>
      <c r="C3347" s="552" t="s">
        <v>226</v>
      </c>
      <c r="D3347" s="557">
        <v>36.020000000000003</v>
      </c>
      <c r="E3347" s="557">
        <v>19.27</v>
      </c>
      <c r="F3347" s="557">
        <v>16.75</v>
      </c>
      <c r="G3347" s="557">
        <v>36.020000000000003</v>
      </c>
    </row>
    <row r="3348" spans="1:7" ht="12.6" customHeight="1" x14ac:dyDescent="0.2">
      <c r="A3348" s="548" t="s">
        <v>38242</v>
      </c>
      <c r="B3348" s="548" t="s">
        <v>38243</v>
      </c>
      <c r="C3348" s="550" t="s">
        <v>226</v>
      </c>
      <c r="D3348" s="550">
        <v>39.159999999999997</v>
      </c>
      <c r="E3348" s="550">
        <v>20.010000000000002</v>
      </c>
      <c r="F3348" s="550">
        <v>19.149999999999999</v>
      </c>
      <c r="G3348" s="550">
        <v>39.159999999999997</v>
      </c>
    </row>
    <row r="3349" spans="1:7" ht="12.6" customHeight="1" x14ac:dyDescent="0.25">
      <c r="A3349" s="551" t="s">
        <v>38244</v>
      </c>
      <c r="B3349" s="551" t="s">
        <v>38245</v>
      </c>
      <c r="C3349" s="552" t="s">
        <v>226</v>
      </c>
      <c r="D3349" s="557">
        <v>22.99</v>
      </c>
      <c r="E3349" s="557">
        <v>11.98</v>
      </c>
      <c r="F3349" s="557">
        <v>11.01</v>
      </c>
      <c r="G3349" s="557">
        <v>22.99</v>
      </c>
    </row>
    <row r="3350" spans="1:7" ht="12.6" customHeight="1" x14ac:dyDescent="0.25">
      <c r="A3350" s="551" t="s">
        <v>38246</v>
      </c>
      <c r="B3350" s="551" t="s">
        <v>38247</v>
      </c>
      <c r="C3350" s="552" t="s">
        <v>226</v>
      </c>
      <c r="D3350" s="557">
        <v>27.86</v>
      </c>
      <c r="E3350" s="557">
        <v>16.850000000000001</v>
      </c>
      <c r="F3350" s="557">
        <v>11.01</v>
      </c>
      <c r="G3350" s="557">
        <v>27.86</v>
      </c>
    </row>
    <row r="3351" spans="1:7" ht="23.1" customHeight="1" x14ac:dyDescent="0.25">
      <c r="A3351" s="551" t="s">
        <v>38248</v>
      </c>
      <c r="B3351" s="551" t="s">
        <v>38249</v>
      </c>
      <c r="C3351" s="552" t="s">
        <v>226</v>
      </c>
      <c r="D3351" s="557">
        <v>38.369999999999997</v>
      </c>
      <c r="E3351" s="557">
        <v>21.62</v>
      </c>
      <c r="F3351" s="557">
        <v>16.75</v>
      </c>
      <c r="G3351" s="557">
        <v>38.369999999999997</v>
      </c>
    </row>
    <row r="3352" spans="1:7" ht="23.1" customHeight="1" x14ac:dyDescent="0.25">
      <c r="A3352" s="551" t="s">
        <v>38250</v>
      </c>
      <c r="B3352" s="551" t="s">
        <v>38251</v>
      </c>
      <c r="C3352" s="552" t="s">
        <v>226</v>
      </c>
      <c r="D3352" s="557">
        <v>68.2</v>
      </c>
      <c r="E3352" s="557">
        <v>49.05</v>
      </c>
      <c r="F3352" s="557">
        <v>19.149999999999999</v>
      </c>
      <c r="G3352" s="557">
        <v>68.2</v>
      </c>
    </row>
    <row r="3353" spans="1:7" ht="23.1" customHeight="1" x14ac:dyDescent="0.25">
      <c r="A3353" s="551" t="s">
        <v>38252</v>
      </c>
      <c r="B3353" s="551" t="s">
        <v>38253</v>
      </c>
      <c r="C3353" s="552" t="s">
        <v>226</v>
      </c>
      <c r="D3353" s="557">
        <v>26.66</v>
      </c>
      <c r="E3353" s="557">
        <v>15.65</v>
      </c>
      <c r="F3353" s="557">
        <v>11.01</v>
      </c>
      <c r="G3353" s="557">
        <v>26.66</v>
      </c>
    </row>
    <row r="3354" spans="1:7" ht="24.95" customHeight="1" x14ac:dyDescent="0.25">
      <c r="A3354" s="551" t="s">
        <v>38254</v>
      </c>
      <c r="B3354" s="342" t="s">
        <v>38255</v>
      </c>
      <c r="C3354" s="552" t="s">
        <v>226</v>
      </c>
      <c r="D3354" s="557">
        <v>30.42</v>
      </c>
      <c r="E3354" s="557">
        <v>19.41</v>
      </c>
      <c r="F3354" s="557">
        <v>11.01</v>
      </c>
      <c r="G3354" s="557">
        <v>30.42</v>
      </c>
    </row>
    <row r="3355" spans="1:7" ht="24.95" customHeight="1" x14ac:dyDescent="0.25">
      <c r="A3355" s="551" t="s">
        <v>38256</v>
      </c>
      <c r="B3355" s="342" t="s">
        <v>38257</v>
      </c>
      <c r="C3355" s="552" t="s">
        <v>226</v>
      </c>
      <c r="D3355" s="557">
        <v>39.979999999999997</v>
      </c>
      <c r="E3355" s="557">
        <v>23.23</v>
      </c>
      <c r="F3355" s="557">
        <v>16.75</v>
      </c>
      <c r="G3355" s="557">
        <v>39.979999999999997</v>
      </c>
    </row>
    <row r="3356" spans="1:7" ht="24.95" customHeight="1" x14ac:dyDescent="0.25">
      <c r="A3356" s="551" t="s">
        <v>38258</v>
      </c>
      <c r="B3356" s="342" t="s">
        <v>38259</v>
      </c>
      <c r="C3356" s="552" t="s">
        <v>226</v>
      </c>
      <c r="D3356" s="557">
        <v>51.52</v>
      </c>
      <c r="E3356" s="557">
        <v>32.369999999999997</v>
      </c>
      <c r="F3356" s="557">
        <v>19.149999999999999</v>
      </c>
      <c r="G3356" s="557">
        <v>51.52</v>
      </c>
    </row>
    <row r="3357" spans="1:7" ht="11.45" customHeight="1" x14ac:dyDescent="0.25">
      <c r="A3357" s="543" t="s">
        <v>38260</v>
      </c>
      <c r="B3357" s="544" t="s">
        <v>38261</v>
      </c>
      <c r="C3357" s="544" t="s">
        <v>226</v>
      </c>
      <c r="D3357" s="543">
        <v>22</v>
      </c>
      <c r="E3357" s="545">
        <v>10.99</v>
      </c>
      <c r="F3357" s="546">
        <v>11.01</v>
      </c>
      <c r="G3357" s="543">
        <v>22</v>
      </c>
    </row>
    <row r="3358" spans="1:7" ht="24.95" customHeight="1" x14ac:dyDescent="0.25">
      <c r="A3358" s="551" t="s">
        <v>38262</v>
      </c>
      <c r="B3358" s="342" t="s">
        <v>38263</v>
      </c>
      <c r="C3358" s="552" t="s">
        <v>226</v>
      </c>
      <c r="D3358" s="557">
        <v>34.950000000000003</v>
      </c>
      <c r="E3358" s="557">
        <v>18.2</v>
      </c>
      <c r="F3358" s="557">
        <v>16.75</v>
      </c>
      <c r="G3358" s="557">
        <v>34.950000000000003</v>
      </c>
    </row>
    <row r="3359" spans="1:7" ht="24.95" customHeight="1" x14ac:dyDescent="0.25">
      <c r="A3359" s="551" t="s">
        <v>38264</v>
      </c>
      <c r="B3359" s="342" t="s">
        <v>38265</v>
      </c>
      <c r="C3359" s="552" t="s">
        <v>226</v>
      </c>
      <c r="D3359" s="557">
        <v>45.21</v>
      </c>
      <c r="E3359" s="557">
        <v>26.06</v>
      </c>
      <c r="F3359" s="557">
        <v>19.149999999999999</v>
      </c>
      <c r="G3359" s="557">
        <v>45.21</v>
      </c>
    </row>
    <row r="3360" spans="1:7" ht="23.1" customHeight="1" x14ac:dyDescent="0.25">
      <c r="A3360" s="551" t="s">
        <v>38266</v>
      </c>
      <c r="B3360" s="551" t="s">
        <v>38267</v>
      </c>
      <c r="C3360" s="552" t="s">
        <v>226</v>
      </c>
      <c r="D3360" s="553">
        <v>49.65</v>
      </c>
      <c r="E3360" s="553">
        <v>38.64</v>
      </c>
      <c r="F3360" s="557">
        <v>11.01</v>
      </c>
      <c r="G3360" s="553">
        <v>49.65</v>
      </c>
    </row>
    <row r="3361" spans="1:7" ht="23.1" customHeight="1" x14ac:dyDescent="0.25">
      <c r="A3361" s="551" t="s">
        <v>38268</v>
      </c>
      <c r="B3361" s="551" t="s">
        <v>38269</v>
      </c>
      <c r="C3361" s="552" t="s">
        <v>226</v>
      </c>
      <c r="D3361" s="553">
        <v>66.209999999999994</v>
      </c>
      <c r="E3361" s="553">
        <v>49.46</v>
      </c>
      <c r="F3361" s="557">
        <v>16.75</v>
      </c>
      <c r="G3361" s="553">
        <v>66.209999999999994</v>
      </c>
    </row>
    <row r="3362" spans="1:7" ht="24.95" customHeight="1" x14ac:dyDescent="0.25">
      <c r="A3362" s="551" t="s">
        <v>38270</v>
      </c>
      <c r="B3362" s="342" t="s">
        <v>38271</v>
      </c>
      <c r="C3362" s="552" t="s">
        <v>226</v>
      </c>
      <c r="D3362" s="553">
        <v>105.29</v>
      </c>
      <c r="E3362" s="553">
        <v>86.14</v>
      </c>
      <c r="F3362" s="557">
        <v>19.149999999999999</v>
      </c>
      <c r="G3362" s="553">
        <v>105.29</v>
      </c>
    </row>
    <row r="3363" spans="1:7" ht="24.95" customHeight="1" x14ac:dyDescent="0.25">
      <c r="A3363" s="551" t="s">
        <v>38272</v>
      </c>
      <c r="B3363" s="342" t="s">
        <v>38273</v>
      </c>
      <c r="C3363" s="552" t="s">
        <v>226</v>
      </c>
      <c r="D3363" s="553">
        <v>78.319999999999993</v>
      </c>
      <c r="E3363" s="553">
        <v>59.17</v>
      </c>
      <c r="F3363" s="557">
        <v>19.149999999999999</v>
      </c>
      <c r="G3363" s="553">
        <v>78.319999999999993</v>
      </c>
    </row>
    <row r="3364" spans="1:7" ht="24.95" customHeight="1" x14ac:dyDescent="0.25">
      <c r="A3364" s="551" t="s">
        <v>38274</v>
      </c>
      <c r="B3364" s="342" t="s">
        <v>38275</v>
      </c>
      <c r="C3364" s="552" t="s">
        <v>226</v>
      </c>
      <c r="D3364" s="553">
        <v>231.29</v>
      </c>
      <c r="E3364" s="553">
        <v>214.54</v>
      </c>
      <c r="F3364" s="557">
        <v>16.75</v>
      </c>
      <c r="G3364" s="553">
        <v>231.29</v>
      </c>
    </row>
    <row r="3365" spans="1:7" ht="24.95" customHeight="1" x14ac:dyDescent="0.25">
      <c r="A3365" s="551" t="s">
        <v>38276</v>
      </c>
      <c r="B3365" s="342" t="s">
        <v>38277</v>
      </c>
      <c r="C3365" s="552" t="s">
        <v>226</v>
      </c>
      <c r="D3365" s="553">
        <v>41.62</v>
      </c>
      <c r="E3365" s="553">
        <v>30.61</v>
      </c>
      <c r="F3365" s="557">
        <v>11.01</v>
      </c>
      <c r="G3365" s="553">
        <v>41.62</v>
      </c>
    </row>
    <row r="3366" spans="1:7" ht="23.1" customHeight="1" x14ac:dyDescent="0.25">
      <c r="A3366" s="551" t="s">
        <v>38278</v>
      </c>
      <c r="B3366" s="551" t="s">
        <v>38279</v>
      </c>
      <c r="C3366" s="552" t="s">
        <v>226</v>
      </c>
      <c r="D3366" s="557">
        <v>48.73</v>
      </c>
      <c r="E3366" s="557">
        <v>31.98</v>
      </c>
      <c r="F3366" s="557">
        <v>16.75</v>
      </c>
      <c r="G3366" s="557">
        <v>48.73</v>
      </c>
    </row>
    <row r="3367" spans="1:7" ht="23.1" customHeight="1" x14ac:dyDescent="0.25">
      <c r="A3367" s="551" t="s">
        <v>38280</v>
      </c>
      <c r="B3367" s="551" t="s">
        <v>38281</v>
      </c>
      <c r="C3367" s="552" t="s">
        <v>226</v>
      </c>
      <c r="D3367" s="557">
        <v>88.61</v>
      </c>
      <c r="E3367" s="557">
        <v>69.459999999999994</v>
      </c>
      <c r="F3367" s="557">
        <v>19.149999999999999</v>
      </c>
      <c r="G3367" s="557">
        <v>88.61</v>
      </c>
    </row>
    <row r="3368" spans="1:7" ht="12.6" customHeight="1" x14ac:dyDescent="0.25">
      <c r="A3368" s="551" t="s">
        <v>38282</v>
      </c>
      <c r="B3368" s="551" t="s">
        <v>38283</v>
      </c>
      <c r="C3368" s="552" t="s">
        <v>226</v>
      </c>
      <c r="D3368" s="557">
        <v>49.55</v>
      </c>
      <c r="E3368" s="557">
        <v>32.799999999999997</v>
      </c>
      <c r="F3368" s="557">
        <v>16.75</v>
      </c>
      <c r="G3368" s="557">
        <v>49.55</v>
      </c>
    </row>
    <row r="3369" spans="1:7" ht="12.6" customHeight="1" x14ac:dyDescent="0.25">
      <c r="A3369" s="551" t="s">
        <v>38284</v>
      </c>
      <c r="B3369" s="551" t="s">
        <v>38285</v>
      </c>
      <c r="C3369" s="552" t="s">
        <v>226</v>
      </c>
      <c r="D3369" s="557">
        <v>72.33</v>
      </c>
      <c r="E3369" s="557">
        <v>53.18</v>
      </c>
      <c r="F3369" s="557">
        <v>19.149999999999999</v>
      </c>
      <c r="G3369" s="557">
        <v>72.33</v>
      </c>
    </row>
    <row r="3370" spans="1:7" ht="12.6" customHeight="1" x14ac:dyDescent="0.25">
      <c r="A3370" s="551" t="s">
        <v>38286</v>
      </c>
      <c r="B3370" s="551" t="s">
        <v>38287</v>
      </c>
      <c r="C3370" s="552" t="s">
        <v>226</v>
      </c>
      <c r="D3370" s="557">
        <v>78.489999999999995</v>
      </c>
      <c r="E3370" s="557">
        <v>59.34</v>
      </c>
      <c r="F3370" s="557">
        <v>19.149999999999999</v>
      </c>
      <c r="G3370" s="557">
        <v>78.489999999999995</v>
      </c>
    </row>
    <row r="3371" spans="1:7" ht="12.6" customHeight="1" x14ac:dyDescent="0.25">
      <c r="A3371" s="551" t="s">
        <v>38288</v>
      </c>
      <c r="B3371" s="551" t="s">
        <v>38289</v>
      </c>
      <c r="C3371" s="552" t="s">
        <v>226</v>
      </c>
      <c r="D3371" s="557">
        <v>88.85</v>
      </c>
      <c r="E3371" s="557">
        <v>69.7</v>
      </c>
      <c r="F3371" s="557">
        <v>19.149999999999999</v>
      </c>
      <c r="G3371" s="557">
        <v>88.85</v>
      </c>
    </row>
    <row r="3372" spans="1:7" ht="12.6" customHeight="1" x14ac:dyDescent="0.25">
      <c r="A3372" s="551" t="s">
        <v>38290</v>
      </c>
      <c r="B3372" s="551" t="s">
        <v>38291</v>
      </c>
      <c r="C3372" s="552" t="s">
        <v>226</v>
      </c>
      <c r="D3372" s="557">
        <v>135.47</v>
      </c>
      <c r="E3372" s="557">
        <v>118.72</v>
      </c>
      <c r="F3372" s="557">
        <v>16.75</v>
      </c>
      <c r="G3372" s="557">
        <v>135.47</v>
      </c>
    </row>
    <row r="3373" spans="1:7" ht="12.6" customHeight="1" x14ac:dyDescent="0.25">
      <c r="A3373" s="551" t="s">
        <v>38292</v>
      </c>
      <c r="B3373" s="551" t="s">
        <v>38293</v>
      </c>
      <c r="C3373" s="552" t="s">
        <v>226</v>
      </c>
      <c r="D3373" s="557">
        <v>95.67</v>
      </c>
      <c r="E3373" s="557">
        <v>76.52</v>
      </c>
      <c r="F3373" s="557">
        <v>19.149999999999999</v>
      </c>
      <c r="G3373" s="557">
        <v>95.67</v>
      </c>
    </row>
    <row r="3374" spans="1:7" ht="12.6" customHeight="1" x14ac:dyDescent="0.25">
      <c r="A3374" s="551" t="s">
        <v>38294</v>
      </c>
      <c r="B3374" s="551" t="s">
        <v>38295</v>
      </c>
      <c r="C3374" s="552" t="s">
        <v>226</v>
      </c>
      <c r="D3374" s="557">
        <v>78.05</v>
      </c>
      <c r="E3374" s="557">
        <v>67.040000000000006</v>
      </c>
      <c r="F3374" s="557">
        <v>11.01</v>
      </c>
      <c r="G3374" s="557">
        <v>78.05</v>
      </c>
    </row>
    <row r="3375" spans="1:7" ht="12.6" customHeight="1" x14ac:dyDescent="0.25">
      <c r="A3375" s="551" t="s">
        <v>38296</v>
      </c>
      <c r="B3375" s="551" t="s">
        <v>38297</v>
      </c>
      <c r="C3375" s="552" t="s">
        <v>226</v>
      </c>
      <c r="D3375" s="557">
        <v>22.05</v>
      </c>
      <c r="E3375" s="557">
        <v>11.04</v>
      </c>
      <c r="F3375" s="557">
        <v>11.01</v>
      </c>
      <c r="G3375" s="557">
        <v>22.05</v>
      </c>
    </row>
    <row r="3376" spans="1:7" ht="12.6" customHeight="1" x14ac:dyDescent="0.25">
      <c r="A3376" s="551" t="s">
        <v>38298</v>
      </c>
      <c r="B3376" s="551" t="s">
        <v>38299</v>
      </c>
      <c r="C3376" s="552" t="s">
        <v>226</v>
      </c>
      <c r="D3376" s="557">
        <v>41.95</v>
      </c>
      <c r="E3376" s="557">
        <v>30.94</v>
      </c>
      <c r="F3376" s="557">
        <v>11.01</v>
      </c>
      <c r="G3376" s="557">
        <v>41.95</v>
      </c>
    </row>
    <row r="3377" spans="1:7" ht="12.6" customHeight="1" x14ac:dyDescent="0.25">
      <c r="A3377" s="551" t="s">
        <v>38300</v>
      </c>
      <c r="B3377" s="551" t="s">
        <v>38301</v>
      </c>
      <c r="C3377" s="552" t="s">
        <v>226</v>
      </c>
      <c r="D3377" s="557">
        <v>56.02</v>
      </c>
      <c r="E3377" s="557">
        <v>39.270000000000003</v>
      </c>
      <c r="F3377" s="557">
        <v>16.75</v>
      </c>
      <c r="G3377" s="557">
        <v>56.02</v>
      </c>
    </row>
    <row r="3378" spans="1:7" ht="12.6" customHeight="1" x14ac:dyDescent="0.25">
      <c r="A3378" s="551" t="s">
        <v>38302</v>
      </c>
      <c r="B3378" s="551" t="s">
        <v>38303</v>
      </c>
      <c r="C3378" s="552" t="s">
        <v>19518</v>
      </c>
      <c r="D3378" s="557">
        <v>94.6</v>
      </c>
      <c r="E3378" s="557">
        <v>89.81</v>
      </c>
      <c r="F3378" s="557">
        <v>4.79</v>
      </c>
      <c r="G3378" s="557">
        <v>94.6</v>
      </c>
    </row>
    <row r="3379" spans="1:7" ht="12.6" customHeight="1" x14ac:dyDescent="0.25">
      <c r="A3379" s="551" t="s">
        <v>38304</v>
      </c>
      <c r="B3379" s="551" t="s">
        <v>38305</v>
      </c>
      <c r="C3379" s="552"/>
      <c r="D3379" s="557"/>
      <c r="E3379" s="557"/>
      <c r="F3379" s="557"/>
      <c r="G3379" s="557"/>
    </row>
    <row r="3380" spans="1:7" ht="12.6" customHeight="1" x14ac:dyDescent="0.25">
      <c r="A3380" s="551" t="s">
        <v>38306</v>
      </c>
      <c r="B3380" s="551" t="s">
        <v>38307</v>
      </c>
      <c r="C3380" s="552"/>
      <c r="D3380" s="557"/>
      <c r="E3380" s="557"/>
      <c r="F3380" s="557"/>
      <c r="G3380" s="557"/>
    </row>
    <row r="3381" spans="1:7" ht="12.6" customHeight="1" x14ac:dyDescent="0.25">
      <c r="A3381" s="551" t="s">
        <v>38308</v>
      </c>
      <c r="B3381" s="551" t="s">
        <v>38309</v>
      </c>
      <c r="C3381" s="552" t="s">
        <v>226</v>
      </c>
      <c r="D3381" s="557">
        <v>58.38</v>
      </c>
      <c r="E3381" s="557">
        <v>36.840000000000003</v>
      </c>
      <c r="F3381" s="557">
        <v>21.54</v>
      </c>
      <c r="G3381" s="557">
        <v>58.38</v>
      </c>
    </row>
    <row r="3382" spans="1:7" ht="12.6" customHeight="1" x14ac:dyDescent="0.25">
      <c r="A3382" s="551" t="s">
        <v>38310</v>
      </c>
      <c r="B3382" s="551" t="s">
        <v>38311</v>
      </c>
      <c r="C3382" s="552" t="s">
        <v>226</v>
      </c>
      <c r="D3382" s="557">
        <v>78.69</v>
      </c>
      <c r="E3382" s="557">
        <v>49.98</v>
      </c>
      <c r="F3382" s="557">
        <v>28.71</v>
      </c>
      <c r="G3382" s="557">
        <v>78.69</v>
      </c>
    </row>
    <row r="3383" spans="1:7" ht="12.6" customHeight="1" x14ac:dyDescent="0.25">
      <c r="A3383" s="551" t="s">
        <v>38312</v>
      </c>
      <c r="B3383" s="551" t="s">
        <v>38313</v>
      </c>
      <c r="C3383" s="552" t="s">
        <v>226</v>
      </c>
      <c r="D3383" s="557">
        <v>97.34</v>
      </c>
      <c r="E3383" s="557">
        <v>61.45</v>
      </c>
      <c r="F3383" s="557">
        <v>35.89</v>
      </c>
      <c r="G3383" s="557">
        <v>97.34</v>
      </c>
    </row>
    <row r="3384" spans="1:7" ht="12.6" customHeight="1" x14ac:dyDescent="0.25">
      <c r="A3384" s="551" t="s">
        <v>38314</v>
      </c>
      <c r="B3384" s="551" t="s">
        <v>38315</v>
      </c>
      <c r="C3384" s="552" t="s">
        <v>226</v>
      </c>
      <c r="D3384" s="557">
        <v>121.56</v>
      </c>
      <c r="E3384" s="557">
        <v>78.489999999999995</v>
      </c>
      <c r="F3384" s="557">
        <v>43.07</v>
      </c>
      <c r="G3384" s="557">
        <v>121.56</v>
      </c>
    </row>
    <row r="3385" spans="1:7" ht="24.95" customHeight="1" x14ac:dyDescent="0.25">
      <c r="A3385" s="551" t="s">
        <v>38316</v>
      </c>
      <c r="B3385" s="342" t="s">
        <v>38317</v>
      </c>
      <c r="C3385" s="552" t="s">
        <v>226</v>
      </c>
      <c r="D3385" s="557">
        <v>142.58000000000001</v>
      </c>
      <c r="E3385" s="557">
        <v>94.72</v>
      </c>
      <c r="F3385" s="557">
        <v>47.86</v>
      </c>
      <c r="G3385" s="557">
        <v>142.58000000000001</v>
      </c>
    </row>
    <row r="3386" spans="1:7" ht="24.95" customHeight="1" x14ac:dyDescent="0.25">
      <c r="A3386" s="551" t="s">
        <v>38318</v>
      </c>
      <c r="B3386" s="342" t="s">
        <v>38319</v>
      </c>
      <c r="C3386" s="552" t="s">
        <v>226</v>
      </c>
      <c r="D3386" s="557">
        <v>197.48</v>
      </c>
      <c r="E3386" s="557">
        <v>137.65</v>
      </c>
      <c r="F3386" s="557">
        <v>59.83</v>
      </c>
      <c r="G3386" s="557">
        <v>197.48</v>
      </c>
    </row>
    <row r="3387" spans="1:7" ht="12.6" customHeight="1" x14ac:dyDescent="0.25">
      <c r="A3387" s="551" t="s">
        <v>38320</v>
      </c>
      <c r="B3387" s="551" t="s">
        <v>38321</v>
      </c>
      <c r="C3387" s="552" t="s">
        <v>226</v>
      </c>
      <c r="D3387" s="557">
        <v>414.8</v>
      </c>
      <c r="E3387" s="557">
        <v>343</v>
      </c>
      <c r="F3387" s="557">
        <v>71.8</v>
      </c>
      <c r="G3387" s="557">
        <v>414.8</v>
      </c>
    </row>
    <row r="3388" spans="1:7" ht="23.1" customHeight="1" x14ac:dyDescent="0.25">
      <c r="A3388" s="551" t="s">
        <v>38322</v>
      </c>
      <c r="B3388" s="551" t="s">
        <v>38323</v>
      </c>
      <c r="C3388" s="552" t="s">
        <v>226</v>
      </c>
      <c r="D3388" s="557">
        <v>635</v>
      </c>
      <c r="E3388" s="557">
        <v>539.28</v>
      </c>
      <c r="F3388" s="557">
        <v>95.72</v>
      </c>
      <c r="G3388" s="557">
        <v>635</v>
      </c>
    </row>
    <row r="3389" spans="1:7" ht="23.1" customHeight="1" x14ac:dyDescent="0.25">
      <c r="A3389" s="551" t="s">
        <v>38324</v>
      </c>
      <c r="B3389" s="551" t="s">
        <v>38325</v>
      </c>
      <c r="C3389" s="552" t="s">
        <v>226</v>
      </c>
      <c r="D3389" s="557">
        <v>1054.58</v>
      </c>
      <c r="E3389" s="557">
        <v>911</v>
      </c>
      <c r="F3389" s="557">
        <v>143.58000000000001</v>
      </c>
      <c r="G3389" s="557">
        <v>1054.58</v>
      </c>
    </row>
    <row r="3390" spans="1:7" ht="23.1" customHeight="1" x14ac:dyDescent="0.25">
      <c r="A3390" s="551" t="s">
        <v>38326</v>
      </c>
      <c r="B3390" s="551" t="s">
        <v>38327</v>
      </c>
      <c r="C3390" s="552" t="s">
        <v>226</v>
      </c>
      <c r="D3390" s="557">
        <v>98.67</v>
      </c>
      <c r="E3390" s="557">
        <v>69.959999999999994</v>
      </c>
      <c r="F3390" s="557">
        <v>28.71</v>
      </c>
      <c r="G3390" s="557">
        <v>98.67</v>
      </c>
    </row>
    <row r="3391" spans="1:7" ht="23.1" customHeight="1" x14ac:dyDescent="0.25">
      <c r="A3391" s="551" t="s">
        <v>38328</v>
      </c>
      <c r="B3391" s="551" t="s">
        <v>38329</v>
      </c>
      <c r="C3391" s="552" t="s">
        <v>226</v>
      </c>
      <c r="D3391" s="557">
        <v>47.72</v>
      </c>
      <c r="E3391" s="557">
        <v>26.18</v>
      </c>
      <c r="F3391" s="557">
        <v>21.54</v>
      </c>
      <c r="G3391" s="557">
        <v>47.72</v>
      </c>
    </row>
    <row r="3392" spans="1:7" ht="23.1" customHeight="1" x14ac:dyDescent="0.25">
      <c r="A3392" s="551" t="s">
        <v>38330</v>
      </c>
      <c r="B3392" s="551" t="s">
        <v>38331</v>
      </c>
      <c r="C3392" s="552" t="s">
        <v>226</v>
      </c>
      <c r="D3392" s="557">
        <v>84.2</v>
      </c>
      <c r="E3392" s="557">
        <v>62.66</v>
      </c>
      <c r="F3392" s="557">
        <v>21.54</v>
      </c>
      <c r="G3392" s="557">
        <v>84.2</v>
      </c>
    </row>
    <row r="3393" spans="1:7" ht="23.1" customHeight="1" x14ac:dyDescent="0.25">
      <c r="A3393" s="551" t="s">
        <v>38332</v>
      </c>
      <c r="B3393" s="551" t="s">
        <v>38333</v>
      </c>
      <c r="C3393" s="552" t="s">
        <v>226</v>
      </c>
      <c r="D3393" s="557">
        <v>92.47</v>
      </c>
      <c r="E3393" s="557">
        <v>70.930000000000007</v>
      </c>
      <c r="F3393" s="557">
        <v>21.54</v>
      </c>
      <c r="G3393" s="557">
        <v>92.47</v>
      </c>
    </row>
    <row r="3394" spans="1:7" ht="23.1" customHeight="1" x14ac:dyDescent="0.25">
      <c r="A3394" s="551" t="s">
        <v>38334</v>
      </c>
      <c r="B3394" s="551" t="s">
        <v>38335</v>
      </c>
      <c r="C3394" s="552" t="s">
        <v>226</v>
      </c>
      <c r="D3394" s="557">
        <v>116.47</v>
      </c>
      <c r="E3394" s="557">
        <v>92.53</v>
      </c>
      <c r="F3394" s="557">
        <v>23.94</v>
      </c>
      <c r="G3394" s="557">
        <v>116.47</v>
      </c>
    </row>
    <row r="3395" spans="1:7" ht="11.45" customHeight="1" x14ac:dyDescent="0.25">
      <c r="A3395" s="543" t="s">
        <v>38336</v>
      </c>
      <c r="B3395" s="544" t="s">
        <v>38337</v>
      </c>
      <c r="C3395" s="544" t="s">
        <v>226</v>
      </c>
      <c r="D3395" s="543">
        <v>273.68</v>
      </c>
      <c r="E3395" s="545">
        <v>252.14</v>
      </c>
      <c r="F3395" s="546">
        <v>21.54</v>
      </c>
      <c r="G3395" s="543">
        <v>273.68</v>
      </c>
    </row>
    <row r="3396" spans="1:7" ht="23.1" customHeight="1" x14ac:dyDescent="0.25">
      <c r="A3396" s="551" t="s">
        <v>38338</v>
      </c>
      <c r="B3396" s="551" t="s">
        <v>38339</v>
      </c>
      <c r="C3396" s="552" t="s">
        <v>226</v>
      </c>
      <c r="D3396" s="557">
        <v>1266.82</v>
      </c>
      <c r="E3396" s="557">
        <v>1218.96</v>
      </c>
      <c r="F3396" s="557">
        <v>47.86</v>
      </c>
      <c r="G3396" s="557">
        <v>1266.82</v>
      </c>
    </row>
    <row r="3397" spans="1:7" ht="23.1" customHeight="1" x14ac:dyDescent="0.25">
      <c r="A3397" s="551" t="s">
        <v>38340</v>
      </c>
      <c r="B3397" s="551" t="s">
        <v>38341</v>
      </c>
      <c r="C3397" s="552"/>
      <c r="D3397" s="553"/>
      <c r="E3397" s="553"/>
      <c r="F3397" s="557"/>
      <c r="G3397" s="553"/>
    </row>
    <row r="3398" spans="1:7" ht="12.6" customHeight="1" x14ac:dyDescent="0.25">
      <c r="A3398" s="551" t="s">
        <v>38342</v>
      </c>
      <c r="B3398" s="551" t="s">
        <v>38343</v>
      </c>
      <c r="C3398" s="552" t="s">
        <v>226</v>
      </c>
      <c r="D3398" s="557">
        <v>119.12</v>
      </c>
      <c r="E3398" s="557">
        <v>97.58</v>
      </c>
      <c r="F3398" s="557">
        <v>21.54</v>
      </c>
      <c r="G3398" s="557">
        <v>119.12</v>
      </c>
    </row>
    <row r="3399" spans="1:7" ht="12.6" customHeight="1" x14ac:dyDescent="0.25">
      <c r="A3399" s="551" t="s">
        <v>38344</v>
      </c>
      <c r="B3399" s="551" t="s">
        <v>38345</v>
      </c>
      <c r="C3399" s="552" t="s">
        <v>226</v>
      </c>
      <c r="D3399" s="557">
        <v>111.61</v>
      </c>
      <c r="E3399" s="557">
        <v>90.07</v>
      </c>
      <c r="F3399" s="557">
        <v>21.54</v>
      </c>
      <c r="G3399" s="557">
        <v>111.61</v>
      </c>
    </row>
    <row r="3400" spans="1:7" ht="12.6" customHeight="1" x14ac:dyDescent="0.25">
      <c r="A3400" s="551" t="s">
        <v>38346</v>
      </c>
      <c r="B3400" s="551" t="s">
        <v>38347</v>
      </c>
      <c r="C3400" s="552" t="s">
        <v>226</v>
      </c>
      <c r="D3400" s="553">
        <v>144.36000000000001</v>
      </c>
      <c r="E3400" s="553">
        <v>122.82</v>
      </c>
      <c r="F3400" s="557">
        <v>21.54</v>
      </c>
      <c r="G3400" s="553">
        <v>144.36000000000001</v>
      </c>
    </row>
    <row r="3401" spans="1:7" ht="12.6" customHeight="1" x14ac:dyDescent="0.25">
      <c r="A3401" s="551" t="s">
        <v>38348</v>
      </c>
      <c r="B3401" s="551" t="s">
        <v>38349</v>
      </c>
      <c r="C3401" s="552" t="s">
        <v>226</v>
      </c>
      <c r="D3401" s="553">
        <v>147.36000000000001</v>
      </c>
      <c r="E3401" s="553">
        <v>125.82</v>
      </c>
      <c r="F3401" s="557">
        <v>21.54</v>
      </c>
      <c r="G3401" s="553">
        <v>147.36000000000001</v>
      </c>
    </row>
    <row r="3402" spans="1:7" ht="12.6" customHeight="1" x14ac:dyDescent="0.25">
      <c r="A3402" s="551" t="s">
        <v>38350</v>
      </c>
      <c r="B3402" s="551" t="s">
        <v>38351</v>
      </c>
      <c r="C3402" s="552" t="s">
        <v>226</v>
      </c>
      <c r="D3402" s="553">
        <v>180.12</v>
      </c>
      <c r="E3402" s="553">
        <v>158.58000000000001</v>
      </c>
      <c r="F3402" s="557">
        <v>21.54</v>
      </c>
      <c r="G3402" s="553">
        <v>180.12</v>
      </c>
    </row>
    <row r="3403" spans="1:7" ht="34.5" customHeight="1" x14ac:dyDescent="0.25">
      <c r="A3403" s="554" t="s">
        <v>38352</v>
      </c>
      <c r="B3403" s="551" t="s">
        <v>38353</v>
      </c>
      <c r="C3403" s="555" t="s">
        <v>226</v>
      </c>
      <c r="D3403" s="558">
        <v>112.38</v>
      </c>
      <c r="E3403" s="558">
        <v>90.84</v>
      </c>
      <c r="F3403" s="558">
        <v>21.54</v>
      </c>
      <c r="G3403" s="558">
        <v>112.38</v>
      </c>
    </row>
    <row r="3404" spans="1:7" ht="34.5" customHeight="1" x14ac:dyDescent="0.25">
      <c r="A3404" s="554" t="s">
        <v>38354</v>
      </c>
      <c r="B3404" s="551" t="s">
        <v>38355</v>
      </c>
      <c r="C3404" s="555" t="s">
        <v>226</v>
      </c>
      <c r="D3404" s="558">
        <v>104.32</v>
      </c>
      <c r="E3404" s="558">
        <v>82.78</v>
      </c>
      <c r="F3404" s="558">
        <v>21.54</v>
      </c>
      <c r="G3404" s="558">
        <v>104.32</v>
      </c>
    </row>
    <row r="3405" spans="1:7" ht="34.5" customHeight="1" x14ac:dyDescent="0.25">
      <c r="A3405" s="554" t="s">
        <v>38356</v>
      </c>
      <c r="B3405" s="551" t="s">
        <v>38357</v>
      </c>
      <c r="C3405" s="555" t="s">
        <v>226</v>
      </c>
      <c r="D3405" s="558">
        <v>78.790000000000006</v>
      </c>
      <c r="E3405" s="558">
        <v>57.25</v>
      </c>
      <c r="F3405" s="558">
        <v>21.54</v>
      </c>
      <c r="G3405" s="558">
        <v>78.790000000000006</v>
      </c>
    </row>
    <row r="3406" spans="1:7" ht="34.5" customHeight="1" x14ac:dyDescent="0.25">
      <c r="A3406" s="554" t="s">
        <v>38358</v>
      </c>
      <c r="B3406" s="551" t="s">
        <v>38359</v>
      </c>
      <c r="C3406" s="555" t="s">
        <v>226</v>
      </c>
      <c r="D3406" s="558">
        <v>90.77</v>
      </c>
      <c r="E3406" s="558">
        <v>69.23</v>
      </c>
      <c r="F3406" s="558">
        <v>21.54</v>
      </c>
      <c r="G3406" s="558">
        <v>90.77</v>
      </c>
    </row>
    <row r="3407" spans="1:7" ht="34.5" customHeight="1" x14ac:dyDescent="0.25">
      <c r="A3407" s="554" t="s">
        <v>38360</v>
      </c>
      <c r="B3407" s="551" t="s">
        <v>38361</v>
      </c>
      <c r="C3407" s="555"/>
      <c r="D3407" s="558"/>
      <c r="E3407" s="558"/>
      <c r="F3407" s="558"/>
      <c r="G3407" s="558"/>
    </row>
    <row r="3408" spans="1:7" ht="12.6" customHeight="1" x14ac:dyDescent="0.25">
      <c r="A3408" s="551" t="s">
        <v>38362</v>
      </c>
      <c r="B3408" s="551" t="s">
        <v>38363</v>
      </c>
      <c r="C3408" s="552" t="s">
        <v>226</v>
      </c>
      <c r="D3408" s="557">
        <v>402.65</v>
      </c>
      <c r="E3408" s="557">
        <v>330.85</v>
      </c>
      <c r="F3408" s="557">
        <v>71.8</v>
      </c>
      <c r="G3408" s="557">
        <v>402.65</v>
      </c>
    </row>
    <row r="3409" spans="1:7" ht="12.6" customHeight="1" x14ac:dyDescent="0.25">
      <c r="A3409" s="551" t="s">
        <v>38364</v>
      </c>
      <c r="B3409" s="551" t="s">
        <v>38365</v>
      </c>
      <c r="C3409" s="552" t="s">
        <v>226</v>
      </c>
      <c r="D3409" s="557">
        <v>345.69</v>
      </c>
      <c r="E3409" s="557">
        <v>273.89</v>
      </c>
      <c r="F3409" s="557">
        <v>71.8</v>
      </c>
      <c r="G3409" s="557">
        <v>345.69</v>
      </c>
    </row>
    <row r="3410" spans="1:7" ht="12.6" customHeight="1" x14ac:dyDescent="0.25">
      <c r="A3410" s="551" t="s">
        <v>38366</v>
      </c>
      <c r="B3410" s="551" t="s">
        <v>38367</v>
      </c>
      <c r="C3410" s="552" t="s">
        <v>226</v>
      </c>
      <c r="D3410" s="557">
        <v>335.57</v>
      </c>
      <c r="E3410" s="557">
        <v>263.77</v>
      </c>
      <c r="F3410" s="557">
        <v>71.8</v>
      </c>
      <c r="G3410" s="557">
        <v>335.57</v>
      </c>
    </row>
    <row r="3411" spans="1:7" ht="12.6" customHeight="1" x14ac:dyDescent="0.25">
      <c r="A3411" s="551" t="s">
        <v>38368</v>
      </c>
      <c r="B3411" s="551" t="s">
        <v>38369</v>
      </c>
      <c r="C3411" s="552" t="s">
        <v>226</v>
      </c>
      <c r="D3411" s="553">
        <v>475</v>
      </c>
      <c r="E3411" s="553">
        <v>403.2</v>
      </c>
      <c r="F3411" s="557">
        <v>71.8</v>
      </c>
      <c r="G3411" s="553">
        <v>475</v>
      </c>
    </row>
    <row r="3412" spans="1:7" ht="12.6" customHeight="1" x14ac:dyDescent="0.25">
      <c r="A3412" s="551" t="s">
        <v>38370</v>
      </c>
      <c r="B3412" s="551" t="s">
        <v>38371</v>
      </c>
      <c r="C3412" s="552" t="s">
        <v>226</v>
      </c>
      <c r="D3412" s="553">
        <v>1651.4</v>
      </c>
      <c r="E3412" s="553">
        <v>1579.6</v>
      </c>
      <c r="F3412" s="557">
        <v>71.8</v>
      </c>
      <c r="G3412" s="553">
        <v>1651.4</v>
      </c>
    </row>
    <row r="3413" spans="1:7" ht="12.6" customHeight="1" x14ac:dyDescent="0.25">
      <c r="A3413" s="551" t="s">
        <v>38372</v>
      </c>
      <c r="B3413" s="551" t="s">
        <v>38373</v>
      </c>
      <c r="C3413" s="552" t="s">
        <v>226</v>
      </c>
      <c r="D3413" s="553">
        <v>526.87</v>
      </c>
      <c r="E3413" s="553">
        <v>498.16</v>
      </c>
      <c r="F3413" s="557">
        <v>28.71</v>
      </c>
      <c r="G3413" s="553">
        <v>526.87</v>
      </c>
    </row>
    <row r="3414" spans="1:7" ht="12.6" customHeight="1" x14ac:dyDescent="0.2">
      <c r="A3414" s="548" t="s">
        <v>38374</v>
      </c>
      <c r="B3414" s="548" t="s">
        <v>38375</v>
      </c>
      <c r="C3414" s="550" t="s">
        <v>226</v>
      </c>
      <c r="D3414" s="550">
        <v>373.32</v>
      </c>
      <c r="E3414" s="550">
        <v>344.61</v>
      </c>
      <c r="F3414" s="550">
        <v>28.71</v>
      </c>
      <c r="G3414" s="550">
        <v>373.32</v>
      </c>
    </row>
    <row r="3415" spans="1:7" ht="23.1" customHeight="1" x14ac:dyDescent="0.25">
      <c r="A3415" s="551" t="s">
        <v>38376</v>
      </c>
      <c r="B3415" s="551" t="s">
        <v>38377</v>
      </c>
      <c r="C3415" s="552" t="s">
        <v>226</v>
      </c>
      <c r="D3415" s="557">
        <v>913.64</v>
      </c>
      <c r="E3415" s="557">
        <v>841.84</v>
      </c>
      <c r="F3415" s="557">
        <v>71.8</v>
      </c>
      <c r="G3415" s="557">
        <v>913.64</v>
      </c>
    </row>
    <row r="3416" spans="1:7" ht="23.1" customHeight="1" x14ac:dyDescent="0.25">
      <c r="A3416" s="551" t="s">
        <v>38378</v>
      </c>
      <c r="B3416" s="551" t="s">
        <v>38379</v>
      </c>
      <c r="C3416" s="552" t="s">
        <v>226</v>
      </c>
      <c r="D3416" s="557">
        <v>486.17</v>
      </c>
      <c r="E3416" s="557">
        <v>464.63</v>
      </c>
      <c r="F3416" s="557">
        <v>21.54</v>
      </c>
      <c r="G3416" s="557">
        <v>486.17</v>
      </c>
    </row>
    <row r="3417" spans="1:7" ht="23.1" customHeight="1" x14ac:dyDescent="0.25">
      <c r="A3417" s="551" t="s">
        <v>38380</v>
      </c>
      <c r="B3417" s="551" t="s">
        <v>38381</v>
      </c>
      <c r="C3417" s="552" t="s">
        <v>226</v>
      </c>
      <c r="D3417" s="557">
        <v>399.39</v>
      </c>
      <c r="E3417" s="557">
        <v>327.58999999999997</v>
      </c>
      <c r="F3417" s="557">
        <v>71.8</v>
      </c>
      <c r="G3417" s="557">
        <v>399.39</v>
      </c>
    </row>
    <row r="3418" spans="1:7" ht="23.1" customHeight="1" x14ac:dyDescent="0.25">
      <c r="A3418" s="551" t="s">
        <v>38382</v>
      </c>
      <c r="B3418" s="551" t="s">
        <v>38383</v>
      </c>
      <c r="C3418" s="552"/>
      <c r="D3418" s="557"/>
      <c r="E3418" s="557"/>
      <c r="F3418" s="557"/>
      <c r="G3418" s="557"/>
    </row>
    <row r="3419" spans="1:7" ht="23.1" customHeight="1" x14ac:dyDescent="0.25">
      <c r="A3419" s="551" t="s">
        <v>38384</v>
      </c>
      <c r="B3419" s="551" t="s">
        <v>38385</v>
      </c>
      <c r="C3419" s="552" t="s">
        <v>226</v>
      </c>
      <c r="D3419" s="557">
        <v>139.41</v>
      </c>
      <c r="E3419" s="557">
        <v>117.87</v>
      </c>
      <c r="F3419" s="557">
        <v>21.54</v>
      </c>
      <c r="G3419" s="557">
        <v>139.41</v>
      </c>
    </row>
    <row r="3420" spans="1:7" ht="23.1" customHeight="1" x14ac:dyDescent="0.25">
      <c r="A3420" s="551" t="s">
        <v>38386</v>
      </c>
      <c r="B3420" s="551" t="s">
        <v>38387</v>
      </c>
      <c r="C3420" s="552" t="s">
        <v>226</v>
      </c>
      <c r="D3420" s="557">
        <v>146.12</v>
      </c>
      <c r="E3420" s="557">
        <v>124.58</v>
      </c>
      <c r="F3420" s="557">
        <v>21.54</v>
      </c>
      <c r="G3420" s="557">
        <v>146.12</v>
      </c>
    </row>
    <row r="3421" spans="1:7" ht="23.1" customHeight="1" x14ac:dyDescent="0.25">
      <c r="A3421" s="551" t="s">
        <v>38388</v>
      </c>
      <c r="B3421" s="551" t="s">
        <v>38389</v>
      </c>
      <c r="C3421" s="552" t="s">
        <v>226</v>
      </c>
      <c r="D3421" s="557">
        <v>196.45</v>
      </c>
      <c r="E3421" s="557">
        <v>174.91</v>
      </c>
      <c r="F3421" s="557">
        <v>21.54</v>
      </c>
      <c r="G3421" s="557">
        <v>196.45</v>
      </c>
    </row>
    <row r="3422" spans="1:7" ht="12.6" customHeight="1" x14ac:dyDescent="0.2">
      <c r="A3422" s="548" t="s">
        <v>38390</v>
      </c>
      <c r="B3422" s="548" t="s">
        <v>38391</v>
      </c>
      <c r="C3422" s="550" t="s">
        <v>226</v>
      </c>
      <c r="D3422" s="550">
        <v>229.35</v>
      </c>
      <c r="E3422" s="550">
        <v>207.81</v>
      </c>
      <c r="F3422" s="550">
        <v>21.54</v>
      </c>
      <c r="G3422" s="550">
        <v>229.35</v>
      </c>
    </row>
    <row r="3423" spans="1:7" ht="24.95" customHeight="1" x14ac:dyDescent="0.25">
      <c r="A3423" s="551" t="s">
        <v>38392</v>
      </c>
      <c r="B3423" s="342" t="s">
        <v>38393</v>
      </c>
      <c r="C3423" s="552" t="s">
        <v>226</v>
      </c>
      <c r="D3423" s="557">
        <v>305.95999999999998</v>
      </c>
      <c r="E3423" s="557">
        <v>284.42</v>
      </c>
      <c r="F3423" s="557">
        <v>21.54</v>
      </c>
      <c r="G3423" s="557">
        <v>305.95999999999998</v>
      </c>
    </row>
    <row r="3424" spans="1:7" ht="24.95" customHeight="1" x14ac:dyDescent="0.25">
      <c r="A3424" s="551" t="s">
        <v>38394</v>
      </c>
      <c r="B3424" s="342" t="s">
        <v>38395</v>
      </c>
      <c r="C3424" s="552" t="s">
        <v>226</v>
      </c>
      <c r="D3424" s="557">
        <v>510.52</v>
      </c>
      <c r="E3424" s="557">
        <v>488.98</v>
      </c>
      <c r="F3424" s="557">
        <v>21.54</v>
      </c>
      <c r="G3424" s="557">
        <v>510.52</v>
      </c>
    </row>
    <row r="3425" spans="1:7" ht="24.95" customHeight="1" x14ac:dyDescent="0.25">
      <c r="A3425" s="551" t="s">
        <v>38396</v>
      </c>
      <c r="B3425" s="342" t="s">
        <v>38397</v>
      </c>
      <c r="C3425" s="552" t="s">
        <v>226</v>
      </c>
      <c r="D3425" s="557">
        <v>618.92999999999995</v>
      </c>
      <c r="E3425" s="557">
        <v>597.39</v>
      </c>
      <c r="F3425" s="557">
        <v>21.54</v>
      </c>
      <c r="G3425" s="557">
        <v>618.92999999999995</v>
      </c>
    </row>
    <row r="3426" spans="1:7" ht="24.95" customHeight="1" x14ac:dyDescent="0.25">
      <c r="A3426" s="551" t="s">
        <v>38398</v>
      </c>
      <c r="B3426" s="342" t="s">
        <v>38399</v>
      </c>
      <c r="C3426" s="552" t="s">
        <v>226</v>
      </c>
      <c r="D3426" s="557">
        <v>1049.67</v>
      </c>
      <c r="E3426" s="557">
        <v>1020.96</v>
      </c>
      <c r="F3426" s="557">
        <v>28.71</v>
      </c>
      <c r="G3426" s="557">
        <v>1049.67</v>
      </c>
    </row>
    <row r="3427" spans="1:7" ht="24.95" customHeight="1" x14ac:dyDescent="0.25">
      <c r="A3427" s="551" t="s">
        <v>38400</v>
      </c>
      <c r="B3427" s="342" t="s">
        <v>38401</v>
      </c>
      <c r="C3427" s="552" t="s">
        <v>226</v>
      </c>
      <c r="D3427" s="557">
        <v>110.15</v>
      </c>
      <c r="E3427" s="557">
        <v>88.61</v>
      </c>
      <c r="F3427" s="557">
        <v>21.54</v>
      </c>
      <c r="G3427" s="557">
        <v>110.15</v>
      </c>
    </row>
    <row r="3428" spans="1:7" ht="11.45" customHeight="1" x14ac:dyDescent="0.25">
      <c r="A3428" s="543" t="s">
        <v>38402</v>
      </c>
      <c r="B3428" s="544" t="s">
        <v>38403</v>
      </c>
      <c r="C3428" s="544" t="s">
        <v>226</v>
      </c>
      <c r="D3428" s="543">
        <v>142.29</v>
      </c>
      <c r="E3428" s="545">
        <v>120.75</v>
      </c>
      <c r="F3428" s="546">
        <v>21.54</v>
      </c>
      <c r="G3428" s="543">
        <v>142.29</v>
      </c>
    </row>
    <row r="3429" spans="1:7" ht="24.95" customHeight="1" x14ac:dyDescent="0.25">
      <c r="A3429" s="551" t="s">
        <v>38404</v>
      </c>
      <c r="B3429" s="342" t="s">
        <v>38405</v>
      </c>
      <c r="C3429" s="552" t="s">
        <v>226</v>
      </c>
      <c r="D3429" s="557">
        <v>173.97</v>
      </c>
      <c r="E3429" s="557">
        <v>152.43</v>
      </c>
      <c r="F3429" s="557">
        <v>21.54</v>
      </c>
      <c r="G3429" s="557">
        <v>173.97</v>
      </c>
    </row>
    <row r="3430" spans="1:7" ht="24.95" customHeight="1" x14ac:dyDescent="0.25">
      <c r="A3430" s="551" t="s">
        <v>38406</v>
      </c>
      <c r="B3430" s="342" t="s">
        <v>38407</v>
      </c>
      <c r="C3430" s="552" t="s">
        <v>226</v>
      </c>
      <c r="D3430" s="557">
        <v>236.87</v>
      </c>
      <c r="E3430" s="557">
        <v>215.33</v>
      </c>
      <c r="F3430" s="557">
        <v>21.54</v>
      </c>
      <c r="G3430" s="557">
        <v>236.87</v>
      </c>
    </row>
    <row r="3431" spans="1:7" ht="24.95" customHeight="1" x14ac:dyDescent="0.25">
      <c r="A3431" s="551" t="s">
        <v>38408</v>
      </c>
      <c r="B3431" s="342" t="s">
        <v>38409</v>
      </c>
      <c r="C3431" s="552" t="s">
        <v>226</v>
      </c>
      <c r="D3431" s="557">
        <v>374.96</v>
      </c>
      <c r="E3431" s="557">
        <v>353.42</v>
      </c>
      <c r="F3431" s="557">
        <v>21.54</v>
      </c>
      <c r="G3431" s="557">
        <v>374.96</v>
      </c>
    </row>
    <row r="3432" spans="1:7" ht="24.95" customHeight="1" x14ac:dyDescent="0.25">
      <c r="A3432" s="551" t="s">
        <v>38410</v>
      </c>
      <c r="B3432" s="342" t="s">
        <v>38411</v>
      </c>
      <c r="C3432" s="552" t="s">
        <v>226</v>
      </c>
      <c r="D3432" s="557">
        <v>550.99</v>
      </c>
      <c r="E3432" s="557">
        <v>529.45000000000005</v>
      </c>
      <c r="F3432" s="557">
        <v>21.54</v>
      </c>
      <c r="G3432" s="557">
        <v>550.99</v>
      </c>
    </row>
    <row r="3433" spans="1:7" ht="24.95" customHeight="1" x14ac:dyDescent="0.25">
      <c r="A3433" s="551" t="s">
        <v>38412</v>
      </c>
      <c r="B3433" s="342" t="s">
        <v>38413</v>
      </c>
      <c r="C3433" s="552" t="s">
        <v>226</v>
      </c>
      <c r="D3433" s="557">
        <v>943.92</v>
      </c>
      <c r="E3433" s="557">
        <v>915.21</v>
      </c>
      <c r="F3433" s="557">
        <v>28.71</v>
      </c>
      <c r="G3433" s="557">
        <v>943.92</v>
      </c>
    </row>
    <row r="3434" spans="1:7" ht="24.95" customHeight="1" x14ac:dyDescent="0.25">
      <c r="A3434" s="551" t="s">
        <v>38414</v>
      </c>
      <c r="B3434" s="342" t="s">
        <v>38415</v>
      </c>
      <c r="C3434" s="552" t="s">
        <v>226</v>
      </c>
      <c r="D3434" s="557">
        <v>103.95</v>
      </c>
      <c r="E3434" s="557">
        <v>82.41</v>
      </c>
      <c r="F3434" s="557">
        <v>21.54</v>
      </c>
      <c r="G3434" s="557">
        <v>103.95</v>
      </c>
    </row>
    <row r="3435" spans="1:7" ht="12.6" customHeight="1" x14ac:dyDescent="0.2">
      <c r="A3435" s="548" t="s">
        <v>38416</v>
      </c>
      <c r="B3435" s="548" t="s">
        <v>38417</v>
      </c>
      <c r="C3435" s="550" t="s">
        <v>226</v>
      </c>
      <c r="D3435" s="550">
        <v>135.76</v>
      </c>
      <c r="E3435" s="550">
        <v>114.22</v>
      </c>
      <c r="F3435" s="550">
        <v>21.54</v>
      </c>
      <c r="G3435" s="550">
        <v>135.76</v>
      </c>
    </row>
    <row r="3436" spans="1:7" ht="34.5" customHeight="1" x14ac:dyDescent="0.25">
      <c r="A3436" s="554" t="s">
        <v>38418</v>
      </c>
      <c r="B3436" s="551" t="s">
        <v>38419</v>
      </c>
      <c r="C3436" s="555" t="s">
        <v>226</v>
      </c>
      <c r="D3436" s="558">
        <v>161.97999999999999</v>
      </c>
      <c r="E3436" s="558">
        <v>140.44</v>
      </c>
      <c r="F3436" s="558">
        <v>21.54</v>
      </c>
      <c r="G3436" s="558">
        <v>161.97999999999999</v>
      </c>
    </row>
    <row r="3437" spans="1:7" ht="34.5" customHeight="1" x14ac:dyDescent="0.25">
      <c r="A3437" s="554" t="s">
        <v>38420</v>
      </c>
      <c r="B3437" s="551" t="s">
        <v>38421</v>
      </c>
      <c r="C3437" s="555" t="s">
        <v>226</v>
      </c>
      <c r="D3437" s="558">
        <v>213.46</v>
      </c>
      <c r="E3437" s="558">
        <v>191.92</v>
      </c>
      <c r="F3437" s="558">
        <v>21.54</v>
      </c>
      <c r="G3437" s="558">
        <v>213.46</v>
      </c>
    </row>
    <row r="3438" spans="1:7" ht="34.5" customHeight="1" x14ac:dyDescent="0.25">
      <c r="A3438" s="554" t="s">
        <v>38422</v>
      </c>
      <c r="B3438" s="551" t="s">
        <v>38423</v>
      </c>
      <c r="C3438" s="555" t="s">
        <v>226</v>
      </c>
      <c r="D3438" s="558">
        <v>330.71</v>
      </c>
      <c r="E3438" s="558">
        <v>309.17</v>
      </c>
      <c r="F3438" s="558">
        <v>21.54</v>
      </c>
      <c r="G3438" s="558">
        <v>330.71</v>
      </c>
    </row>
    <row r="3439" spans="1:7" ht="34.5" customHeight="1" x14ac:dyDescent="0.25">
      <c r="A3439" s="554" t="s">
        <v>38424</v>
      </c>
      <c r="B3439" s="551" t="s">
        <v>38425</v>
      </c>
      <c r="C3439" s="555" t="s">
        <v>226</v>
      </c>
      <c r="D3439" s="558">
        <v>6824.07</v>
      </c>
      <c r="E3439" s="558">
        <v>6788.18</v>
      </c>
      <c r="F3439" s="558">
        <v>35.89</v>
      </c>
      <c r="G3439" s="558">
        <v>6824.07</v>
      </c>
    </row>
    <row r="3440" spans="1:7" ht="23.1" customHeight="1" x14ac:dyDescent="0.25">
      <c r="A3440" s="551" t="s">
        <v>38426</v>
      </c>
      <c r="B3440" s="551" t="s">
        <v>38427</v>
      </c>
      <c r="C3440" s="552" t="s">
        <v>226</v>
      </c>
      <c r="D3440" s="557">
        <v>188.21</v>
      </c>
      <c r="E3440" s="557">
        <v>166.67</v>
      </c>
      <c r="F3440" s="557">
        <v>21.54</v>
      </c>
      <c r="G3440" s="557">
        <v>188.21</v>
      </c>
    </row>
    <row r="3441" spans="1:7" ht="24.95" customHeight="1" x14ac:dyDescent="0.25">
      <c r="A3441" s="551" t="s">
        <v>38428</v>
      </c>
      <c r="B3441" s="342" t="s">
        <v>38429</v>
      </c>
      <c r="C3441" s="552" t="s">
        <v>226</v>
      </c>
      <c r="D3441" s="557">
        <v>519.61</v>
      </c>
      <c r="E3441" s="557">
        <v>498.07</v>
      </c>
      <c r="F3441" s="557">
        <v>21.54</v>
      </c>
      <c r="G3441" s="557">
        <v>519.61</v>
      </c>
    </row>
    <row r="3442" spans="1:7" ht="24.95" customHeight="1" x14ac:dyDescent="0.25">
      <c r="A3442" s="551" t="s">
        <v>38430</v>
      </c>
      <c r="B3442" s="342" t="s">
        <v>38431</v>
      </c>
      <c r="C3442" s="552" t="s">
        <v>226</v>
      </c>
      <c r="D3442" s="557">
        <v>478.87</v>
      </c>
      <c r="E3442" s="557">
        <v>457.33</v>
      </c>
      <c r="F3442" s="557">
        <v>21.54</v>
      </c>
      <c r="G3442" s="557">
        <v>478.87</v>
      </c>
    </row>
    <row r="3443" spans="1:7" ht="24.95" customHeight="1" x14ac:dyDescent="0.25">
      <c r="A3443" s="551" t="s">
        <v>38432</v>
      </c>
      <c r="B3443" s="342" t="s">
        <v>38433</v>
      </c>
      <c r="C3443" s="552" t="s">
        <v>226</v>
      </c>
      <c r="D3443" s="557">
        <v>909.59</v>
      </c>
      <c r="E3443" s="557">
        <v>880.88</v>
      </c>
      <c r="F3443" s="557">
        <v>28.71</v>
      </c>
      <c r="G3443" s="557">
        <v>909.59</v>
      </c>
    </row>
    <row r="3444" spans="1:7" ht="24.95" customHeight="1" x14ac:dyDescent="0.25">
      <c r="A3444" s="551" t="s">
        <v>38434</v>
      </c>
      <c r="B3444" s="342" t="s">
        <v>38435</v>
      </c>
      <c r="C3444" s="552" t="s">
        <v>226</v>
      </c>
      <c r="D3444" s="557">
        <v>377.05</v>
      </c>
      <c r="E3444" s="557">
        <v>355.51</v>
      </c>
      <c r="F3444" s="557">
        <v>21.54</v>
      </c>
      <c r="G3444" s="557">
        <v>377.05</v>
      </c>
    </row>
    <row r="3445" spans="1:7" ht="24.95" customHeight="1" x14ac:dyDescent="0.25">
      <c r="A3445" s="551" t="s">
        <v>38436</v>
      </c>
      <c r="B3445" s="342" t="s">
        <v>38437</v>
      </c>
      <c r="C3445" s="552" t="s">
        <v>226</v>
      </c>
      <c r="D3445" s="557">
        <v>153.33000000000001</v>
      </c>
      <c r="E3445" s="557">
        <v>141.36000000000001</v>
      </c>
      <c r="F3445" s="557">
        <v>11.97</v>
      </c>
      <c r="G3445" s="557">
        <v>153.33000000000001</v>
      </c>
    </row>
    <row r="3446" spans="1:7" ht="24.95" customHeight="1" x14ac:dyDescent="0.25">
      <c r="A3446" s="551" t="s">
        <v>38438</v>
      </c>
      <c r="B3446" s="342" t="s">
        <v>38439</v>
      </c>
      <c r="C3446" s="552" t="s">
        <v>226</v>
      </c>
      <c r="D3446" s="557">
        <v>5984.19</v>
      </c>
      <c r="E3446" s="557">
        <v>5955.48</v>
      </c>
      <c r="F3446" s="557">
        <v>28.71</v>
      </c>
      <c r="G3446" s="557">
        <v>5984.19</v>
      </c>
    </row>
    <row r="3447" spans="1:7" ht="24.95" customHeight="1" x14ac:dyDescent="0.25">
      <c r="A3447" s="551" t="s">
        <v>38440</v>
      </c>
      <c r="B3447" s="342" t="s">
        <v>38441</v>
      </c>
      <c r="C3447" s="552" t="s">
        <v>226</v>
      </c>
      <c r="D3447" s="557">
        <v>2094.92</v>
      </c>
      <c r="E3447" s="557">
        <v>2066.21</v>
      </c>
      <c r="F3447" s="557">
        <v>28.71</v>
      </c>
      <c r="G3447" s="557">
        <v>2094.92</v>
      </c>
    </row>
    <row r="3448" spans="1:7" ht="23.1" customHeight="1" x14ac:dyDescent="0.25">
      <c r="A3448" s="551" t="s">
        <v>38442</v>
      </c>
      <c r="B3448" s="551" t="s">
        <v>38443</v>
      </c>
      <c r="C3448" s="552" t="s">
        <v>226</v>
      </c>
      <c r="D3448" s="557">
        <v>413.95</v>
      </c>
      <c r="E3448" s="557">
        <v>392.41</v>
      </c>
      <c r="F3448" s="557">
        <v>21.54</v>
      </c>
      <c r="G3448" s="557">
        <v>413.95</v>
      </c>
    </row>
    <row r="3449" spans="1:7" ht="23.1" customHeight="1" x14ac:dyDescent="0.25">
      <c r="A3449" s="551" t="s">
        <v>38444</v>
      </c>
      <c r="B3449" s="551" t="s">
        <v>38445</v>
      </c>
      <c r="C3449" s="552" t="s">
        <v>226</v>
      </c>
      <c r="D3449" s="557">
        <v>217.13</v>
      </c>
      <c r="E3449" s="557">
        <v>195.59</v>
      </c>
      <c r="F3449" s="557">
        <v>21.54</v>
      </c>
      <c r="G3449" s="557">
        <v>217.13</v>
      </c>
    </row>
    <row r="3450" spans="1:7" ht="23.1" customHeight="1" x14ac:dyDescent="0.25">
      <c r="A3450" s="551" t="s">
        <v>38446</v>
      </c>
      <c r="B3450" s="551" t="s">
        <v>38447</v>
      </c>
      <c r="C3450" s="552" t="s">
        <v>226</v>
      </c>
      <c r="D3450" s="557">
        <v>292.81</v>
      </c>
      <c r="E3450" s="557">
        <v>271.27</v>
      </c>
      <c r="F3450" s="557">
        <v>21.54</v>
      </c>
      <c r="G3450" s="557">
        <v>292.81</v>
      </c>
    </row>
    <row r="3451" spans="1:7" ht="23.1" customHeight="1" x14ac:dyDescent="0.25">
      <c r="A3451" s="551" t="s">
        <v>38448</v>
      </c>
      <c r="B3451" s="551" t="s">
        <v>38449</v>
      </c>
      <c r="C3451" s="552" t="s">
        <v>226</v>
      </c>
      <c r="D3451" s="557">
        <v>567.37</v>
      </c>
      <c r="E3451" s="557">
        <v>545.83000000000004</v>
      </c>
      <c r="F3451" s="557">
        <v>21.54</v>
      </c>
      <c r="G3451" s="557">
        <v>567.37</v>
      </c>
    </row>
    <row r="3452" spans="1:7" ht="24.95" customHeight="1" x14ac:dyDescent="0.25">
      <c r="A3452" s="551" t="s">
        <v>38450</v>
      </c>
      <c r="B3452" s="342" t="s">
        <v>38451</v>
      </c>
      <c r="C3452" s="552" t="s">
        <v>226</v>
      </c>
      <c r="D3452" s="557">
        <v>681.02</v>
      </c>
      <c r="E3452" s="557">
        <v>659.48</v>
      </c>
      <c r="F3452" s="557">
        <v>21.54</v>
      </c>
      <c r="G3452" s="557">
        <v>681.02</v>
      </c>
    </row>
    <row r="3453" spans="1:7" ht="24.95" customHeight="1" x14ac:dyDescent="0.25">
      <c r="A3453" s="551" t="s">
        <v>38452</v>
      </c>
      <c r="B3453" s="342" t="s">
        <v>38453</v>
      </c>
      <c r="C3453" s="552" t="s">
        <v>226</v>
      </c>
      <c r="D3453" s="557">
        <v>1064.44</v>
      </c>
      <c r="E3453" s="557">
        <v>1042.9000000000001</v>
      </c>
      <c r="F3453" s="557">
        <v>21.54</v>
      </c>
      <c r="G3453" s="557">
        <v>1064.44</v>
      </c>
    </row>
    <row r="3454" spans="1:7" ht="24.95" customHeight="1" x14ac:dyDescent="0.25">
      <c r="A3454" s="551" t="s">
        <v>38454</v>
      </c>
      <c r="B3454" s="342" t="s">
        <v>38455</v>
      </c>
      <c r="C3454" s="552" t="s">
        <v>226</v>
      </c>
      <c r="D3454" s="557">
        <v>2213.14</v>
      </c>
      <c r="E3454" s="557">
        <v>2184.4299999999998</v>
      </c>
      <c r="F3454" s="557">
        <v>28.71</v>
      </c>
      <c r="G3454" s="557">
        <v>2213.14</v>
      </c>
    </row>
    <row r="3455" spans="1:7" ht="24.95" customHeight="1" x14ac:dyDescent="0.25">
      <c r="A3455" s="551" t="s">
        <v>38456</v>
      </c>
      <c r="B3455" s="342" t="s">
        <v>38457</v>
      </c>
      <c r="C3455" s="552" t="s">
        <v>226</v>
      </c>
      <c r="D3455" s="557">
        <v>5467.16</v>
      </c>
      <c r="E3455" s="557">
        <v>5438.45</v>
      </c>
      <c r="F3455" s="557">
        <v>28.71</v>
      </c>
      <c r="G3455" s="557">
        <v>5467.16</v>
      </c>
    </row>
    <row r="3456" spans="1:7" ht="11.45" customHeight="1" x14ac:dyDescent="0.25">
      <c r="A3456" s="543" t="s">
        <v>38458</v>
      </c>
      <c r="B3456" s="544" t="s">
        <v>38459</v>
      </c>
      <c r="C3456" s="544" t="s">
        <v>226</v>
      </c>
      <c r="D3456" s="543">
        <v>79</v>
      </c>
      <c r="E3456" s="545">
        <v>64.64</v>
      </c>
      <c r="F3456" s="546">
        <v>14.36</v>
      </c>
      <c r="G3456" s="543">
        <v>79</v>
      </c>
    </row>
    <row r="3457" spans="1:7" ht="24.95" customHeight="1" x14ac:dyDescent="0.25">
      <c r="A3457" s="551" t="s">
        <v>38460</v>
      </c>
      <c r="B3457" s="342" t="s">
        <v>38461</v>
      </c>
      <c r="C3457" s="552" t="s">
        <v>226</v>
      </c>
      <c r="D3457" s="557">
        <v>107.35</v>
      </c>
      <c r="E3457" s="557">
        <v>85.81</v>
      </c>
      <c r="F3457" s="557">
        <v>21.54</v>
      </c>
      <c r="G3457" s="557">
        <v>107.35</v>
      </c>
    </row>
    <row r="3458" spans="1:7" ht="24.95" customHeight="1" x14ac:dyDescent="0.25">
      <c r="A3458" s="551" t="s">
        <v>38462</v>
      </c>
      <c r="B3458" s="342" t="s">
        <v>38463</v>
      </c>
      <c r="C3458" s="552" t="s">
        <v>226</v>
      </c>
      <c r="D3458" s="557">
        <v>123.7</v>
      </c>
      <c r="E3458" s="557">
        <v>104.55</v>
      </c>
      <c r="F3458" s="557">
        <v>19.149999999999999</v>
      </c>
      <c r="G3458" s="557">
        <v>123.7</v>
      </c>
    </row>
    <row r="3459" spans="1:7" ht="24.95" customHeight="1" x14ac:dyDescent="0.25">
      <c r="A3459" s="551" t="s">
        <v>38464</v>
      </c>
      <c r="B3459" s="342" t="s">
        <v>38465</v>
      </c>
      <c r="C3459" s="552" t="s">
        <v>226</v>
      </c>
      <c r="D3459" s="557">
        <v>131.88</v>
      </c>
      <c r="E3459" s="557">
        <v>110.34</v>
      </c>
      <c r="F3459" s="557">
        <v>21.54</v>
      </c>
      <c r="G3459" s="557">
        <v>131.88</v>
      </c>
    </row>
    <row r="3460" spans="1:7" ht="24.95" customHeight="1" x14ac:dyDescent="0.25">
      <c r="A3460" s="551" t="s">
        <v>38466</v>
      </c>
      <c r="B3460" s="342" t="s">
        <v>38467</v>
      </c>
      <c r="C3460" s="552" t="s">
        <v>226</v>
      </c>
      <c r="D3460" s="557">
        <v>465.33</v>
      </c>
      <c r="E3460" s="557">
        <v>443.79</v>
      </c>
      <c r="F3460" s="557">
        <v>21.54</v>
      </c>
      <c r="G3460" s="557">
        <v>465.33</v>
      </c>
    </row>
    <row r="3461" spans="1:7" ht="24.95" customHeight="1" x14ac:dyDescent="0.25">
      <c r="A3461" s="551" t="s">
        <v>38468</v>
      </c>
      <c r="B3461" s="342" t="s">
        <v>38469</v>
      </c>
      <c r="C3461" s="552" t="s">
        <v>226</v>
      </c>
      <c r="D3461" s="557">
        <v>661.93</v>
      </c>
      <c r="E3461" s="557">
        <v>640.39</v>
      </c>
      <c r="F3461" s="557">
        <v>21.54</v>
      </c>
      <c r="G3461" s="557">
        <v>661.93</v>
      </c>
    </row>
    <row r="3462" spans="1:7" ht="24.95" customHeight="1" x14ac:dyDescent="0.25">
      <c r="A3462" s="551" t="s">
        <v>38470</v>
      </c>
      <c r="B3462" s="342" t="s">
        <v>38471</v>
      </c>
      <c r="C3462" s="552" t="s">
        <v>226</v>
      </c>
      <c r="D3462" s="557">
        <v>5902.2</v>
      </c>
      <c r="E3462" s="557">
        <v>5806.48</v>
      </c>
      <c r="F3462" s="557">
        <v>95.72</v>
      </c>
      <c r="G3462" s="557">
        <v>5902.2</v>
      </c>
    </row>
    <row r="3463" spans="1:7" ht="24.95" customHeight="1" x14ac:dyDescent="0.25">
      <c r="A3463" s="551" t="s">
        <v>38472</v>
      </c>
      <c r="B3463" s="342" t="s">
        <v>38473</v>
      </c>
      <c r="C3463" s="552" t="s">
        <v>226</v>
      </c>
      <c r="D3463" s="557">
        <v>6124.6</v>
      </c>
      <c r="E3463" s="557">
        <v>6028.88</v>
      </c>
      <c r="F3463" s="557">
        <v>95.72</v>
      </c>
      <c r="G3463" s="557">
        <v>6124.6</v>
      </c>
    </row>
    <row r="3464" spans="1:7" ht="24.95" customHeight="1" x14ac:dyDescent="0.25">
      <c r="A3464" s="551" t="s">
        <v>38474</v>
      </c>
      <c r="B3464" s="342" t="s">
        <v>38475</v>
      </c>
      <c r="C3464" s="552" t="s">
        <v>226</v>
      </c>
      <c r="D3464" s="557">
        <v>560.88</v>
      </c>
      <c r="E3464" s="557">
        <v>513.02</v>
      </c>
      <c r="F3464" s="557">
        <v>47.86</v>
      </c>
      <c r="G3464" s="557">
        <v>560.88</v>
      </c>
    </row>
    <row r="3465" spans="1:7" ht="24.95" customHeight="1" x14ac:dyDescent="0.25">
      <c r="A3465" s="551" t="s">
        <v>38476</v>
      </c>
      <c r="B3465" s="342" t="s">
        <v>38477</v>
      </c>
      <c r="C3465" s="552"/>
      <c r="D3465" s="557"/>
      <c r="E3465" s="557"/>
      <c r="F3465" s="557"/>
      <c r="G3465" s="557"/>
    </row>
    <row r="3466" spans="1:7" ht="24.95" customHeight="1" x14ac:dyDescent="0.25">
      <c r="A3466" s="551" t="s">
        <v>38478</v>
      </c>
      <c r="B3466" s="342" t="s">
        <v>38479</v>
      </c>
      <c r="C3466" s="552" t="s">
        <v>226</v>
      </c>
      <c r="D3466" s="557">
        <v>1224.77</v>
      </c>
      <c r="E3466" s="557">
        <v>1164.94</v>
      </c>
      <c r="F3466" s="557">
        <v>59.83</v>
      </c>
      <c r="G3466" s="557">
        <v>1224.77</v>
      </c>
    </row>
    <row r="3467" spans="1:7" ht="24.95" customHeight="1" x14ac:dyDescent="0.25">
      <c r="A3467" s="551" t="s">
        <v>38480</v>
      </c>
      <c r="B3467" s="342" t="s">
        <v>38481</v>
      </c>
      <c r="C3467" s="552" t="s">
        <v>226</v>
      </c>
      <c r="D3467" s="557">
        <v>1671.53</v>
      </c>
      <c r="E3467" s="557">
        <v>1504.01</v>
      </c>
      <c r="F3467" s="557">
        <v>167.52</v>
      </c>
      <c r="G3467" s="557">
        <v>1671.53</v>
      </c>
    </row>
    <row r="3468" spans="1:7" ht="24.95" customHeight="1" x14ac:dyDescent="0.25">
      <c r="A3468" s="551" t="s">
        <v>38482</v>
      </c>
      <c r="B3468" s="342" t="s">
        <v>38483</v>
      </c>
      <c r="C3468" s="552" t="s">
        <v>226</v>
      </c>
      <c r="D3468" s="557">
        <v>2621.78</v>
      </c>
      <c r="E3468" s="557">
        <v>2454.2600000000002</v>
      </c>
      <c r="F3468" s="557">
        <v>167.52</v>
      </c>
      <c r="G3468" s="557">
        <v>2621.78</v>
      </c>
    </row>
    <row r="3469" spans="1:7" ht="24.95" customHeight="1" x14ac:dyDescent="0.25">
      <c r="A3469" s="551" t="s">
        <v>38484</v>
      </c>
      <c r="B3469" s="342" t="s">
        <v>38485</v>
      </c>
      <c r="C3469" s="552" t="s">
        <v>226</v>
      </c>
      <c r="D3469" s="557">
        <v>1384.29</v>
      </c>
      <c r="E3469" s="557">
        <v>1216.77</v>
      </c>
      <c r="F3469" s="557">
        <v>167.52</v>
      </c>
      <c r="G3469" s="557">
        <v>1384.29</v>
      </c>
    </row>
    <row r="3470" spans="1:7" ht="24.95" customHeight="1" x14ac:dyDescent="0.25">
      <c r="A3470" s="551" t="s">
        <v>38486</v>
      </c>
      <c r="B3470" s="342" t="s">
        <v>38487</v>
      </c>
      <c r="C3470" s="552" t="s">
        <v>226</v>
      </c>
      <c r="D3470" s="557">
        <v>2665.52</v>
      </c>
      <c r="E3470" s="557">
        <v>2498</v>
      </c>
      <c r="F3470" s="557">
        <v>167.52</v>
      </c>
      <c r="G3470" s="557">
        <v>2665.52</v>
      </c>
    </row>
    <row r="3471" spans="1:7" ht="23.1" customHeight="1" x14ac:dyDescent="0.25">
      <c r="A3471" s="551" t="s">
        <v>38488</v>
      </c>
      <c r="B3471" s="551" t="s">
        <v>38489</v>
      </c>
      <c r="C3471" s="552" t="s">
        <v>226</v>
      </c>
      <c r="D3471" s="557">
        <v>1635.31</v>
      </c>
      <c r="E3471" s="557">
        <v>1539.59</v>
      </c>
      <c r="F3471" s="557">
        <v>95.72</v>
      </c>
      <c r="G3471" s="557">
        <v>1635.31</v>
      </c>
    </row>
    <row r="3472" spans="1:7" ht="23.1" customHeight="1" x14ac:dyDescent="0.25">
      <c r="A3472" s="551" t="s">
        <v>38490</v>
      </c>
      <c r="B3472" s="551" t="s">
        <v>38491</v>
      </c>
      <c r="C3472" s="552" t="s">
        <v>226</v>
      </c>
      <c r="D3472" s="557">
        <v>3053.13</v>
      </c>
      <c r="E3472" s="557">
        <v>2957.41</v>
      </c>
      <c r="F3472" s="557">
        <v>95.72</v>
      </c>
      <c r="G3472" s="557">
        <v>3053.13</v>
      </c>
    </row>
    <row r="3473" spans="1:7" ht="24.95" customHeight="1" x14ac:dyDescent="0.25">
      <c r="A3473" s="551" t="s">
        <v>38492</v>
      </c>
      <c r="B3473" s="342" t="s">
        <v>38493</v>
      </c>
      <c r="C3473" s="552" t="s">
        <v>226</v>
      </c>
      <c r="D3473" s="557">
        <v>1009.63</v>
      </c>
      <c r="E3473" s="557">
        <v>913.91</v>
      </c>
      <c r="F3473" s="557">
        <v>95.72</v>
      </c>
      <c r="G3473" s="557">
        <v>1009.63</v>
      </c>
    </row>
    <row r="3474" spans="1:7" ht="12.6" customHeight="1" x14ac:dyDescent="0.25">
      <c r="A3474" s="551" t="s">
        <v>38494</v>
      </c>
      <c r="B3474" s="551" t="s">
        <v>38495</v>
      </c>
      <c r="C3474" s="552" t="s">
        <v>226</v>
      </c>
      <c r="D3474" s="557">
        <v>737.26</v>
      </c>
      <c r="E3474" s="557">
        <v>641.54</v>
      </c>
      <c r="F3474" s="557">
        <v>95.72</v>
      </c>
      <c r="G3474" s="557">
        <v>737.26</v>
      </c>
    </row>
    <row r="3475" spans="1:7" ht="23.1" customHeight="1" x14ac:dyDescent="0.25">
      <c r="A3475" s="559" t="s">
        <v>38496</v>
      </c>
      <c r="B3475" s="548" t="s">
        <v>38497</v>
      </c>
      <c r="C3475" s="549" t="s">
        <v>226</v>
      </c>
      <c r="D3475" s="549">
        <v>5844.07</v>
      </c>
      <c r="E3475" s="549">
        <v>5784.24</v>
      </c>
      <c r="F3475" s="549">
        <v>59.83</v>
      </c>
      <c r="G3475" s="549">
        <v>5844.07</v>
      </c>
    </row>
    <row r="3476" spans="1:7" ht="12.6" customHeight="1" x14ac:dyDescent="0.2">
      <c r="A3476" s="548" t="s">
        <v>38498</v>
      </c>
      <c r="B3476" s="548" t="s">
        <v>38499</v>
      </c>
      <c r="C3476" s="550" t="s">
        <v>226</v>
      </c>
      <c r="D3476" s="550">
        <v>2981.7</v>
      </c>
      <c r="E3476" s="550">
        <v>2952.99</v>
      </c>
      <c r="F3476" s="550">
        <v>28.71</v>
      </c>
      <c r="G3476" s="550">
        <v>2981.7</v>
      </c>
    </row>
    <row r="3477" spans="1:7" ht="12.6" customHeight="1" x14ac:dyDescent="0.25">
      <c r="A3477" s="551" t="s">
        <v>38500</v>
      </c>
      <c r="B3477" s="551" t="s">
        <v>38501</v>
      </c>
      <c r="C3477" s="552" t="s">
        <v>226</v>
      </c>
      <c r="D3477" s="557">
        <v>885.54</v>
      </c>
      <c r="E3477" s="557">
        <v>789.82</v>
      </c>
      <c r="F3477" s="557">
        <v>95.72</v>
      </c>
      <c r="G3477" s="557">
        <v>885.54</v>
      </c>
    </row>
    <row r="3478" spans="1:7" ht="12.6" customHeight="1" x14ac:dyDescent="0.25">
      <c r="A3478" s="551" t="s">
        <v>38502</v>
      </c>
      <c r="B3478" s="551" t="s">
        <v>38503</v>
      </c>
      <c r="C3478" s="552" t="s">
        <v>226</v>
      </c>
      <c r="D3478" s="557">
        <v>1034.8900000000001</v>
      </c>
      <c r="E3478" s="557">
        <v>999</v>
      </c>
      <c r="F3478" s="557">
        <v>35.89</v>
      </c>
      <c r="G3478" s="557">
        <v>1034.8900000000001</v>
      </c>
    </row>
    <row r="3479" spans="1:7" ht="12.6" customHeight="1" x14ac:dyDescent="0.25">
      <c r="A3479" s="551" t="s">
        <v>38504</v>
      </c>
      <c r="B3479" s="551" t="s">
        <v>38505</v>
      </c>
      <c r="C3479" s="552" t="s">
        <v>226</v>
      </c>
      <c r="D3479" s="557">
        <v>5121.3900000000003</v>
      </c>
      <c r="E3479" s="557">
        <v>4977.8100000000004</v>
      </c>
      <c r="F3479" s="557">
        <v>143.58000000000001</v>
      </c>
      <c r="G3479" s="557">
        <v>5121.3900000000003</v>
      </c>
    </row>
    <row r="3480" spans="1:7" ht="12.6" customHeight="1" x14ac:dyDescent="0.25">
      <c r="A3480" s="551" t="s">
        <v>38506</v>
      </c>
      <c r="B3480" s="551" t="s">
        <v>38507</v>
      </c>
      <c r="C3480" s="552" t="s">
        <v>226</v>
      </c>
      <c r="D3480" s="557">
        <v>1946.42</v>
      </c>
      <c r="E3480" s="557">
        <v>1850.7</v>
      </c>
      <c r="F3480" s="557">
        <v>95.72</v>
      </c>
      <c r="G3480" s="557">
        <v>1946.42</v>
      </c>
    </row>
    <row r="3481" spans="1:7" ht="12.6" customHeight="1" x14ac:dyDescent="0.25">
      <c r="A3481" s="551" t="s">
        <v>38508</v>
      </c>
      <c r="B3481" s="551" t="s">
        <v>38509</v>
      </c>
      <c r="C3481" s="552" t="s">
        <v>226</v>
      </c>
      <c r="D3481" s="557">
        <v>3117.08</v>
      </c>
      <c r="E3481" s="557">
        <v>3021.36</v>
      </c>
      <c r="F3481" s="557">
        <v>95.72</v>
      </c>
      <c r="G3481" s="557">
        <v>3117.08</v>
      </c>
    </row>
    <row r="3482" spans="1:7" ht="12.6" customHeight="1" x14ac:dyDescent="0.25">
      <c r="A3482" s="551" t="s">
        <v>38510</v>
      </c>
      <c r="B3482" s="551" t="s">
        <v>38511</v>
      </c>
      <c r="C3482" s="552" t="s">
        <v>226</v>
      </c>
      <c r="D3482" s="557">
        <v>1850.16</v>
      </c>
      <c r="E3482" s="557">
        <v>1754.44</v>
      </c>
      <c r="F3482" s="557">
        <v>95.72</v>
      </c>
      <c r="G3482" s="557">
        <v>1850.16</v>
      </c>
    </row>
    <row r="3483" spans="1:7" ht="12.6" customHeight="1" x14ac:dyDescent="0.25">
      <c r="A3483" s="551" t="s">
        <v>38512</v>
      </c>
      <c r="B3483" s="551" t="s">
        <v>38513</v>
      </c>
      <c r="C3483" s="552"/>
      <c r="D3483" s="557"/>
      <c r="E3483" s="557"/>
      <c r="F3483" s="557"/>
      <c r="G3483" s="557"/>
    </row>
    <row r="3484" spans="1:7" ht="12.6" customHeight="1" x14ac:dyDescent="0.25">
      <c r="A3484" s="551" t="s">
        <v>38514</v>
      </c>
      <c r="B3484" s="551" t="s">
        <v>38515</v>
      </c>
      <c r="C3484" s="552" t="s">
        <v>226</v>
      </c>
      <c r="D3484" s="557">
        <v>96.99</v>
      </c>
      <c r="E3484" s="557">
        <v>75.45</v>
      </c>
      <c r="F3484" s="557">
        <v>21.54</v>
      </c>
      <c r="G3484" s="557">
        <v>96.99</v>
      </c>
    </row>
    <row r="3485" spans="1:7" ht="12.6" customHeight="1" x14ac:dyDescent="0.25">
      <c r="A3485" s="551" t="s">
        <v>38516</v>
      </c>
      <c r="B3485" s="551" t="s">
        <v>38517</v>
      </c>
      <c r="C3485" s="552" t="s">
        <v>226</v>
      </c>
      <c r="D3485" s="557">
        <v>125.6</v>
      </c>
      <c r="E3485" s="557">
        <v>96.89</v>
      </c>
      <c r="F3485" s="557">
        <v>28.71</v>
      </c>
      <c r="G3485" s="557">
        <v>125.6</v>
      </c>
    </row>
    <row r="3486" spans="1:7" ht="12.6" customHeight="1" x14ac:dyDescent="0.25">
      <c r="A3486" s="551" t="s">
        <v>38518</v>
      </c>
      <c r="B3486" s="551" t="s">
        <v>38519</v>
      </c>
      <c r="C3486" s="552" t="s">
        <v>226</v>
      </c>
      <c r="D3486" s="557">
        <v>162.31</v>
      </c>
      <c r="E3486" s="557">
        <v>126.42</v>
      </c>
      <c r="F3486" s="557">
        <v>35.89</v>
      </c>
      <c r="G3486" s="557">
        <v>162.31</v>
      </c>
    </row>
    <row r="3487" spans="1:7" ht="24.95" customHeight="1" x14ac:dyDescent="0.25">
      <c r="A3487" s="551" t="s">
        <v>38520</v>
      </c>
      <c r="B3487" s="342" t="s">
        <v>38521</v>
      </c>
      <c r="C3487" s="552" t="s">
        <v>226</v>
      </c>
      <c r="D3487" s="557">
        <v>284.87</v>
      </c>
      <c r="E3487" s="557">
        <v>246.58</v>
      </c>
      <c r="F3487" s="557">
        <v>38.29</v>
      </c>
      <c r="G3487" s="557">
        <v>284.87</v>
      </c>
    </row>
    <row r="3488" spans="1:7" ht="24.95" customHeight="1" x14ac:dyDescent="0.25">
      <c r="A3488" s="551" t="s">
        <v>38522</v>
      </c>
      <c r="B3488" s="342" t="s">
        <v>38523</v>
      </c>
      <c r="C3488" s="552" t="s">
        <v>226</v>
      </c>
      <c r="D3488" s="557">
        <v>482.73</v>
      </c>
      <c r="E3488" s="557">
        <v>422.9</v>
      </c>
      <c r="F3488" s="557">
        <v>59.83</v>
      </c>
      <c r="G3488" s="557">
        <v>482.73</v>
      </c>
    </row>
    <row r="3489" spans="1:7" ht="24.95" customHeight="1" x14ac:dyDescent="0.25">
      <c r="A3489" s="551" t="s">
        <v>38524</v>
      </c>
      <c r="B3489" s="342" t="s">
        <v>38525</v>
      </c>
      <c r="C3489" s="552"/>
      <c r="D3489" s="557"/>
      <c r="E3489" s="557"/>
      <c r="F3489" s="557"/>
      <c r="G3489" s="557"/>
    </row>
    <row r="3490" spans="1:7" ht="24.95" customHeight="1" x14ac:dyDescent="0.25">
      <c r="A3490" s="551" t="s">
        <v>38526</v>
      </c>
      <c r="B3490" s="342" t="s">
        <v>38527</v>
      </c>
      <c r="C3490" s="552" t="s">
        <v>226</v>
      </c>
      <c r="D3490" s="557">
        <v>375.52</v>
      </c>
      <c r="E3490" s="557">
        <v>346.81</v>
      </c>
      <c r="F3490" s="557">
        <v>28.71</v>
      </c>
      <c r="G3490" s="557">
        <v>375.52</v>
      </c>
    </row>
    <row r="3491" spans="1:7" ht="11.45" customHeight="1" x14ac:dyDescent="0.25">
      <c r="A3491" s="543" t="s">
        <v>38528</v>
      </c>
      <c r="B3491" s="544" t="s">
        <v>38529</v>
      </c>
      <c r="C3491" s="544" t="s">
        <v>226</v>
      </c>
      <c r="D3491" s="543">
        <v>519.51</v>
      </c>
      <c r="E3491" s="545">
        <v>483.62</v>
      </c>
      <c r="F3491" s="546">
        <v>35.89</v>
      </c>
      <c r="G3491" s="543">
        <v>519.51</v>
      </c>
    </row>
    <row r="3492" spans="1:7" ht="24.95" customHeight="1" x14ac:dyDescent="0.25">
      <c r="A3492" s="551" t="s">
        <v>38530</v>
      </c>
      <c r="B3492" s="342" t="s">
        <v>38531</v>
      </c>
      <c r="C3492" s="552" t="s">
        <v>226</v>
      </c>
      <c r="D3492" s="557">
        <v>896.94</v>
      </c>
      <c r="E3492" s="557">
        <v>849.08</v>
      </c>
      <c r="F3492" s="557">
        <v>47.86</v>
      </c>
      <c r="G3492" s="557">
        <v>896.94</v>
      </c>
    </row>
    <row r="3493" spans="1:7" ht="24.95" customHeight="1" x14ac:dyDescent="0.25">
      <c r="A3493" s="551" t="s">
        <v>38532</v>
      </c>
      <c r="B3493" s="342" t="s">
        <v>38533</v>
      </c>
      <c r="C3493" s="552" t="s">
        <v>226</v>
      </c>
      <c r="D3493" s="553">
        <v>1268.93</v>
      </c>
      <c r="E3493" s="553">
        <v>1209.0999999999999</v>
      </c>
      <c r="F3493" s="557">
        <v>59.83</v>
      </c>
      <c r="G3493" s="553">
        <v>1268.93</v>
      </c>
    </row>
    <row r="3494" spans="1:7" ht="12.6" customHeight="1" x14ac:dyDescent="0.2">
      <c r="A3494" s="548" t="s">
        <v>38534</v>
      </c>
      <c r="B3494" s="548" t="s">
        <v>38535</v>
      </c>
      <c r="C3494" s="550"/>
      <c r="D3494" s="550"/>
      <c r="E3494" s="550"/>
      <c r="F3494" s="550"/>
      <c r="G3494" s="550"/>
    </row>
    <row r="3495" spans="1:7" ht="24.95" customHeight="1" x14ac:dyDescent="0.25">
      <c r="A3495" s="551" t="s">
        <v>38536</v>
      </c>
      <c r="B3495" s="342" t="s">
        <v>38537</v>
      </c>
      <c r="C3495" s="552" t="s">
        <v>226</v>
      </c>
      <c r="D3495" s="557">
        <v>544.92999999999995</v>
      </c>
      <c r="E3495" s="557">
        <v>523.39</v>
      </c>
      <c r="F3495" s="557">
        <v>21.54</v>
      </c>
      <c r="G3495" s="557">
        <v>544.92999999999995</v>
      </c>
    </row>
    <row r="3496" spans="1:7" ht="24.95" customHeight="1" x14ac:dyDescent="0.25">
      <c r="A3496" s="551" t="s">
        <v>38538</v>
      </c>
      <c r="B3496" s="342" t="s">
        <v>38539</v>
      </c>
      <c r="C3496" s="552"/>
      <c r="D3496" s="557"/>
      <c r="E3496" s="557"/>
      <c r="F3496" s="557"/>
      <c r="G3496" s="557"/>
    </row>
    <row r="3497" spans="1:7" ht="24.95" customHeight="1" x14ac:dyDescent="0.25">
      <c r="A3497" s="551" t="s">
        <v>38540</v>
      </c>
      <c r="B3497" s="342" t="s">
        <v>38541</v>
      </c>
      <c r="C3497" s="552" t="s">
        <v>226</v>
      </c>
      <c r="D3497" s="557">
        <v>580.05999999999995</v>
      </c>
      <c r="E3497" s="557">
        <v>479.87</v>
      </c>
      <c r="F3497" s="557">
        <v>100.19</v>
      </c>
      <c r="G3497" s="557">
        <v>580.05999999999995</v>
      </c>
    </row>
    <row r="3498" spans="1:7" ht="24.95" customHeight="1" x14ac:dyDescent="0.25">
      <c r="A3498" s="551" t="s">
        <v>38542</v>
      </c>
      <c r="B3498" s="342" t="s">
        <v>38543</v>
      </c>
      <c r="C3498" s="552" t="s">
        <v>226</v>
      </c>
      <c r="D3498" s="557">
        <v>196.9</v>
      </c>
      <c r="E3498" s="557">
        <v>187.33</v>
      </c>
      <c r="F3498" s="557">
        <v>9.57</v>
      </c>
      <c r="G3498" s="557">
        <v>196.9</v>
      </c>
    </row>
    <row r="3499" spans="1:7" ht="24.95" customHeight="1" x14ac:dyDescent="0.25">
      <c r="A3499" s="551" t="s">
        <v>38544</v>
      </c>
      <c r="B3499" s="342" t="s">
        <v>38545</v>
      </c>
      <c r="C3499" s="552" t="s">
        <v>226</v>
      </c>
      <c r="D3499" s="557">
        <v>240.42</v>
      </c>
      <c r="E3499" s="557">
        <v>216.48</v>
      </c>
      <c r="F3499" s="557">
        <v>23.94</v>
      </c>
      <c r="G3499" s="557">
        <v>240.42</v>
      </c>
    </row>
    <row r="3500" spans="1:7" ht="24.95" customHeight="1" x14ac:dyDescent="0.25">
      <c r="A3500" s="551" t="s">
        <v>38546</v>
      </c>
      <c r="B3500" s="342" t="s">
        <v>38547</v>
      </c>
      <c r="C3500" s="552" t="s">
        <v>226</v>
      </c>
      <c r="D3500" s="557">
        <v>7995.11</v>
      </c>
      <c r="E3500" s="557">
        <v>7894.92</v>
      </c>
      <c r="F3500" s="557">
        <v>100.19</v>
      </c>
      <c r="G3500" s="557">
        <v>7995.11</v>
      </c>
    </row>
    <row r="3501" spans="1:7" ht="24.95" customHeight="1" x14ac:dyDescent="0.25">
      <c r="A3501" s="551" t="s">
        <v>38548</v>
      </c>
      <c r="B3501" s="342" t="s">
        <v>38549</v>
      </c>
      <c r="C3501" s="552"/>
      <c r="D3501" s="557"/>
      <c r="E3501" s="557"/>
      <c r="F3501" s="557"/>
      <c r="G3501" s="557"/>
    </row>
    <row r="3502" spans="1:7" ht="24.95" customHeight="1" x14ac:dyDescent="0.25">
      <c r="A3502" s="551" t="s">
        <v>38550</v>
      </c>
      <c r="B3502" s="342" t="s">
        <v>38551</v>
      </c>
      <c r="C3502" s="552" t="s">
        <v>226</v>
      </c>
      <c r="D3502" s="557">
        <v>2695.71</v>
      </c>
      <c r="E3502" s="557">
        <v>2530.02</v>
      </c>
      <c r="F3502" s="557">
        <v>165.69</v>
      </c>
      <c r="G3502" s="557">
        <v>2695.71</v>
      </c>
    </row>
    <row r="3503" spans="1:7" ht="24.95" customHeight="1" x14ac:dyDescent="0.25">
      <c r="A3503" s="551" t="s">
        <v>38552</v>
      </c>
      <c r="B3503" s="342" t="s">
        <v>38553</v>
      </c>
      <c r="C3503" s="552" t="s">
        <v>226</v>
      </c>
      <c r="D3503" s="557">
        <v>1152.54</v>
      </c>
      <c r="E3503" s="557">
        <v>986.85</v>
      </c>
      <c r="F3503" s="557">
        <v>165.69</v>
      </c>
      <c r="G3503" s="557">
        <v>1152.54</v>
      </c>
    </row>
    <row r="3504" spans="1:7" ht="12.6" customHeight="1" x14ac:dyDescent="0.2">
      <c r="A3504" s="548" t="s">
        <v>38554</v>
      </c>
      <c r="B3504" s="548" t="s">
        <v>38555</v>
      </c>
      <c r="C3504" s="550" t="s">
        <v>226</v>
      </c>
      <c r="D3504" s="550">
        <v>1268.82</v>
      </c>
      <c r="E3504" s="550">
        <v>1208.99</v>
      </c>
      <c r="F3504" s="550">
        <v>59.83</v>
      </c>
      <c r="G3504" s="550">
        <v>1268.82</v>
      </c>
    </row>
    <row r="3505" spans="1:7" ht="24.95" customHeight="1" x14ac:dyDescent="0.25">
      <c r="A3505" s="551" t="s">
        <v>38556</v>
      </c>
      <c r="B3505" s="342" t="s">
        <v>38557</v>
      </c>
      <c r="C3505" s="552" t="s">
        <v>226</v>
      </c>
      <c r="D3505" s="557">
        <v>1710.07</v>
      </c>
      <c r="E3505" s="557">
        <v>1602.38</v>
      </c>
      <c r="F3505" s="557">
        <v>107.69</v>
      </c>
      <c r="G3505" s="557">
        <v>1710.07</v>
      </c>
    </row>
    <row r="3506" spans="1:7" ht="12.6" customHeight="1" x14ac:dyDescent="0.25">
      <c r="A3506" s="551" t="s">
        <v>38558</v>
      </c>
      <c r="B3506" s="551" t="s">
        <v>38559</v>
      </c>
      <c r="C3506" s="552" t="s">
        <v>226</v>
      </c>
      <c r="D3506" s="557">
        <v>2473.09</v>
      </c>
      <c r="E3506" s="557">
        <v>2365.4</v>
      </c>
      <c r="F3506" s="557">
        <v>107.69</v>
      </c>
      <c r="G3506" s="557">
        <v>2473.09</v>
      </c>
    </row>
    <row r="3507" spans="1:7" ht="12.6" customHeight="1" x14ac:dyDescent="0.25">
      <c r="A3507" s="551" t="s">
        <v>38560</v>
      </c>
      <c r="B3507" s="551" t="s">
        <v>38561</v>
      </c>
      <c r="C3507" s="552" t="s">
        <v>226</v>
      </c>
      <c r="D3507" s="557">
        <v>5761.51</v>
      </c>
      <c r="E3507" s="557">
        <v>5595.82</v>
      </c>
      <c r="F3507" s="557">
        <v>165.69</v>
      </c>
      <c r="G3507" s="557">
        <v>5761.51</v>
      </c>
    </row>
    <row r="3508" spans="1:7" ht="12.6" customHeight="1" x14ac:dyDescent="0.25">
      <c r="A3508" s="551" t="s">
        <v>38562</v>
      </c>
      <c r="B3508" s="551" t="s">
        <v>38563</v>
      </c>
      <c r="C3508" s="552" t="s">
        <v>226</v>
      </c>
      <c r="D3508" s="557">
        <v>1163.32</v>
      </c>
      <c r="E3508" s="557">
        <v>997.63</v>
      </c>
      <c r="F3508" s="557">
        <v>165.69</v>
      </c>
      <c r="G3508" s="557">
        <v>1163.32</v>
      </c>
    </row>
    <row r="3509" spans="1:7" ht="24.95" customHeight="1" x14ac:dyDescent="0.25">
      <c r="A3509" s="551" t="s">
        <v>38564</v>
      </c>
      <c r="B3509" s="342" t="s">
        <v>38565</v>
      </c>
      <c r="C3509" s="552" t="s">
        <v>226</v>
      </c>
      <c r="D3509" s="557">
        <v>1730.66</v>
      </c>
      <c r="E3509" s="557">
        <v>1564.97</v>
      </c>
      <c r="F3509" s="557">
        <v>165.69</v>
      </c>
      <c r="G3509" s="557">
        <v>1730.66</v>
      </c>
    </row>
    <row r="3510" spans="1:7" ht="12.6" customHeight="1" x14ac:dyDescent="0.25">
      <c r="A3510" s="551" t="s">
        <v>38566</v>
      </c>
      <c r="B3510" s="551" t="s">
        <v>38567</v>
      </c>
      <c r="C3510" s="552" t="s">
        <v>226</v>
      </c>
      <c r="D3510" s="557">
        <v>730.91</v>
      </c>
      <c r="E3510" s="557">
        <v>716.55</v>
      </c>
      <c r="F3510" s="557">
        <v>14.36</v>
      </c>
      <c r="G3510" s="557">
        <v>730.91</v>
      </c>
    </row>
    <row r="3511" spans="1:7" ht="12.6" customHeight="1" x14ac:dyDescent="0.25">
      <c r="A3511" s="551" t="s">
        <v>38568</v>
      </c>
      <c r="B3511" s="551" t="s">
        <v>38569</v>
      </c>
      <c r="C3511" s="552" t="s">
        <v>226</v>
      </c>
      <c r="D3511" s="557">
        <v>1806.98</v>
      </c>
      <c r="E3511" s="557">
        <v>1785.92</v>
      </c>
      <c r="F3511" s="557">
        <v>21.06</v>
      </c>
      <c r="G3511" s="557">
        <v>1806.98</v>
      </c>
    </row>
    <row r="3512" spans="1:7" ht="12.6" customHeight="1" x14ac:dyDescent="0.25">
      <c r="A3512" s="551" t="s">
        <v>38570</v>
      </c>
      <c r="B3512" s="551" t="s">
        <v>38571</v>
      </c>
      <c r="C3512" s="552"/>
      <c r="D3512" s="557"/>
      <c r="E3512" s="557"/>
      <c r="F3512" s="557"/>
      <c r="G3512" s="557"/>
    </row>
    <row r="3513" spans="1:7" ht="24.95" customHeight="1" x14ac:dyDescent="0.25">
      <c r="A3513" s="551" t="s">
        <v>38572</v>
      </c>
      <c r="B3513" s="342" t="s">
        <v>38573</v>
      </c>
      <c r="C3513" s="552" t="s">
        <v>226</v>
      </c>
      <c r="D3513" s="557">
        <v>33.520000000000003</v>
      </c>
      <c r="E3513" s="557">
        <v>11.98</v>
      </c>
      <c r="F3513" s="557">
        <v>21.54</v>
      </c>
      <c r="G3513" s="557">
        <v>33.520000000000003</v>
      </c>
    </row>
    <row r="3514" spans="1:7" ht="24.95" customHeight="1" x14ac:dyDescent="0.25">
      <c r="A3514" s="551" t="s">
        <v>38574</v>
      </c>
      <c r="B3514" s="342" t="s">
        <v>38575</v>
      </c>
      <c r="C3514" s="552" t="s">
        <v>226</v>
      </c>
      <c r="D3514" s="557">
        <v>57.5</v>
      </c>
      <c r="E3514" s="557">
        <v>35.96</v>
      </c>
      <c r="F3514" s="557">
        <v>21.54</v>
      </c>
      <c r="G3514" s="557">
        <v>57.5</v>
      </c>
    </row>
    <row r="3515" spans="1:7" ht="12.6" customHeight="1" x14ac:dyDescent="0.2">
      <c r="A3515" s="548" t="s">
        <v>38576</v>
      </c>
      <c r="B3515" s="548" t="s">
        <v>38577</v>
      </c>
      <c r="C3515" s="550"/>
      <c r="D3515" s="550"/>
      <c r="E3515" s="550"/>
      <c r="F3515" s="550"/>
      <c r="G3515" s="550"/>
    </row>
    <row r="3516" spans="1:7" ht="12.6" customHeight="1" x14ac:dyDescent="0.25">
      <c r="A3516" s="551" t="s">
        <v>38578</v>
      </c>
      <c r="B3516" s="551" t="s">
        <v>38579</v>
      </c>
      <c r="C3516" s="552" t="s">
        <v>226</v>
      </c>
      <c r="D3516" s="557">
        <v>125.23</v>
      </c>
      <c r="E3516" s="557">
        <v>118.05</v>
      </c>
      <c r="F3516" s="557">
        <v>7.18</v>
      </c>
      <c r="G3516" s="557">
        <v>125.23</v>
      </c>
    </row>
    <row r="3517" spans="1:7" ht="12.6" customHeight="1" x14ac:dyDescent="0.25">
      <c r="A3517" s="551" t="s">
        <v>38580</v>
      </c>
      <c r="B3517" s="551" t="s">
        <v>38581</v>
      </c>
      <c r="C3517" s="552" t="s">
        <v>226</v>
      </c>
      <c r="D3517" s="557">
        <v>531.20000000000005</v>
      </c>
      <c r="E3517" s="557">
        <v>471.37</v>
      </c>
      <c r="F3517" s="557">
        <v>59.83</v>
      </c>
      <c r="G3517" s="557">
        <v>531.20000000000005</v>
      </c>
    </row>
    <row r="3518" spans="1:7" ht="12.6" customHeight="1" x14ac:dyDescent="0.25">
      <c r="A3518" s="551" t="s">
        <v>38582</v>
      </c>
      <c r="B3518" s="551" t="s">
        <v>38583</v>
      </c>
      <c r="C3518" s="552" t="s">
        <v>226</v>
      </c>
      <c r="D3518" s="557">
        <v>549.17999999999995</v>
      </c>
      <c r="E3518" s="557">
        <v>489.35</v>
      </c>
      <c r="F3518" s="557">
        <v>59.83</v>
      </c>
      <c r="G3518" s="557">
        <v>549.17999999999995</v>
      </c>
    </row>
    <row r="3519" spans="1:7" ht="12.6" customHeight="1" x14ac:dyDescent="0.25">
      <c r="A3519" s="551" t="s">
        <v>38584</v>
      </c>
      <c r="B3519" s="551" t="s">
        <v>38585</v>
      </c>
      <c r="C3519" s="552" t="s">
        <v>226</v>
      </c>
      <c r="D3519" s="557">
        <v>45.11</v>
      </c>
      <c r="E3519" s="557">
        <v>35.01</v>
      </c>
      <c r="F3519" s="557">
        <v>10.1</v>
      </c>
      <c r="G3519" s="557">
        <v>45.11</v>
      </c>
    </row>
    <row r="3520" spans="1:7" ht="12.6" customHeight="1" x14ac:dyDescent="0.25">
      <c r="A3520" s="551" t="s">
        <v>38586</v>
      </c>
      <c r="B3520" s="551" t="s">
        <v>38587</v>
      </c>
      <c r="C3520" s="552" t="s">
        <v>226</v>
      </c>
      <c r="D3520" s="557">
        <v>776.14</v>
      </c>
      <c r="E3520" s="557">
        <v>742.47</v>
      </c>
      <c r="F3520" s="557">
        <v>33.67</v>
      </c>
      <c r="G3520" s="557">
        <v>776.14</v>
      </c>
    </row>
    <row r="3521" spans="1:7" ht="12.6" customHeight="1" x14ac:dyDescent="0.25">
      <c r="A3521" s="551" t="s">
        <v>38588</v>
      </c>
      <c r="B3521" s="551" t="s">
        <v>38589</v>
      </c>
      <c r="C3521" s="552" t="s">
        <v>226</v>
      </c>
      <c r="D3521" s="557">
        <v>401.37</v>
      </c>
      <c r="E3521" s="557">
        <v>367.7</v>
      </c>
      <c r="F3521" s="557">
        <v>33.67</v>
      </c>
      <c r="G3521" s="557">
        <v>401.37</v>
      </c>
    </row>
    <row r="3522" spans="1:7" ht="12.6" customHeight="1" x14ac:dyDescent="0.25">
      <c r="A3522" s="551" t="s">
        <v>38590</v>
      </c>
      <c r="B3522" s="551" t="s">
        <v>38591</v>
      </c>
      <c r="C3522" s="552" t="s">
        <v>226</v>
      </c>
      <c r="D3522" s="557">
        <v>113.84</v>
      </c>
      <c r="E3522" s="557">
        <v>89.9</v>
      </c>
      <c r="F3522" s="557">
        <v>23.94</v>
      </c>
      <c r="G3522" s="557">
        <v>113.84</v>
      </c>
    </row>
    <row r="3523" spans="1:7" ht="12.6" customHeight="1" x14ac:dyDescent="0.25">
      <c r="A3523" s="551" t="s">
        <v>38592</v>
      </c>
      <c r="B3523" s="551" t="s">
        <v>38593</v>
      </c>
      <c r="C3523" s="552" t="s">
        <v>226</v>
      </c>
      <c r="D3523" s="557">
        <v>3600.94</v>
      </c>
      <c r="E3523" s="557">
        <v>3457.36</v>
      </c>
      <c r="F3523" s="557">
        <v>143.58000000000001</v>
      </c>
      <c r="G3523" s="557">
        <v>3600.94</v>
      </c>
    </row>
    <row r="3524" spans="1:7" ht="12.6" customHeight="1" x14ac:dyDescent="0.25">
      <c r="A3524" s="551" t="s">
        <v>38594</v>
      </c>
      <c r="B3524" s="551" t="s">
        <v>38595</v>
      </c>
      <c r="C3524" s="552" t="s">
        <v>226</v>
      </c>
      <c r="D3524" s="557">
        <v>128.38999999999999</v>
      </c>
      <c r="E3524" s="557">
        <v>109.24</v>
      </c>
      <c r="F3524" s="557">
        <v>19.149999999999999</v>
      </c>
      <c r="G3524" s="557">
        <v>128.38999999999999</v>
      </c>
    </row>
    <row r="3525" spans="1:7" ht="12.6" customHeight="1" x14ac:dyDescent="0.25">
      <c r="A3525" s="551" t="s">
        <v>38596</v>
      </c>
      <c r="B3525" s="551" t="s">
        <v>38597</v>
      </c>
      <c r="C3525" s="552" t="s">
        <v>226</v>
      </c>
      <c r="D3525" s="557">
        <v>516.42999999999995</v>
      </c>
      <c r="E3525" s="557">
        <v>459.65</v>
      </c>
      <c r="F3525" s="557">
        <v>56.78</v>
      </c>
      <c r="G3525" s="557">
        <v>516.42999999999995</v>
      </c>
    </row>
    <row r="3526" spans="1:7" ht="12.6" customHeight="1" x14ac:dyDescent="0.25">
      <c r="A3526" s="551" t="s">
        <v>38598</v>
      </c>
      <c r="B3526" s="551" t="s">
        <v>38599</v>
      </c>
      <c r="C3526" s="552" t="s">
        <v>226</v>
      </c>
      <c r="D3526" s="557">
        <v>368.71</v>
      </c>
      <c r="E3526" s="557">
        <v>308.88</v>
      </c>
      <c r="F3526" s="557">
        <v>59.83</v>
      </c>
      <c r="G3526" s="557">
        <v>368.71</v>
      </c>
    </row>
    <row r="3527" spans="1:7" ht="12.6" customHeight="1" x14ac:dyDescent="0.25">
      <c r="A3527" s="551" t="s">
        <v>38600</v>
      </c>
      <c r="B3527" s="551" t="s">
        <v>38601</v>
      </c>
      <c r="C3527" s="552" t="s">
        <v>226</v>
      </c>
      <c r="D3527" s="557">
        <v>421.26</v>
      </c>
      <c r="E3527" s="557">
        <v>361.43</v>
      </c>
      <c r="F3527" s="557">
        <v>59.83</v>
      </c>
      <c r="G3527" s="557">
        <v>421.26</v>
      </c>
    </row>
    <row r="3528" spans="1:7" ht="12.6" customHeight="1" x14ac:dyDescent="0.25">
      <c r="A3528" s="551" t="s">
        <v>38602</v>
      </c>
      <c r="B3528" s="551" t="s">
        <v>38603</v>
      </c>
      <c r="C3528" s="552"/>
      <c r="D3528" s="557"/>
      <c r="E3528" s="557"/>
      <c r="F3528" s="557"/>
      <c r="G3528" s="557"/>
    </row>
    <row r="3529" spans="1:7" ht="12.6" customHeight="1" x14ac:dyDescent="0.25">
      <c r="A3529" s="551" t="s">
        <v>38604</v>
      </c>
      <c r="B3529" s="551" t="s">
        <v>38605</v>
      </c>
      <c r="C3529" s="552"/>
      <c r="D3529" s="557"/>
      <c r="E3529" s="557"/>
      <c r="F3529" s="557"/>
      <c r="G3529" s="557"/>
    </row>
    <row r="3530" spans="1:7" ht="12.6" customHeight="1" x14ac:dyDescent="0.25">
      <c r="A3530" s="551" t="s">
        <v>38606</v>
      </c>
      <c r="B3530" s="551" t="s">
        <v>38607</v>
      </c>
      <c r="C3530" s="552" t="s">
        <v>226</v>
      </c>
      <c r="D3530" s="557">
        <v>9924.43</v>
      </c>
      <c r="E3530" s="557">
        <v>9818.16</v>
      </c>
      <c r="F3530" s="557">
        <v>106.27</v>
      </c>
      <c r="G3530" s="557">
        <v>9924.43</v>
      </c>
    </row>
    <row r="3531" spans="1:7" ht="12.6" customHeight="1" x14ac:dyDescent="0.25">
      <c r="A3531" s="551" t="s">
        <v>38608</v>
      </c>
      <c r="B3531" s="551" t="s">
        <v>38609</v>
      </c>
      <c r="C3531" s="552" t="s">
        <v>226</v>
      </c>
      <c r="D3531" s="557">
        <v>11956.73</v>
      </c>
      <c r="E3531" s="557">
        <v>11811.52</v>
      </c>
      <c r="F3531" s="557">
        <v>145.21</v>
      </c>
      <c r="G3531" s="557">
        <v>11956.73</v>
      </c>
    </row>
    <row r="3532" spans="1:7" ht="12.6" customHeight="1" x14ac:dyDescent="0.25">
      <c r="A3532" s="551" t="s">
        <v>38610</v>
      </c>
      <c r="B3532" s="551" t="s">
        <v>38611</v>
      </c>
      <c r="C3532" s="552" t="s">
        <v>226</v>
      </c>
      <c r="D3532" s="557">
        <v>1189.1300000000001</v>
      </c>
      <c r="E3532" s="557">
        <v>1131.53</v>
      </c>
      <c r="F3532" s="557">
        <v>57.6</v>
      </c>
      <c r="G3532" s="557">
        <v>1189.1300000000001</v>
      </c>
    </row>
    <row r="3533" spans="1:7" ht="12.6" customHeight="1" x14ac:dyDescent="0.25">
      <c r="A3533" s="551" t="s">
        <v>38612</v>
      </c>
      <c r="B3533" s="551" t="s">
        <v>38613</v>
      </c>
      <c r="C3533" s="552" t="s">
        <v>226</v>
      </c>
      <c r="D3533" s="557">
        <v>2047.51</v>
      </c>
      <c r="E3533" s="557">
        <v>1989.91</v>
      </c>
      <c r="F3533" s="557">
        <v>57.6</v>
      </c>
      <c r="G3533" s="557">
        <v>2047.51</v>
      </c>
    </row>
    <row r="3534" spans="1:7" ht="11.45" customHeight="1" x14ac:dyDescent="0.25">
      <c r="A3534" s="543" t="s">
        <v>38614</v>
      </c>
      <c r="B3534" s="544" t="s">
        <v>38615</v>
      </c>
      <c r="C3534" s="544" t="s">
        <v>226</v>
      </c>
      <c r="D3534" s="543">
        <v>3335.8</v>
      </c>
      <c r="E3534" s="545">
        <v>3268.47</v>
      </c>
      <c r="F3534" s="546">
        <v>67.33</v>
      </c>
      <c r="G3534" s="543">
        <v>3335.8</v>
      </c>
    </row>
    <row r="3535" spans="1:7" ht="12.6" customHeight="1" x14ac:dyDescent="0.25">
      <c r="A3535" s="551" t="s">
        <v>38616</v>
      </c>
      <c r="B3535" s="551" t="s">
        <v>38617</v>
      </c>
      <c r="C3535" s="552" t="s">
        <v>226</v>
      </c>
      <c r="D3535" s="557">
        <v>5778.26</v>
      </c>
      <c r="E3535" s="557">
        <v>5691.46</v>
      </c>
      <c r="F3535" s="557">
        <v>86.8</v>
      </c>
      <c r="G3535" s="557">
        <v>5778.26</v>
      </c>
    </row>
    <row r="3536" spans="1:7" ht="12.6" customHeight="1" x14ac:dyDescent="0.25">
      <c r="A3536" s="551" t="s">
        <v>38618</v>
      </c>
      <c r="B3536" s="551" t="s">
        <v>38619</v>
      </c>
      <c r="C3536" s="552" t="s">
        <v>226</v>
      </c>
      <c r="D3536" s="557">
        <v>7670.1</v>
      </c>
      <c r="E3536" s="557">
        <v>7593.03</v>
      </c>
      <c r="F3536" s="557">
        <v>77.069999999999993</v>
      </c>
      <c r="G3536" s="557">
        <v>7670.1</v>
      </c>
    </row>
    <row r="3537" spans="1:7" ht="24.95" customHeight="1" x14ac:dyDescent="0.25">
      <c r="A3537" s="551" t="s">
        <v>38620</v>
      </c>
      <c r="B3537" s="342" t="s">
        <v>38621</v>
      </c>
      <c r="C3537" s="552" t="s">
        <v>226</v>
      </c>
      <c r="D3537" s="553">
        <v>14249.61</v>
      </c>
      <c r="E3537" s="553">
        <v>14143.34</v>
      </c>
      <c r="F3537" s="557">
        <v>106.27</v>
      </c>
      <c r="G3537" s="553">
        <v>14249.61</v>
      </c>
    </row>
    <row r="3538" spans="1:7" ht="24.95" customHeight="1" x14ac:dyDescent="0.25">
      <c r="A3538" s="551" t="s">
        <v>38622</v>
      </c>
      <c r="B3538" s="342" t="s">
        <v>38623</v>
      </c>
      <c r="C3538" s="552" t="s">
        <v>226</v>
      </c>
      <c r="D3538" s="557">
        <v>968.42</v>
      </c>
      <c r="E3538" s="557">
        <v>901.09</v>
      </c>
      <c r="F3538" s="557">
        <v>67.33</v>
      </c>
      <c r="G3538" s="557">
        <v>968.42</v>
      </c>
    </row>
    <row r="3539" spans="1:7" ht="24.95" customHeight="1" x14ac:dyDescent="0.25">
      <c r="A3539" s="551" t="s">
        <v>38624</v>
      </c>
      <c r="B3539" s="342" t="s">
        <v>38625</v>
      </c>
      <c r="C3539" s="552" t="s">
        <v>226</v>
      </c>
      <c r="D3539" s="557">
        <v>663.34</v>
      </c>
      <c r="E3539" s="557">
        <v>596.01</v>
      </c>
      <c r="F3539" s="557">
        <v>67.33</v>
      </c>
      <c r="G3539" s="557">
        <v>663.34</v>
      </c>
    </row>
    <row r="3540" spans="1:7" ht="12.6" customHeight="1" x14ac:dyDescent="0.25">
      <c r="A3540" s="551" t="s">
        <v>38626</v>
      </c>
      <c r="B3540" s="551" t="s">
        <v>38627</v>
      </c>
      <c r="C3540" s="552"/>
      <c r="D3540" s="557"/>
      <c r="E3540" s="557"/>
      <c r="F3540" s="557"/>
      <c r="G3540" s="557"/>
    </row>
    <row r="3541" spans="1:7" ht="12.6" customHeight="1" x14ac:dyDescent="0.25">
      <c r="A3541" s="551" t="s">
        <v>38628</v>
      </c>
      <c r="B3541" s="551" t="s">
        <v>38629</v>
      </c>
      <c r="C3541" s="552" t="s">
        <v>19518</v>
      </c>
      <c r="D3541" s="557">
        <v>3946.72</v>
      </c>
      <c r="E3541" s="557">
        <v>3879.39</v>
      </c>
      <c r="F3541" s="557">
        <v>67.33</v>
      </c>
      <c r="G3541" s="557">
        <v>3946.72</v>
      </c>
    </row>
    <row r="3542" spans="1:7" ht="12.6" customHeight="1" x14ac:dyDescent="0.25">
      <c r="A3542" s="551" t="s">
        <v>38630</v>
      </c>
      <c r="B3542" s="551" t="s">
        <v>38631</v>
      </c>
      <c r="C3542" s="552" t="s">
        <v>19518</v>
      </c>
      <c r="D3542" s="557">
        <v>6455.17</v>
      </c>
      <c r="E3542" s="557">
        <v>6387.84</v>
      </c>
      <c r="F3542" s="557">
        <v>67.33</v>
      </c>
      <c r="G3542" s="557">
        <v>6455.17</v>
      </c>
    </row>
    <row r="3543" spans="1:7" ht="24.95" customHeight="1" x14ac:dyDescent="0.25">
      <c r="A3543" s="551" t="s">
        <v>38632</v>
      </c>
      <c r="B3543" s="342" t="s">
        <v>38633</v>
      </c>
      <c r="C3543" s="552" t="s">
        <v>19518</v>
      </c>
      <c r="D3543" s="557">
        <v>9083.26</v>
      </c>
      <c r="E3543" s="557">
        <v>9015.93</v>
      </c>
      <c r="F3543" s="557">
        <v>67.33</v>
      </c>
      <c r="G3543" s="557">
        <v>9083.26</v>
      </c>
    </row>
    <row r="3544" spans="1:7" ht="24.95" customHeight="1" x14ac:dyDescent="0.25">
      <c r="A3544" s="551" t="s">
        <v>38634</v>
      </c>
      <c r="B3544" s="342" t="s">
        <v>38635</v>
      </c>
      <c r="C3544" s="552" t="s">
        <v>19518</v>
      </c>
      <c r="D3544" s="553">
        <v>18481.95</v>
      </c>
      <c r="E3544" s="553">
        <v>18414.62</v>
      </c>
      <c r="F3544" s="557">
        <v>67.33</v>
      </c>
      <c r="G3544" s="553">
        <v>18481.95</v>
      </c>
    </row>
    <row r="3545" spans="1:7" ht="24.95" customHeight="1" x14ac:dyDescent="0.25">
      <c r="A3545" s="551" t="s">
        <v>38636</v>
      </c>
      <c r="B3545" s="342" t="s">
        <v>38637</v>
      </c>
      <c r="C3545" s="552"/>
      <c r="D3545" s="553"/>
      <c r="E3545" s="553"/>
      <c r="F3545" s="557"/>
      <c r="G3545" s="553"/>
    </row>
    <row r="3546" spans="1:7" ht="24.95" customHeight="1" x14ac:dyDescent="0.25">
      <c r="A3546" s="551" t="s">
        <v>38638</v>
      </c>
      <c r="B3546" s="342" t="s">
        <v>38639</v>
      </c>
      <c r="C3546" s="552" t="s">
        <v>158</v>
      </c>
      <c r="D3546" s="557">
        <v>21052.22</v>
      </c>
      <c r="E3546" s="557">
        <v>17456.87</v>
      </c>
      <c r="F3546" s="557">
        <v>3595.35</v>
      </c>
      <c r="G3546" s="557">
        <v>21052.22</v>
      </c>
    </row>
    <row r="3547" spans="1:7" ht="24.95" customHeight="1" x14ac:dyDescent="0.25">
      <c r="A3547" s="551" t="s">
        <v>38640</v>
      </c>
      <c r="B3547" s="342" t="s">
        <v>38641</v>
      </c>
      <c r="C3547" s="552" t="s">
        <v>158</v>
      </c>
      <c r="D3547" s="557">
        <v>41797.120000000003</v>
      </c>
      <c r="E3547" s="557">
        <v>34102.620000000003</v>
      </c>
      <c r="F3547" s="557">
        <v>7694.5</v>
      </c>
      <c r="G3547" s="557">
        <v>41797.120000000003</v>
      </c>
    </row>
    <row r="3548" spans="1:7" ht="24.95" customHeight="1" x14ac:dyDescent="0.25">
      <c r="A3548" s="551" t="s">
        <v>38642</v>
      </c>
      <c r="B3548" s="342" t="s">
        <v>38643</v>
      </c>
      <c r="C3548" s="552"/>
      <c r="D3548" s="557"/>
      <c r="E3548" s="557"/>
      <c r="F3548" s="557"/>
      <c r="G3548" s="557"/>
    </row>
    <row r="3549" spans="1:7" ht="24.95" customHeight="1" x14ac:dyDescent="0.25">
      <c r="A3549" s="551" t="s">
        <v>38644</v>
      </c>
      <c r="B3549" s="342" t="s">
        <v>38645</v>
      </c>
      <c r="C3549" s="552" t="s">
        <v>226</v>
      </c>
      <c r="D3549" s="557">
        <v>100.01</v>
      </c>
      <c r="E3549" s="557">
        <v>85.65</v>
      </c>
      <c r="F3549" s="557">
        <v>14.36</v>
      </c>
      <c r="G3549" s="557">
        <v>100.01</v>
      </c>
    </row>
    <row r="3550" spans="1:7" ht="24.95" customHeight="1" x14ac:dyDescent="0.25">
      <c r="A3550" s="551" t="s">
        <v>38646</v>
      </c>
      <c r="B3550" s="342" t="s">
        <v>38647</v>
      </c>
      <c r="C3550" s="552" t="s">
        <v>226</v>
      </c>
      <c r="D3550" s="557">
        <v>123.57</v>
      </c>
      <c r="E3550" s="557">
        <v>104.42</v>
      </c>
      <c r="F3550" s="557">
        <v>19.149999999999999</v>
      </c>
      <c r="G3550" s="557">
        <v>123.57</v>
      </c>
    </row>
    <row r="3551" spans="1:7" ht="24.95" customHeight="1" x14ac:dyDescent="0.25">
      <c r="A3551" s="551" t="s">
        <v>38648</v>
      </c>
      <c r="B3551" s="342" t="s">
        <v>38649</v>
      </c>
      <c r="C3551" s="552" t="s">
        <v>226</v>
      </c>
      <c r="D3551" s="557">
        <v>250.85</v>
      </c>
      <c r="E3551" s="557">
        <v>229.31</v>
      </c>
      <c r="F3551" s="557">
        <v>21.54</v>
      </c>
      <c r="G3551" s="557">
        <v>250.85</v>
      </c>
    </row>
    <row r="3552" spans="1:7" ht="24.95" customHeight="1" x14ac:dyDescent="0.25">
      <c r="A3552" s="551" t="s">
        <v>38650</v>
      </c>
      <c r="B3552" s="342" t="s">
        <v>38651</v>
      </c>
      <c r="C3552" s="552" t="s">
        <v>226</v>
      </c>
      <c r="D3552" s="553">
        <v>266.11</v>
      </c>
      <c r="E3552" s="553">
        <v>244.57</v>
      </c>
      <c r="F3552" s="557">
        <v>21.54</v>
      </c>
      <c r="G3552" s="553">
        <v>266.11</v>
      </c>
    </row>
    <row r="3553" spans="1:7" ht="24.95" customHeight="1" x14ac:dyDescent="0.25">
      <c r="A3553" s="551" t="s">
        <v>38652</v>
      </c>
      <c r="B3553" s="342" t="s">
        <v>38653</v>
      </c>
      <c r="C3553" s="552" t="s">
        <v>226</v>
      </c>
      <c r="D3553" s="553">
        <v>324.23</v>
      </c>
      <c r="E3553" s="553">
        <v>295.52</v>
      </c>
      <c r="F3553" s="557">
        <v>28.71</v>
      </c>
      <c r="G3553" s="553">
        <v>324.23</v>
      </c>
    </row>
    <row r="3554" spans="1:7" ht="24.95" customHeight="1" x14ac:dyDescent="0.25">
      <c r="A3554" s="551" t="s">
        <v>38654</v>
      </c>
      <c r="B3554" s="342" t="s">
        <v>38655</v>
      </c>
      <c r="C3554" s="552" t="s">
        <v>226</v>
      </c>
      <c r="D3554" s="557">
        <v>1416.64</v>
      </c>
      <c r="E3554" s="557">
        <v>1395.1</v>
      </c>
      <c r="F3554" s="557">
        <v>21.54</v>
      </c>
      <c r="G3554" s="557">
        <v>1416.64</v>
      </c>
    </row>
    <row r="3555" spans="1:7" ht="24.95" customHeight="1" x14ac:dyDescent="0.25">
      <c r="A3555" s="551" t="s">
        <v>38656</v>
      </c>
      <c r="B3555" s="342" t="s">
        <v>38657</v>
      </c>
      <c r="C3555" s="552" t="s">
        <v>226</v>
      </c>
      <c r="D3555" s="557">
        <v>1557.28</v>
      </c>
      <c r="E3555" s="557">
        <v>1461.56</v>
      </c>
      <c r="F3555" s="557">
        <v>95.72</v>
      </c>
      <c r="G3555" s="557">
        <v>1557.28</v>
      </c>
    </row>
    <row r="3556" spans="1:7" ht="24.95" customHeight="1" x14ac:dyDescent="0.25">
      <c r="A3556" s="551" t="s">
        <v>38658</v>
      </c>
      <c r="B3556" s="342" t="s">
        <v>38659</v>
      </c>
      <c r="C3556" s="552"/>
      <c r="D3556" s="557"/>
      <c r="E3556" s="557"/>
      <c r="F3556" s="557"/>
      <c r="G3556" s="557"/>
    </row>
    <row r="3557" spans="1:7" ht="24.95" customHeight="1" x14ac:dyDescent="0.25">
      <c r="A3557" s="551" t="s">
        <v>38660</v>
      </c>
      <c r="B3557" s="342" t="s">
        <v>38661</v>
      </c>
      <c r="C3557" s="552" t="s">
        <v>226</v>
      </c>
      <c r="D3557" s="557">
        <v>58.41</v>
      </c>
      <c r="E3557" s="557"/>
      <c r="F3557" s="557">
        <v>58.41</v>
      </c>
      <c r="G3557" s="557">
        <v>58.41</v>
      </c>
    </row>
    <row r="3558" spans="1:7" ht="24.95" customHeight="1" x14ac:dyDescent="0.25">
      <c r="A3558" s="551" t="s">
        <v>38662</v>
      </c>
      <c r="B3558" s="342" t="s">
        <v>38663</v>
      </c>
      <c r="C3558" s="552" t="s">
        <v>226</v>
      </c>
      <c r="D3558" s="557">
        <v>155.76</v>
      </c>
      <c r="E3558" s="557"/>
      <c r="F3558" s="557">
        <v>155.76</v>
      </c>
      <c r="G3558" s="557">
        <v>155.76</v>
      </c>
    </row>
    <row r="3559" spans="1:7" ht="24.95" customHeight="1" x14ac:dyDescent="0.25">
      <c r="A3559" s="551" t="s">
        <v>38664</v>
      </c>
      <c r="B3559" s="342" t="s">
        <v>38665</v>
      </c>
      <c r="C3559" s="552" t="s">
        <v>226</v>
      </c>
      <c r="D3559" s="557">
        <v>350.46</v>
      </c>
      <c r="E3559" s="557"/>
      <c r="F3559" s="557">
        <v>350.46</v>
      </c>
      <c r="G3559" s="557">
        <v>350.46</v>
      </c>
    </row>
    <row r="3560" spans="1:7" ht="34.5" customHeight="1" x14ac:dyDescent="0.25">
      <c r="A3560" s="554" t="s">
        <v>38666</v>
      </c>
      <c r="B3560" s="551" t="s">
        <v>38667</v>
      </c>
      <c r="C3560" s="555"/>
      <c r="D3560" s="556"/>
      <c r="E3560" s="556"/>
      <c r="F3560" s="558"/>
      <c r="G3560" s="556"/>
    </row>
    <row r="3561" spans="1:7" ht="34.5" customHeight="1" x14ac:dyDescent="0.25">
      <c r="A3561" s="554" t="s">
        <v>38668</v>
      </c>
      <c r="B3561" s="551" t="s">
        <v>38669</v>
      </c>
      <c r="C3561" s="555"/>
      <c r="D3561" s="556"/>
      <c r="E3561" s="556"/>
      <c r="F3561" s="558"/>
      <c r="G3561" s="556"/>
    </row>
    <row r="3562" spans="1:7" ht="12.6" customHeight="1" x14ac:dyDescent="0.25">
      <c r="A3562" s="551" t="s">
        <v>38670</v>
      </c>
      <c r="B3562" s="551" t="s">
        <v>38671</v>
      </c>
      <c r="C3562" s="552" t="s">
        <v>226</v>
      </c>
      <c r="D3562" s="557">
        <v>87.9</v>
      </c>
      <c r="E3562" s="557">
        <v>40.04</v>
      </c>
      <c r="F3562" s="557">
        <v>47.86</v>
      </c>
      <c r="G3562" s="557">
        <v>87.9</v>
      </c>
    </row>
    <row r="3563" spans="1:7" ht="12.6" customHeight="1" x14ac:dyDescent="0.2">
      <c r="A3563" s="548" t="s">
        <v>38672</v>
      </c>
      <c r="B3563" s="548" t="s">
        <v>38673</v>
      </c>
      <c r="C3563" s="550" t="s">
        <v>226</v>
      </c>
      <c r="D3563" s="550">
        <v>99.34</v>
      </c>
      <c r="E3563" s="550">
        <v>51.48</v>
      </c>
      <c r="F3563" s="550">
        <v>47.86</v>
      </c>
      <c r="G3563" s="550">
        <v>99.34</v>
      </c>
    </row>
    <row r="3564" spans="1:7" ht="24.95" customHeight="1" x14ac:dyDescent="0.25">
      <c r="A3564" s="551" t="s">
        <v>38674</v>
      </c>
      <c r="B3564" s="342" t="s">
        <v>38675</v>
      </c>
      <c r="C3564" s="552" t="s">
        <v>226</v>
      </c>
      <c r="D3564" s="553">
        <v>110.91</v>
      </c>
      <c r="E3564" s="553">
        <v>63.05</v>
      </c>
      <c r="F3564" s="557">
        <v>47.86</v>
      </c>
      <c r="G3564" s="553">
        <v>110.91</v>
      </c>
    </row>
    <row r="3565" spans="1:7" ht="23.1" customHeight="1" x14ac:dyDescent="0.25">
      <c r="A3565" s="551" t="s">
        <v>38676</v>
      </c>
      <c r="B3565" s="551" t="s">
        <v>38677</v>
      </c>
      <c r="C3565" s="552" t="s">
        <v>226</v>
      </c>
      <c r="D3565" s="553">
        <v>120.83</v>
      </c>
      <c r="E3565" s="553">
        <v>72.97</v>
      </c>
      <c r="F3565" s="557">
        <v>47.86</v>
      </c>
      <c r="G3565" s="553">
        <v>120.83</v>
      </c>
    </row>
    <row r="3566" spans="1:7" ht="11.45" customHeight="1" x14ac:dyDescent="0.25">
      <c r="A3566" s="543" t="s">
        <v>38678</v>
      </c>
      <c r="B3566" s="544" t="s">
        <v>38679</v>
      </c>
      <c r="C3566" s="544" t="s">
        <v>226</v>
      </c>
      <c r="D3566" s="543">
        <v>130.53</v>
      </c>
      <c r="E3566" s="545">
        <v>82.67</v>
      </c>
      <c r="F3566" s="546">
        <v>47.86</v>
      </c>
      <c r="G3566" s="543">
        <v>130.53</v>
      </c>
    </row>
    <row r="3567" spans="1:7" ht="23.1" customHeight="1" x14ac:dyDescent="0.25">
      <c r="A3567" s="551" t="s">
        <v>38680</v>
      </c>
      <c r="B3567" s="551" t="s">
        <v>38681</v>
      </c>
      <c r="C3567" s="552" t="s">
        <v>226</v>
      </c>
      <c r="D3567" s="553">
        <v>150.41</v>
      </c>
      <c r="E3567" s="553">
        <v>102.55</v>
      </c>
      <c r="F3567" s="557">
        <v>47.86</v>
      </c>
      <c r="G3567" s="553">
        <v>150.41</v>
      </c>
    </row>
    <row r="3568" spans="1:7" ht="12.6" customHeight="1" x14ac:dyDescent="0.25">
      <c r="A3568" s="551" t="s">
        <v>38682</v>
      </c>
      <c r="B3568" s="551" t="s">
        <v>38683</v>
      </c>
      <c r="C3568" s="552"/>
      <c r="D3568" s="553"/>
      <c r="E3568" s="553"/>
      <c r="F3568" s="557"/>
      <c r="G3568" s="553"/>
    </row>
    <row r="3569" spans="1:7" ht="24.95" customHeight="1" x14ac:dyDescent="0.25">
      <c r="A3569" s="551" t="s">
        <v>38684</v>
      </c>
      <c r="B3569" s="342" t="s">
        <v>38685</v>
      </c>
      <c r="C3569" s="552" t="s">
        <v>226</v>
      </c>
      <c r="D3569" s="553">
        <v>316.64999999999998</v>
      </c>
      <c r="E3569" s="553">
        <v>100.17</v>
      </c>
      <c r="F3569" s="557">
        <v>216.48</v>
      </c>
      <c r="G3569" s="553">
        <v>316.64999999999998</v>
      </c>
    </row>
    <row r="3570" spans="1:7" ht="12.6" customHeight="1" x14ac:dyDescent="0.25">
      <c r="A3570" s="551" t="s">
        <v>38686</v>
      </c>
      <c r="B3570" s="551" t="s">
        <v>38687</v>
      </c>
      <c r="C3570" s="552" t="s">
        <v>226</v>
      </c>
      <c r="D3570" s="553">
        <v>133.61000000000001</v>
      </c>
      <c r="E3570" s="553">
        <v>81.02</v>
      </c>
      <c r="F3570" s="557">
        <v>52.59</v>
      </c>
      <c r="G3570" s="553">
        <v>133.61000000000001</v>
      </c>
    </row>
    <row r="3571" spans="1:7" ht="12.6" customHeight="1" x14ac:dyDescent="0.25">
      <c r="A3571" s="551" t="s">
        <v>38688</v>
      </c>
      <c r="B3571" s="551" t="s">
        <v>38689</v>
      </c>
      <c r="C3571" s="552" t="s">
        <v>226</v>
      </c>
      <c r="D3571" s="553">
        <v>397.01</v>
      </c>
      <c r="E3571" s="553">
        <v>349.15</v>
      </c>
      <c r="F3571" s="557">
        <v>47.86</v>
      </c>
      <c r="G3571" s="553">
        <v>397.01</v>
      </c>
    </row>
    <row r="3572" spans="1:7" ht="23.1" customHeight="1" x14ac:dyDescent="0.25">
      <c r="A3572" s="551" t="s">
        <v>38690</v>
      </c>
      <c r="B3572" s="551" t="s">
        <v>38691</v>
      </c>
      <c r="C3572" s="552"/>
      <c r="D3572" s="553"/>
      <c r="E3572" s="557"/>
      <c r="F3572" s="557"/>
      <c r="G3572" s="553"/>
    </row>
    <row r="3573" spans="1:7" ht="12.6" customHeight="1" x14ac:dyDescent="0.25">
      <c r="A3573" s="551" t="s">
        <v>38692</v>
      </c>
      <c r="B3573" s="551" t="s">
        <v>38693</v>
      </c>
      <c r="C3573" s="552" t="s">
        <v>226</v>
      </c>
      <c r="D3573" s="557">
        <v>85.42</v>
      </c>
      <c r="E3573" s="557">
        <v>37.56</v>
      </c>
      <c r="F3573" s="557">
        <v>47.86</v>
      </c>
      <c r="G3573" s="557">
        <v>85.42</v>
      </c>
    </row>
    <row r="3574" spans="1:7" ht="24.95" customHeight="1" x14ac:dyDescent="0.25">
      <c r="A3574" s="551" t="s">
        <v>38694</v>
      </c>
      <c r="B3574" s="342" t="s">
        <v>38695</v>
      </c>
      <c r="C3574" s="552"/>
      <c r="D3574" s="553"/>
      <c r="E3574" s="553"/>
      <c r="F3574" s="557"/>
      <c r="G3574" s="553"/>
    </row>
    <row r="3575" spans="1:7" ht="24.95" customHeight="1" x14ac:dyDescent="0.25">
      <c r="A3575" s="551" t="s">
        <v>38696</v>
      </c>
      <c r="B3575" s="342" t="s">
        <v>38697</v>
      </c>
      <c r="C3575" s="552" t="s">
        <v>226</v>
      </c>
      <c r="D3575" s="553">
        <v>189.89</v>
      </c>
      <c r="E3575" s="553">
        <v>132.46</v>
      </c>
      <c r="F3575" s="557">
        <v>57.43</v>
      </c>
      <c r="G3575" s="553">
        <v>189.89</v>
      </c>
    </row>
    <row r="3576" spans="1:7" ht="12.6" customHeight="1" x14ac:dyDescent="0.25">
      <c r="A3576" s="551" t="s">
        <v>38698</v>
      </c>
      <c r="B3576" s="551" t="s">
        <v>38699</v>
      </c>
      <c r="C3576" s="552" t="s">
        <v>226</v>
      </c>
      <c r="D3576" s="553">
        <v>556.89</v>
      </c>
      <c r="E3576" s="557">
        <v>485.09</v>
      </c>
      <c r="F3576" s="557">
        <v>71.8</v>
      </c>
      <c r="G3576" s="553">
        <v>556.89</v>
      </c>
    </row>
    <row r="3577" spans="1:7" ht="24.95" customHeight="1" x14ac:dyDescent="0.25">
      <c r="A3577" s="551" t="s">
        <v>38700</v>
      </c>
      <c r="B3577" s="342" t="s">
        <v>38701</v>
      </c>
      <c r="C3577" s="552"/>
      <c r="D3577" s="553"/>
      <c r="E3577" s="553"/>
      <c r="F3577" s="557"/>
      <c r="G3577" s="553"/>
    </row>
    <row r="3578" spans="1:7" ht="24.95" customHeight="1" x14ac:dyDescent="0.25">
      <c r="A3578" s="551" t="s">
        <v>38702</v>
      </c>
      <c r="B3578" s="342" t="s">
        <v>38703</v>
      </c>
      <c r="C3578" s="552" t="s">
        <v>226</v>
      </c>
      <c r="D3578" s="553">
        <v>15.57</v>
      </c>
      <c r="E3578" s="553">
        <v>12.7</v>
      </c>
      <c r="F3578" s="557">
        <v>2.87</v>
      </c>
      <c r="G3578" s="553">
        <v>15.57</v>
      </c>
    </row>
    <row r="3579" spans="1:7" ht="24.95" customHeight="1" x14ac:dyDescent="0.25">
      <c r="A3579" s="551" t="s">
        <v>38704</v>
      </c>
      <c r="B3579" s="342" t="s">
        <v>38705</v>
      </c>
      <c r="C3579" s="552" t="s">
        <v>227</v>
      </c>
      <c r="D3579" s="553">
        <v>1098.8800000000001</v>
      </c>
      <c r="E3579" s="553">
        <v>1067.56</v>
      </c>
      <c r="F3579" s="557">
        <v>31.32</v>
      </c>
      <c r="G3579" s="553">
        <v>1098.8800000000001</v>
      </c>
    </row>
    <row r="3580" spans="1:7" ht="24.95" customHeight="1" x14ac:dyDescent="0.25">
      <c r="A3580" s="551" t="s">
        <v>38706</v>
      </c>
      <c r="B3580" s="342" t="s">
        <v>38707</v>
      </c>
      <c r="C3580" s="552" t="s">
        <v>226</v>
      </c>
      <c r="D3580" s="553">
        <v>11.35</v>
      </c>
      <c r="E3580" s="553">
        <v>8.48</v>
      </c>
      <c r="F3580" s="557">
        <v>2.87</v>
      </c>
      <c r="G3580" s="553">
        <v>11.35</v>
      </c>
    </row>
    <row r="3581" spans="1:7" ht="24.95" customHeight="1" x14ac:dyDescent="0.25">
      <c r="A3581" s="551" t="s">
        <v>38708</v>
      </c>
      <c r="B3581" s="342" t="s">
        <v>38709</v>
      </c>
      <c r="C3581" s="552" t="s">
        <v>226</v>
      </c>
      <c r="D3581" s="553">
        <v>378.14</v>
      </c>
      <c r="E3581" s="553">
        <v>353.08</v>
      </c>
      <c r="F3581" s="557">
        <v>25.06</v>
      </c>
      <c r="G3581" s="553">
        <v>378.14</v>
      </c>
    </row>
    <row r="3582" spans="1:7" ht="12.6" customHeight="1" x14ac:dyDescent="0.2">
      <c r="A3582" s="548" t="s">
        <v>38710</v>
      </c>
      <c r="B3582" s="548" t="s">
        <v>38711</v>
      </c>
      <c r="C3582" s="550" t="s">
        <v>226</v>
      </c>
      <c r="D3582" s="550">
        <v>34.950000000000003</v>
      </c>
      <c r="E3582" s="550">
        <v>32.08</v>
      </c>
      <c r="F3582" s="550">
        <v>2.87</v>
      </c>
      <c r="G3582" s="550">
        <v>34.950000000000003</v>
      </c>
    </row>
    <row r="3583" spans="1:7" ht="34.5" customHeight="1" x14ac:dyDescent="0.25">
      <c r="A3583" s="554" t="s">
        <v>38712</v>
      </c>
      <c r="B3583" s="551" t="s">
        <v>38713</v>
      </c>
      <c r="C3583" s="555" t="s">
        <v>226</v>
      </c>
      <c r="D3583" s="558">
        <v>11.22</v>
      </c>
      <c r="E3583" s="558">
        <v>8.35</v>
      </c>
      <c r="F3583" s="558">
        <v>2.87</v>
      </c>
      <c r="G3583" s="558">
        <v>11.22</v>
      </c>
    </row>
    <row r="3584" spans="1:7" ht="34.5" customHeight="1" x14ac:dyDescent="0.25">
      <c r="A3584" s="554" t="s">
        <v>38714</v>
      </c>
      <c r="B3584" s="551" t="s">
        <v>38715</v>
      </c>
      <c r="C3584" s="555" t="s">
        <v>227</v>
      </c>
      <c r="D3584" s="558">
        <v>1114.8800000000001</v>
      </c>
      <c r="E3584" s="558">
        <v>1083.56</v>
      </c>
      <c r="F3584" s="558">
        <v>31.32</v>
      </c>
      <c r="G3584" s="558">
        <v>1114.8800000000001</v>
      </c>
    </row>
    <row r="3585" spans="1:7" ht="24.95" customHeight="1" x14ac:dyDescent="0.25">
      <c r="A3585" s="551" t="s">
        <v>38716</v>
      </c>
      <c r="B3585" s="342" t="s">
        <v>38717</v>
      </c>
      <c r="C3585" s="552" t="s">
        <v>227</v>
      </c>
      <c r="D3585" s="557">
        <v>1396.41</v>
      </c>
      <c r="E3585" s="557">
        <v>1365.09</v>
      </c>
      <c r="F3585" s="557">
        <v>31.32</v>
      </c>
      <c r="G3585" s="557">
        <v>1396.41</v>
      </c>
    </row>
    <row r="3586" spans="1:7" ht="34.5" customHeight="1" x14ac:dyDescent="0.25">
      <c r="A3586" s="554" t="s">
        <v>38718</v>
      </c>
      <c r="B3586" s="551" t="s">
        <v>38719</v>
      </c>
      <c r="C3586" s="555" t="s">
        <v>226</v>
      </c>
      <c r="D3586" s="558">
        <v>102.65</v>
      </c>
      <c r="E3586" s="558">
        <v>86.99</v>
      </c>
      <c r="F3586" s="558">
        <v>15.66</v>
      </c>
      <c r="G3586" s="558">
        <v>102.65</v>
      </c>
    </row>
    <row r="3587" spans="1:7" ht="34.5" customHeight="1" x14ac:dyDescent="0.25">
      <c r="A3587" s="554" t="s">
        <v>38720</v>
      </c>
      <c r="B3587" s="551" t="s">
        <v>38721</v>
      </c>
      <c r="C3587" s="555" t="s">
        <v>226</v>
      </c>
      <c r="D3587" s="558">
        <v>3444.18</v>
      </c>
      <c r="E3587" s="558">
        <v>3386.75</v>
      </c>
      <c r="F3587" s="558">
        <v>57.43</v>
      </c>
      <c r="G3587" s="558">
        <v>3444.18</v>
      </c>
    </row>
    <row r="3588" spans="1:7" ht="12.6" customHeight="1" x14ac:dyDescent="0.2">
      <c r="A3588" s="548" t="s">
        <v>38722</v>
      </c>
      <c r="B3588" s="548" t="s">
        <v>38723</v>
      </c>
      <c r="C3588" s="550" t="s">
        <v>226</v>
      </c>
      <c r="D3588" s="550">
        <v>4074.42</v>
      </c>
      <c r="E3588" s="550">
        <v>4016.99</v>
      </c>
      <c r="F3588" s="550">
        <v>57.43</v>
      </c>
      <c r="G3588" s="550">
        <v>4074.42</v>
      </c>
    </row>
    <row r="3589" spans="1:7" ht="24.95" customHeight="1" x14ac:dyDescent="0.25">
      <c r="A3589" s="551" t="s">
        <v>38724</v>
      </c>
      <c r="B3589" s="342" t="s">
        <v>38725</v>
      </c>
      <c r="C3589" s="552" t="s">
        <v>226</v>
      </c>
      <c r="D3589" s="557">
        <v>447.11</v>
      </c>
      <c r="E3589" s="557">
        <v>382.36</v>
      </c>
      <c r="F3589" s="557">
        <v>64.75</v>
      </c>
      <c r="G3589" s="557">
        <v>447.11</v>
      </c>
    </row>
    <row r="3590" spans="1:7" ht="24.95" customHeight="1" x14ac:dyDescent="0.25">
      <c r="A3590" s="551" t="s">
        <v>38726</v>
      </c>
      <c r="B3590" s="342" t="s">
        <v>38727</v>
      </c>
      <c r="C3590" s="552" t="s">
        <v>226</v>
      </c>
      <c r="D3590" s="557">
        <v>482.88</v>
      </c>
      <c r="E3590" s="557">
        <v>418.13</v>
      </c>
      <c r="F3590" s="557">
        <v>64.75</v>
      </c>
      <c r="G3590" s="557">
        <v>482.88</v>
      </c>
    </row>
    <row r="3591" spans="1:7" ht="24.95" customHeight="1" x14ac:dyDescent="0.25">
      <c r="A3591" s="551" t="s">
        <v>38728</v>
      </c>
      <c r="B3591" s="342" t="s">
        <v>38729</v>
      </c>
      <c r="C3591" s="552" t="s">
        <v>226</v>
      </c>
      <c r="D3591" s="557">
        <v>488.39</v>
      </c>
      <c r="E3591" s="557">
        <v>423.64</v>
      </c>
      <c r="F3591" s="557">
        <v>64.75</v>
      </c>
      <c r="G3591" s="557">
        <v>488.39</v>
      </c>
    </row>
    <row r="3592" spans="1:7" ht="24.95" customHeight="1" x14ac:dyDescent="0.25">
      <c r="A3592" s="551" t="s">
        <v>38730</v>
      </c>
      <c r="B3592" s="342" t="s">
        <v>38731</v>
      </c>
      <c r="C3592" s="552" t="s">
        <v>226</v>
      </c>
      <c r="D3592" s="553">
        <v>223.07</v>
      </c>
      <c r="E3592" s="553">
        <v>158.32</v>
      </c>
      <c r="F3592" s="557">
        <v>64.75</v>
      </c>
      <c r="G3592" s="553">
        <v>223.07</v>
      </c>
    </row>
    <row r="3593" spans="1:7" ht="12.6" customHeight="1" x14ac:dyDescent="0.2">
      <c r="A3593" s="548" t="s">
        <v>38732</v>
      </c>
      <c r="B3593" s="548" t="s">
        <v>38733</v>
      </c>
      <c r="C3593" s="550" t="s">
        <v>226</v>
      </c>
      <c r="D3593" s="550">
        <v>251.88</v>
      </c>
      <c r="E3593" s="550">
        <v>187.13</v>
      </c>
      <c r="F3593" s="550">
        <v>64.75</v>
      </c>
      <c r="G3593" s="550">
        <v>251.88</v>
      </c>
    </row>
    <row r="3594" spans="1:7" ht="34.5" customHeight="1" x14ac:dyDescent="0.25">
      <c r="A3594" s="554" t="s">
        <v>38734</v>
      </c>
      <c r="B3594" s="551" t="s">
        <v>38735</v>
      </c>
      <c r="C3594" s="555" t="s">
        <v>226</v>
      </c>
      <c r="D3594" s="558">
        <v>339.95</v>
      </c>
      <c r="E3594" s="558">
        <v>275.2</v>
      </c>
      <c r="F3594" s="558">
        <v>64.75</v>
      </c>
      <c r="G3594" s="558">
        <v>339.95</v>
      </c>
    </row>
    <row r="3595" spans="1:7" ht="12.6" customHeight="1" x14ac:dyDescent="0.2">
      <c r="A3595" s="548" t="s">
        <v>38736</v>
      </c>
      <c r="B3595" s="548" t="s">
        <v>38737</v>
      </c>
      <c r="C3595" s="550" t="s">
        <v>226</v>
      </c>
      <c r="D3595" s="550">
        <v>397.77</v>
      </c>
      <c r="E3595" s="550">
        <v>333.02</v>
      </c>
      <c r="F3595" s="550">
        <v>64.75</v>
      </c>
      <c r="G3595" s="550">
        <v>397.77</v>
      </c>
    </row>
    <row r="3596" spans="1:7" ht="24.95" customHeight="1" x14ac:dyDescent="0.25">
      <c r="A3596" s="551" t="s">
        <v>38738</v>
      </c>
      <c r="B3596" s="342" t="s">
        <v>38739</v>
      </c>
      <c r="C3596" s="552" t="s">
        <v>226</v>
      </c>
      <c r="D3596" s="557">
        <v>365.78</v>
      </c>
      <c r="E3596" s="557">
        <v>301.02999999999997</v>
      </c>
      <c r="F3596" s="557">
        <v>64.75</v>
      </c>
      <c r="G3596" s="557">
        <v>365.78</v>
      </c>
    </row>
    <row r="3597" spans="1:7" ht="11.45" customHeight="1" x14ac:dyDescent="0.25">
      <c r="A3597" s="543" t="s">
        <v>38740</v>
      </c>
      <c r="B3597" s="544" t="s">
        <v>38741</v>
      </c>
      <c r="C3597" s="544" t="s">
        <v>226</v>
      </c>
      <c r="D3597" s="543">
        <v>1481.57</v>
      </c>
      <c r="E3597" s="545">
        <v>1416.82</v>
      </c>
      <c r="F3597" s="546">
        <v>64.75</v>
      </c>
      <c r="G3597" s="543">
        <v>1481.57</v>
      </c>
    </row>
    <row r="3598" spans="1:7" ht="23.1" customHeight="1" x14ac:dyDescent="0.25">
      <c r="A3598" s="551" t="s">
        <v>38742</v>
      </c>
      <c r="B3598" s="551" t="s">
        <v>38743</v>
      </c>
      <c r="C3598" s="552" t="s">
        <v>158</v>
      </c>
      <c r="D3598" s="557">
        <v>1093.47</v>
      </c>
      <c r="E3598" s="557">
        <v>1073.19</v>
      </c>
      <c r="F3598" s="557">
        <v>20.28</v>
      </c>
      <c r="G3598" s="557">
        <v>1093.47</v>
      </c>
    </row>
    <row r="3599" spans="1:7" ht="24.95" customHeight="1" x14ac:dyDescent="0.25">
      <c r="A3599" s="551" t="s">
        <v>38744</v>
      </c>
      <c r="B3599" s="342" t="s">
        <v>38745</v>
      </c>
      <c r="C3599" s="552" t="s">
        <v>158</v>
      </c>
      <c r="D3599" s="557">
        <v>1390.23</v>
      </c>
      <c r="E3599" s="557">
        <v>1363.47</v>
      </c>
      <c r="F3599" s="557">
        <v>26.76</v>
      </c>
      <c r="G3599" s="557">
        <v>1390.23</v>
      </c>
    </row>
    <row r="3600" spans="1:7" ht="34.5" customHeight="1" x14ac:dyDescent="0.25">
      <c r="A3600" s="554" t="s">
        <v>38746</v>
      </c>
      <c r="B3600" s="342" t="s">
        <v>38747</v>
      </c>
      <c r="C3600" s="555"/>
      <c r="D3600" s="556"/>
      <c r="E3600" s="556"/>
      <c r="F3600" s="558"/>
      <c r="G3600" s="556"/>
    </row>
    <row r="3601" spans="1:7" ht="12.6" customHeight="1" x14ac:dyDescent="0.2">
      <c r="A3601" s="548" t="s">
        <v>38748</v>
      </c>
      <c r="B3601" s="548" t="s">
        <v>38749</v>
      </c>
      <c r="C3601" s="550" t="s">
        <v>226</v>
      </c>
      <c r="D3601" s="550">
        <v>391.55</v>
      </c>
      <c r="E3601" s="550">
        <v>343.69</v>
      </c>
      <c r="F3601" s="550">
        <v>47.86</v>
      </c>
      <c r="G3601" s="550">
        <v>391.55</v>
      </c>
    </row>
    <row r="3602" spans="1:7" ht="23.1" customHeight="1" x14ac:dyDescent="0.25">
      <c r="A3602" s="551" t="s">
        <v>38750</v>
      </c>
      <c r="B3602" s="551" t="s">
        <v>38751</v>
      </c>
      <c r="C3602" s="552"/>
      <c r="D3602" s="553"/>
      <c r="E3602" s="553"/>
      <c r="F3602" s="557"/>
      <c r="G3602" s="553"/>
    </row>
    <row r="3603" spans="1:7" ht="23.1" customHeight="1" x14ac:dyDescent="0.25">
      <c r="A3603" s="551" t="s">
        <v>38752</v>
      </c>
      <c r="B3603" s="551" t="s">
        <v>38753</v>
      </c>
      <c r="C3603" s="552" t="s">
        <v>158</v>
      </c>
      <c r="D3603" s="553">
        <v>423.73</v>
      </c>
      <c r="E3603" s="553">
        <v>412.94</v>
      </c>
      <c r="F3603" s="557">
        <v>10.79</v>
      </c>
      <c r="G3603" s="553">
        <v>423.73</v>
      </c>
    </row>
    <row r="3604" spans="1:7" ht="24.95" customHeight="1" x14ac:dyDescent="0.25">
      <c r="A3604" s="551" t="s">
        <v>38754</v>
      </c>
      <c r="B3604" s="342" t="s">
        <v>38755</v>
      </c>
      <c r="C3604" s="552" t="s">
        <v>158</v>
      </c>
      <c r="D3604" s="553">
        <v>275.04000000000002</v>
      </c>
      <c r="E3604" s="553">
        <v>264.25</v>
      </c>
      <c r="F3604" s="557">
        <v>10.79</v>
      </c>
      <c r="G3604" s="553">
        <v>275.04000000000002</v>
      </c>
    </row>
    <row r="3605" spans="1:7" ht="24.95" customHeight="1" x14ac:dyDescent="0.25">
      <c r="A3605" s="551" t="s">
        <v>38756</v>
      </c>
      <c r="B3605" s="342" t="s">
        <v>38757</v>
      </c>
      <c r="C3605" s="552" t="s">
        <v>158</v>
      </c>
      <c r="D3605" s="553">
        <v>345.27</v>
      </c>
      <c r="E3605" s="553">
        <v>334.48</v>
      </c>
      <c r="F3605" s="557">
        <v>10.79</v>
      </c>
      <c r="G3605" s="553">
        <v>345.27</v>
      </c>
    </row>
    <row r="3606" spans="1:7" ht="24.95" customHeight="1" x14ac:dyDescent="0.25">
      <c r="A3606" s="551" t="s">
        <v>38758</v>
      </c>
      <c r="B3606" s="342" t="s">
        <v>38759</v>
      </c>
      <c r="C3606" s="552"/>
      <c r="D3606" s="553"/>
      <c r="E3606" s="553"/>
      <c r="F3606" s="557"/>
      <c r="G3606" s="553"/>
    </row>
    <row r="3607" spans="1:7" ht="23.1" customHeight="1" x14ac:dyDescent="0.25">
      <c r="A3607" s="551" t="s">
        <v>38760</v>
      </c>
      <c r="B3607" s="551" t="s">
        <v>38761</v>
      </c>
      <c r="C3607" s="552" t="s">
        <v>226</v>
      </c>
      <c r="D3607" s="553">
        <v>3426.48</v>
      </c>
      <c r="E3607" s="553">
        <v>1880.83</v>
      </c>
      <c r="F3607" s="557">
        <v>1545.65</v>
      </c>
      <c r="G3607" s="553">
        <v>3426.48</v>
      </c>
    </row>
    <row r="3608" spans="1:7" ht="23.1" customHeight="1" x14ac:dyDescent="0.25">
      <c r="A3608" s="551" t="s">
        <v>38762</v>
      </c>
      <c r="B3608" s="551" t="s">
        <v>38763</v>
      </c>
      <c r="C3608" s="552" t="s">
        <v>226</v>
      </c>
      <c r="D3608" s="553">
        <v>5587.47</v>
      </c>
      <c r="E3608" s="553">
        <v>3185.2</v>
      </c>
      <c r="F3608" s="557">
        <v>2402.27</v>
      </c>
      <c r="G3608" s="553">
        <v>5587.47</v>
      </c>
    </row>
    <row r="3609" spans="1:7" ht="23.1" customHeight="1" x14ac:dyDescent="0.25">
      <c r="A3609" s="551" t="s">
        <v>38764</v>
      </c>
      <c r="B3609" s="551" t="s">
        <v>38765</v>
      </c>
      <c r="C3609" s="552" t="s">
        <v>226</v>
      </c>
      <c r="D3609" s="553">
        <v>7692.12</v>
      </c>
      <c r="E3609" s="553">
        <v>4439.43</v>
      </c>
      <c r="F3609" s="557">
        <v>3252.69</v>
      </c>
      <c r="G3609" s="553">
        <v>7692.12</v>
      </c>
    </row>
    <row r="3610" spans="1:7" ht="12.6" customHeight="1" x14ac:dyDescent="0.25">
      <c r="A3610" s="551" t="s">
        <v>38766</v>
      </c>
      <c r="B3610" s="551" t="s">
        <v>38767</v>
      </c>
      <c r="C3610" s="552" t="s">
        <v>226</v>
      </c>
      <c r="D3610" s="557">
        <v>2718.89</v>
      </c>
      <c r="E3610" s="557">
        <v>1193.68</v>
      </c>
      <c r="F3610" s="557">
        <v>1525.21</v>
      </c>
      <c r="G3610" s="557">
        <v>2718.89</v>
      </c>
    </row>
    <row r="3611" spans="1:7" ht="24.95" customHeight="1" x14ac:dyDescent="0.25">
      <c r="A3611" s="551" t="s">
        <v>38768</v>
      </c>
      <c r="B3611" s="342" t="s">
        <v>38769</v>
      </c>
      <c r="C3611" s="552" t="s">
        <v>226</v>
      </c>
      <c r="D3611" s="553">
        <v>6343.21</v>
      </c>
      <c r="E3611" s="553">
        <v>3727.98</v>
      </c>
      <c r="F3611" s="557">
        <v>2615.23</v>
      </c>
      <c r="G3611" s="553">
        <v>6343.21</v>
      </c>
    </row>
    <row r="3612" spans="1:7" ht="12.6" customHeight="1" x14ac:dyDescent="0.2">
      <c r="A3612" s="548" t="s">
        <v>38770</v>
      </c>
      <c r="B3612" s="548" t="s">
        <v>38771</v>
      </c>
      <c r="C3612" s="550" t="s">
        <v>158</v>
      </c>
      <c r="D3612" s="550">
        <v>648.45000000000005</v>
      </c>
      <c r="E3612" s="550">
        <v>268.52999999999997</v>
      </c>
      <c r="F3612" s="550">
        <v>379.92</v>
      </c>
      <c r="G3612" s="550">
        <v>648.45000000000005</v>
      </c>
    </row>
    <row r="3613" spans="1:7" ht="12.6" customHeight="1" x14ac:dyDescent="0.25">
      <c r="A3613" s="551" t="s">
        <v>38772</v>
      </c>
      <c r="B3613" s="551" t="s">
        <v>38773</v>
      </c>
      <c r="C3613" s="552" t="s">
        <v>226</v>
      </c>
      <c r="D3613" s="557">
        <v>4595.34</v>
      </c>
      <c r="E3613" s="557">
        <v>2173.2199999999998</v>
      </c>
      <c r="F3613" s="557">
        <v>2422.12</v>
      </c>
      <c r="G3613" s="557">
        <v>4595.34</v>
      </c>
    </row>
    <row r="3614" spans="1:7" ht="24.95" customHeight="1" x14ac:dyDescent="0.25">
      <c r="A3614" s="551" t="s">
        <v>38774</v>
      </c>
      <c r="B3614" s="342" t="s">
        <v>38775</v>
      </c>
      <c r="C3614" s="552"/>
      <c r="D3614" s="557"/>
      <c r="E3614" s="557"/>
      <c r="F3614" s="557"/>
      <c r="G3614" s="557"/>
    </row>
    <row r="3615" spans="1:7" ht="12.6" customHeight="1" x14ac:dyDescent="0.2">
      <c r="A3615" s="548" t="s">
        <v>38776</v>
      </c>
      <c r="B3615" s="548" t="s">
        <v>38777</v>
      </c>
      <c r="C3615" s="550" t="s">
        <v>226</v>
      </c>
      <c r="D3615" s="550">
        <v>6905.17</v>
      </c>
      <c r="E3615" s="550">
        <v>3864.67</v>
      </c>
      <c r="F3615" s="550">
        <v>3040.5</v>
      </c>
      <c r="G3615" s="550">
        <v>6905.17</v>
      </c>
    </row>
    <row r="3616" spans="1:7" ht="12.6" customHeight="1" x14ac:dyDescent="0.25">
      <c r="A3616" s="551" t="s">
        <v>38778</v>
      </c>
      <c r="B3616" s="551" t="s">
        <v>38779</v>
      </c>
      <c r="C3616" s="552" t="s">
        <v>226</v>
      </c>
      <c r="D3616" s="557">
        <v>11221.61</v>
      </c>
      <c r="E3616" s="557">
        <v>6279.59</v>
      </c>
      <c r="F3616" s="557">
        <v>4942.0200000000004</v>
      </c>
      <c r="G3616" s="557">
        <v>11221.61</v>
      </c>
    </row>
    <row r="3617" spans="1:7" ht="12.6" customHeight="1" x14ac:dyDescent="0.25">
      <c r="A3617" s="551" t="s">
        <v>38780</v>
      </c>
      <c r="B3617" s="551" t="s">
        <v>38781</v>
      </c>
      <c r="C3617" s="552" t="s">
        <v>226</v>
      </c>
      <c r="D3617" s="557">
        <v>15604.44</v>
      </c>
      <c r="E3617" s="557">
        <v>9078.02</v>
      </c>
      <c r="F3617" s="557">
        <v>6526.42</v>
      </c>
      <c r="G3617" s="557">
        <v>15604.44</v>
      </c>
    </row>
    <row r="3618" spans="1:7" ht="24.95" customHeight="1" x14ac:dyDescent="0.25">
      <c r="A3618" s="551" t="s">
        <v>38782</v>
      </c>
      <c r="B3618" s="342" t="s">
        <v>38783</v>
      </c>
      <c r="C3618" s="552" t="s">
        <v>226</v>
      </c>
      <c r="D3618" s="557">
        <v>21701.71</v>
      </c>
      <c r="E3618" s="557">
        <v>13566.66</v>
      </c>
      <c r="F3618" s="557">
        <v>8135.05</v>
      </c>
      <c r="G3618" s="557">
        <v>21701.71</v>
      </c>
    </row>
    <row r="3619" spans="1:7" ht="24.95" customHeight="1" x14ac:dyDescent="0.25">
      <c r="A3619" s="551" t="s">
        <v>38784</v>
      </c>
      <c r="B3619" s="342" t="s">
        <v>38785</v>
      </c>
      <c r="C3619" s="552"/>
      <c r="D3619" s="557"/>
      <c r="E3619" s="557"/>
      <c r="F3619" s="557"/>
      <c r="G3619" s="557"/>
    </row>
    <row r="3620" spans="1:7" ht="24.95" customHeight="1" x14ac:dyDescent="0.25">
      <c r="A3620" s="551" t="s">
        <v>38786</v>
      </c>
      <c r="B3620" s="342" t="s">
        <v>38787</v>
      </c>
      <c r="C3620" s="552" t="s">
        <v>226</v>
      </c>
      <c r="D3620" s="557">
        <v>4140.82</v>
      </c>
      <c r="E3620" s="557">
        <v>2619.39</v>
      </c>
      <c r="F3620" s="557">
        <v>1521.43</v>
      </c>
      <c r="G3620" s="557">
        <v>4140.82</v>
      </c>
    </row>
    <row r="3621" spans="1:7" ht="24.95" customHeight="1" x14ac:dyDescent="0.25">
      <c r="A3621" s="551" t="s">
        <v>38788</v>
      </c>
      <c r="B3621" s="342" t="s">
        <v>38789</v>
      </c>
      <c r="C3621" s="552" t="s">
        <v>226</v>
      </c>
      <c r="D3621" s="557">
        <v>9680.86</v>
      </c>
      <c r="E3621" s="557">
        <v>7408.48</v>
      </c>
      <c r="F3621" s="557">
        <v>2272.38</v>
      </c>
      <c r="G3621" s="557">
        <v>9680.86</v>
      </c>
    </row>
    <row r="3622" spans="1:7" ht="24.95" customHeight="1" x14ac:dyDescent="0.25">
      <c r="A3622" s="551" t="s">
        <v>38790</v>
      </c>
      <c r="B3622" s="342" t="s">
        <v>38791</v>
      </c>
      <c r="C3622" s="552" t="s">
        <v>226</v>
      </c>
      <c r="D3622" s="557">
        <v>15635.54</v>
      </c>
      <c r="E3622" s="557">
        <v>11090.81</v>
      </c>
      <c r="F3622" s="557">
        <v>4544.7299999999996</v>
      </c>
      <c r="G3622" s="557">
        <v>15635.54</v>
      </c>
    </row>
    <row r="3623" spans="1:7" ht="23.1" customHeight="1" x14ac:dyDescent="0.25">
      <c r="A3623" s="551" t="s">
        <v>38792</v>
      </c>
      <c r="B3623" s="551" t="s">
        <v>38793</v>
      </c>
      <c r="C3623" s="552" t="s">
        <v>158</v>
      </c>
      <c r="D3623" s="553">
        <v>2193.25</v>
      </c>
      <c r="E3623" s="553">
        <v>1436.89</v>
      </c>
      <c r="F3623" s="557">
        <v>756.36</v>
      </c>
      <c r="G3623" s="553">
        <v>2193.25</v>
      </c>
    </row>
    <row r="3624" spans="1:7" ht="12.6" customHeight="1" x14ac:dyDescent="0.25">
      <c r="A3624" s="551" t="s">
        <v>38794</v>
      </c>
      <c r="B3624" s="551" t="s">
        <v>38795</v>
      </c>
      <c r="C3624" s="552" t="s">
        <v>226</v>
      </c>
      <c r="D3624" s="557">
        <v>941.29</v>
      </c>
      <c r="E3624" s="557">
        <v>898.13</v>
      </c>
      <c r="F3624" s="557">
        <v>43.16</v>
      </c>
      <c r="G3624" s="557">
        <v>941.29</v>
      </c>
    </row>
    <row r="3625" spans="1:7" ht="24.95" customHeight="1" x14ac:dyDescent="0.25">
      <c r="A3625" s="551" t="s">
        <v>38796</v>
      </c>
      <c r="B3625" s="342" t="s">
        <v>38797</v>
      </c>
      <c r="C3625" s="552"/>
      <c r="D3625" s="557"/>
      <c r="E3625" s="557"/>
      <c r="F3625" s="557"/>
      <c r="G3625" s="557"/>
    </row>
    <row r="3626" spans="1:7" ht="23.1" customHeight="1" x14ac:dyDescent="0.25">
      <c r="A3626" s="551" t="s">
        <v>38798</v>
      </c>
      <c r="B3626" s="551" t="s">
        <v>38799</v>
      </c>
      <c r="C3626" s="552" t="s">
        <v>158</v>
      </c>
      <c r="D3626" s="557">
        <v>410.33</v>
      </c>
      <c r="E3626" s="557">
        <v>379.01</v>
      </c>
      <c r="F3626" s="557">
        <v>31.32</v>
      </c>
      <c r="G3626" s="557">
        <v>410.33</v>
      </c>
    </row>
    <row r="3627" spans="1:7" ht="23.1" customHeight="1" x14ac:dyDescent="0.25">
      <c r="A3627" s="551" t="s">
        <v>38800</v>
      </c>
      <c r="B3627" s="551" t="s">
        <v>38801</v>
      </c>
      <c r="C3627" s="552" t="s">
        <v>158</v>
      </c>
      <c r="D3627" s="557">
        <v>567.55999999999995</v>
      </c>
      <c r="E3627" s="557">
        <v>520.58000000000004</v>
      </c>
      <c r="F3627" s="557">
        <v>46.98</v>
      </c>
      <c r="G3627" s="557">
        <v>567.55999999999995</v>
      </c>
    </row>
    <row r="3628" spans="1:7" ht="12.6" customHeight="1" x14ac:dyDescent="0.2">
      <c r="A3628" s="559" t="s">
        <v>38802</v>
      </c>
      <c r="B3628" s="548" t="s">
        <v>38803</v>
      </c>
      <c r="C3628" s="550" t="s">
        <v>158</v>
      </c>
      <c r="D3628" s="550">
        <v>663.97</v>
      </c>
      <c r="E3628" s="550">
        <v>601.34</v>
      </c>
      <c r="F3628" s="550">
        <v>62.63</v>
      </c>
      <c r="G3628" s="550">
        <v>663.97</v>
      </c>
    </row>
    <row r="3629" spans="1:7" ht="12.6" customHeight="1" x14ac:dyDescent="0.2">
      <c r="A3629" s="548" t="s">
        <v>38804</v>
      </c>
      <c r="B3629" s="548" t="s">
        <v>38805</v>
      </c>
      <c r="C3629" s="550" t="s">
        <v>158</v>
      </c>
      <c r="D3629" s="550">
        <v>1025.55</v>
      </c>
      <c r="E3629" s="550">
        <v>947.26</v>
      </c>
      <c r="F3629" s="550">
        <v>78.290000000000006</v>
      </c>
      <c r="G3629" s="550">
        <v>1025.55</v>
      </c>
    </row>
    <row r="3630" spans="1:7" ht="12.6" customHeight="1" x14ac:dyDescent="0.25">
      <c r="A3630" s="551" t="s">
        <v>38806</v>
      </c>
      <c r="B3630" s="551" t="s">
        <v>38807</v>
      </c>
      <c r="C3630" s="552" t="s">
        <v>158</v>
      </c>
      <c r="D3630" s="553">
        <v>1603.92</v>
      </c>
      <c r="E3630" s="553">
        <v>1509.97</v>
      </c>
      <c r="F3630" s="557">
        <v>93.95</v>
      </c>
      <c r="G3630" s="553">
        <v>1603.92</v>
      </c>
    </row>
    <row r="3631" spans="1:7" ht="12.6" customHeight="1" x14ac:dyDescent="0.25">
      <c r="A3631" s="551" t="s">
        <v>38808</v>
      </c>
      <c r="B3631" s="551" t="s">
        <v>38809</v>
      </c>
      <c r="C3631" s="552" t="s">
        <v>158</v>
      </c>
      <c r="D3631" s="553">
        <v>2948.15</v>
      </c>
      <c r="E3631" s="553">
        <v>2791.57</v>
      </c>
      <c r="F3631" s="557">
        <v>156.58000000000001</v>
      </c>
      <c r="G3631" s="553">
        <v>2948.15</v>
      </c>
    </row>
    <row r="3632" spans="1:7" ht="11.45" customHeight="1" x14ac:dyDescent="0.25">
      <c r="A3632" s="543" t="s">
        <v>38810</v>
      </c>
      <c r="B3632" s="544" t="s">
        <v>38811</v>
      </c>
      <c r="C3632" s="544"/>
      <c r="D3632" s="543"/>
      <c r="E3632" s="545"/>
      <c r="F3632" s="546"/>
      <c r="G3632" s="543"/>
    </row>
    <row r="3633" spans="1:7" ht="24.95" customHeight="1" x14ac:dyDescent="0.25">
      <c r="A3633" s="551" t="s">
        <v>38812</v>
      </c>
      <c r="B3633" s="342" t="s">
        <v>38813</v>
      </c>
      <c r="C3633" s="552" t="s">
        <v>226</v>
      </c>
      <c r="D3633" s="553">
        <v>739.04</v>
      </c>
      <c r="E3633" s="553">
        <v>719.89</v>
      </c>
      <c r="F3633" s="557">
        <v>19.149999999999999</v>
      </c>
      <c r="G3633" s="553">
        <v>739.04</v>
      </c>
    </row>
    <row r="3634" spans="1:7" ht="24.95" customHeight="1" x14ac:dyDescent="0.25">
      <c r="A3634" s="551" t="s">
        <v>38814</v>
      </c>
      <c r="B3634" s="342" t="s">
        <v>38815</v>
      </c>
      <c r="C3634" s="552" t="s">
        <v>226</v>
      </c>
      <c r="D3634" s="553">
        <v>298.68</v>
      </c>
      <c r="E3634" s="553">
        <v>274.74</v>
      </c>
      <c r="F3634" s="557">
        <v>23.94</v>
      </c>
      <c r="G3634" s="553">
        <v>298.68</v>
      </c>
    </row>
    <row r="3635" spans="1:7" ht="24.95" customHeight="1" x14ac:dyDescent="0.25">
      <c r="A3635" s="551" t="s">
        <v>38816</v>
      </c>
      <c r="B3635" s="342" t="s">
        <v>38817</v>
      </c>
      <c r="C3635" s="552"/>
      <c r="D3635" s="553"/>
      <c r="E3635" s="553"/>
      <c r="F3635" s="557"/>
      <c r="G3635" s="553"/>
    </row>
    <row r="3636" spans="1:7" ht="24.95" customHeight="1" x14ac:dyDescent="0.25">
      <c r="A3636" s="551" t="s">
        <v>38818</v>
      </c>
      <c r="B3636" s="342" t="s">
        <v>38819</v>
      </c>
      <c r="C3636" s="552"/>
      <c r="D3636" s="553"/>
      <c r="E3636" s="553"/>
      <c r="F3636" s="557"/>
      <c r="G3636" s="553"/>
    </row>
    <row r="3637" spans="1:7" ht="34.5" customHeight="1" x14ac:dyDescent="0.25">
      <c r="A3637" s="554" t="s">
        <v>38820</v>
      </c>
      <c r="B3637" s="551" t="s">
        <v>38821</v>
      </c>
      <c r="C3637" s="555" t="s">
        <v>226</v>
      </c>
      <c r="D3637" s="556">
        <v>1392.78</v>
      </c>
      <c r="E3637" s="556">
        <v>1225.26</v>
      </c>
      <c r="F3637" s="558">
        <v>167.52</v>
      </c>
      <c r="G3637" s="556">
        <v>1392.78</v>
      </c>
    </row>
    <row r="3638" spans="1:7" ht="34.5" customHeight="1" x14ac:dyDescent="0.25">
      <c r="A3638" s="554" t="s">
        <v>38822</v>
      </c>
      <c r="B3638" s="551" t="s">
        <v>38823</v>
      </c>
      <c r="C3638" s="555" t="s">
        <v>226</v>
      </c>
      <c r="D3638" s="556">
        <v>526.65</v>
      </c>
      <c r="E3638" s="556">
        <v>359.13</v>
      </c>
      <c r="F3638" s="558">
        <v>167.52</v>
      </c>
      <c r="G3638" s="556">
        <v>526.65</v>
      </c>
    </row>
    <row r="3639" spans="1:7" ht="23.1" customHeight="1" x14ac:dyDescent="0.25">
      <c r="A3639" s="551" t="s">
        <v>38824</v>
      </c>
      <c r="B3639" s="551" t="s">
        <v>38825</v>
      </c>
      <c r="C3639" s="552" t="s">
        <v>158</v>
      </c>
      <c r="D3639" s="557">
        <v>24.49</v>
      </c>
      <c r="E3639" s="557">
        <v>19.7</v>
      </c>
      <c r="F3639" s="557">
        <v>4.79</v>
      </c>
      <c r="G3639" s="557">
        <v>24.49</v>
      </c>
    </row>
    <row r="3640" spans="1:7" ht="23.1" customHeight="1" x14ac:dyDescent="0.25">
      <c r="A3640" s="551" t="s">
        <v>38826</v>
      </c>
      <c r="B3640" s="551" t="s">
        <v>38827</v>
      </c>
      <c r="C3640" s="552" t="s">
        <v>226</v>
      </c>
      <c r="D3640" s="557">
        <v>80.63</v>
      </c>
      <c r="E3640" s="557">
        <v>66.27</v>
      </c>
      <c r="F3640" s="557">
        <v>14.36</v>
      </c>
      <c r="G3640" s="557">
        <v>80.63</v>
      </c>
    </row>
    <row r="3641" spans="1:7" ht="12.6" customHeight="1" x14ac:dyDescent="0.2">
      <c r="A3641" s="548" t="s">
        <v>38828</v>
      </c>
      <c r="B3641" s="548" t="s">
        <v>38829</v>
      </c>
      <c r="C3641" s="550" t="s">
        <v>158</v>
      </c>
      <c r="D3641" s="550">
        <v>37.39</v>
      </c>
      <c r="E3641" s="550">
        <v>32.6</v>
      </c>
      <c r="F3641" s="550">
        <v>4.79</v>
      </c>
      <c r="G3641" s="550">
        <v>37.39</v>
      </c>
    </row>
    <row r="3642" spans="1:7" ht="23.1" customHeight="1" x14ac:dyDescent="0.25">
      <c r="A3642" s="551" t="s">
        <v>38830</v>
      </c>
      <c r="B3642" s="551" t="s">
        <v>38831</v>
      </c>
      <c r="C3642" s="552" t="s">
        <v>226</v>
      </c>
      <c r="D3642" s="553">
        <v>221.52</v>
      </c>
      <c r="E3642" s="553">
        <v>216.73</v>
      </c>
      <c r="F3642" s="557">
        <v>4.79</v>
      </c>
      <c r="G3642" s="553">
        <v>221.52</v>
      </c>
    </row>
    <row r="3643" spans="1:7" ht="23.1" customHeight="1" x14ac:dyDescent="0.25">
      <c r="A3643" s="551" t="s">
        <v>38832</v>
      </c>
      <c r="B3643" s="551" t="s">
        <v>38833</v>
      </c>
      <c r="C3643" s="552" t="s">
        <v>226</v>
      </c>
      <c r="D3643" s="553">
        <v>4069.72</v>
      </c>
      <c r="E3643" s="553">
        <v>3806.49</v>
      </c>
      <c r="F3643" s="557">
        <v>263.23</v>
      </c>
      <c r="G3643" s="553">
        <v>4069.72</v>
      </c>
    </row>
    <row r="3644" spans="1:7" ht="23.1" customHeight="1" x14ac:dyDescent="0.25">
      <c r="A3644" s="551" t="s">
        <v>38834</v>
      </c>
      <c r="B3644" s="551" t="s">
        <v>38835</v>
      </c>
      <c r="C3644" s="552" t="s">
        <v>226</v>
      </c>
      <c r="D3644" s="553">
        <v>70.22</v>
      </c>
      <c r="E3644" s="553">
        <v>65.430000000000007</v>
      </c>
      <c r="F3644" s="557">
        <v>4.79</v>
      </c>
      <c r="G3644" s="553">
        <v>70.22</v>
      </c>
    </row>
    <row r="3645" spans="1:7" ht="23.1" customHeight="1" x14ac:dyDescent="0.25">
      <c r="A3645" s="551" t="s">
        <v>38836</v>
      </c>
      <c r="B3645" s="551" t="s">
        <v>38837</v>
      </c>
      <c r="C3645" s="552" t="s">
        <v>226</v>
      </c>
      <c r="D3645" s="553">
        <v>98.34</v>
      </c>
      <c r="E3645" s="553">
        <v>93.55</v>
      </c>
      <c r="F3645" s="557">
        <v>4.79</v>
      </c>
      <c r="G3645" s="553">
        <v>98.34</v>
      </c>
    </row>
    <row r="3646" spans="1:7" ht="12.6" customHeight="1" x14ac:dyDescent="0.2">
      <c r="A3646" s="548" t="s">
        <v>38838</v>
      </c>
      <c r="B3646" s="548" t="s">
        <v>38839</v>
      </c>
      <c r="C3646" s="550" t="s">
        <v>226</v>
      </c>
      <c r="D3646" s="550">
        <v>1752.64</v>
      </c>
      <c r="E3646" s="550">
        <v>1691.22</v>
      </c>
      <c r="F3646" s="550">
        <v>61.42</v>
      </c>
      <c r="G3646" s="550">
        <v>1752.64</v>
      </c>
    </row>
    <row r="3647" spans="1:7" ht="34.5" customHeight="1" x14ac:dyDescent="0.25">
      <c r="A3647" s="554" t="s">
        <v>38840</v>
      </c>
      <c r="B3647" s="342" t="s">
        <v>38841</v>
      </c>
      <c r="C3647" s="555" t="s">
        <v>226</v>
      </c>
      <c r="D3647" s="556">
        <v>113.58</v>
      </c>
      <c r="E3647" s="556">
        <v>108.79</v>
      </c>
      <c r="F3647" s="556">
        <v>4.79</v>
      </c>
      <c r="G3647" s="556">
        <v>113.58</v>
      </c>
    </row>
    <row r="3648" spans="1:7" ht="34.5" customHeight="1" x14ac:dyDescent="0.25">
      <c r="A3648" s="554" t="s">
        <v>38842</v>
      </c>
      <c r="B3648" s="342" t="s">
        <v>38843</v>
      </c>
      <c r="C3648" s="555" t="s">
        <v>226</v>
      </c>
      <c r="D3648" s="556">
        <v>78.599999999999994</v>
      </c>
      <c r="E3648" s="556">
        <v>73.81</v>
      </c>
      <c r="F3648" s="556">
        <v>4.79</v>
      </c>
      <c r="G3648" s="556">
        <v>78.599999999999994</v>
      </c>
    </row>
    <row r="3649" spans="1:7" ht="12.6" customHeight="1" x14ac:dyDescent="0.2">
      <c r="A3649" s="548" t="s">
        <v>38844</v>
      </c>
      <c r="B3649" s="548" t="s">
        <v>38845</v>
      </c>
      <c r="C3649" s="550" t="s">
        <v>226</v>
      </c>
      <c r="D3649" s="550">
        <v>19.510000000000002</v>
      </c>
      <c r="E3649" s="550">
        <v>18.87</v>
      </c>
      <c r="F3649" s="550">
        <v>0.64</v>
      </c>
      <c r="G3649" s="550">
        <v>19.510000000000002</v>
      </c>
    </row>
    <row r="3650" spans="1:7" ht="12.6" customHeight="1" x14ac:dyDescent="0.25">
      <c r="A3650" s="551" t="s">
        <v>38846</v>
      </c>
      <c r="B3650" s="551" t="s">
        <v>38847</v>
      </c>
      <c r="C3650" s="552" t="s">
        <v>226</v>
      </c>
      <c r="D3650" s="557">
        <v>158.04</v>
      </c>
      <c r="E3650" s="557">
        <v>153.25</v>
      </c>
      <c r="F3650" s="557">
        <v>4.79</v>
      </c>
      <c r="G3650" s="557">
        <v>158.04</v>
      </c>
    </row>
    <row r="3651" spans="1:7" ht="12.6" customHeight="1" x14ac:dyDescent="0.25">
      <c r="A3651" s="551" t="s">
        <v>38848</v>
      </c>
      <c r="B3651" s="551" t="s">
        <v>38849</v>
      </c>
      <c r="C3651" s="552" t="s">
        <v>226</v>
      </c>
      <c r="D3651" s="557">
        <v>2098.14</v>
      </c>
      <c r="E3651" s="557">
        <v>1849.27</v>
      </c>
      <c r="F3651" s="557">
        <v>248.87</v>
      </c>
      <c r="G3651" s="557">
        <v>2098.14</v>
      </c>
    </row>
    <row r="3652" spans="1:7" ht="12.6" customHeight="1" x14ac:dyDescent="0.25">
      <c r="A3652" s="551" t="s">
        <v>38850</v>
      </c>
      <c r="B3652" s="551" t="s">
        <v>38851</v>
      </c>
      <c r="C3652" s="552" t="s">
        <v>226</v>
      </c>
      <c r="D3652" s="557">
        <v>2703.83</v>
      </c>
      <c r="E3652" s="557">
        <v>2454.96</v>
      </c>
      <c r="F3652" s="557">
        <v>248.87</v>
      </c>
      <c r="G3652" s="557">
        <v>2703.83</v>
      </c>
    </row>
    <row r="3653" spans="1:7" ht="12.6" customHeight="1" x14ac:dyDescent="0.25">
      <c r="A3653" s="551" t="s">
        <v>38852</v>
      </c>
      <c r="B3653" s="551" t="s">
        <v>38853</v>
      </c>
      <c r="C3653" s="552" t="s">
        <v>226</v>
      </c>
      <c r="D3653" s="557">
        <v>3482.73</v>
      </c>
      <c r="E3653" s="557">
        <v>2703.52</v>
      </c>
      <c r="F3653" s="557">
        <v>779.21</v>
      </c>
      <c r="G3653" s="557">
        <v>3482.73</v>
      </c>
    </row>
    <row r="3654" spans="1:7" ht="12.6" customHeight="1" x14ac:dyDescent="0.25">
      <c r="A3654" s="551" t="s">
        <v>38854</v>
      </c>
      <c r="B3654" s="551" t="s">
        <v>38855</v>
      </c>
      <c r="C3654" s="552"/>
      <c r="D3654" s="557"/>
      <c r="E3654" s="557"/>
      <c r="F3654" s="557"/>
      <c r="G3654" s="557"/>
    </row>
    <row r="3655" spans="1:7" ht="12.6" customHeight="1" x14ac:dyDescent="0.25">
      <c r="A3655" s="551" t="s">
        <v>38856</v>
      </c>
      <c r="B3655" s="551" t="s">
        <v>38857</v>
      </c>
      <c r="C3655" s="552" t="s">
        <v>226</v>
      </c>
      <c r="D3655" s="553">
        <v>49.19</v>
      </c>
      <c r="E3655" s="553">
        <v>32.35</v>
      </c>
      <c r="F3655" s="557">
        <v>16.84</v>
      </c>
      <c r="G3655" s="553">
        <v>49.19</v>
      </c>
    </row>
    <row r="3656" spans="1:7" ht="12.6" customHeight="1" x14ac:dyDescent="0.25">
      <c r="A3656" s="551" t="s">
        <v>38858</v>
      </c>
      <c r="B3656" s="551" t="s">
        <v>38859</v>
      </c>
      <c r="C3656" s="552" t="s">
        <v>226</v>
      </c>
      <c r="D3656" s="553">
        <v>941.8</v>
      </c>
      <c r="E3656" s="553">
        <v>917.86</v>
      </c>
      <c r="F3656" s="557">
        <v>23.94</v>
      </c>
      <c r="G3656" s="553">
        <v>941.8</v>
      </c>
    </row>
    <row r="3657" spans="1:7" ht="12.6" customHeight="1" x14ac:dyDescent="0.2">
      <c r="A3657" s="548" t="s">
        <v>38860</v>
      </c>
      <c r="B3657" s="548" t="s">
        <v>38861</v>
      </c>
      <c r="C3657" s="550" t="s">
        <v>226</v>
      </c>
      <c r="D3657" s="550">
        <v>51.35</v>
      </c>
      <c r="E3657" s="550">
        <v>34.51</v>
      </c>
      <c r="F3657" s="550">
        <v>16.84</v>
      </c>
      <c r="G3657" s="550">
        <v>51.35</v>
      </c>
    </row>
    <row r="3658" spans="1:7" ht="12.6" customHeight="1" x14ac:dyDescent="0.2">
      <c r="A3658" s="551" t="s">
        <v>38862</v>
      </c>
      <c r="B3658" s="551" t="s">
        <v>38863</v>
      </c>
      <c r="C3658" s="552" t="s">
        <v>226</v>
      </c>
      <c r="D3658" s="557">
        <v>8010.6</v>
      </c>
      <c r="E3658" s="343">
        <v>7867.02</v>
      </c>
      <c r="F3658" s="557">
        <v>143.58000000000001</v>
      </c>
      <c r="G3658" s="557">
        <v>8010.6</v>
      </c>
    </row>
    <row r="3659" spans="1:7" ht="12.6" customHeight="1" x14ac:dyDescent="0.2">
      <c r="A3659" s="551" t="s">
        <v>38864</v>
      </c>
      <c r="B3659" s="551" t="s">
        <v>38865</v>
      </c>
      <c r="C3659" s="552"/>
      <c r="D3659" s="557"/>
      <c r="E3659" s="343"/>
      <c r="F3659" s="557"/>
      <c r="G3659" s="557"/>
    </row>
    <row r="3660" spans="1:7" ht="12.6" customHeight="1" x14ac:dyDescent="0.2">
      <c r="A3660" s="551" t="s">
        <v>38866</v>
      </c>
      <c r="B3660" s="551" t="s">
        <v>38867</v>
      </c>
      <c r="C3660" s="552" t="s">
        <v>226</v>
      </c>
      <c r="D3660" s="557">
        <v>247.14</v>
      </c>
      <c r="E3660" s="343">
        <v>208.85</v>
      </c>
      <c r="F3660" s="557">
        <v>38.29</v>
      </c>
      <c r="G3660" s="557">
        <v>247.14</v>
      </c>
    </row>
    <row r="3661" spans="1:7" ht="12.6" customHeight="1" x14ac:dyDescent="0.2">
      <c r="A3661" s="559" t="s">
        <v>38868</v>
      </c>
      <c r="B3661" s="548" t="s">
        <v>38869</v>
      </c>
      <c r="C3661" s="550" t="s">
        <v>226</v>
      </c>
      <c r="D3661" s="550">
        <v>28525.02</v>
      </c>
      <c r="E3661" s="550">
        <v>28509.77</v>
      </c>
      <c r="F3661" s="550">
        <v>15.25</v>
      </c>
      <c r="G3661" s="550">
        <v>28525.02</v>
      </c>
    </row>
    <row r="3662" spans="1:7" ht="12.6" customHeight="1" x14ac:dyDescent="0.2">
      <c r="A3662" s="548" t="s">
        <v>38870</v>
      </c>
      <c r="B3662" s="548" t="s">
        <v>38871</v>
      </c>
      <c r="C3662" s="550" t="s">
        <v>226</v>
      </c>
      <c r="D3662" s="550">
        <v>107.9</v>
      </c>
      <c r="E3662" s="550">
        <v>83.96</v>
      </c>
      <c r="F3662" s="550">
        <v>23.94</v>
      </c>
      <c r="G3662" s="550">
        <v>107.9</v>
      </c>
    </row>
    <row r="3663" spans="1:7" ht="12.6" customHeight="1" x14ac:dyDescent="0.25">
      <c r="A3663" s="551" t="s">
        <v>38872</v>
      </c>
      <c r="B3663" s="551" t="s">
        <v>38873</v>
      </c>
      <c r="C3663" s="552" t="s">
        <v>226</v>
      </c>
      <c r="D3663" s="557">
        <v>114.22</v>
      </c>
      <c r="E3663" s="557">
        <v>90.28</v>
      </c>
      <c r="F3663" s="557">
        <v>23.94</v>
      </c>
      <c r="G3663" s="557">
        <v>114.22</v>
      </c>
    </row>
    <row r="3664" spans="1:7" ht="12.6" customHeight="1" x14ac:dyDescent="0.25">
      <c r="A3664" s="551" t="s">
        <v>38874</v>
      </c>
      <c r="B3664" s="551" t="s">
        <v>38875</v>
      </c>
      <c r="C3664" s="552" t="s">
        <v>226</v>
      </c>
      <c r="D3664" s="557">
        <v>282.52999999999997</v>
      </c>
      <c r="E3664" s="557">
        <v>268.17</v>
      </c>
      <c r="F3664" s="557">
        <v>14.36</v>
      </c>
      <c r="G3664" s="557">
        <v>282.52999999999997</v>
      </c>
    </row>
    <row r="3665" spans="1:7" ht="12.6" customHeight="1" x14ac:dyDescent="0.25">
      <c r="A3665" s="551" t="s">
        <v>38876</v>
      </c>
      <c r="B3665" s="551" t="s">
        <v>38877</v>
      </c>
      <c r="C3665" s="552" t="s">
        <v>226</v>
      </c>
      <c r="D3665" s="557">
        <v>81.430000000000007</v>
      </c>
      <c r="E3665" s="557">
        <v>67.069999999999993</v>
      </c>
      <c r="F3665" s="557">
        <v>14.36</v>
      </c>
      <c r="G3665" s="557">
        <v>81.430000000000007</v>
      </c>
    </row>
    <row r="3666" spans="1:7" ht="12.6" customHeight="1" x14ac:dyDescent="0.25">
      <c r="A3666" s="551" t="s">
        <v>38878</v>
      </c>
      <c r="B3666" s="551" t="s">
        <v>38879</v>
      </c>
      <c r="C3666" s="552" t="s">
        <v>226</v>
      </c>
      <c r="D3666" s="557">
        <v>190.49</v>
      </c>
      <c r="E3666" s="557">
        <v>176.13</v>
      </c>
      <c r="F3666" s="557">
        <v>14.36</v>
      </c>
      <c r="G3666" s="557">
        <v>190.49</v>
      </c>
    </row>
    <row r="3667" spans="1:7" ht="12.6" customHeight="1" x14ac:dyDescent="0.25">
      <c r="A3667" s="551" t="s">
        <v>38880</v>
      </c>
      <c r="B3667" s="551" t="s">
        <v>38881</v>
      </c>
      <c r="C3667" s="552" t="s">
        <v>226</v>
      </c>
      <c r="D3667" s="557">
        <v>486.75</v>
      </c>
      <c r="E3667" s="557">
        <v>472.39</v>
      </c>
      <c r="F3667" s="557">
        <v>14.36</v>
      </c>
      <c r="G3667" s="557">
        <v>486.75</v>
      </c>
    </row>
    <row r="3668" spans="1:7" ht="12.6" customHeight="1" x14ac:dyDescent="0.25">
      <c r="A3668" s="551" t="s">
        <v>38882</v>
      </c>
      <c r="B3668" s="551" t="s">
        <v>38883</v>
      </c>
      <c r="C3668" s="552" t="s">
        <v>226</v>
      </c>
      <c r="D3668" s="557">
        <v>306.45999999999998</v>
      </c>
      <c r="E3668" s="557">
        <v>292.10000000000002</v>
      </c>
      <c r="F3668" s="557">
        <v>14.36</v>
      </c>
      <c r="G3668" s="557">
        <v>306.45999999999998</v>
      </c>
    </row>
    <row r="3669" spans="1:7" ht="12.6" customHeight="1" x14ac:dyDescent="0.2">
      <c r="A3669" s="548" t="s">
        <v>38884</v>
      </c>
      <c r="B3669" s="548" t="s">
        <v>38885</v>
      </c>
      <c r="C3669" s="550" t="s">
        <v>226</v>
      </c>
      <c r="D3669" s="550">
        <v>857.81</v>
      </c>
      <c r="E3669" s="550">
        <v>842.56</v>
      </c>
      <c r="F3669" s="550">
        <v>15.25</v>
      </c>
      <c r="G3669" s="550">
        <v>857.81</v>
      </c>
    </row>
    <row r="3670" spans="1:7" ht="12.6" customHeight="1" x14ac:dyDescent="0.25">
      <c r="A3670" s="551" t="s">
        <v>38886</v>
      </c>
      <c r="B3670" s="551" t="s">
        <v>38887</v>
      </c>
      <c r="C3670" s="552" t="s">
        <v>226</v>
      </c>
      <c r="D3670" s="557">
        <v>733.14</v>
      </c>
      <c r="E3670" s="557">
        <v>717.89</v>
      </c>
      <c r="F3670" s="557">
        <v>15.25</v>
      </c>
      <c r="G3670" s="557">
        <v>733.14</v>
      </c>
    </row>
    <row r="3671" spans="1:7" ht="12.6" customHeight="1" x14ac:dyDescent="0.25">
      <c r="A3671" s="551" t="s">
        <v>38888</v>
      </c>
      <c r="B3671" s="551" t="s">
        <v>38889</v>
      </c>
      <c r="C3671" s="552" t="s">
        <v>226</v>
      </c>
      <c r="D3671" s="557">
        <v>78.02</v>
      </c>
      <c r="E3671" s="557">
        <v>63.66</v>
      </c>
      <c r="F3671" s="557">
        <v>14.36</v>
      </c>
      <c r="G3671" s="557">
        <v>78.02</v>
      </c>
    </row>
    <row r="3672" spans="1:7" ht="11.45" customHeight="1" x14ac:dyDescent="0.25">
      <c r="A3672" s="543" t="s">
        <v>38890</v>
      </c>
      <c r="B3672" s="544" t="s">
        <v>38891</v>
      </c>
      <c r="C3672" s="544" t="s">
        <v>226</v>
      </c>
      <c r="D3672" s="543">
        <v>302.95999999999998</v>
      </c>
      <c r="E3672" s="545">
        <v>287.70999999999998</v>
      </c>
      <c r="F3672" s="546">
        <v>15.25</v>
      </c>
      <c r="G3672" s="543">
        <v>302.95999999999998</v>
      </c>
    </row>
    <row r="3673" spans="1:7" ht="12.6" customHeight="1" x14ac:dyDescent="0.25">
      <c r="A3673" s="551" t="s">
        <v>38892</v>
      </c>
      <c r="B3673" s="551" t="s">
        <v>38893</v>
      </c>
      <c r="C3673" s="552" t="s">
        <v>226</v>
      </c>
      <c r="D3673" s="557">
        <v>145.41999999999999</v>
      </c>
      <c r="E3673" s="557">
        <v>92.77</v>
      </c>
      <c r="F3673" s="557">
        <v>52.65</v>
      </c>
      <c r="G3673" s="557">
        <v>145.41999999999999</v>
      </c>
    </row>
    <row r="3674" spans="1:7" ht="12.6" customHeight="1" x14ac:dyDescent="0.2">
      <c r="A3674" s="548" t="s">
        <v>38894</v>
      </c>
      <c r="B3674" s="548" t="s">
        <v>38895</v>
      </c>
      <c r="C3674" s="550" t="s">
        <v>226</v>
      </c>
      <c r="D3674" s="550">
        <v>249.58</v>
      </c>
      <c r="E3674" s="550">
        <v>201.72</v>
      </c>
      <c r="F3674" s="550">
        <v>47.86</v>
      </c>
      <c r="G3674" s="550">
        <v>249.58</v>
      </c>
    </row>
    <row r="3675" spans="1:7" ht="12.6" customHeight="1" x14ac:dyDescent="0.25">
      <c r="A3675" s="551" t="s">
        <v>38896</v>
      </c>
      <c r="B3675" s="551" t="s">
        <v>38897</v>
      </c>
      <c r="C3675" s="552" t="s">
        <v>226</v>
      </c>
      <c r="D3675" s="557">
        <v>1283.26</v>
      </c>
      <c r="E3675" s="557">
        <v>1268.9000000000001</v>
      </c>
      <c r="F3675" s="557">
        <v>14.36</v>
      </c>
      <c r="G3675" s="557">
        <v>1283.26</v>
      </c>
    </row>
    <row r="3676" spans="1:7" ht="12.6" customHeight="1" x14ac:dyDescent="0.2">
      <c r="A3676" s="548" t="s">
        <v>38898</v>
      </c>
      <c r="B3676" s="548" t="s">
        <v>38899</v>
      </c>
      <c r="C3676" s="550" t="s">
        <v>226</v>
      </c>
      <c r="D3676" s="550">
        <v>206.81</v>
      </c>
      <c r="E3676" s="550">
        <v>192.45</v>
      </c>
      <c r="F3676" s="550">
        <v>14.36</v>
      </c>
      <c r="G3676" s="550">
        <v>206.81</v>
      </c>
    </row>
    <row r="3677" spans="1:7" ht="24.95" customHeight="1" x14ac:dyDescent="0.25">
      <c r="A3677" s="551" t="s">
        <v>38900</v>
      </c>
      <c r="B3677" s="342" t="s">
        <v>38901</v>
      </c>
      <c r="C3677" s="552" t="s">
        <v>226</v>
      </c>
      <c r="D3677" s="557">
        <v>237.08</v>
      </c>
      <c r="E3677" s="557">
        <v>213.14</v>
      </c>
      <c r="F3677" s="557">
        <v>23.94</v>
      </c>
      <c r="G3677" s="557">
        <v>237.08</v>
      </c>
    </row>
    <row r="3678" spans="1:7" ht="12.6" customHeight="1" x14ac:dyDescent="0.25">
      <c r="A3678" s="551" t="s">
        <v>38902</v>
      </c>
      <c r="B3678" s="551" t="s">
        <v>38903</v>
      </c>
      <c r="C3678" s="552" t="s">
        <v>226</v>
      </c>
      <c r="D3678" s="557">
        <v>450.6</v>
      </c>
      <c r="E3678" s="557">
        <v>436.24</v>
      </c>
      <c r="F3678" s="557">
        <v>14.36</v>
      </c>
      <c r="G3678" s="557">
        <v>450.6</v>
      </c>
    </row>
    <row r="3679" spans="1:7" ht="12.6" customHeight="1" x14ac:dyDescent="0.2">
      <c r="A3679" s="548" t="s">
        <v>38904</v>
      </c>
      <c r="B3679" s="548" t="s">
        <v>38905</v>
      </c>
      <c r="C3679" s="550" t="s">
        <v>226</v>
      </c>
      <c r="D3679" s="550">
        <v>377.36</v>
      </c>
      <c r="E3679" s="550">
        <v>365.39</v>
      </c>
      <c r="F3679" s="550">
        <v>11.97</v>
      </c>
      <c r="G3679" s="550">
        <v>377.36</v>
      </c>
    </row>
    <row r="3680" spans="1:7" ht="12.6" customHeight="1" x14ac:dyDescent="0.25">
      <c r="A3680" s="551" t="s">
        <v>38906</v>
      </c>
      <c r="B3680" s="551" t="s">
        <v>38907</v>
      </c>
      <c r="C3680" s="552" t="s">
        <v>226</v>
      </c>
      <c r="D3680" s="557">
        <v>224.23</v>
      </c>
      <c r="E3680" s="557">
        <v>212.26</v>
      </c>
      <c r="F3680" s="557">
        <v>11.97</v>
      </c>
      <c r="G3680" s="557">
        <v>224.23</v>
      </c>
    </row>
    <row r="3681" spans="1:7" ht="12.6" customHeight="1" x14ac:dyDescent="0.25">
      <c r="A3681" s="551" t="s">
        <v>38908</v>
      </c>
      <c r="B3681" s="551" t="s">
        <v>38909</v>
      </c>
      <c r="C3681" s="552"/>
      <c r="D3681" s="553"/>
      <c r="E3681" s="553"/>
      <c r="F3681" s="557"/>
      <c r="G3681" s="553"/>
    </row>
    <row r="3682" spans="1:7" ht="12.6" customHeight="1" x14ac:dyDescent="0.25">
      <c r="A3682" s="551" t="s">
        <v>38910</v>
      </c>
      <c r="B3682" s="551" t="s">
        <v>38911</v>
      </c>
      <c r="C3682" s="552" t="s">
        <v>226</v>
      </c>
      <c r="D3682" s="557">
        <v>1419.45</v>
      </c>
      <c r="E3682" s="557">
        <v>1399.58</v>
      </c>
      <c r="F3682" s="557">
        <v>19.87</v>
      </c>
      <c r="G3682" s="557">
        <v>1419.45</v>
      </c>
    </row>
    <row r="3683" spans="1:7" ht="12.6" customHeight="1" x14ac:dyDescent="0.25">
      <c r="A3683" s="551" t="s">
        <v>38912</v>
      </c>
      <c r="B3683" s="551" t="s">
        <v>38913</v>
      </c>
      <c r="C3683" s="552" t="s">
        <v>226</v>
      </c>
      <c r="D3683" s="557">
        <v>5946.53</v>
      </c>
      <c r="E3683" s="557">
        <v>5926.66</v>
      </c>
      <c r="F3683" s="557">
        <v>19.87</v>
      </c>
      <c r="G3683" s="557">
        <v>5946.53</v>
      </c>
    </row>
    <row r="3684" spans="1:7" ht="12.6" customHeight="1" x14ac:dyDescent="0.25">
      <c r="A3684" s="551" t="s">
        <v>38914</v>
      </c>
      <c r="B3684" s="551" t="s">
        <v>38915</v>
      </c>
      <c r="C3684" s="552" t="s">
        <v>226</v>
      </c>
      <c r="D3684" s="557">
        <v>188.88</v>
      </c>
      <c r="E3684" s="557">
        <v>169.01</v>
      </c>
      <c r="F3684" s="557">
        <v>19.87</v>
      </c>
      <c r="G3684" s="557">
        <v>188.88</v>
      </c>
    </row>
    <row r="3685" spans="1:7" ht="12.6" customHeight="1" x14ac:dyDescent="0.25">
      <c r="A3685" s="551" t="s">
        <v>38916</v>
      </c>
      <c r="B3685" s="551" t="s">
        <v>38917</v>
      </c>
      <c r="C3685" s="552" t="s">
        <v>226</v>
      </c>
      <c r="D3685" s="557">
        <v>269.83</v>
      </c>
      <c r="E3685" s="557">
        <v>249.96</v>
      </c>
      <c r="F3685" s="557">
        <v>19.87</v>
      </c>
      <c r="G3685" s="557">
        <v>269.83</v>
      </c>
    </row>
    <row r="3686" spans="1:7" ht="12.6" customHeight="1" x14ac:dyDescent="0.25">
      <c r="A3686" s="551" t="s">
        <v>38918</v>
      </c>
      <c r="B3686" s="551" t="s">
        <v>38919</v>
      </c>
      <c r="C3686" s="552" t="s">
        <v>226</v>
      </c>
      <c r="D3686" s="553">
        <v>303.25</v>
      </c>
      <c r="E3686" s="553">
        <v>283.38</v>
      </c>
      <c r="F3686" s="557">
        <v>19.87</v>
      </c>
      <c r="G3686" s="553">
        <v>303.25</v>
      </c>
    </row>
    <row r="3687" spans="1:7" ht="12.6" customHeight="1" x14ac:dyDescent="0.25">
      <c r="A3687" s="551" t="s">
        <v>38920</v>
      </c>
      <c r="B3687" s="551" t="s">
        <v>38921</v>
      </c>
      <c r="C3687" s="552" t="s">
        <v>226</v>
      </c>
      <c r="D3687" s="553">
        <v>1513.07</v>
      </c>
      <c r="E3687" s="553">
        <v>1513.07</v>
      </c>
      <c r="F3687" s="557"/>
      <c r="G3687" s="553">
        <v>1513.07</v>
      </c>
    </row>
    <row r="3688" spans="1:7" ht="23.1" customHeight="1" x14ac:dyDescent="0.25">
      <c r="A3688" s="551" t="s">
        <v>38922</v>
      </c>
      <c r="B3688" s="551" t="s">
        <v>38923</v>
      </c>
      <c r="C3688" s="552" t="s">
        <v>226</v>
      </c>
      <c r="D3688" s="557">
        <v>199.11</v>
      </c>
      <c r="E3688" s="557">
        <v>179.24</v>
      </c>
      <c r="F3688" s="557">
        <v>19.87</v>
      </c>
      <c r="G3688" s="557">
        <v>199.11</v>
      </c>
    </row>
    <row r="3689" spans="1:7" ht="24.95" customHeight="1" x14ac:dyDescent="0.25">
      <c r="A3689" s="551" t="s">
        <v>38924</v>
      </c>
      <c r="B3689" s="342" t="s">
        <v>38925</v>
      </c>
      <c r="C3689" s="552" t="s">
        <v>226</v>
      </c>
      <c r="D3689" s="553">
        <v>236.65</v>
      </c>
      <c r="E3689" s="553">
        <v>216.78</v>
      </c>
      <c r="F3689" s="557">
        <v>19.87</v>
      </c>
      <c r="G3689" s="553">
        <v>236.65</v>
      </c>
    </row>
    <row r="3690" spans="1:7" ht="24.95" customHeight="1" x14ac:dyDescent="0.25">
      <c r="A3690" s="551" t="s">
        <v>38926</v>
      </c>
      <c r="B3690" s="342" t="s">
        <v>38927</v>
      </c>
      <c r="C3690" s="552" t="s">
        <v>226</v>
      </c>
      <c r="D3690" s="553">
        <v>260.83999999999997</v>
      </c>
      <c r="E3690" s="553">
        <v>240.97</v>
      </c>
      <c r="F3690" s="557">
        <v>19.87</v>
      </c>
      <c r="G3690" s="553">
        <v>260.83999999999997</v>
      </c>
    </row>
    <row r="3691" spans="1:7" ht="24.95" customHeight="1" x14ac:dyDescent="0.25">
      <c r="A3691" s="551" t="s">
        <v>38928</v>
      </c>
      <c r="B3691" s="342" t="s">
        <v>38929</v>
      </c>
      <c r="C3691" s="552" t="s">
        <v>226</v>
      </c>
      <c r="D3691" s="557">
        <v>633.16</v>
      </c>
      <c r="E3691" s="557">
        <v>613.29</v>
      </c>
      <c r="F3691" s="557">
        <v>19.87</v>
      </c>
      <c r="G3691" s="557">
        <v>633.16</v>
      </c>
    </row>
    <row r="3692" spans="1:7" ht="24.95" customHeight="1" x14ac:dyDescent="0.25">
      <c r="A3692" s="551" t="s">
        <v>38930</v>
      </c>
      <c r="B3692" s="342" t="s">
        <v>38931</v>
      </c>
      <c r="C3692" s="552" t="s">
        <v>226</v>
      </c>
      <c r="D3692" s="557">
        <v>197.74</v>
      </c>
      <c r="E3692" s="557">
        <v>195.79</v>
      </c>
      <c r="F3692" s="557">
        <v>1.95</v>
      </c>
      <c r="G3692" s="557">
        <v>197.74</v>
      </c>
    </row>
    <row r="3693" spans="1:7" ht="24.95" customHeight="1" x14ac:dyDescent="0.25">
      <c r="A3693" s="551" t="s">
        <v>38932</v>
      </c>
      <c r="B3693" s="342" t="s">
        <v>38933</v>
      </c>
      <c r="C3693" s="552" t="s">
        <v>226</v>
      </c>
      <c r="D3693" s="557">
        <v>270.72000000000003</v>
      </c>
      <c r="E3693" s="557">
        <v>268.77</v>
      </c>
      <c r="F3693" s="557">
        <v>1.95</v>
      </c>
      <c r="G3693" s="557">
        <v>270.72000000000003</v>
      </c>
    </row>
    <row r="3694" spans="1:7" ht="23.1" customHeight="1" x14ac:dyDescent="0.25">
      <c r="A3694" s="551" t="s">
        <v>38934</v>
      </c>
      <c r="B3694" s="551" t="s">
        <v>38935</v>
      </c>
      <c r="C3694" s="552"/>
      <c r="D3694" s="557"/>
      <c r="E3694" s="557"/>
      <c r="F3694" s="557"/>
      <c r="G3694" s="557"/>
    </row>
    <row r="3695" spans="1:7" ht="23.1" customHeight="1" x14ac:dyDescent="0.25">
      <c r="A3695" s="551" t="s">
        <v>38936</v>
      </c>
      <c r="B3695" s="551" t="s">
        <v>38937</v>
      </c>
      <c r="C3695" s="552" t="s">
        <v>16628</v>
      </c>
      <c r="D3695" s="557">
        <v>3.07</v>
      </c>
      <c r="E3695" s="557">
        <v>3.07</v>
      </c>
      <c r="F3695" s="557"/>
      <c r="G3695" s="557">
        <v>3.07</v>
      </c>
    </row>
    <row r="3696" spans="1:7" ht="23.1" customHeight="1" x14ac:dyDescent="0.25">
      <c r="A3696" s="551" t="s">
        <v>38938</v>
      </c>
      <c r="B3696" s="551" t="s">
        <v>38939</v>
      </c>
      <c r="C3696" s="552" t="s">
        <v>6008</v>
      </c>
      <c r="D3696" s="557">
        <v>12.18</v>
      </c>
      <c r="E3696" s="557">
        <v>12.18</v>
      </c>
      <c r="F3696" s="557"/>
      <c r="G3696" s="557">
        <v>12.18</v>
      </c>
    </row>
    <row r="3697" spans="1:7" ht="23.1" customHeight="1" x14ac:dyDescent="0.25">
      <c r="A3697" s="551" t="s">
        <v>38940</v>
      </c>
      <c r="B3697" s="551" t="s">
        <v>38941</v>
      </c>
      <c r="C3697" s="552" t="s">
        <v>6008</v>
      </c>
      <c r="D3697" s="557">
        <v>9.4</v>
      </c>
      <c r="E3697" s="557">
        <v>9.4</v>
      </c>
      <c r="F3697" s="557"/>
      <c r="G3697" s="557">
        <v>9.4</v>
      </c>
    </row>
    <row r="3698" spans="1:7" ht="24.95" customHeight="1" x14ac:dyDescent="0.25">
      <c r="A3698" s="551" t="s">
        <v>38942</v>
      </c>
      <c r="B3698" s="342" t="s">
        <v>38943</v>
      </c>
      <c r="C3698" s="552" t="s">
        <v>226</v>
      </c>
      <c r="D3698" s="557">
        <v>44.85</v>
      </c>
      <c r="E3698" s="557">
        <v>44.85</v>
      </c>
      <c r="F3698" s="557"/>
      <c r="G3698" s="557">
        <v>44.85</v>
      </c>
    </row>
    <row r="3699" spans="1:7" ht="24.95" customHeight="1" x14ac:dyDescent="0.25">
      <c r="A3699" s="551" t="s">
        <v>38944</v>
      </c>
      <c r="B3699" s="342" t="s">
        <v>38945</v>
      </c>
      <c r="C3699" s="552" t="s">
        <v>226</v>
      </c>
      <c r="D3699" s="553">
        <v>29.01</v>
      </c>
      <c r="E3699" s="553">
        <v>29.01</v>
      </c>
      <c r="F3699" s="557"/>
      <c r="G3699" s="553">
        <v>29.01</v>
      </c>
    </row>
    <row r="3700" spans="1:7" ht="24.95" customHeight="1" x14ac:dyDescent="0.25">
      <c r="A3700" s="551" t="s">
        <v>38946</v>
      </c>
      <c r="B3700" s="342" t="s">
        <v>38947</v>
      </c>
      <c r="C3700" s="552" t="s">
        <v>226</v>
      </c>
      <c r="D3700" s="553">
        <v>16.899999999999999</v>
      </c>
      <c r="E3700" s="557">
        <v>0.06</v>
      </c>
      <c r="F3700" s="557">
        <v>16.84</v>
      </c>
      <c r="G3700" s="553">
        <v>16.899999999999999</v>
      </c>
    </row>
    <row r="3701" spans="1:7" ht="24.95" customHeight="1" x14ac:dyDescent="0.25">
      <c r="A3701" s="551" t="s">
        <v>38948</v>
      </c>
      <c r="B3701" s="342" t="s">
        <v>38949</v>
      </c>
      <c r="C3701" s="552"/>
      <c r="D3701" s="553"/>
      <c r="E3701" s="553"/>
      <c r="F3701" s="557"/>
      <c r="G3701" s="553"/>
    </row>
    <row r="3702" spans="1:7" ht="12.6" customHeight="1" x14ac:dyDescent="0.2">
      <c r="A3702" s="548" t="s">
        <v>38950</v>
      </c>
      <c r="B3702" s="548" t="s">
        <v>38951</v>
      </c>
      <c r="C3702" s="550"/>
      <c r="D3702" s="550"/>
      <c r="E3702" s="550"/>
      <c r="F3702" s="550"/>
      <c r="G3702" s="550"/>
    </row>
    <row r="3703" spans="1:7" ht="12.6" customHeight="1" x14ac:dyDescent="0.25">
      <c r="A3703" s="551" t="s">
        <v>38952</v>
      </c>
      <c r="B3703" s="551" t="s">
        <v>38953</v>
      </c>
      <c r="C3703" s="552" t="s">
        <v>227</v>
      </c>
      <c r="D3703" s="557">
        <v>3.79</v>
      </c>
      <c r="E3703" s="557">
        <v>3.63</v>
      </c>
      <c r="F3703" s="557">
        <v>0.16</v>
      </c>
      <c r="G3703" s="557">
        <v>3.79</v>
      </c>
    </row>
    <row r="3704" spans="1:7" ht="12.6" customHeight="1" x14ac:dyDescent="0.2">
      <c r="A3704" s="548" t="s">
        <v>246</v>
      </c>
      <c r="B3704" s="548" t="s">
        <v>38954</v>
      </c>
      <c r="C3704" s="550" t="s">
        <v>227</v>
      </c>
      <c r="D3704" s="550">
        <v>29.31</v>
      </c>
      <c r="E3704" s="550">
        <v>29</v>
      </c>
      <c r="F3704" s="550">
        <v>0.31</v>
      </c>
      <c r="G3704" s="550">
        <v>29.31</v>
      </c>
    </row>
    <row r="3705" spans="1:7" ht="12.6" customHeight="1" x14ac:dyDescent="0.25">
      <c r="A3705" s="551" t="s">
        <v>247</v>
      </c>
      <c r="B3705" s="551" t="s">
        <v>248</v>
      </c>
      <c r="C3705" s="552" t="s">
        <v>159</v>
      </c>
      <c r="D3705" s="557">
        <v>24.06</v>
      </c>
      <c r="E3705" s="557">
        <v>23.44</v>
      </c>
      <c r="F3705" s="557">
        <v>0.62</v>
      </c>
      <c r="G3705" s="557">
        <v>24.06</v>
      </c>
    </row>
    <row r="3706" spans="1:7" ht="23.1" customHeight="1" x14ac:dyDescent="0.25">
      <c r="A3706" s="551" t="s">
        <v>38955</v>
      </c>
      <c r="B3706" s="551" t="s">
        <v>38956</v>
      </c>
      <c r="C3706" s="552" t="s">
        <v>159</v>
      </c>
      <c r="D3706" s="557">
        <v>311.60000000000002</v>
      </c>
      <c r="E3706" s="557">
        <v>282.39</v>
      </c>
      <c r="F3706" s="557">
        <v>29.21</v>
      </c>
      <c r="G3706" s="557">
        <v>311.60000000000002</v>
      </c>
    </row>
    <row r="3707" spans="1:7" ht="24.95" customHeight="1" x14ac:dyDescent="0.25">
      <c r="A3707" s="551" t="s">
        <v>38957</v>
      </c>
      <c r="B3707" s="342" t="s">
        <v>249</v>
      </c>
      <c r="C3707" s="552" t="s">
        <v>159</v>
      </c>
      <c r="D3707" s="557">
        <v>240.49</v>
      </c>
      <c r="E3707" s="557">
        <v>221.02</v>
      </c>
      <c r="F3707" s="557">
        <v>19.47</v>
      </c>
      <c r="G3707" s="557">
        <v>240.49</v>
      </c>
    </row>
    <row r="3708" spans="1:7" ht="12.6" customHeight="1" x14ac:dyDescent="0.2">
      <c r="A3708" s="548" t="s">
        <v>250</v>
      </c>
      <c r="B3708" s="548" t="s">
        <v>251</v>
      </c>
      <c r="C3708" s="550" t="s">
        <v>159</v>
      </c>
      <c r="D3708" s="550">
        <v>200.62</v>
      </c>
      <c r="E3708" s="550">
        <v>197.62</v>
      </c>
      <c r="F3708" s="550">
        <v>3</v>
      </c>
      <c r="G3708" s="550">
        <v>200.62</v>
      </c>
    </row>
    <row r="3709" spans="1:7" ht="12.6" customHeight="1" x14ac:dyDescent="0.25">
      <c r="A3709" s="551" t="s">
        <v>252</v>
      </c>
      <c r="B3709" s="551" t="s">
        <v>253</v>
      </c>
      <c r="C3709" s="552" t="s">
        <v>159</v>
      </c>
      <c r="D3709" s="553">
        <v>909.06</v>
      </c>
      <c r="E3709" s="553">
        <v>894.46</v>
      </c>
      <c r="F3709" s="553">
        <v>14.6</v>
      </c>
      <c r="G3709" s="553">
        <v>909.06</v>
      </c>
    </row>
    <row r="3710" spans="1:7" ht="12.6" customHeight="1" x14ac:dyDescent="0.25">
      <c r="A3710" s="551" t="s">
        <v>254</v>
      </c>
      <c r="B3710" s="551" t="s">
        <v>38958</v>
      </c>
      <c r="C3710" s="552" t="s">
        <v>159</v>
      </c>
      <c r="D3710" s="553">
        <v>298.11</v>
      </c>
      <c r="E3710" s="553">
        <v>298.11</v>
      </c>
      <c r="F3710" s="553"/>
      <c r="G3710" s="553">
        <v>298.11</v>
      </c>
    </row>
    <row r="3711" spans="1:7" ht="12.6" customHeight="1" x14ac:dyDescent="0.25">
      <c r="A3711" s="551" t="s">
        <v>255</v>
      </c>
      <c r="B3711" s="551" t="s">
        <v>38959</v>
      </c>
      <c r="C3711" s="552" t="s">
        <v>227</v>
      </c>
      <c r="D3711" s="553">
        <v>24.64</v>
      </c>
      <c r="E3711" s="553">
        <v>24.2</v>
      </c>
      <c r="F3711" s="553">
        <v>0.44</v>
      </c>
      <c r="G3711" s="553">
        <v>24.64</v>
      </c>
    </row>
    <row r="3712" spans="1:7" ht="12.6" customHeight="1" x14ac:dyDescent="0.25">
      <c r="A3712" s="551" t="s">
        <v>256</v>
      </c>
      <c r="B3712" s="551" t="s">
        <v>257</v>
      </c>
      <c r="C3712" s="552" t="s">
        <v>227</v>
      </c>
      <c r="D3712" s="553">
        <v>0.78</v>
      </c>
      <c r="E3712" s="553"/>
      <c r="F3712" s="553">
        <v>0.78</v>
      </c>
      <c r="G3712" s="553">
        <v>0.78</v>
      </c>
    </row>
    <row r="3713" spans="1:7" ht="11.45" customHeight="1" x14ac:dyDescent="0.25">
      <c r="A3713" s="543" t="s">
        <v>38960</v>
      </c>
      <c r="B3713" s="544" t="s">
        <v>38961</v>
      </c>
      <c r="C3713" s="544"/>
      <c r="D3713" s="543"/>
      <c r="E3713" s="545"/>
      <c r="F3713" s="546"/>
      <c r="G3713" s="543"/>
    </row>
    <row r="3714" spans="1:7" ht="12.6" customHeight="1" x14ac:dyDescent="0.25">
      <c r="A3714" s="551" t="s">
        <v>2494</v>
      </c>
      <c r="B3714" s="551" t="s">
        <v>38962</v>
      </c>
      <c r="C3714" s="552" t="s">
        <v>159</v>
      </c>
      <c r="D3714" s="553">
        <v>126.48</v>
      </c>
      <c r="E3714" s="553">
        <v>114.02</v>
      </c>
      <c r="F3714" s="553">
        <v>12.46</v>
      </c>
      <c r="G3714" s="553">
        <v>126.48</v>
      </c>
    </row>
    <row r="3715" spans="1:7" ht="24.95" customHeight="1" x14ac:dyDescent="0.25">
      <c r="A3715" s="551" t="s">
        <v>38963</v>
      </c>
      <c r="B3715" s="342" t="s">
        <v>38964</v>
      </c>
      <c r="C3715" s="552" t="s">
        <v>159</v>
      </c>
      <c r="D3715" s="557">
        <v>272.58</v>
      </c>
      <c r="E3715" s="557">
        <v>180.74</v>
      </c>
      <c r="F3715" s="557">
        <v>91.84</v>
      </c>
      <c r="G3715" s="557">
        <v>272.58</v>
      </c>
    </row>
    <row r="3716" spans="1:7" ht="12.6" customHeight="1" x14ac:dyDescent="0.25">
      <c r="A3716" s="551" t="s">
        <v>38965</v>
      </c>
      <c r="B3716" s="551" t="s">
        <v>38966</v>
      </c>
      <c r="C3716" s="552"/>
      <c r="D3716" s="553"/>
      <c r="E3716" s="553"/>
      <c r="F3716" s="553"/>
      <c r="G3716" s="553"/>
    </row>
    <row r="3717" spans="1:7" ht="12.6" customHeight="1" x14ac:dyDescent="0.2">
      <c r="A3717" s="548" t="s">
        <v>38967</v>
      </c>
      <c r="B3717" s="548" t="s">
        <v>38968</v>
      </c>
      <c r="C3717" s="550" t="s">
        <v>159</v>
      </c>
      <c r="D3717" s="550">
        <v>1381.91</v>
      </c>
      <c r="E3717" s="550">
        <v>1365.69</v>
      </c>
      <c r="F3717" s="550">
        <v>16.22</v>
      </c>
      <c r="G3717" s="550">
        <v>1381.91</v>
      </c>
    </row>
    <row r="3718" spans="1:7" ht="24.95" customHeight="1" x14ac:dyDescent="0.25">
      <c r="A3718" s="551" t="s">
        <v>38969</v>
      </c>
      <c r="B3718" s="342" t="s">
        <v>258</v>
      </c>
      <c r="C3718" s="552" t="s">
        <v>159</v>
      </c>
      <c r="D3718" s="553">
        <v>1530.49</v>
      </c>
      <c r="E3718" s="553">
        <v>1514.27</v>
      </c>
      <c r="F3718" s="553">
        <v>16.22</v>
      </c>
      <c r="G3718" s="553">
        <v>1530.49</v>
      </c>
    </row>
    <row r="3719" spans="1:7" ht="24.95" customHeight="1" x14ac:dyDescent="0.25">
      <c r="A3719" s="551" t="s">
        <v>259</v>
      </c>
      <c r="B3719" s="342" t="s">
        <v>38970</v>
      </c>
      <c r="C3719" s="552" t="s">
        <v>159</v>
      </c>
      <c r="D3719" s="553">
        <v>1530.49</v>
      </c>
      <c r="E3719" s="553">
        <v>1514.27</v>
      </c>
      <c r="F3719" s="553">
        <v>16.22</v>
      </c>
      <c r="G3719" s="553">
        <v>1530.49</v>
      </c>
    </row>
    <row r="3720" spans="1:7" ht="24.95" customHeight="1" x14ac:dyDescent="0.25">
      <c r="A3720" s="551" t="s">
        <v>38971</v>
      </c>
      <c r="B3720" s="342" t="s">
        <v>260</v>
      </c>
      <c r="C3720" s="552" t="s">
        <v>227</v>
      </c>
      <c r="D3720" s="553">
        <v>7.22</v>
      </c>
      <c r="E3720" s="553">
        <v>7.12</v>
      </c>
      <c r="F3720" s="553">
        <v>0.1</v>
      </c>
      <c r="G3720" s="553">
        <v>7.22</v>
      </c>
    </row>
    <row r="3721" spans="1:7" ht="24.95" customHeight="1" x14ac:dyDescent="0.25">
      <c r="A3721" s="551" t="s">
        <v>38972</v>
      </c>
      <c r="B3721" s="342" t="s">
        <v>261</v>
      </c>
      <c r="C3721" s="552" t="s">
        <v>227</v>
      </c>
      <c r="D3721" s="553">
        <v>14.4</v>
      </c>
      <c r="E3721" s="553">
        <v>14.28</v>
      </c>
      <c r="F3721" s="553">
        <v>0.12</v>
      </c>
      <c r="G3721" s="553">
        <v>14.4</v>
      </c>
    </row>
    <row r="3722" spans="1:7" ht="12.6" customHeight="1" x14ac:dyDescent="0.2">
      <c r="A3722" s="548" t="s">
        <v>262</v>
      </c>
      <c r="B3722" s="548" t="s">
        <v>263</v>
      </c>
      <c r="C3722" s="550" t="s">
        <v>159</v>
      </c>
      <c r="D3722" s="550">
        <v>1572.44</v>
      </c>
      <c r="E3722" s="550">
        <v>1556.22</v>
      </c>
      <c r="F3722" s="550">
        <v>16.22</v>
      </c>
      <c r="G3722" s="550">
        <v>1572.44</v>
      </c>
    </row>
    <row r="3723" spans="1:7" ht="24.95" customHeight="1" x14ac:dyDescent="0.25">
      <c r="A3723" s="551" t="s">
        <v>264</v>
      </c>
      <c r="B3723" s="342" t="s">
        <v>265</v>
      </c>
      <c r="C3723" s="552" t="s">
        <v>159</v>
      </c>
      <c r="D3723" s="553">
        <v>1682.35</v>
      </c>
      <c r="E3723" s="553">
        <v>1643.41</v>
      </c>
      <c r="F3723" s="553">
        <v>38.94</v>
      </c>
      <c r="G3723" s="553">
        <v>1682.35</v>
      </c>
    </row>
    <row r="3724" spans="1:7" ht="24.95" customHeight="1" x14ac:dyDescent="0.25">
      <c r="A3724" s="551" t="s">
        <v>38973</v>
      </c>
      <c r="B3724" s="342" t="s">
        <v>38974</v>
      </c>
      <c r="C3724" s="552"/>
      <c r="D3724" s="553"/>
      <c r="E3724" s="553"/>
      <c r="F3724" s="553"/>
      <c r="G3724" s="553"/>
    </row>
    <row r="3725" spans="1:7" ht="24.95" customHeight="1" x14ac:dyDescent="0.25">
      <c r="A3725" s="551" t="s">
        <v>38975</v>
      </c>
      <c r="B3725" s="342" t="s">
        <v>38976</v>
      </c>
      <c r="C3725" s="552" t="s">
        <v>227</v>
      </c>
      <c r="D3725" s="553">
        <v>286.77999999999997</v>
      </c>
      <c r="E3725" s="553">
        <v>261.89</v>
      </c>
      <c r="F3725" s="553">
        <v>24.89</v>
      </c>
      <c r="G3725" s="553">
        <v>286.77999999999997</v>
      </c>
    </row>
    <row r="3726" spans="1:7" ht="12.6" customHeight="1" x14ac:dyDescent="0.25">
      <c r="A3726" s="551" t="s">
        <v>38977</v>
      </c>
      <c r="B3726" s="551" t="s">
        <v>38978</v>
      </c>
      <c r="C3726" s="552" t="s">
        <v>227</v>
      </c>
      <c r="D3726" s="553">
        <v>17.760000000000002</v>
      </c>
      <c r="E3726" s="553">
        <v>15.81</v>
      </c>
      <c r="F3726" s="557">
        <v>1.95</v>
      </c>
      <c r="G3726" s="553">
        <v>17.760000000000002</v>
      </c>
    </row>
    <row r="3727" spans="1:7" ht="24.95" customHeight="1" x14ac:dyDescent="0.25">
      <c r="A3727" s="551" t="s">
        <v>38979</v>
      </c>
      <c r="B3727" s="342" t="s">
        <v>38980</v>
      </c>
      <c r="C3727" s="552" t="s">
        <v>227</v>
      </c>
      <c r="D3727" s="557">
        <v>16.239999999999998</v>
      </c>
      <c r="E3727" s="557">
        <v>10.199999999999999</v>
      </c>
      <c r="F3727" s="557">
        <v>6.04</v>
      </c>
      <c r="G3727" s="557">
        <v>16.239999999999998</v>
      </c>
    </row>
    <row r="3728" spans="1:7" ht="12.6" customHeight="1" x14ac:dyDescent="0.2">
      <c r="A3728" s="548" t="s">
        <v>38981</v>
      </c>
      <c r="B3728" s="548" t="s">
        <v>38982</v>
      </c>
      <c r="C3728" s="550" t="s">
        <v>227</v>
      </c>
      <c r="D3728" s="550">
        <v>51.99</v>
      </c>
      <c r="E3728" s="550">
        <v>47.12</v>
      </c>
      <c r="F3728" s="550">
        <v>4.87</v>
      </c>
      <c r="G3728" s="550">
        <v>51.99</v>
      </c>
    </row>
    <row r="3729" spans="1:7" ht="12.6" customHeight="1" x14ac:dyDescent="0.25">
      <c r="A3729" s="551" t="s">
        <v>38983</v>
      </c>
      <c r="B3729" s="551" t="s">
        <v>38984</v>
      </c>
      <c r="C3729" s="552" t="s">
        <v>227</v>
      </c>
      <c r="D3729" s="557">
        <v>101.02</v>
      </c>
      <c r="E3729" s="557">
        <v>82.23</v>
      </c>
      <c r="F3729" s="557">
        <v>18.79</v>
      </c>
      <c r="G3729" s="557">
        <v>101.02</v>
      </c>
    </row>
    <row r="3730" spans="1:7" ht="12.6" customHeight="1" x14ac:dyDescent="0.25">
      <c r="A3730" s="551" t="s">
        <v>38985</v>
      </c>
      <c r="B3730" s="551" t="s">
        <v>38986</v>
      </c>
      <c r="C3730" s="552" t="s">
        <v>227</v>
      </c>
      <c r="D3730" s="557">
        <v>102.7</v>
      </c>
      <c r="E3730" s="557">
        <v>83.91</v>
      </c>
      <c r="F3730" s="557">
        <v>18.79</v>
      </c>
      <c r="G3730" s="557">
        <v>102.7</v>
      </c>
    </row>
    <row r="3731" spans="1:7" ht="12.6" customHeight="1" x14ac:dyDescent="0.25">
      <c r="A3731" s="551" t="s">
        <v>38987</v>
      </c>
      <c r="B3731" s="551" t="s">
        <v>38988</v>
      </c>
      <c r="C3731" s="552" t="s">
        <v>227</v>
      </c>
      <c r="D3731" s="557">
        <v>116.48</v>
      </c>
      <c r="E3731" s="557">
        <v>91.42</v>
      </c>
      <c r="F3731" s="557">
        <v>25.06</v>
      </c>
      <c r="G3731" s="557">
        <v>116.48</v>
      </c>
    </row>
    <row r="3732" spans="1:7" ht="12.6" customHeight="1" x14ac:dyDescent="0.25">
      <c r="A3732" s="551" t="s">
        <v>38989</v>
      </c>
      <c r="B3732" s="551" t="s">
        <v>38990</v>
      </c>
      <c r="C3732" s="552" t="s">
        <v>227</v>
      </c>
      <c r="D3732" s="557">
        <v>105.96</v>
      </c>
      <c r="E3732" s="557">
        <v>96.76</v>
      </c>
      <c r="F3732" s="557">
        <v>9.1999999999999993</v>
      </c>
      <c r="G3732" s="557">
        <v>105.96</v>
      </c>
    </row>
    <row r="3733" spans="1:7" ht="12.6" customHeight="1" x14ac:dyDescent="0.25">
      <c r="A3733" s="551" t="s">
        <v>38991</v>
      </c>
      <c r="B3733" s="551" t="s">
        <v>38992</v>
      </c>
      <c r="C3733" s="552" t="s">
        <v>227</v>
      </c>
      <c r="D3733" s="553">
        <v>121.22</v>
      </c>
      <c r="E3733" s="553">
        <v>101.74</v>
      </c>
      <c r="F3733" s="557">
        <v>19.48</v>
      </c>
      <c r="G3733" s="553">
        <v>121.22</v>
      </c>
    </row>
    <row r="3734" spans="1:7" ht="12.6" customHeight="1" x14ac:dyDescent="0.25">
      <c r="A3734" s="551" t="s">
        <v>38993</v>
      </c>
      <c r="B3734" s="551" t="s">
        <v>38994</v>
      </c>
      <c r="C3734" s="552" t="s">
        <v>227</v>
      </c>
      <c r="D3734" s="553">
        <v>130.71</v>
      </c>
      <c r="E3734" s="553">
        <v>111.23</v>
      </c>
      <c r="F3734" s="557">
        <v>19.48</v>
      </c>
      <c r="G3734" s="553">
        <v>130.71</v>
      </c>
    </row>
    <row r="3735" spans="1:7" ht="12.6" customHeight="1" x14ac:dyDescent="0.2">
      <c r="A3735" s="548" t="s">
        <v>38995</v>
      </c>
      <c r="B3735" s="548" t="s">
        <v>38996</v>
      </c>
      <c r="C3735" s="550"/>
      <c r="D3735" s="550"/>
      <c r="E3735" s="550"/>
      <c r="F3735" s="550"/>
      <c r="G3735" s="550"/>
    </row>
    <row r="3736" spans="1:7" ht="12.6" customHeight="1" x14ac:dyDescent="0.25">
      <c r="A3736" s="551" t="s">
        <v>38997</v>
      </c>
      <c r="B3736" s="551" t="s">
        <v>38998</v>
      </c>
      <c r="C3736" s="552" t="s">
        <v>158</v>
      </c>
      <c r="D3736" s="557">
        <v>59.37</v>
      </c>
      <c r="E3736" s="557">
        <v>47.62</v>
      </c>
      <c r="F3736" s="557">
        <v>11.75</v>
      </c>
      <c r="G3736" s="557">
        <v>59.37</v>
      </c>
    </row>
    <row r="3737" spans="1:7" ht="12.6" customHeight="1" x14ac:dyDescent="0.25">
      <c r="A3737" s="551" t="s">
        <v>266</v>
      </c>
      <c r="B3737" s="551" t="s">
        <v>38999</v>
      </c>
      <c r="C3737" s="552" t="s">
        <v>158</v>
      </c>
      <c r="D3737" s="557">
        <v>56.57</v>
      </c>
      <c r="E3737" s="557">
        <v>44.82</v>
      </c>
      <c r="F3737" s="557">
        <v>11.75</v>
      </c>
      <c r="G3737" s="557">
        <v>56.57</v>
      </c>
    </row>
    <row r="3738" spans="1:7" ht="12.6" customHeight="1" x14ac:dyDescent="0.2">
      <c r="A3738" s="559" t="s">
        <v>267</v>
      </c>
      <c r="B3738" s="548" t="s">
        <v>39000</v>
      </c>
      <c r="C3738" s="550" t="s">
        <v>159</v>
      </c>
      <c r="D3738" s="550">
        <v>545.61</v>
      </c>
      <c r="E3738" s="550">
        <v>503.3</v>
      </c>
      <c r="F3738" s="550">
        <v>42.31</v>
      </c>
      <c r="G3738" s="550">
        <v>545.61</v>
      </c>
    </row>
    <row r="3739" spans="1:7" ht="12.6" customHeight="1" x14ac:dyDescent="0.2">
      <c r="A3739" s="548" t="s">
        <v>39001</v>
      </c>
      <c r="B3739" s="548" t="s">
        <v>39002</v>
      </c>
      <c r="C3739" s="550" t="s">
        <v>159</v>
      </c>
      <c r="D3739" s="550">
        <v>565.57000000000005</v>
      </c>
      <c r="E3739" s="550">
        <v>523.26</v>
      </c>
      <c r="F3739" s="550">
        <v>42.31</v>
      </c>
      <c r="G3739" s="550">
        <v>565.57000000000005</v>
      </c>
    </row>
    <row r="3740" spans="1:7" ht="24.95" customHeight="1" x14ac:dyDescent="0.25">
      <c r="A3740" s="551" t="s">
        <v>39003</v>
      </c>
      <c r="B3740" s="342" t="s">
        <v>39004</v>
      </c>
      <c r="C3740" s="552" t="s">
        <v>159</v>
      </c>
      <c r="D3740" s="553">
        <v>387.46</v>
      </c>
      <c r="E3740" s="553">
        <v>82.68</v>
      </c>
      <c r="F3740" s="557">
        <v>304.77999999999997</v>
      </c>
      <c r="G3740" s="553">
        <v>387.46</v>
      </c>
    </row>
    <row r="3741" spans="1:7" ht="12.6" customHeight="1" x14ac:dyDescent="0.25">
      <c r="A3741" s="551" t="s">
        <v>268</v>
      </c>
      <c r="B3741" s="551" t="s">
        <v>39005</v>
      </c>
      <c r="C3741" s="552" t="s">
        <v>159</v>
      </c>
      <c r="D3741" s="557">
        <v>799.01</v>
      </c>
      <c r="E3741" s="557">
        <v>712.69</v>
      </c>
      <c r="F3741" s="557">
        <v>86.32</v>
      </c>
      <c r="G3741" s="557">
        <v>799.01</v>
      </c>
    </row>
    <row r="3742" spans="1:7" ht="12.6" customHeight="1" x14ac:dyDescent="0.25">
      <c r="A3742" s="551" t="s">
        <v>39006</v>
      </c>
      <c r="B3742" s="551" t="s">
        <v>39007</v>
      </c>
      <c r="C3742" s="552" t="s">
        <v>159</v>
      </c>
      <c r="D3742" s="557">
        <v>818.97</v>
      </c>
      <c r="E3742" s="557">
        <v>732.65</v>
      </c>
      <c r="F3742" s="557">
        <v>86.32</v>
      </c>
      <c r="G3742" s="557">
        <v>818.97</v>
      </c>
    </row>
    <row r="3743" spans="1:7" ht="12.6" customHeight="1" x14ac:dyDescent="0.25">
      <c r="A3743" s="551" t="s">
        <v>39008</v>
      </c>
      <c r="B3743" s="551" t="s">
        <v>39009</v>
      </c>
      <c r="C3743" s="552"/>
      <c r="D3743" s="557"/>
      <c r="E3743" s="557"/>
      <c r="F3743" s="557"/>
      <c r="G3743" s="557"/>
    </row>
    <row r="3744" spans="1:7" ht="12.6" customHeight="1" x14ac:dyDescent="0.25">
      <c r="A3744" s="551" t="s">
        <v>39010</v>
      </c>
      <c r="B3744" s="551" t="s">
        <v>39011</v>
      </c>
      <c r="C3744" s="552" t="s">
        <v>227</v>
      </c>
      <c r="D3744" s="557">
        <v>296.58</v>
      </c>
      <c r="E3744" s="557">
        <v>296.58</v>
      </c>
      <c r="F3744" s="557"/>
      <c r="G3744" s="557">
        <v>296.58</v>
      </c>
    </row>
    <row r="3745" spans="1:7" ht="12.6" customHeight="1" x14ac:dyDescent="0.25">
      <c r="A3745" s="551" t="s">
        <v>39012</v>
      </c>
      <c r="B3745" s="551" t="s">
        <v>39013</v>
      </c>
      <c r="C3745" s="552" t="s">
        <v>227</v>
      </c>
      <c r="D3745" s="557">
        <v>98.56</v>
      </c>
      <c r="E3745" s="557">
        <v>87.56</v>
      </c>
      <c r="F3745" s="557">
        <v>11</v>
      </c>
      <c r="G3745" s="557">
        <v>98.56</v>
      </c>
    </row>
    <row r="3746" spans="1:7" ht="34.5" customHeight="1" x14ac:dyDescent="0.25">
      <c r="A3746" s="554" t="s">
        <v>39014</v>
      </c>
      <c r="B3746" s="342" t="s">
        <v>39015</v>
      </c>
      <c r="C3746" s="555" t="s">
        <v>227</v>
      </c>
      <c r="D3746" s="556">
        <v>99.97</v>
      </c>
      <c r="E3746" s="556">
        <v>88.97</v>
      </c>
      <c r="F3746" s="558">
        <v>11</v>
      </c>
      <c r="G3746" s="556">
        <v>99.97</v>
      </c>
    </row>
    <row r="3747" spans="1:7" ht="12.6" customHeight="1" x14ac:dyDescent="0.25">
      <c r="A3747" s="551" t="s">
        <v>39016</v>
      </c>
      <c r="B3747" s="551" t="s">
        <v>39017</v>
      </c>
      <c r="C3747" s="552" t="s">
        <v>227</v>
      </c>
      <c r="D3747" s="557">
        <v>14.35</v>
      </c>
      <c r="E3747" s="557">
        <v>4.54</v>
      </c>
      <c r="F3747" s="557">
        <v>9.81</v>
      </c>
      <c r="G3747" s="557">
        <v>14.35</v>
      </c>
    </row>
    <row r="3748" spans="1:7" ht="12.6" customHeight="1" x14ac:dyDescent="0.25">
      <c r="A3748" s="551" t="s">
        <v>39018</v>
      </c>
      <c r="B3748" s="551" t="s">
        <v>39019</v>
      </c>
      <c r="C3748" s="552" t="s">
        <v>227</v>
      </c>
      <c r="D3748" s="557">
        <v>11.92</v>
      </c>
      <c r="E3748" s="557">
        <v>2.11</v>
      </c>
      <c r="F3748" s="557">
        <v>9.81</v>
      </c>
      <c r="G3748" s="557">
        <v>11.92</v>
      </c>
    </row>
    <row r="3749" spans="1:7" ht="12.6" customHeight="1" x14ac:dyDescent="0.25">
      <c r="A3749" s="551" t="s">
        <v>39020</v>
      </c>
      <c r="B3749" s="551" t="s">
        <v>39021</v>
      </c>
      <c r="C3749" s="552" t="s">
        <v>227</v>
      </c>
      <c r="D3749" s="553">
        <v>137.57</v>
      </c>
      <c r="E3749" s="553">
        <v>109.73</v>
      </c>
      <c r="F3749" s="557">
        <v>27.84</v>
      </c>
      <c r="G3749" s="553">
        <v>137.57</v>
      </c>
    </row>
    <row r="3750" spans="1:7" ht="12.6" customHeight="1" x14ac:dyDescent="0.25">
      <c r="A3750" s="551" t="s">
        <v>39022</v>
      </c>
      <c r="B3750" s="551" t="s">
        <v>39023</v>
      </c>
      <c r="C3750" s="552"/>
      <c r="D3750" s="557"/>
      <c r="E3750" s="557"/>
      <c r="F3750" s="557"/>
      <c r="G3750" s="557"/>
    </row>
    <row r="3751" spans="1:7" ht="12.6" customHeight="1" x14ac:dyDescent="0.25">
      <c r="A3751" s="551" t="s">
        <v>39024</v>
      </c>
      <c r="B3751" s="551" t="s">
        <v>39025</v>
      </c>
      <c r="C3751" s="552" t="s">
        <v>158</v>
      </c>
      <c r="D3751" s="557">
        <v>80.540000000000006</v>
      </c>
      <c r="E3751" s="557">
        <v>67.11</v>
      </c>
      <c r="F3751" s="557">
        <v>13.43</v>
      </c>
      <c r="G3751" s="557">
        <v>80.540000000000006</v>
      </c>
    </row>
    <row r="3752" spans="1:7" ht="12.6" customHeight="1" x14ac:dyDescent="0.25">
      <c r="A3752" s="551" t="s">
        <v>39026</v>
      </c>
      <c r="B3752" s="551" t="s">
        <v>39027</v>
      </c>
      <c r="C3752" s="552" t="s">
        <v>226</v>
      </c>
      <c r="D3752" s="557">
        <v>122.55</v>
      </c>
      <c r="E3752" s="557">
        <v>103.58</v>
      </c>
      <c r="F3752" s="557">
        <v>18.97</v>
      </c>
      <c r="G3752" s="557">
        <v>122.55</v>
      </c>
    </row>
    <row r="3753" spans="1:7" ht="12.6" customHeight="1" x14ac:dyDescent="0.25">
      <c r="A3753" s="551" t="s">
        <v>39028</v>
      </c>
      <c r="B3753" s="551" t="s">
        <v>39029</v>
      </c>
      <c r="C3753" s="552" t="s">
        <v>158</v>
      </c>
      <c r="D3753" s="557">
        <v>21.51</v>
      </c>
      <c r="E3753" s="557">
        <v>9.76</v>
      </c>
      <c r="F3753" s="557">
        <v>11.75</v>
      </c>
      <c r="G3753" s="557">
        <v>21.51</v>
      </c>
    </row>
    <row r="3754" spans="1:7" ht="24.95" customHeight="1" x14ac:dyDescent="0.25">
      <c r="A3754" s="551" t="s">
        <v>39030</v>
      </c>
      <c r="B3754" s="342" t="s">
        <v>39031</v>
      </c>
      <c r="C3754" s="552" t="s">
        <v>227</v>
      </c>
      <c r="D3754" s="553">
        <v>40.270000000000003</v>
      </c>
      <c r="E3754" s="553">
        <v>15.38</v>
      </c>
      <c r="F3754" s="557">
        <v>24.89</v>
      </c>
      <c r="G3754" s="553">
        <v>40.270000000000003</v>
      </c>
    </row>
    <row r="3755" spans="1:7" ht="24.95" customHeight="1" x14ac:dyDescent="0.25">
      <c r="A3755" s="551" t="s">
        <v>39032</v>
      </c>
      <c r="B3755" s="342" t="s">
        <v>39033</v>
      </c>
      <c r="C3755" s="552" t="s">
        <v>227</v>
      </c>
      <c r="D3755" s="553">
        <v>24.71</v>
      </c>
      <c r="E3755" s="553">
        <v>9.33</v>
      </c>
      <c r="F3755" s="557">
        <v>15.38</v>
      </c>
      <c r="G3755" s="553">
        <v>24.71</v>
      </c>
    </row>
    <row r="3756" spans="1:7" ht="11.45" customHeight="1" x14ac:dyDescent="0.25">
      <c r="A3756" s="543" t="s">
        <v>39034</v>
      </c>
      <c r="B3756" s="544" t="s">
        <v>39035</v>
      </c>
      <c r="C3756" s="544" t="s">
        <v>227</v>
      </c>
      <c r="D3756" s="543">
        <v>27.26</v>
      </c>
      <c r="E3756" s="545">
        <v>9.44</v>
      </c>
      <c r="F3756" s="546">
        <v>17.82</v>
      </c>
      <c r="G3756" s="543">
        <v>27.26</v>
      </c>
    </row>
    <row r="3757" spans="1:7" ht="24.95" customHeight="1" x14ac:dyDescent="0.25">
      <c r="A3757" s="551" t="s">
        <v>39036</v>
      </c>
      <c r="B3757" s="342" t="s">
        <v>39037</v>
      </c>
      <c r="C3757" s="552" t="s">
        <v>227</v>
      </c>
      <c r="D3757" s="553">
        <v>31</v>
      </c>
      <c r="E3757" s="553">
        <v>9.61</v>
      </c>
      <c r="F3757" s="557">
        <v>21.39</v>
      </c>
      <c r="G3757" s="553">
        <v>31</v>
      </c>
    </row>
    <row r="3758" spans="1:7" ht="12.6" customHeight="1" x14ac:dyDescent="0.2">
      <c r="A3758" s="548" t="s">
        <v>39038</v>
      </c>
      <c r="B3758" s="548" t="s">
        <v>39039</v>
      </c>
      <c r="C3758" s="550"/>
      <c r="D3758" s="550"/>
      <c r="E3758" s="550"/>
      <c r="F3758" s="550"/>
      <c r="G3758" s="550"/>
    </row>
    <row r="3759" spans="1:7" ht="12.6" customHeight="1" x14ac:dyDescent="0.25">
      <c r="A3759" s="551" t="s">
        <v>39040</v>
      </c>
      <c r="B3759" s="551" t="s">
        <v>39041</v>
      </c>
      <c r="C3759" s="552"/>
      <c r="D3759" s="557"/>
      <c r="E3759" s="557"/>
      <c r="F3759" s="557"/>
      <c r="G3759" s="557"/>
    </row>
    <row r="3760" spans="1:7" ht="12.6" customHeight="1" x14ac:dyDescent="0.25">
      <c r="A3760" s="551" t="s">
        <v>39042</v>
      </c>
      <c r="B3760" s="551" t="s">
        <v>39043</v>
      </c>
      <c r="C3760" s="552" t="s">
        <v>227</v>
      </c>
      <c r="D3760" s="553">
        <v>13.63</v>
      </c>
      <c r="E3760" s="553"/>
      <c r="F3760" s="557">
        <v>13.63</v>
      </c>
      <c r="G3760" s="553">
        <v>13.63</v>
      </c>
    </row>
    <row r="3761" spans="1:7" ht="12.6" customHeight="1" x14ac:dyDescent="0.25">
      <c r="A3761" s="551" t="s">
        <v>39044</v>
      </c>
      <c r="B3761" s="551" t="s">
        <v>39045</v>
      </c>
      <c r="C3761" s="552" t="s">
        <v>227</v>
      </c>
      <c r="D3761" s="557">
        <v>8.3000000000000007</v>
      </c>
      <c r="E3761" s="557">
        <v>2.65</v>
      </c>
      <c r="F3761" s="557">
        <v>5.65</v>
      </c>
      <c r="G3761" s="557">
        <v>8.3000000000000007</v>
      </c>
    </row>
    <row r="3762" spans="1:7" ht="24.95" customHeight="1" x14ac:dyDescent="0.25">
      <c r="A3762" s="551" t="s">
        <v>39046</v>
      </c>
      <c r="B3762" s="342" t="s">
        <v>39047</v>
      </c>
      <c r="C3762" s="552" t="s">
        <v>227</v>
      </c>
      <c r="D3762" s="553">
        <v>7.17</v>
      </c>
      <c r="E3762" s="553">
        <v>3.28</v>
      </c>
      <c r="F3762" s="557">
        <v>3.89</v>
      </c>
      <c r="G3762" s="553">
        <v>7.17</v>
      </c>
    </row>
    <row r="3763" spans="1:7" ht="12.6" customHeight="1" x14ac:dyDescent="0.2">
      <c r="A3763" s="548" t="s">
        <v>39048</v>
      </c>
      <c r="B3763" s="548" t="s">
        <v>39049</v>
      </c>
      <c r="C3763" s="550" t="s">
        <v>226</v>
      </c>
      <c r="D3763" s="550">
        <v>15.58</v>
      </c>
      <c r="E3763" s="550"/>
      <c r="F3763" s="550">
        <v>15.58</v>
      </c>
      <c r="G3763" s="550">
        <v>15.58</v>
      </c>
    </row>
    <row r="3764" spans="1:7" ht="12.6" customHeight="1" x14ac:dyDescent="0.25">
      <c r="A3764" s="551" t="s">
        <v>39050</v>
      </c>
      <c r="B3764" s="551" t="s">
        <v>39051</v>
      </c>
      <c r="C3764" s="552" t="s">
        <v>227</v>
      </c>
      <c r="D3764" s="557">
        <v>14.6</v>
      </c>
      <c r="E3764" s="557"/>
      <c r="F3764" s="557">
        <v>14.6</v>
      </c>
      <c r="G3764" s="557">
        <v>14.6</v>
      </c>
    </row>
    <row r="3765" spans="1:7" ht="12.6" customHeight="1" x14ac:dyDescent="0.25">
      <c r="A3765" s="551" t="s">
        <v>39052</v>
      </c>
      <c r="B3765" s="551" t="s">
        <v>39053</v>
      </c>
      <c r="C3765" s="552" t="s">
        <v>227</v>
      </c>
      <c r="D3765" s="553">
        <v>13.24</v>
      </c>
      <c r="E3765" s="553">
        <v>7.59</v>
      </c>
      <c r="F3765" s="557">
        <v>5.65</v>
      </c>
      <c r="G3765" s="553">
        <v>13.24</v>
      </c>
    </row>
    <row r="3766" spans="1:7" ht="24.95" customHeight="1" x14ac:dyDescent="0.25">
      <c r="A3766" s="551" t="s">
        <v>39054</v>
      </c>
      <c r="B3766" s="342" t="s">
        <v>39055</v>
      </c>
      <c r="C3766" s="552" t="s">
        <v>227</v>
      </c>
      <c r="D3766" s="557">
        <v>6.92</v>
      </c>
      <c r="E3766" s="557">
        <v>6.92</v>
      </c>
      <c r="F3766" s="557"/>
      <c r="G3766" s="557">
        <v>6.92</v>
      </c>
    </row>
    <row r="3767" spans="1:7" ht="24.95" customHeight="1" x14ac:dyDescent="0.25">
      <c r="A3767" s="551" t="s">
        <v>39056</v>
      </c>
      <c r="B3767" s="342" t="s">
        <v>39057</v>
      </c>
      <c r="C3767" s="552"/>
      <c r="D3767" s="557"/>
      <c r="E3767" s="557"/>
      <c r="F3767" s="557"/>
      <c r="G3767" s="557"/>
    </row>
    <row r="3768" spans="1:7" ht="24.95" customHeight="1" x14ac:dyDescent="0.25">
      <c r="A3768" s="551" t="s">
        <v>39058</v>
      </c>
      <c r="B3768" s="342" t="s">
        <v>39059</v>
      </c>
      <c r="C3768" s="552" t="s">
        <v>226</v>
      </c>
      <c r="D3768" s="557">
        <v>5.84</v>
      </c>
      <c r="E3768" s="557"/>
      <c r="F3768" s="557">
        <v>5.84</v>
      </c>
      <c r="G3768" s="557">
        <v>5.84</v>
      </c>
    </row>
    <row r="3769" spans="1:7" ht="12.6" customHeight="1" x14ac:dyDescent="0.25">
      <c r="A3769" s="551" t="s">
        <v>39060</v>
      </c>
      <c r="B3769" s="551" t="s">
        <v>39061</v>
      </c>
      <c r="C3769" s="552" t="s">
        <v>226</v>
      </c>
      <c r="D3769" s="557">
        <v>46.13</v>
      </c>
      <c r="E3769" s="557">
        <v>26.66</v>
      </c>
      <c r="F3769" s="557">
        <v>19.47</v>
      </c>
      <c r="G3769" s="557">
        <v>46.13</v>
      </c>
    </row>
    <row r="3770" spans="1:7" ht="12.6" customHeight="1" x14ac:dyDescent="0.25">
      <c r="A3770" s="551" t="s">
        <v>39062</v>
      </c>
      <c r="B3770" s="551" t="s">
        <v>39063</v>
      </c>
      <c r="C3770" s="552" t="s">
        <v>159</v>
      </c>
      <c r="D3770" s="557">
        <v>195.94</v>
      </c>
      <c r="E3770" s="557">
        <v>195.94</v>
      </c>
      <c r="F3770" s="557"/>
      <c r="G3770" s="557">
        <v>195.94</v>
      </c>
    </row>
    <row r="3771" spans="1:7" ht="23.1" customHeight="1" x14ac:dyDescent="0.25">
      <c r="A3771" s="551" t="s">
        <v>39064</v>
      </c>
      <c r="B3771" s="551" t="s">
        <v>39065</v>
      </c>
      <c r="C3771" s="552" t="s">
        <v>226</v>
      </c>
      <c r="D3771" s="557">
        <v>21.59</v>
      </c>
      <c r="E3771" s="557"/>
      <c r="F3771" s="557">
        <v>21.59</v>
      </c>
      <c r="G3771" s="557">
        <v>21.59</v>
      </c>
    </row>
    <row r="3772" spans="1:7" ht="12.6" customHeight="1" x14ac:dyDescent="0.25">
      <c r="A3772" s="551" t="s">
        <v>39066</v>
      </c>
      <c r="B3772" s="551" t="s">
        <v>39067</v>
      </c>
      <c r="C3772" s="552" t="s">
        <v>158</v>
      </c>
      <c r="D3772" s="557">
        <v>10.79</v>
      </c>
      <c r="E3772" s="557"/>
      <c r="F3772" s="557">
        <v>10.79</v>
      </c>
      <c r="G3772" s="557">
        <v>10.79</v>
      </c>
    </row>
    <row r="3773" spans="1:7" ht="24.95" customHeight="1" x14ac:dyDescent="0.25">
      <c r="A3773" s="551" t="s">
        <v>39068</v>
      </c>
      <c r="B3773" s="342" t="s">
        <v>39069</v>
      </c>
      <c r="C3773" s="552" t="s">
        <v>158</v>
      </c>
      <c r="D3773" s="557">
        <v>11.52</v>
      </c>
      <c r="E3773" s="557"/>
      <c r="F3773" s="557">
        <v>11.52</v>
      </c>
      <c r="G3773" s="557">
        <v>11.52</v>
      </c>
    </row>
    <row r="3774" spans="1:7" ht="24.95" customHeight="1" x14ac:dyDescent="0.25">
      <c r="A3774" s="551" t="s">
        <v>39070</v>
      </c>
      <c r="B3774" s="342" t="s">
        <v>39071</v>
      </c>
      <c r="C3774" s="552"/>
      <c r="D3774" s="557"/>
      <c r="E3774" s="557"/>
      <c r="F3774" s="557"/>
      <c r="G3774" s="557"/>
    </row>
    <row r="3775" spans="1:7" ht="24.95" customHeight="1" x14ac:dyDescent="0.25">
      <c r="A3775" s="551" t="s">
        <v>39072</v>
      </c>
      <c r="B3775" s="342" t="s">
        <v>39073</v>
      </c>
      <c r="C3775" s="552" t="s">
        <v>31968</v>
      </c>
      <c r="D3775" s="557">
        <v>90.49</v>
      </c>
      <c r="E3775" s="557">
        <v>90.49</v>
      </c>
      <c r="F3775" s="557"/>
      <c r="G3775" s="557">
        <v>90.49</v>
      </c>
    </row>
    <row r="3776" spans="1:7" ht="12.6" customHeight="1" x14ac:dyDescent="0.25">
      <c r="A3776" s="551" t="s">
        <v>39074</v>
      </c>
      <c r="B3776" s="551" t="s">
        <v>39075</v>
      </c>
      <c r="C3776" s="552"/>
      <c r="D3776" s="557"/>
      <c r="E3776" s="557"/>
      <c r="F3776" s="557"/>
      <c r="G3776" s="557"/>
    </row>
    <row r="3777" spans="1:7" ht="34.5" customHeight="1" x14ac:dyDescent="0.25">
      <c r="A3777" s="554" t="s">
        <v>39076</v>
      </c>
      <c r="B3777" s="551" t="s">
        <v>39077</v>
      </c>
      <c r="C3777" s="555"/>
      <c r="D3777" s="558"/>
      <c r="E3777" s="558"/>
      <c r="F3777" s="558"/>
      <c r="G3777" s="558"/>
    </row>
    <row r="3778" spans="1:7" ht="12.6" customHeight="1" x14ac:dyDescent="0.25">
      <c r="A3778" s="551" t="s">
        <v>39078</v>
      </c>
      <c r="B3778" s="551" t="s">
        <v>39079</v>
      </c>
      <c r="C3778" s="552" t="s">
        <v>19518</v>
      </c>
      <c r="D3778" s="557">
        <v>114185.19</v>
      </c>
      <c r="E3778" s="557">
        <v>114185.19</v>
      </c>
      <c r="F3778" s="557"/>
      <c r="G3778" s="557">
        <v>114185.19</v>
      </c>
    </row>
    <row r="3779" spans="1:7" ht="12.6" customHeight="1" x14ac:dyDescent="0.25">
      <c r="A3779" s="551" t="s">
        <v>39080</v>
      </c>
      <c r="B3779" s="551" t="s">
        <v>39081</v>
      </c>
      <c r="C3779" s="552" t="s">
        <v>19518</v>
      </c>
      <c r="D3779" s="557">
        <v>125615</v>
      </c>
      <c r="E3779" s="557">
        <v>125615</v>
      </c>
      <c r="F3779" s="557"/>
      <c r="G3779" s="557">
        <v>125615</v>
      </c>
    </row>
    <row r="3780" spans="1:7" ht="12.6" customHeight="1" x14ac:dyDescent="0.25">
      <c r="A3780" s="551" t="s">
        <v>39082</v>
      </c>
      <c r="B3780" s="551" t="s">
        <v>39083</v>
      </c>
      <c r="C3780" s="552" t="s">
        <v>19518</v>
      </c>
      <c r="D3780" s="553">
        <v>135369.15</v>
      </c>
      <c r="E3780" s="553">
        <v>135369.15</v>
      </c>
      <c r="F3780" s="557"/>
      <c r="G3780" s="553">
        <v>135369.15</v>
      </c>
    </row>
    <row r="3781" spans="1:7" ht="12.6" customHeight="1" x14ac:dyDescent="0.25">
      <c r="A3781" s="551" t="s">
        <v>39084</v>
      </c>
      <c r="B3781" s="551" t="s">
        <v>39085</v>
      </c>
      <c r="C3781" s="552" t="s">
        <v>19518</v>
      </c>
      <c r="D3781" s="557">
        <v>146070.82999999999</v>
      </c>
      <c r="E3781" s="557">
        <v>146070.82999999999</v>
      </c>
      <c r="F3781" s="557"/>
      <c r="G3781" s="557">
        <v>146070.82999999999</v>
      </c>
    </row>
    <row r="3782" spans="1:7" ht="12.6" customHeight="1" x14ac:dyDescent="0.25">
      <c r="A3782" s="551" t="s">
        <v>39086</v>
      </c>
      <c r="B3782" s="551" t="s">
        <v>39087</v>
      </c>
      <c r="C3782" s="552" t="s">
        <v>19518</v>
      </c>
      <c r="D3782" s="557">
        <v>135315</v>
      </c>
      <c r="E3782" s="557">
        <v>135315</v>
      </c>
      <c r="F3782" s="557"/>
      <c r="G3782" s="557">
        <v>135315</v>
      </c>
    </row>
    <row r="3783" spans="1:7" ht="12.6" customHeight="1" x14ac:dyDescent="0.25">
      <c r="A3783" s="551" t="s">
        <v>39088</v>
      </c>
      <c r="B3783" s="551" t="s">
        <v>39089</v>
      </c>
      <c r="C3783" s="552" t="s">
        <v>227</v>
      </c>
      <c r="D3783" s="557">
        <v>1107.3699999999999</v>
      </c>
      <c r="E3783" s="557">
        <v>1107.3699999999999</v>
      </c>
      <c r="F3783" s="557"/>
      <c r="G3783" s="557">
        <v>1107.3699999999999</v>
      </c>
    </row>
    <row r="3784" spans="1:7" ht="12.6" customHeight="1" x14ac:dyDescent="0.25">
      <c r="A3784" s="551" t="s">
        <v>39090</v>
      </c>
      <c r="B3784" s="551" t="s">
        <v>39091</v>
      </c>
      <c r="C3784" s="552"/>
      <c r="D3784" s="557"/>
      <c r="E3784" s="557"/>
      <c r="F3784" s="557"/>
      <c r="G3784" s="557"/>
    </row>
    <row r="3785" spans="1:7" ht="12.6" customHeight="1" x14ac:dyDescent="0.25">
      <c r="A3785" s="551" t="s">
        <v>39092</v>
      </c>
      <c r="B3785" s="551" t="s">
        <v>39093</v>
      </c>
      <c r="C3785" s="552" t="s">
        <v>226</v>
      </c>
      <c r="D3785" s="557">
        <v>496369.25</v>
      </c>
      <c r="E3785" s="557">
        <v>466618.35</v>
      </c>
      <c r="F3785" s="557">
        <v>29750.9</v>
      </c>
      <c r="G3785" s="557">
        <v>496369.25</v>
      </c>
    </row>
    <row r="3786" spans="1:7" ht="12.6" customHeight="1" x14ac:dyDescent="0.2">
      <c r="A3786" s="548" t="s">
        <v>39094</v>
      </c>
      <c r="B3786" s="548" t="s">
        <v>39095</v>
      </c>
      <c r="C3786" s="550" t="s">
        <v>226</v>
      </c>
      <c r="D3786" s="550">
        <v>476459.89</v>
      </c>
      <c r="E3786" s="550">
        <v>444768.08</v>
      </c>
      <c r="F3786" s="550">
        <v>31691.81</v>
      </c>
      <c r="G3786" s="550">
        <v>476459.89</v>
      </c>
    </row>
    <row r="3787" spans="1:7" ht="12.6" customHeight="1" x14ac:dyDescent="0.25">
      <c r="A3787" s="551" t="s">
        <v>39096</v>
      </c>
      <c r="B3787" s="551" t="s">
        <v>39097</v>
      </c>
      <c r="C3787" s="552" t="s">
        <v>226</v>
      </c>
      <c r="D3787" s="553">
        <v>735305.25</v>
      </c>
      <c r="E3787" s="553">
        <v>706491.95</v>
      </c>
      <c r="F3787" s="557">
        <v>28813.3</v>
      </c>
      <c r="G3787" s="553">
        <v>735305.25</v>
      </c>
    </row>
    <row r="3788" spans="1:7" ht="12.6" customHeight="1" x14ac:dyDescent="0.25">
      <c r="A3788" s="551" t="s">
        <v>39098</v>
      </c>
      <c r="B3788" s="551" t="s">
        <v>39099</v>
      </c>
      <c r="C3788" s="552" t="s">
        <v>226</v>
      </c>
      <c r="D3788" s="553">
        <v>308701.65999999997</v>
      </c>
      <c r="E3788" s="553">
        <v>284900.94</v>
      </c>
      <c r="F3788" s="557">
        <v>23800.720000000001</v>
      </c>
      <c r="G3788" s="553">
        <v>308701.65999999997</v>
      </c>
    </row>
    <row r="3789" spans="1:7" ht="12.6" customHeight="1" x14ac:dyDescent="0.25">
      <c r="A3789" s="551" t="s">
        <v>39100</v>
      </c>
      <c r="B3789" s="551" t="s">
        <v>39101</v>
      </c>
      <c r="C3789" s="552" t="s">
        <v>226</v>
      </c>
      <c r="D3789" s="557">
        <v>107127.03</v>
      </c>
      <c r="E3789" s="557">
        <v>92251.57</v>
      </c>
      <c r="F3789" s="557">
        <v>14875.46</v>
      </c>
      <c r="G3789" s="557">
        <v>107127.03</v>
      </c>
    </row>
    <row r="3790" spans="1:7" ht="12.6" customHeight="1" x14ac:dyDescent="0.25">
      <c r="A3790" s="551" t="s">
        <v>39102</v>
      </c>
      <c r="B3790" s="551" t="s">
        <v>39103</v>
      </c>
      <c r="C3790" s="552" t="s">
        <v>226</v>
      </c>
      <c r="D3790" s="557">
        <v>25463.72</v>
      </c>
      <c r="E3790" s="557">
        <v>21942.82</v>
      </c>
      <c r="F3790" s="557">
        <v>3520.9</v>
      </c>
      <c r="G3790" s="557">
        <v>25463.72</v>
      </c>
    </row>
    <row r="3791" spans="1:7" ht="12.6" customHeight="1" x14ac:dyDescent="0.25">
      <c r="A3791" s="551" t="s">
        <v>39104</v>
      </c>
      <c r="B3791" s="551" t="s">
        <v>39105</v>
      </c>
      <c r="C3791" s="552" t="s">
        <v>226</v>
      </c>
      <c r="D3791" s="557">
        <v>21997.62</v>
      </c>
      <c r="E3791" s="557">
        <v>18476.72</v>
      </c>
      <c r="F3791" s="557">
        <v>3520.9</v>
      </c>
      <c r="G3791" s="557">
        <v>21997.62</v>
      </c>
    </row>
    <row r="3792" spans="1:7" ht="12.6" customHeight="1" x14ac:dyDescent="0.2">
      <c r="A3792" s="551" t="s">
        <v>39106</v>
      </c>
      <c r="B3792" s="551" t="s">
        <v>39107</v>
      </c>
      <c r="C3792" s="552" t="s">
        <v>226</v>
      </c>
      <c r="D3792" s="553">
        <v>67985.53</v>
      </c>
      <c r="E3792" s="553">
        <v>60293.29</v>
      </c>
      <c r="F3792" s="343">
        <v>7692.24</v>
      </c>
      <c r="G3792" s="553">
        <v>67985.53</v>
      </c>
    </row>
    <row r="3793" spans="1:7" ht="12.6" customHeight="1" x14ac:dyDescent="0.25">
      <c r="A3793" s="551" t="s">
        <v>39108</v>
      </c>
      <c r="B3793" s="551" t="s">
        <v>39109</v>
      </c>
      <c r="C3793" s="552" t="s">
        <v>226</v>
      </c>
      <c r="D3793" s="557">
        <v>64369.99</v>
      </c>
      <c r="E3793" s="557">
        <v>54984.19</v>
      </c>
      <c r="F3793" s="557">
        <v>9385.7999999999993</v>
      </c>
      <c r="G3793" s="557">
        <v>64369.99</v>
      </c>
    </row>
    <row r="3794" spans="1:7" ht="12.6" customHeight="1" x14ac:dyDescent="0.25">
      <c r="A3794" s="551" t="s">
        <v>39110</v>
      </c>
      <c r="B3794" s="551" t="s">
        <v>39111</v>
      </c>
      <c r="C3794" s="552" t="s">
        <v>226</v>
      </c>
      <c r="D3794" s="557">
        <v>5932.12</v>
      </c>
      <c r="E3794" s="557">
        <v>5337.8</v>
      </c>
      <c r="F3794" s="557">
        <v>594.32000000000005</v>
      </c>
      <c r="G3794" s="557">
        <v>5932.12</v>
      </c>
    </row>
    <row r="3795" spans="1:7" ht="12.6" customHeight="1" x14ac:dyDescent="0.25">
      <c r="A3795" s="551" t="s">
        <v>39112</v>
      </c>
      <c r="B3795" s="551" t="s">
        <v>39113</v>
      </c>
      <c r="C3795" s="552" t="s">
        <v>226</v>
      </c>
      <c r="D3795" s="557">
        <v>6641.7</v>
      </c>
      <c r="E3795" s="557">
        <v>5898.8</v>
      </c>
      <c r="F3795" s="557">
        <v>742.9</v>
      </c>
      <c r="G3795" s="557">
        <v>6641.7</v>
      </c>
    </row>
    <row r="3796" spans="1:7" ht="12.6" customHeight="1" x14ac:dyDescent="0.25">
      <c r="A3796" s="551" t="s">
        <v>39114</v>
      </c>
      <c r="B3796" s="551" t="s">
        <v>39115</v>
      </c>
      <c r="C3796" s="552" t="s">
        <v>226</v>
      </c>
      <c r="D3796" s="557">
        <v>8233.7999999999993</v>
      </c>
      <c r="E3796" s="557">
        <v>7342.32</v>
      </c>
      <c r="F3796" s="557">
        <v>891.48</v>
      </c>
      <c r="G3796" s="557">
        <v>8233.7999999999993</v>
      </c>
    </row>
    <row r="3797" spans="1:7" ht="12.6" customHeight="1" x14ac:dyDescent="0.25">
      <c r="A3797" s="551" t="s">
        <v>39116</v>
      </c>
      <c r="B3797" s="551" t="s">
        <v>39117</v>
      </c>
      <c r="C3797" s="552" t="s">
        <v>226</v>
      </c>
      <c r="D3797" s="557">
        <v>8112.55</v>
      </c>
      <c r="E3797" s="557">
        <v>7146.78</v>
      </c>
      <c r="F3797" s="557">
        <v>965.77</v>
      </c>
      <c r="G3797" s="557">
        <v>8112.55</v>
      </c>
    </row>
    <row r="3798" spans="1:7" ht="12.6" customHeight="1" x14ac:dyDescent="0.25">
      <c r="A3798" s="551" t="s">
        <v>39118</v>
      </c>
      <c r="B3798" s="551" t="s">
        <v>39119</v>
      </c>
      <c r="C3798" s="552" t="s">
        <v>226</v>
      </c>
      <c r="D3798" s="557">
        <v>5680.21</v>
      </c>
      <c r="E3798" s="557">
        <v>5215</v>
      </c>
      <c r="F3798" s="557">
        <v>465.21</v>
      </c>
      <c r="G3798" s="557">
        <v>5680.21</v>
      </c>
    </row>
    <row r="3799" spans="1:7" ht="12.6" customHeight="1" x14ac:dyDescent="0.2">
      <c r="A3799" s="548" t="s">
        <v>39120</v>
      </c>
      <c r="B3799" s="548" t="s">
        <v>39121</v>
      </c>
      <c r="C3799" s="550" t="s">
        <v>226</v>
      </c>
      <c r="D3799" s="550">
        <v>5684.77</v>
      </c>
      <c r="E3799" s="550">
        <v>5219.5600000000004</v>
      </c>
      <c r="F3799" s="550">
        <v>465.21</v>
      </c>
      <c r="G3799" s="550">
        <v>5684.77</v>
      </c>
    </row>
    <row r="3800" spans="1:7" ht="12.6" customHeight="1" x14ac:dyDescent="0.2">
      <c r="A3800" s="551" t="s">
        <v>39122</v>
      </c>
      <c r="B3800" s="551" t="s">
        <v>39123</v>
      </c>
      <c r="C3800" s="552" t="s">
        <v>226</v>
      </c>
      <c r="D3800" s="557">
        <v>6362.9</v>
      </c>
      <c r="E3800" s="557">
        <v>5897.69</v>
      </c>
      <c r="F3800" s="343">
        <v>465.21</v>
      </c>
      <c r="G3800" s="557">
        <v>6362.9</v>
      </c>
    </row>
    <row r="3801" spans="1:7" ht="12.6" customHeight="1" x14ac:dyDescent="0.2">
      <c r="A3801" s="551" t="s">
        <v>39124</v>
      </c>
      <c r="B3801" s="551" t="s">
        <v>39125</v>
      </c>
      <c r="C3801" s="552" t="s">
        <v>158</v>
      </c>
      <c r="D3801" s="557">
        <v>25.65</v>
      </c>
      <c r="E3801" s="557">
        <v>12.74</v>
      </c>
      <c r="F3801" s="343">
        <v>12.91</v>
      </c>
      <c r="G3801" s="557">
        <v>25.65</v>
      </c>
    </row>
    <row r="3802" spans="1:7" ht="12.6" customHeight="1" x14ac:dyDescent="0.2">
      <c r="A3802" s="551" t="s">
        <v>39126</v>
      </c>
      <c r="B3802" s="551" t="s">
        <v>39127</v>
      </c>
      <c r="C3802" s="552" t="s">
        <v>158</v>
      </c>
      <c r="D3802" s="557">
        <v>30.86</v>
      </c>
      <c r="E3802" s="557">
        <v>17.95</v>
      </c>
      <c r="F3802" s="343">
        <v>12.91</v>
      </c>
      <c r="G3802" s="557">
        <v>30.86</v>
      </c>
    </row>
    <row r="3803" spans="1:7" ht="11.45" customHeight="1" x14ac:dyDescent="0.25">
      <c r="A3803" s="543" t="s">
        <v>39128</v>
      </c>
      <c r="B3803" s="544" t="s">
        <v>39129</v>
      </c>
      <c r="C3803" s="544" t="s">
        <v>158</v>
      </c>
      <c r="D3803" s="543">
        <v>35.82</v>
      </c>
      <c r="E3803" s="545">
        <v>22.91</v>
      </c>
      <c r="F3803" s="546">
        <v>12.91</v>
      </c>
      <c r="G3803" s="543">
        <v>35.82</v>
      </c>
    </row>
    <row r="3804" spans="1:7" ht="24.95" customHeight="1" x14ac:dyDescent="0.25">
      <c r="A3804" s="551" t="s">
        <v>39130</v>
      </c>
      <c r="B3804" s="342" t="s">
        <v>39131</v>
      </c>
      <c r="C3804" s="552" t="s">
        <v>227</v>
      </c>
      <c r="D3804" s="557">
        <v>185.24</v>
      </c>
      <c r="E3804" s="557">
        <v>92.37</v>
      </c>
      <c r="F3804" s="344">
        <v>92.87</v>
      </c>
      <c r="G3804" s="557">
        <v>185.24</v>
      </c>
    </row>
    <row r="3805" spans="1:7" ht="24.95" customHeight="1" x14ac:dyDescent="0.25">
      <c r="A3805" s="551" t="s">
        <v>39132</v>
      </c>
      <c r="B3805" s="342" t="s">
        <v>39133</v>
      </c>
      <c r="C3805" s="552" t="s">
        <v>227</v>
      </c>
      <c r="D3805" s="557">
        <v>5973.19</v>
      </c>
      <c r="E3805" s="557">
        <v>5973.19</v>
      </c>
      <c r="F3805" s="344"/>
      <c r="G3805" s="557">
        <v>5973.19</v>
      </c>
    </row>
    <row r="3806" spans="1:7" ht="12.6" customHeight="1" x14ac:dyDescent="0.25">
      <c r="A3806" s="551" t="s">
        <v>39134</v>
      </c>
      <c r="B3806" s="551" t="s">
        <v>39135</v>
      </c>
      <c r="C3806" s="552" t="s">
        <v>227</v>
      </c>
      <c r="D3806" s="557">
        <v>2154.27</v>
      </c>
      <c r="E3806" s="557">
        <v>2033.67</v>
      </c>
      <c r="F3806" s="557">
        <v>120.6</v>
      </c>
      <c r="G3806" s="557">
        <v>2154.27</v>
      </c>
    </row>
    <row r="3807" spans="1:7" ht="12.6" customHeight="1" x14ac:dyDescent="0.2">
      <c r="A3807" s="559" t="s">
        <v>39136</v>
      </c>
      <c r="B3807" s="548" t="s">
        <v>39137</v>
      </c>
      <c r="C3807" s="550" t="s">
        <v>227</v>
      </c>
      <c r="D3807" s="550">
        <v>1825.09</v>
      </c>
      <c r="E3807" s="550">
        <v>1731.89</v>
      </c>
      <c r="F3807" s="550">
        <v>93.2</v>
      </c>
      <c r="G3807" s="550">
        <v>1825.09</v>
      </c>
    </row>
    <row r="3808" spans="1:7" ht="12.6" customHeight="1" x14ac:dyDescent="0.2">
      <c r="A3808" s="548" t="s">
        <v>39138</v>
      </c>
      <c r="B3808" s="548" t="s">
        <v>39139</v>
      </c>
      <c r="C3808" s="550" t="s">
        <v>227</v>
      </c>
      <c r="D3808" s="550">
        <v>1442.01</v>
      </c>
      <c r="E3808" s="550">
        <v>1359.77</v>
      </c>
      <c r="F3808" s="550">
        <v>82.24</v>
      </c>
      <c r="G3808" s="550">
        <v>1442.01</v>
      </c>
    </row>
    <row r="3809" spans="1:7" ht="24.95" customHeight="1" x14ac:dyDescent="0.25">
      <c r="A3809" s="551" t="s">
        <v>39140</v>
      </c>
      <c r="B3809" s="342" t="s">
        <v>39141</v>
      </c>
      <c r="C3809" s="552" t="s">
        <v>226</v>
      </c>
      <c r="D3809" s="557">
        <v>350.68</v>
      </c>
      <c r="E3809" s="557"/>
      <c r="F3809" s="557">
        <v>350.68</v>
      </c>
      <c r="G3809" s="557">
        <v>350.68</v>
      </c>
    </row>
    <row r="3810" spans="1:7" ht="24.95" customHeight="1" x14ac:dyDescent="0.25">
      <c r="A3810" s="551" t="s">
        <v>39142</v>
      </c>
      <c r="B3810" s="342" t="s">
        <v>39143</v>
      </c>
      <c r="C3810" s="552" t="s">
        <v>226</v>
      </c>
      <c r="D3810" s="557">
        <v>9295.91</v>
      </c>
      <c r="E3810" s="557">
        <v>7810.11</v>
      </c>
      <c r="F3810" s="557">
        <v>1485.8</v>
      </c>
      <c r="G3810" s="557">
        <v>9295.91</v>
      </c>
    </row>
    <row r="3811" spans="1:7" ht="12.6" customHeight="1" x14ac:dyDescent="0.25">
      <c r="A3811" s="551" t="s">
        <v>39144</v>
      </c>
      <c r="B3811" s="551" t="s">
        <v>39145</v>
      </c>
      <c r="C3811" s="552" t="s">
        <v>226</v>
      </c>
      <c r="D3811" s="557">
        <v>216.67</v>
      </c>
      <c r="E3811" s="557">
        <v>172.81</v>
      </c>
      <c r="F3811" s="557">
        <v>43.86</v>
      </c>
      <c r="G3811" s="557">
        <v>216.67</v>
      </c>
    </row>
    <row r="3812" spans="1:7" ht="12.6" customHeight="1" x14ac:dyDescent="0.25">
      <c r="A3812" s="551" t="s">
        <v>39146</v>
      </c>
      <c r="B3812" s="551" t="s">
        <v>39147</v>
      </c>
      <c r="C3812" s="552" t="s">
        <v>226</v>
      </c>
      <c r="D3812" s="557">
        <v>1330.74</v>
      </c>
      <c r="E3812" s="557">
        <v>1204.6500000000001</v>
      </c>
      <c r="F3812" s="557">
        <v>126.09</v>
      </c>
      <c r="G3812" s="557">
        <v>1330.74</v>
      </c>
    </row>
    <row r="3813" spans="1:7" ht="12.6" customHeight="1" x14ac:dyDescent="0.25">
      <c r="A3813" s="551" t="s">
        <v>39148</v>
      </c>
      <c r="B3813" s="551" t="s">
        <v>39149</v>
      </c>
      <c r="C3813" s="552" t="s">
        <v>227</v>
      </c>
      <c r="D3813" s="557">
        <v>4167.1899999999996</v>
      </c>
      <c r="E3813" s="557">
        <v>3975.31</v>
      </c>
      <c r="F3813" s="557">
        <v>191.88</v>
      </c>
      <c r="G3813" s="557">
        <v>4167.1899999999996</v>
      </c>
    </row>
    <row r="3814" spans="1:7" ht="12.6" customHeight="1" x14ac:dyDescent="0.25">
      <c r="A3814" s="551" t="s">
        <v>39150</v>
      </c>
      <c r="B3814" s="551" t="s">
        <v>39151</v>
      </c>
      <c r="C3814" s="552" t="s">
        <v>158</v>
      </c>
      <c r="D3814" s="557">
        <v>4413.99</v>
      </c>
      <c r="E3814" s="557">
        <v>4366.13</v>
      </c>
      <c r="F3814" s="557">
        <v>47.86</v>
      </c>
      <c r="G3814" s="557">
        <v>4413.99</v>
      </c>
    </row>
    <row r="3815" spans="1:7" ht="12.6" customHeight="1" x14ac:dyDescent="0.25">
      <c r="A3815" s="551" t="s">
        <v>39152</v>
      </c>
      <c r="B3815" s="551" t="s">
        <v>39153</v>
      </c>
      <c r="C3815" s="552" t="s">
        <v>226</v>
      </c>
      <c r="D3815" s="553">
        <v>122.68</v>
      </c>
      <c r="E3815" s="557">
        <v>78.819999999999993</v>
      </c>
      <c r="F3815" s="557">
        <v>43.86</v>
      </c>
      <c r="G3815" s="553">
        <v>122.68</v>
      </c>
    </row>
    <row r="3816" spans="1:7" ht="24.95" customHeight="1" x14ac:dyDescent="0.25">
      <c r="A3816" s="551" t="s">
        <v>39154</v>
      </c>
      <c r="B3816" s="342" t="s">
        <v>39155</v>
      </c>
      <c r="C3816" s="552" t="s">
        <v>226</v>
      </c>
      <c r="D3816" s="557">
        <v>148.47</v>
      </c>
      <c r="E3816" s="557">
        <v>104.61</v>
      </c>
      <c r="F3816" s="344">
        <v>43.86</v>
      </c>
      <c r="G3816" s="557">
        <v>148.47</v>
      </c>
    </row>
    <row r="3817" spans="1:7" ht="24.95" customHeight="1" x14ac:dyDescent="0.25">
      <c r="A3817" s="551" t="s">
        <v>39156</v>
      </c>
      <c r="B3817" s="342" t="s">
        <v>39157</v>
      </c>
      <c r="C3817" s="552" t="s">
        <v>226</v>
      </c>
      <c r="D3817" s="557">
        <v>391.72</v>
      </c>
      <c r="E3817" s="557">
        <v>347.86</v>
      </c>
      <c r="F3817" s="557">
        <v>43.86</v>
      </c>
      <c r="G3817" s="557">
        <v>391.72</v>
      </c>
    </row>
    <row r="3818" spans="1:7" ht="12.6" customHeight="1" x14ac:dyDescent="0.2">
      <c r="A3818" s="551" t="s">
        <v>39158</v>
      </c>
      <c r="B3818" s="551" t="s">
        <v>39159</v>
      </c>
      <c r="C3818" s="552" t="s">
        <v>226</v>
      </c>
      <c r="D3818" s="557">
        <v>316.29000000000002</v>
      </c>
      <c r="E3818" s="343">
        <v>272.43</v>
      </c>
      <c r="F3818" s="557">
        <v>43.86</v>
      </c>
      <c r="G3818" s="557">
        <v>316.29000000000002</v>
      </c>
    </row>
    <row r="3819" spans="1:7" ht="12.6" customHeight="1" x14ac:dyDescent="0.2">
      <c r="A3819" s="548" t="s">
        <v>39160</v>
      </c>
      <c r="B3819" s="548" t="s">
        <v>39161</v>
      </c>
      <c r="C3819" s="550" t="s">
        <v>227</v>
      </c>
      <c r="D3819" s="550">
        <v>2973.12</v>
      </c>
      <c r="E3819" s="550">
        <v>2704.5</v>
      </c>
      <c r="F3819" s="550">
        <v>268.62</v>
      </c>
      <c r="G3819" s="550">
        <v>2973.12</v>
      </c>
    </row>
    <row r="3820" spans="1:7" ht="24.95" customHeight="1" x14ac:dyDescent="0.25">
      <c r="A3820" s="551" t="s">
        <v>39162</v>
      </c>
      <c r="B3820" s="342" t="s">
        <v>39163</v>
      </c>
      <c r="C3820" s="552" t="s">
        <v>227</v>
      </c>
      <c r="D3820" s="557">
        <v>2071.94</v>
      </c>
      <c r="E3820" s="557">
        <v>1962.3</v>
      </c>
      <c r="F3820" s="557">
        <v>109.64</v>
      </c>
      <c r="G3820" s="557">
        <v>2071.94</v>
      </c>
    </row>
    <row r="3821" spans="1:7" ht="23.1" customHeight="1" x14ac:dyDescent="0.25">
      <c r="A3821" s="551" t="s">
        <v>39164</v>
      </c>
      <c r="B3821" s="551" t="s">
        <v>39165</v>
      </c>
      <c r="C3821" s="552" t="s">
        <v>227</v>
      </c>
      <c r="D3821" s="557">
        <v>1677.09</v>
      </c>
      <c r="E3821" s="557">
        <v>1622.27</v>
      </c>
      <c r="F3821" s="557">
        <v>54.82</v>
      </c>
      <c r="G3821" s="557">
        <v>1677.09</v>
      </c>
    </row>
    <row r="3822" spans="1:7" ht="12.6" customHeight="1" x14ac:dyDescent="0.2">
      <c r="A3822" s="548" t="s">
        <v>39166</v>
      </c>
      <c r="B3822" s="548" t="s">
        <v>39167</v>
      </c>
      <c r="C3822" s="550" t="s">
        <v>227</v>
      </c>
      <c r="D3822" s="550">
        <v>1659.52</v>
      </c>
      <c r="E3822" s="550">
        <v>1538.92</v>
      </c>
      <c r="F3822" s="550">
        <v>120.6</v>
      </c>
      <c r="G3822" s="550">
        <v>1659.52</v>
      </c>
    </row>
    <row r="3823" spans="1:7" ht="12.6" customHeight="1" x14ac:dyDescent="0.25">
      <c r="A3823" s="551" t="s">
        <v>39168</v>
      </c>
      <c r="B3823" s="551" t="s">
        <v>39169</v>
      </c>
      <c r="C3823" s="552" t="s">
        <v>227</v>
      </c>
      <c r="D3823" s="553">
        <v>2089.42</v>
      </c>
      <c r="E3823" s="553">
        <v>1930.44</v>
      </c>
      <c r="F3823" s="557">
        <v>158.97999999999999</v>
      </c>
      <c r="G3823" s="553">
        <v>2089.42</v>
      </c>
    </row>
    <row r="3824" spans="1:7" ht="23.1" customHeight="1" x14ac:dyDescent="0.25">
      <c r="A3824" s="551" t="s">
        <v>39170</v>
      </c>
      <c r="B3824" s="551" t="s">
        <v>39171</v>
      </c>
      <c r="C3824" s="552" t="s">
        <v>227</v>
      </c>
      <c r="D3824" s="553">
        <v>3540.59</v>
      </c>
      <c r="E3824" s="553">
        <v>3277.45</v>
      </c>
      <c r="F3824" s="557">
        <v>263.14</v>
      </c>
      <c r="G3824" s="553">
        <v>3540.59</v>
      </c>
    </row>
    <row r="3825" spans="1:7" ht="24.95" customHeight="1" x14ac:dyDescent="0.25">
      <c r="A3825" s="551" t="s">
        <v>39172</v>
      </c>
      <c r="B3825" s="342" t="s">
        <v>39173</v>
      </c>
      <c r="C3825" s="552" t="s">
        <v>227</v>
      </c>
      <c r="D3825" s="553">
        <v>2627.14</v>
      </c>
      <c r="E3825" s="553">
        <v>2429.79</v>
      </c>
      <c r="F3825" s="557">
        <v>197.35</v>
      </c>
      <c r="G3825" s="553">
        <v>2627.14</v>
      </c>
    </row>
    <row r="3826" spans="1:7" ht="12.6" customHeight="1" x14ac:dyDescent="0.25">
      <c r="A3826" s="551" t="s">
        <v>39174</v>
      </c>
      <c r="B3826" s="551" t="s">
        <v>39175</v>
      </c>
      <c r="C3826" s="552" t="s">
        <v>227</v>
      </c>
      <c r="D3826" s="557">
        <v>1912.59</v>
      </c>
      <c r="E3826" s="557">
        <v>1775.53</v>
      </c>
      <c r="F3826" s="557">
        <v>137.06</v>
      </c>
      <c r="G3826" s="557">
        <v>1912.59</v>
      </c>
    </row>
    <row r="3827" spans="1:7" ht="12.6" customHeight="1" x14ac:dyDescent="0.25">
      <c r="A3827" s="551" t="s">
        <v>39176</v>
      </c>
      <c r="B3827" s="551" t="s">
        <v>39177</v>
      </c>
      <c r="C3827" s="552" t="s">
        <v>227</v>
      </c>
      <c r="D3827" s="557">
        <v>1568.09</v>
      </c>
      <c r="E3827" s="557">
        <v>1458.45</v>
      </c>
      <c r="F3827" s="557">
        <v>109.64</v>
      </c>
      <c r="G3827" s="557">
        <v>1568.09</v>
      </c>
    </row>
    <row r="3828" spans="1:7" ht="12.6" customHeight="1" x14ac:dyDescent="0.25">
      <c r="A3828" s="551" t="s">
        <v>39178</v>
      </c>
      <c r="B3828" s="551" t="s">
        <v>39179</v>
      </c>
      <c r="C3828" s="552" t="s">
        <v>227</v>
      </c>
      <c r="D3828" s="553">
        <v>1406.33</v>
      </c>
      <c r="E3828" s="553">
        <v>1313.13</v>
      </c>
      <c r="F3828" s="557">
        <v>93.2</v>
      </c>
      <c r="G3828" s="553">
        <v>1406.33</v>
      </c>
    </row>
    <row r="3829" spans="1:7" ht="12.6" customHeight="1" x14ac:dyDescent="0.25">
      <c r="A3829" s="551" t="s">
        <v>39180</v>
      </c>
      <c r="B3829" s="551" t="s">
        <v>39181</v>
      </c>
      <c r="C3829" s="552" t="s">
        <v>227</v>
      </c>
      <c r="D3829" s="553">
        <v>1221.42</v>
      </c>
      <c r="E3829" s="553">
        <v>1139.18</v>
      </c>
      <c r="F3829" s="557">
        <v>82.24</v>
      </c>
      <c r="G3829" s="553">
        <v>1221.42</v>
      </c>
    </row>
    <row r="3830" spans="1:7" ht="12.6" customHeight="1" x14ac:dyDescent="0.2">
      <c r="A3830" s="548" t="s">
        <v>39182</v>
      </c>
      <c r="B3830" s="548" t="s">
        <v>39183</v>
      </c>
      <c r="C3830" s="550" t="s">
        <v>227</v>
      </c>
      <c r="D3830" s="550">
        <v>1779.99</v>
      </c>
      <c r="E3830" s="550">
        <v>1670.35</v>
      </c>
      <c r="F3830" s="550">
        <v>109.64</v>
      </c>
      <c r="G3830" s="550">
        <v>1779.99</v>
      </c>
    </row>
    <row r="3831" spans="1:7" ht="12.6" customHeight="1" x14ac:dyDescent="0.25">
      <c r="A3831" s="551" t="s">
        <v>39184</v>
      </c>
      <c r="B3831" s="551" t="s">
        <v>39185</v>
      </c>
      <c r="C3831" s="552" t="s">
        <v>227</v>
      </c>
      <c r="D3831" s="557">
        <v>1221.6099999999999</v>
      </c>
      <c r="E3831" s="557">
        <v>1155.83</v>
      </c>
      <c r="F3831" s="557">
        <v>65.78</v>
      </c>
      <c r="G3831" s="557">
        <v>1221.6099999999999</v>
      </c>
    </row>
    <row r="3832" spans="1:7" ht="12.6" customHeight="1" x14ac:dyDescent="0.25">
      <c r="A3832" s="551" t="s">
        <v>39186</v>
      </c>
      <c r="B3832" s="551" t="s">
        <v>39187</v>
      </c>
      <c r="C3832" s="552" t="s">
        <v>226</v>
      </c>
      <c r="D3832" s="557">
        <v>240.65</v>
      </c>
      <c r="E3832" s="557">
        <v>191.31</v>
      </c>
      <c r="F3832" s="557">
        <v>49.34</v>
      </c>
      <c r="G3832" s="557">
        <v>240.65</v>
      </c>
    </row>
    <row r="3833" spans="1:7" ht="23.1" customHeight="1" x14ac:dyDescent="0.25">
      <c r="A3833" s="551" t="s">
        <v>39188</v>
      </c>
      <c r="B3833" s="551" t="s">
        <v>39189</v>
      </c>
      <c r="C3833" s="552" t="s">
        <v>226</v>
      </c>
      <c r="D3833" s="557">
        <v>362.09</v>
      </c>
      <c r="E3833" s="557">
        <v>296.31</v>
      </c>
      <c r="F3833" s="557">
        <v>65.78</v>
      </c>
      <c r="G3833" s="557">
        <v>362.09</v>
      </c>
    </row>
    <row r="3834" spans="1:7" ht="12.6" customHeight="1" x14ac:dyDescent="0.25">
      <c r="A3834" s="551" t="s">
        <v>39190</v>
      </c>
      <c r="B3834" s="551" t="s">
        <v>39191</v>
      </c>
      <c r="C3834" s="552"/>
      <c r="D3834" s="557"/>
      <c r="E3834" s="557"/>
      <c r="F3834" s="557"/>
      <c r="G3834" s="557"/>
    </row>
    <row r="3835" spans="1:7" ht="34.5" customHeight="1" x14ac:dyDescent="0.25">
      <c r="A3835" s="554" t="s">
        <v>39192</v>
      </c>
      <c r="B3835" s="551" t="s">
        <v>39193</v>
      </c>
      <c r="C3835" s="555" t="s">
        <v>226</v>
      </c>
      <c r="D3835" s="558">
        <v>9040.76</v>
      </c>
      <c r="E3835" s="558">
        <v>6812.06</v>
      </c>
      <c r="F3835" s="558">
        <v>2228.6999999999998</v>
      </c>
      <c r="G3835" s="558">
        <v>9040.76</v>
      </c>
    </row>
    <row r="3836" spans="1:7" ht="34.5" customHeight="1" x14ac:dyDescent="0.25">
      <c r="A3836" s="554" t="s">
        <v>39194</v>
      </c>
      <c r="B3836" s="551" t="s">
        <v>39195</v>
      </c>
      <c r="C3836" s="555" t="s">
        <v>226</v>
      </c>
      <c r="D3836" s="558">
        <v>28083.02</v>
      </c>
      <c r="E3836" s="558">
        <v>22882.720000000001</v>
      </c>
      <c r="F3836" s="558">
        <v>5200.3</v>
      </c>
      <c r="G3836" s="558">
        <v>28083.02</v>
      </c>
    </row>
    <row r="3837" spans="1:7" ht="24.95" customHeight="1" x14ac:dyDescent="0.25">
      <c r="A3837" s="551" t="s">
        <v>39196</v>
      </c>
      <c r="B3837" s="342" t="s">
        <v>39197</v>
      </c>
      <c r="C3837" s="552" t="s">
        <v>226</v>
      </c>
      <c r="D3837" s="557">
        <v>10598.43</v>
      </c>
      <c r="E3837" s="557">
        <v>10311.27</v>
      </c>
      <c r="F3837" s="557">
        <v>287.16000000000003</v>
      </c>
      <c r="G3837" s="557">
        <v>10598.43</v>
      </c>
    </row>
    <row r="3838" spans="1:7" ht="24.95" customHeight="1" x14ac:dyDescent="0.25">
      <c r="A3838" s="551" t="s">
        <v>39198</v>
      </c>
      <c r="B3838" s="342" t="s">
        <v>39199</v>
      </c>
      <c r="C3838" s="552" t="s">
        <v>226</v>
      </c>
      <c r="D3838" s="557">
        <v>9277.27</v>
      </c>
      <c r="E3838" s="557">
        <v>8990.11</v>
      </c>
      <c r="F3838" s="557">
        <v>287.16000000000003</v>
      </c>
      <c r="G3838" s="557">
        <v>9277.27</v>
      </c>
    </row>
    <row r="3839" spans="1:7" ht="24.95" customHeight="1" x14ac:dyDescent="0.25">
      <c r="A3839" s="551" t="s">
        <v>39200</v>
      </c>
      <c r="B3839" s="342" t="s">
        <v>39201</v>
      </c>
      <c r="C3839" s="552" t="s">
        <v>226</v>
      </c>
      <c r="D3839" s="557">
        <v>5055.79</v>
      </c>
      <c r="E3839" s="557">
        <v>4768.63</v>
      </c>
      <c r="F3839" s="557">
        <v>287.16000000000003</v>
      </c>
      <c r="G3839" s="557">
        <v>5055.79</v>
      </c>
    </row>
    <row r="3840" spans="1:7" ht="24.95" customHeight="1" x14ac:dyDescent="0.25">
      <c r="A3840" s="551" t="s">
        <v>39202</v>
      </c>
      <c r="B3840" s="342" t="s">
        <v>39203</v>
      </c>
      <c r="C3840" s="552" t="s">
        <v>226</v>
      </c>
      <c r="D3840" s="557">
        <v>4287.82</v>
      </c>
      <c r="E3840" s="557">
        <v>4000.66</v>
      </c>
      <c r="F3840" s="557">
        <v>287.16000000000003</v>
      </c>
      <c r="G3840" s="557">
        <v>4287.82</v>
      </c>
    </row>
    <row r="3841" spans="1:7" ht="12.6" customHeight="1" x14ac:dyDescent="0.2">
      <c r="A3841" s="548" t="s">
        <v>39204</v>
      </c>
      <c r="B3841" s="548" t="s">
        <v>39205</v>
      </c>
      <c r="C3841" s="550" t="s">
        <v>226</v>
      </c>
      <c r="D3841" s="550">
        <v>16757.52</v>
      </c>
      <c r="E3841" s="550">
        <v>16084.22</v>
      </c>
      <c r="F3841" s="550">
        <v>673.3</v>
      </c>
      <c r="G3841" s="550">
        <v>16757.52</v>
      </c>
    </row>
    <row r="3842" spans="1:7" ht="11.45" customHeight="1" x14ac:dyDescent="0.25">
      <c r="A3842" s="543" t="s">
        <v>39206</v>
      </c>
      <c r="B3842" s="544" t="s">
        <v>39207</v>
      </c>
      <c r="C3842" s="544"/>
      <c r="D3842" s="543"/>
      <c r="E3842" s="545"/>
      <c r="F3842" s="546"/>
      <c r="G3842" s="543"/>
    </row>
    <row r="3843" spans="1:7" ht="12.6" customHeight="1" x14ac:dyDescent="0.25">
      <c r="A3843" s="551" t="s">
        <v>39208</v>
      </c>
      <c r="B3843" s="551" t="s">
        <v>39209</v>
      </c>
      <c r="C3843" s="552" t="s">
        <v>226</v>
      </c>
      <c r="D3843" s="557">
        <v>176.32</v>
      </c>
      <c r="E3843" s="557">
        <v>173.93</v>
      </c>
      <c r="F3843" s="557">
        <v>2.39</v>
      </c>
      <c r="G3843" s="557">
        <v>176.32</v>
      </c>
    </row>
    <row r="3844" spans="1:7" ht="12.6" customHeight="1" x14ac:dyDescent="0.25">
      <c r="A3844" s="551" t="s">
        <v>39210</v>
      </c>
      <c r="B3844" s="551" t="s">
        <v>39211</v>
      </c>
      <c r="C3844" s="552" t="s">
        <v>226</v>
      </c>
      <c r="D3844" s="557">
        <v>25.1</v>
      </c>
      <c r="E3844" s="557">
        <v>10.74</v>
      </c>
      <c r="F3844" s="557">
        <v>14.36</v>
      </c>
      <c r="G3844" s="557">
        <v>25.1</v>
      </c>
    </row>
    <row r="3845" spans="1:7" ht="23.1" customHeight="1" x14ac:dyDescent="0.25">
      <c r="A3845" s="551" t="s">
        <v>39212</v>
      </c>
      <c r="B3845" s="551" t="s">
        <v>39213</v>
      </c>
      <c r="C3845" s="552" t="s">
        <v>226</v>
      </c>
      <c r="D3845" s="557">
        <v>231.13</v>
      </c>
      <c r="E3845" s="557">
        <v>228.74</v>
      </c>
      <c r="F3845" s="557">
        <v>2.39</v>
      </c>
      <c r="G3845" s="557">
        <v>231.13</v>
      </c>
    </row>
    <row r="3846" spans="1:7" ht="23.1" customHeight="1" x14ac:dyDescent="0.25">
      <c r="A3846" s="551" t="s">
        <v>39214</v>
      </c>
      <c r="B3846" s="551" t="s">
        <v>39215</v>
      </c>
      <c r="C3846" s="552" t="s">
        <v>226</v>
      </c>
      <c r="D3846" s="557">
        <v>2912.6</v>
      </c>
      <c r="E3846" s="557">
        <v>2897.98</v>
      </c>
      <c r="F3846" s="557">
        <v>14.62</v>
      </c>
      <c r="G3846" s="557">
        <v>2912.6</v>
      </c>
    </row>
    <row r="3847" spans="1:7" ht="12.6" customHeight="1" x14ac:dyDescent="0.25">
      <c r="A3847" s="551" t="s">
        <v>39216</v>
      </c>
      <c r="B3847" s="551" t="s">
        <v>39217</v>
      </c>
      <c r="C3847" s="552" t="s">
        <v>226</v>
      </c>
      <c r="D3847" s="557">
        <v>2406.63</v>
      </c>
      <c r="E3847" s="557">
        <v>2384.71</v>
      </c>
      <c r="F3847" s="557">
        <v>21.92</v>
      </c>
      <c r="G3847" s="557">
        <v>2406.63</v>
      </c>
    </row>
    <row r="3848" spans="1:7" ht="23.1" customHeight="1" x14ac:dyDescent="0.25">
      <c r="A3848" s="551" t="s">
        <v>39218</v>
      </c>
      <c r="B3848" s="551" t="s">
        <v>39219</v>
      </c>
      <c r="C3848" s="552" t="s">
        <v>226</v>
      </c>
      <c r="D3848" s="557">
        <v>1069.73</v>
      </c>
      <c r="E3848" s="557">
        <v>1052.68</v>
      </c>
      <c r="F3848" s="557">
        <v>17.05</v>
      </c>
      <c r="G3848" s="557">
        <v>1069.73</v>
      </c>
    </row>
    <row r="3849" spans="1:7" ht="23.1" customHeight="1" x14ac:dyDescent="0.25">
      <c r="A3849" s="551" t="s">
        <v>39220</v>
      </c>
      <c r="B3849" s="551" t="s">
        <v>39221</v>
      </c>
      <c r="C3849" s="552" t="s">
        <v>226</v>
      </c>
      <c r="D3849" s="557">
        <v>2815.66</v>
      </c>
      <c r="E3849" s="557">
        <v>2793.74</v>
      </c>
      <c r="F3849" s="557">
        <v>21.92</v>
      </c>
      <c r="G3849" s="557">
        <v>2815.66</v>
      </c>
    </row>
    <row r="3850" spans="1:7" ht="12.6" customHeight="1" x14ac:dyDescent="0.2">
      <c r="A3850" s="548" t="s">
        <v>39222</v>
      </c>
      <c r="B3850" s="548" t="s">
        <v>39223</v>
      </c>
      <c r="C3850" s="550" t="s">
        <v>226</v>
      </c>
      <c r="D3850" s="550">
        <v>352.82</v>
      </c>
      <c r="E3850" s="550">
        <v>330.9</v>
      </c>
      <c r="F3850" s="550">
        <v>21.92</v>
      </c>
      <c r="G3850" s="550">
        <v>352.82</v>
      </c>
    </row>
    <row r="3851" spans="1:7" ht="12.6" customHeight="1" x14ac:dyDescent="0.2">
      <c r="A3851" s="551" t="s">
        <v>39224</v>
      </c>
      <c r="B3851" s="551" t="s">
        <v>39225</v>
      </c>
      <c r="C3851" s="552" t="s">
        <v>226</v>
      </c>
      <c r="D3851" s="557">
        <v>2342.69</v>
      </c>
      <c r="E3851" s="557">
        <v>2320.77</v>
      </c>
      <c r="F3851" s="343">
        <v>21.92</v>
      </c>
      <c r="G3851" s="557">
        <v>2342.69</v>
      </c>
    </row>
    <row r="3852" spans="1:7" ht="24.95" customHeight="1" x14ac:dyDescent="0.25">
      <c r="A3852" s="551" t="s">
        <v>39226</v>
      </c>
      <c r="B3852" s="342" t="s">
        <v>39227</v>
      </c>
      <c r="C3852" s="552" t="s">
        <v>226</v>
      </c>
      <c r="D3852" s="557">
        <v>1076.45</v>
      </c>
      <c r="E3852" s="557">
        <v>1061.83</v>
      </c>
      <c r="F3852" s="557">
        <v>14.62</v>
      </c>
      <c r="G3852" s="557">
        <v>1076.45</v>
      </c>
    </row>
    <row r="3853" spans="1:7" ht="24.95" customHeight="1" x14ac:dyDescent="0.25">
      <c r="A3853" s="551" t="s">
        <v>39228</v>
      </c>
      <c r="B3853" s="342" t="s">
        <v>39229</v>
      </c>
      <c r="C3853" s="552" t="s">
        <v>226</v>
      </c>
      <c r="D3853" s="557">
        <v>2379.36</v>
      </c>
      <c r="E3853" s="557">
        <v>2362.31</v>
      </c>
      <c r="F3853" s="557">
        <v>17.05</v>
      </c>
      <c r="G3853" s="557">
        <v>2379.36</v>
      </c>
    </row>
    <row r="3854" spans="1:7" ht="24.95" customHeight="1" x14ac:dyDescent="0.25">
      <c r="A3854" s="551" t="s">
        <v>39230</v>
      </c>
      <c r="B3854" s="342" t="s">
        <v>39231</v>
      </c>
      <c r="C3854" s="552" t="s">
        <v>226</v>
      </c>
      <c r="D3854" s="557">
        <v>127.51</v>
      </c>
      <c r="E3854" s="557">
        <v>120.33</v>
      </c>
      <c r="F3854" s="557">
        <v>7.18</v>
      </c>
      <c r="G3854" s="557">
        <v>127.51</v>
      </c>
    </row>
    <row r="3855" spans="1:7" ht="24.95" customHeight="1" x14ac:dyDescent="0.25">
      <c r="A3855" s="551" t="s">
        <v>39232</v>
      </c>
      <c r="B3855" s="342" t="s">
        <v>39233</v>
      </c>
      <c r="C3855" s="552" t="s">
        <v>226</v>
      </c>
      <c r="D3855" s="557">
        <v>327.32</v>
      </c>
      <c r="E3855" s="557">
        <v>254.88</v>
      </c>
      <c r="F3855" s="557">
        <v>72.44</v>
      </c>
      <c r="G3855" s="557">
        <v>327.32</v>
      </c>
    </row>
    <row r="3856" spans="1:7" ht="24.95" customHeight="1" x14ac:dyDescent="0.25">
      <c r="A3856" s="551" t="s">
        <v>39234</v>
      </c>
      <c r="B3856" s="342" t="s">
        <v>39235</v>
      </c>
      <c r="C3856" s="552" t="s">
        <v>226</v>
      </c>
      <c r="D3856" s="557">
        <v>1617.74</v>
      </c>
      <c r="E3856" s="557">
        <v>1568.14</v>
      </c>
      <c r="F3856" s="557">
        <v>49.6</v>
      </c>
      <c r="G3856" s="557">
        <v>1617.74</v>
      </c>
    </row>
    <row r="3857" spans="1:7" ht="12.6" customHeight="1" x14ac:dyDescent="0.2">
      <c r="A3857" s="548" t="s">
        <v>39236</v>
      </c>
      <c r="B3857" s="548" t="s">
        <v>39237</v>
      </c>
      <c r="C3857" s="550" t="s">
        <v>226</v>
      </c>
      <c r="D3857" s="550">
        <v>384.07</v>
      </c>
      <c r="E3857" s="550">
        <v>348.18</v>
      </c>
      <c r="F3857" s="550">
        <v>35.89</v>
      </c>
      <c r="G3857" s="550">
        <v>384.07</v>
      </c>
    </row>
    <row r="3858" spans="1:7" ht="12.6" customHeight="1" x14ac:dyDescent="0.25">
      <c r="A3858" s="551" t="s">
        <v>39238</v>
      </c>
      <c r="B3858" s="551" t="s">
        <v>39239</v>
      </c>
      <c r="C3858" s="552" t="s">
        <v>226</v>
      </c>
      <c r="D3858" s="557">
        <v>252.02</v>
      </c>
      <c r="E3858" s="557">
        <v>179.58</v>
      </c>
      <c r="F3858" s="557">
        <v>72.44</v>
      </c>
      <c r="G3858" s="557">
        <v>252.02</v>
      </c>
    </row>
    <row r="3859" spans="1:7" ht="12.6" customHeight="1" x14ac:dyDescent="0.25">
      <c r="A3859" s="551" t="s">
        <v>39240</v>
      </c>
      <c r="B3859" s="551" t="s">
        <v>39241</v>
      </c>
      <c r="C3859" s="552" t="s">
        <v>226</v>
      </c>
      <c r="D3859" s="557">
        <v>149.76</v>
      </c>
      <c r="E3859" s="557">
        <v>70.72</v>
      </c>
      <c r="F3859" s="557">
        <v>79.040000000000006</v>
      </c>
      <c r="G3859" s="557">
        <v>149.76</v>
      </c>
    </row>
    <row r="3860" spans="1:7" ht="12.6" customHeight="1" x14ac:dyDescent="0.25">
      <c r="A3860" s="551" t="s">
        <v>39242</v>
      </c>
      <c r="B3860" s="551" t="s">
        <v>39243</v>
      </c>
      <c r="C3860" s="552" t="s">
        <v>226</v>
      </c>
      <c r="D3860" s="557">
        <v>1191.5999999999999</v>
      </c>
      <c r="E3860" s="557">
        <v>1119.1600000000001</v>
      </c>
      <c r="F3860" s="557">
        <v>72.44</v>
      </c>
      <c r="G3860" s="557">
        <v>1191.5999999999999</v>
      </c>
    </row>
    <row r="3861" spans="1:7" ht="24.95" customHeight="1" x14ac:dyDescent="0.25">
      <c r="A3861" s="551" t="s">
        <v>39244</v>
      </c>
      <c r="B3861" s="342" t="s">
        <v>39245</v>
      </c>
      <c r="C3861" s="552" t="s">
        <v>226</v>
      </c>
      <c r="D3861" s="557">
        <v>1160.03</v>
      </c>
      <c r="E3861" s="557">
        <v>1087.5899999999999</v>
      </c>
      <c r="F3861" s="557">
        <v>72.44</v>
      </c>
      <c r="G3861" s="557">
        <v>1160.03</v>
      </c>
    </row>
    <row r="3862" spans="1:7" ht="24.95" customHeight="1" x14ac:dyDescent="0.25">
      <c r="A3862" s="551" t="s">
        <v>39246</v>
      </c>
      <c r="B3862" s="342" t="s">
        <v>39247</v>
      </c>
      <c r="C3862" s="552" t="s">
        <v>226</v>
      </c>
      <c r="D3862" s="557">
        <v>2047.3</v>
      </c>
      <c r="E3862" s="557">
        <v>1974.86</v>
      </c>
      <c r="F3862" s="557">
        <v>72.44</v>
      </c>
      <c r="G3862" s="557">
        <v>2047.3</v>
      </c>
    </row>
    <row r="3863" spans="1:7" ht="24.95" customHeight="1" x14ac:dyDescent="0.25">
      <c r="A3863" s="551" t="s">
        <v>39248</v>
      </c>
      <c r="B3863" s="342" t="s">
        <v>39249</v>
      </c>
      <c r="C3863" s="552" t="s">
        <v>226</v>
      </c>
      <c r="D3863" s="557">
        <v>4541.88</v>
      </c>
      <c r="E3863" s="557">
        <v>4212.1899999999996</v>
      </c>
      <c r="F3863" s="557">
        <v>329.69</v>
      </c>
      <c r="G3863" s="557">
        <v>4541.88</v>
      </c>
    </row>
    <row r="3864" spans="1:7" ht="12.6" customHeight="1" x14ac:dyDescent="0.2">
      <c r="A3864" s="559" t="s">
        <v>39250</v>
      </c>
      <c r="B3864" s="548" t="s">
        <v>39251</v>
      </c>
      <c r="C3864" s="550" t="s">
        <v>226</v>
      </c>
      <c r="D3864" s="550">
        <v>3307.07</v>
      </c>
      <c r="E3864" s="550">
        <v>3113.83</v>
      </c>
      <c r="F3864" s="550">
        <v>193.24</v>
      </c>
      <c r="G3864" s="550">
        <v>3307.07</v>
      </c>
    </row>
    <row r="3865" spans="1:7" ht="12.6" customHeight="1" x14ac:dyDescent="0.2">
      <c r="A3865" s="548" t="s">
        <v>39252</v>
      </c>
      <c r="B3865" s="548" t="s">
        <v>39253</v>
      </c>
      <c r="C3865" s="550" t="s">
        <v>226</v>
      </c>
      <c r="D3865" s="550">
        <v>4661.83</v>
      </c>
      <c r="E3865" s="550">
        <v>4468.59</v>
      </c>
      <c r="F3865" s="550">
        <v>193.24</v>
      </c>
      <c r="G3865" s="550">
        <v>4661.83</v>
      </c>
    </row>
    <row r="3866" spans="1:7" ht="12.6" customHeight="1" x14ac:dyDescent="0.2">
      <c r="A3866" s="551" t="s">
        <v>39254</v>
      </c>
      <c r="B3866" s="551" t="s">
        <v>39255</v>
      </c>
      <c r="C3866" s="552" t="s">
        <v>226</v>
      </c>
      <c r="D3866" s="557">
        <v>1121.71</v>
      </c>
      <c r="E3866" s="343">
        <v>900.03</v>
      </c>
      <c r="F3866" s="557">
        <v>221.68</v>
      </c>
      <c r="G3866" s="557">
        <v>1121.71</v>
      </c>
    </row>
    <row r="3867" spans="1:7" ht="12.6" customHeight="1" x14ac:dyDescent="0.25">
      <c r="A3867" s="551" t="s">
        <v>39256</v>
      </c>
      <c r="B3867" s="551" t="s">
        <v>39257</v>
      </c>
      <c r="C3867" s="552"/>
      <c r="D3867" s="557"/>
      <c r="E3867" s="557"/>
      <c r="F3867" s="557"/>
      <c r="G3867" s="557"/>
    </row>
    <row r="3868" spans="1:7" ht="12.6" customHeight="1" x14ac:dyDescent="0.25">
      <c r="A3868" s="551" t="s">
        <v>39258</v>
      </c>
      <c r="B3868" s="551" t="s">
        <v>39259</v>
      </c>
      <c r="C3868" s="552" t="s">
        <v>19518</v>
      </c>
      <c r="D3868" s="557">
        <v>1039.52</v>
      </c>
      <c r="E3868" s="557">
        <v>1026.94</v>
      </c>
      <c r="F3868" s="557">
        <v>12.58</v>
      </c>
      <c r="G3868" s="557">
        <v>1039.52</v>
      </c>
    </row>
    <row r="3869" spans="1:7" ht="12.6" customHeight="1" x14ac:dyDescent="0.2">
      <c r="A3869" s="551" t="s">
        <v>39260</v>
      </c>
      <c r="B3869" s="551" t="s">
        <v>39261</v>
      </c>
      <c r="C3869" s="552" t="s">
        <v>19518</v>
      </c>
      <c r="D3869" s="557">
        <v>1283.71</v>
      </c>
      <c r="E3869" s="343">
        <v>1271.1300000000001</v>
      </c>
      <c r="F3869" s="557">
        <v>12.58</v>
      </c>
      <c r="G3869" s="557">
        <v>1283.71</v>
      </c>
    </row>
    <row r="3870" spans="1:7" ht="12.6" customHeight="1" x14ac:dyDescent="0.2">
      <c r="A3870" s="551" t="s">
        <v>39262</v>
      </c>
      <c r="B3870" s="551" t="s">
        <v>39263</v>
      </c>
      <c r="C3870" s="552" t="s">
        <v>19518</v>
      </c>
      <c r="D3870" s="557">
        <v>1789.19</v>
      </c>
      <c r="E3870" s="343">
        <v>1280.8499999999999</v>
      </c>
      <c r="F3870" s="557">
        <v>508.34</v>
      </c>
      <c r="G3870" s="557">
        <v>1789.19</v>
      </c>
    </row>
    <row r="3871" spans="1:7" ht="24.95" customHeight="1" x14ac:dyDescent="0.25">
      <c r="A3871" s="551" t="s">
        <v>39264</v>
      </c>
      <c r="B3871" s="342" t="s">
        <v>39265</v>
      </c>
      <c r="C3871" s="552" t="s">
        <v>19518</v>
      </c>
      <c r="D3871" s="557">
        <v>1950.92</v>
      </c>
      <c r="E3871" s="557">
        <v>1408.91</v>
      </c>
      <c r="F3871" s="557">
        <v>542.01</v>
      </c>
      <c r="G3871" s="557">
        <v>1950.92</v>
      </c>
    </row>
    <row r="3872" spans="1:7" ht="12.6" customHeight="1" x14ac:dyDescent="0.2">
      <c r="A3872" s="551" t="s">
        <v>39266</v>
      </c>
      <c r="B3872" s="551" t="s">
        <v>39267</v>
      </c>
      <c r="C3872" s="552" t="s">
        <v>19518</v>
      </c>
      <c r="D3872" s="557">
        <v>2316.44</v>
      </c>
      <c r="E3872" s="557">
        <v>1707.1</v>
      </c>
      <c r="F3872" s="343">
        <v>609.34</v>
      </c>
      <c r="G3872" s="557">
        <v>2316.44</v>
      </c>
    </row>
    <row r="3873" spans="1:7" ht="12.6" customHeight="1" x14ac:dyDescent="0.2">
      <c r="A3873" s="548" t="s">
        <v>39268</v>
      </c>
      <c r="B3873" s="548" t="s">
        <v>39269</v>
      </c>
      <c r="C3873" s="550" t="s">
        <v>19518</v>
      </c>
      <c r="D3873" s="550">
        <v>2822.62</v>
      </c>
      <c r="E3873" s="550">
        <v>2179.62</v>
      </c>
      <c r="F3873" s="550">
        <v>643</v>
      </c>
      <c r="G3873" s="550">
        <v>2822.62</v>
      </c>
    </row>
    <row r="3874" spans="1:7" ht="12.6" customHeight="1" x14ac:dyDescent="0.2">
      <c r="A3874" s="551" t="s">
        <v>39270</v>
      </c>
      <c r="B3874" s="551" t="s">
        <v>39271</v>
      </c>
      <c r="C3874" s="552" t="s">
        <v>6008</v>
      </c>
      <c r="D3874" s="557">
        <v>51.33</v>
      </c>
      <c r="E3874" s="343">
        <v>23.5</v>
      </c>
      <c r="F3874" s="557">
        <v>27.83</v>
      </c>
      <c r="G3874" s="557">
        <v>51.33</v>
      </c>
    </row>
    <row r="3875" spans="1:7" ht="12.6" customHeight="1" x14ac:dyDescent="0.25">
      <c r="A3875" s="551" t="s">
        <v>39272</v>
      </c>
      <c r="B3875" s="551" t="s">
        <v>39273</v>
      </c>
      <c r="C3875" s="552" t="s">
        <v>226</v>
      </c>
      <c r="D3875" s="557">
        <v>216.62</v>
      </c>
      <c r="E3875" s="557">
        <v>201.05</v>
      </c>
      <c r="F3875" s="557">
        <v>15.57</v>
      </c>
      <c r="G3875" s="557">
        <v>216.62</v>
      </c>
    </row>
    <row r="3876" spans="1:7" ht="12.6" customHeight="1" x14ac:dyDescent="0.2">
      <c r="A3876" s="551" t="s">
        <v>39274</v>
      </c>
      <c r="B3876" s="551" t="s">
        <v>39275</v>
      </c>
      <c r="C3876" s="552"/>
      <c r="D3876" s="557"/>
      <c r="E3876" s="557"/>
      <c r="F3876" s="343"/>
      <c r="G3876" s="557"/>
    </row>
    <row r="3877" spans="1:7" ht="12.6" customHeight="1" x14ac:dyDescent="0.2">
      <c r="A3877" s="551" t="s">
        <v>39276</v>
      </c>
      <c r="B3877" s="551" t="s">
        <v>39277</v>
      </c>
      <c r="C3877" s="552"/>
      <c r="D3877" s="557"/>
      <c r="E3877" s="343"/>
      <c r="F3877" s="557"/>
      <c r="G3877" s="557"/>
    </row>
    <row r="3878" spans="1:7" ht="23.1" customHeight="1" x14ac:dyDescent="0.25">
      <c r="A3878" s="551" t="s">
        <v>39278</v>
      </c>
      <c r="B3878" s="551" t="s">
        <v>39279</v>
      </c>
      <c r="C3878" s="552" t="s">
        <v>226</v>
      </c>
      <c r="D3878" s="557">
        <v>5191.54</v>
      </c>
      <c r="E3878" s="344">
        <v>5167.6000000000004</v>
      </c>
      <c r="F3878" s="557">
        <v>23.94</v>
      </c>
      <c r="G3878" s="557">
        <v>5191.54</v>
      </c>
    </row>
    <row r="3879" spans="1:7" ht="12.6" customHeight="1" x14ac:dyDescent="0.2">
      <c r="A3879" s="551" t="s">
        <v>39280</v>
      </c>
      <c r="B3879" s="551" t="s">
        <v>39281</v>
      </c>
      <c r="C3879" s="552" t="s">
        <v>158</v>
      </c>
      <c r="D3879" s="557">
        <v>2445.62</v>
      </c>
      <c r="E3879" s="343">
        <v>2445.62</v>
      </c>
      <c r="F3879" s="557"/>
      <c r="G3879" s="557">
        <v>2445.62</v>
      </c>
    </row>
    <row r="3880" spans="1:7" ht="12.6" customHeight="1" x14ac:dyDescent="0.2">
      <c r="A3880" s="548" t="s">
        <v>39282</v>
      </c>
      <c r="B3880" s="548" t="s">
        <v>39283</v>
      </c>
      <c r="C3880" s="550" t="s">
        <v>158</v>
      </c>
      <c r="D3880" s="550">
        <v>2815.84</v>
      </c>
      <c r="E3880" s="550">
        <v>2815.84</v>
      </c>
      <c r="F3880" s="550"/>
      <c r="G3880" s="550">
        <v>2815.84</v>
      </c>
    </row>
    <row r="3881" spans="1:7" ht="12.6" customHeight="1" x14ac:dyDescent="0.2">
      <c r="A3881" s="551" t="s">
        <v>39284</v>
      </c>
      <c r="B3881" s="551" t="s">
        <v>39285</v>
      </c>
      <c r="C3881" s="552"/>
      <c r="D3881" s="557"/>
      <c r="E3881" s="557"/>
      <c r="F3881" s="343"/>
      <c r="G3881" s="557"/>
    </row>
    <row r="3882" spans="1:7" ht="12.6" customHeight="1" x14ac:dyDescent="0.2">
      <c r="A3882" s="559" t="s">
        <v>39286</v>
      </c>
      <c r="B3882" s="548" t="s">
        <v>39287</v>
      </c>
      <c r="C3882" s="550" t="s">
        <v>227</v>
      </c>
      <c r="D3882" s="550">
        <v>10615.42</v>
      </c>
      <c r="E3882" s="550">
        <v>10615.42</v>
      </c>
      <c r="F3882" s="550"/>
      <c r="G3882" s="550">
        <v>10615.42</v>
      </c>
    </row>
    <row r="3883" spans="1:7" ht="12.6" customHeight="1" x14ac:dyDescent="0.2">
      <c r="A3883" s="548" t="s">
        <v>39288</v>
      </c>
      <c r="B3883" s="548" t="s">
        <v>39289</v>
      </c>
      <c r="C3883" s="550" t="s">
        <v>227</v>
      </c>
      <c r="D3883" s="550">
        <v>8859.23</v>
      </c>
      <c r="E3883" s="550">
        <v>8859.23</v>
      </c>
      <c r="F3883" s="550"/>
      <c r="G3883" s="550">
        <v>8859.23</v>
      </c>
    </row>
    <row r="3884" spans="1:7" ht="24.95" customHeight="1" x14ac:dyDescent="0.25">
      <c r="A3884" s="551" t="s">
        <v>39290</v>
      </c>
      <c r="B3884" s="342" t="s">
        <v>39291</v>
      </c>
      <c r="C3884" s="552" t="s">
        <v>227</v>
      </c>
      <c r="D3884" s="553">
        <v>4549.53</v>
      </c>
      <c r="E3884" s="553">
        <v>4549.53</v>
      </c>
      <c r="F3884" s="344"/>
      <c r="G3884" s="553">
        <v>4549.53</v>
      </c>
    </row>
    <row r="3885" spans="1:7" ht="11.45" customHeight="1" x14ac:dyDescent="0.25">
      <c r="A3885" s="543" t="s">
        <v>39292</v>
      </c>
      <c r="B3885" s="544" t="s">
        <v>39293</v>
      </c>
      <c r="C3885" s="544"/>
      <c r="D3885" s="543"/>
      <c r="E3885" s="545"/>
      <c r="F3885" s="546"/>
      <c r="G3885" s="543"/>
    </row>
    <row r="3886" spans="1:7" ht="24.95" customHeight="1" x14ac:dyDescent="0.25">
      <c r="A3886" s="551" t="s">
        <v>39294</v>
      </c>
      <c r="B3886" s="342" t="s">
        <v>39295</v>
      </c>
      <c r="C3886" s="552"/>
      <c r="D3886" s="553"/>
      <c r="E3886" s="553"/>
      <c r="F3886" s="344"/>
      <c r="G3886" s="553"/>
    </row>
    <row r="3887" spans="1:7" ht="24.95" customHeight="1" x14ac:dyDescent="0.25">
      <c r="A3887" s="551" t="s">
        <v>39296</v>
      </c>
      <c r="B3887" s="342" t="s">
        <v>39297</v>
      </c>
      <c r="C3887" s="552" t="s">
        <v>227</v>
      </c>
      <c r="D3887" s="553">
        <v>1805.03</v>
      </c>
      <c r="E3887" s="553">
        <v>1805.03</v>
      </c>
      <c r="F3887" s="344"/>
      <c r="G3887" s="553">
        <v>1805.03</v>
      </c>
    </row>
    <row r="3888" spans="1:7" ht="24.95" customHeight="1" x14ac:dyDescent="0.25">
      <c r="A3888" s="551" t="s">
        <v>39298</v>
      </c>
      <c r="B3888" s="342" t="s">
        <v>39299</v>
      </c>
      <c r="C3888" s="552"/>
      <c r="D3888" s="553"/>
      <c r="E3888" s="553"/>
      <c r="F3888" s="344"/>
      <c r="G3888" s="553"/>
    </row>
    <row r="3889" spans="1:7" ht="24.95" customHeight="1" x14ac:dyDescent="0.25">
      <c r="A3889" s="551" t="s">
        <v>39300</v>
      </c>
      <c r="B3889" s="342" t="s">
        <v>39301</v>
      </c>
      <c r="C3889" s="552" t="s">
        <v>227</v>
      </c>
      <c r="D3889" s="553">
        <v>2075.48</v>
      </c>
      <c r="E3889" s="553">
        <v>2075.48</v>
      </c>
      <c r="F3889" s="344"/>
      <c r="G3889" s="553">
        <v>2075.48</v>
      </c>
    </row>
    <row r="3890" spans="1:7" ht="12.6" customHeight="1" x14ac:dyDescent="0.2">
      <c r="A3890" s="551" t="s">
        <v>39302</v>
      </c>
      <c r="B3890" s="551" t="s">
        <v>39303</v>
      </c>
      <c r="C3890" s="552"/>
      <c r="D3890" s="557"/>
      <c r="E3890" s="557"/>
      <c r="F3890" s="343"/>
      <c r="G3890" s="557"/>
    </row>
    <row r="3891" spans="1:7" ht="12.6" customHeight="1" x14ac:dyDescent="0.2">
      <c r="A3891" s="548" t="s">
        <v>39304</v>
      </c>
      <c r="B3891" s="548" t="s">
        <v>39305</v>
      </c>
      <c r="C3891" s="550"/>
      <c r="D3891" s="550"/>
      <c r="E3891" s="550"/>
      <c r="F3891" s="550"/>
      <c r="G3891" s="550"/>
    </row>
    <row r="3892" spans="1:7" ht="24.95" customHeight="1" x14ac:dyDescent="0.25">
      <c r="A3892" s="551" t="s">
        <v>39306</v>
      </c>
      <c r="B3892" s="342" t="s">
        <v>39307</v>
      </c>
      <c r="C3892" s="552" t="s">
        <v>226</v>
      </c>
      <c r="D3892" s="553">
        <v>909.52</v>
      </c>
      <c r="E3892" s="553">
        <v>895.16</v>
      </c>
      <c r="F3892" s="553">
        <v>14.36</v>
      </c>
      <c r="G3892" s="553">
        <v>909.52</v>
      </c>
    </row>
    <row r="3893" spans="1:7" ht="24.95" customHeight="1" x14ac:dyDescent="0.25">
      <c r="A3893" s="551" t="s">
        <v>39308</v>
      </c>
      <c r="B3893" s="342" t="s">
        <v>39309</v>
      </c>
      <c r="C3893" s="552" t="s">
        <v>226</v>
      </c>
      <c r="D3893" s="553">
        <v>11535.29</v>
      </c>
      <c r="E3893" s="553">
        <v>11535.29</v>
      </c>
      <c r="F3893" s="553"/>
      <c r="G3893" s="553">
        <v>11535.29</v>
      </c>
    </row>
    <row r="3894" spans="1:7" ht="24.95" customHeight="1" x14ac:dyDescent="0.25">
      <c r="A3894" s="551" t="s">
        <v>39310</v>
      </c>
      <c r="B3894" s="342" t="s">
        <v>39311</v>
      </c>
      <c r="C3894" s="552" t="s">
        <v>19518</v>
      </c>
      <c r="D3894" s="553">
        <v>237.22</v>
      </c>
      <c r="E3894" s="553">
        <v>189.36</v>
      </c>
      <c r="F3894" s="553">
        <v>47.86</v>
      </c>
      <c r="G3894" s="553">
        <v>237.22</v>
      </c>
    </row>
    <row r="3895" spans="1:7" ht="24.95" customHeight="1" x14ac:dyDescent="0.25">
      <c r="A3895" s="551" t="s">
        <v>39312</v>
      </c>
      <c r="B3895" s="342" t="s">
        <v>39313</v>
      </c>
      <c r="C3895" s="552" t="s">
        <v>19518</v>
      </c>
      <c r="D3895" s="553">
        <v>3238.46</v>
      </c>
      <c r="E3895" s="553">
        <v>3238.46</v>
      </c>
      <c r="F3895" s="553"/>
      <c r="G3895" s="553">
        <v>3238.46</v>
      </c>
    </row>
    <row r="3896" spans="1:7" ht="24.95" customHeight="1" x14ac:dyDescent="0.25">
      <c r="A3896" s="551" t="s">
        <v>39314</v>
      </c>
      <c r="B3896" s="342" t="s">
        <v>39315</v>
      </c>
      <c r="C3896" s="552" t="s">
        <v>19518</v>
      </c>
      <c r="D3896" s="553">
        <v>5691.82</v>
      </c>
      <c r="E3896" s="553">
        <v>5691.82</v>
      </c>
      <c r="F3896" s="553"/>
      <c r="G3896" s="553">
        <v>5691.82</v>
      </c>
    </row>
    <row r="3897" spans="1:7" ht="24.95" customHeight="1" x14ac:dyDescent="0.25">
      <c r="A3897" s="551" t="s">
        <v>39316</v>
      </c>
      <c r="B3897" s="342" t="s">
        <v>39317</v>
      </c>
      <c r="C3897" s="552" t="s">
        <v>19518</v>
      </c>
      <c r="D3897" s="553">
        <v>1493.37</v>
      </c>
      <c r="E3897" s="553">
        <v>1373.71</v>
      </c>
      <c r="F3897" s="553">
        <v>119.66</v>
      </c>
      <c r="G3897" s="553">
        <v>1493.37</v>
      </c>
    </row>
    <row r="3898" spans="1:7" ht="24.95" customHeight="1" x14ac:dyDescent="0.25">
      <c r="A3898" s="551" t="s">
        <v>39318</v>
      </c>
      <c r="B3898" s="342" t="s">
        <v>39319</v>
      </c>
      <c r="C3898" s="552" t="s">
        <v>226</v>
      </c>
      <c r="D3898" s="553">
        <v>2887.9</v>
      </c>
      <c r="E3898" s="553">
        <v>2873.54</v>
      </c>
      <c r="F3898" s="553">
        <v>14.36</v>
      </c>
      <c r="G3898" s="553">
        <v>2887.9</v>
      </c>
    </row>
    <row r="3899" spans="1:7" ht="24.95" customHeight="1" x14ac:dyDescent="0.25">
      <c r="A3899" s="551" t="s">
        <v>39320</v>
      </c>
      <c r="B3899" s="342" t="s">
        <v>39321</v>
      </c>
      <c r="C3899" s="552" t="s">
        <v>19518</v>
      </c>
      <c r="D3899" s="553">
        <v>3620.67</v>
      </c>
      <c r="E3899" s="553">
        <v>2967.29</v>
      </c>
      <c r="F3899" s="553">
        <v>653.38</v>
      </c>
      <c r="G3899" s="553">
        <v>3620.67</v>
      </c>
    </row>
    <row r="3900" spans="1:7" ht="24.95" customHeight="1" x14ac:dyDescent="0.25">
      <c r="A3900" s="551" t="s">
        <v>39322</v>
      </c>
      <c r="B3900" s="342" t="s">
        <v>39323</v>
      </c>
      <c r="C3900" s="552"/>
      <c r="D3900" s="553"/>
      <c r="E3900" s="553"/>
      <c r="F3900" s="553"/>
      <c r="G3900" s="553"/>
    </row>
    <row r="3901" spans="1:7" ht="34.5" customHeight="1" x14ac:dyDescent="0.25">
      <c r="A3901" s="554" t="s">
        <v>39324</v>
      </c>
      <c r="B3901" s="551" t="s">
        <v>39325</v>
      </c>
      <c r="C3901" s="555" t="s">
        <v>226</v>
      </c>
      <c r="D3901" s="556">
        <v>5510.21</v>
      </c>
      <c r="E3901" s="556">
        <v>4445.01</v>
      </c>
      <c r="F3901" s="558">
        <v>1065.2</v>
      </c>
      <c r="G3901" s="556">
        <v>5510.21</v>
      </c>
    </row>
    <row r="3902" spans="1:7" ht="34.5" customHeight="1" x14ac:dyDescent="0.25">
      <c r="A3902" s="554" t="s">
        <v>39326</v>
      </c>
      <c r="B3902" s="551" t="s">
        <v>39327</v>
      </c>
      <c r="C3902" s="555" t="s">
        <v>226</v>
      </c>
      <c r="D3902" s="556">
        <v>1168.24</v>
      </c>
      <c r="E3902" s="556">
        <v>835.36</v>
      </c>
      <c r="F3902" s="558">
        <v>332.88</v>
      </c>
      <c r="G3902" s="556">
        <v>1168.24</v>
      </c>
    </row>
    <row r="3903" spans="1:7" ht="34.5" customHeight="1" x14ac:dyDescent="0.25">
      <c r="A3903" s="554" t="s">
        <v>39328</v>
      </c>
      <c r="B3903" s="551" t="s">
        <v>39329</v>
      </c>
      <c r="C3903" s="555" t="s">
        <v>226</v>
      </c>
      <c r="D3903" s="556">
        <v>1615.35</v>
      </c>
      <c r="E3903" s="556">
        <v>1282.47</v>
      </c>
      <c r="F3903" s="558">
        <v>332.88</v>
      </c>
      <c r="G3903" s="556">
        <v>1615.35</v>
      </c>
    </row>
    <row r="3904" spans="1:7" ht="34.5" customHeight="1" x14ac:dyDescent="0.25">
      <c r="A3904" s="554" t="s">
        <v>39330</v>
      </c>
      <c r="B3904" s="551" t="s">
        <v>39331</v>
      </c>
      <c r="C3904" s="555" t="s">
        <v>226</v>
      </c>
      <c r="D3904" s="556">
        <v>1592.26</v>
      </c>
      <c r="E3904" s="556">
        <v>1259.3800000000001</v>
      </c>
      <c r="F3904" s="558">
        <v>332.88</v>
      </c>
      <c r="G3904" s="556">
        <v>1592.26</v>
      </c>
    </row>
    <row r="3905" spans="1:7" ht="24.95" customHeight="1" x14ac:dyDescent="0.25">
      <c r="A3905" s="551" t="s">
        <v>39332</v>
      </c>
      <c r="B3905" s="342" t="s">
        <v>39333</v>
      </c>
      <c r="C3905" s="552" t="s">
        <v>226</v>
      </c>
      <c r="D3905" s="553">
        <v>3348.84</v>
      </c>
      <c r="E3905" s="553">
        <v>2683.09</v>
      </c>
      <c r="F3905" s="557">
        <v>665.75</v>
      </c>
      <c r="G3905" s="553">
        <v>3348.84</v>
      </c>
    </row>
    <row r="3906" spans="1:7" ht="24.95" customHeight="1" x14ac:dyDescent="0.25">
      <c r="A3906" s="551" t="s">
        <v>39334</v>
      </c>
      <c r="B3906" s="342" t="s">
        <v>39335</v>
      </c>
      <c r="C3906" s="552" t="s">
        <v>226</v>
      </c>
      <c r="D3906" s="553">
        <v>979.5</v>
      </c>
      <c r="E3906" s="553">
        <v>968.88</v>
      </c>
      <c r="F3906" s="557">
        <v>10.62</v>
      </c>
      <c r="G3906" s="553">
        <v>979.5</v>
      </c>
    </row>
    <row r="3907" spans="1:7" ht="24.95" customHeight="1" x14ac:dyDescent="0.25">
      <c r="A3907" s="551" t="s">
        <v>39336</v>
      </c>
      <c r="B3907" s="342" t="s">
        <v>39337</v>
      </c>
      <c r="C3907" s="552" t="s">
        <v>226</v>
      </c>
      <c r="D3907" s="553">
        <v>37.5</v>
      </c>
      <c r="E3907" s="553">
        <v>13.56</v>
      </c>
      <c r="F3907" s="557">
        <v>23.94</v>
      </c>
      <c r="G3907" s="553">
        <v>37.5</v>
      </c>
    </row>
    <row r="3908" spans="1:7" ht="12.6" customHeight="1" x14ac:dyDescent="0.25">
      <c r="A3908" s="551" t="s">
        <v>39338</v>
      </c>
      <c r="B3908" s="551" t="s">
        <v>39339</v>
      </c>
      <c r="C3908" s="552" t="s">
        <v>226</v>
      </c>
      <c r="D3908" s="557">
        <v>1181.3399999999999</v>
      </c>
      <c r="E3908" s="557">
        <v>989.9</v>
      </c>
      <c r="F3908" s="557">
        <v>191.44</v>
      </c>
      <c r="G3908" s="557">
        <v>1181.3399999999999</v>
      </c>
    </row>
    <row r="3909" spans="1:7" ht="12.6" customHeight="1" x14ac:dyDescent="0.25">
      <c r="A3909" s="551" t="s">
        <v>39340</v>
      </c>
      <c r="B3909" s="551" t="s">
        <v>39341</v>
      </c>
      <c r="C3909" s="552" t="s">
        <v>226</v>
      </c>
      <c r="D3909" s="557">
        <v>218.74</v>
      </c>
      <c r="E3909" s="557">
        <v>170.88</v>
      </c>
      <c r="F3909" s="557">
        <v>47.86</v>
      </c>
      <c r="G3909" s="557">
        <v>218.74</v>
      </c>
    </row>
    <row r="3910" spans="1:7" ht="12.6" customHeight="1" x14ac:dyDescent="0.25">
      <c r="A3910" s="551" t="s">
        <v>39342</v>
      </c>
      <c r="B3910" s="551" t="s">
        <v>39343</v>
      </c>
      <c r="C3910" s="552" t="s">
        <v>226</v>
      </c>
      <c r="D3910" s="557">
        <v>495.68</v>
      </c>
      <c r="E3910" s="557">
        <v>481.32</v>
      </c>
      <c r="F3910" s="557">
        <v>14.36</v>
      </c>
      <c r="G3910" s="557">
        <v>495.68</v>
      </c>
    </row>
    <row r="3911" spans="1:7" ht="12.6" customHeight="1" x14ac:dyDescent="0.25">
      <c r="A3911" s="551" t="s">
        <v>39344</v>
      </c>
      <c r="B3911" s="551" t="s">
        <v>39345</v>
      </c>
      <c r="C3911" s="552" t="s">
        <v>226</v>
      </c>
      <c r="D3911" s="557">
        <v>1241.6300000000001</v>
      </c>
      <c r="E3911" s="557">
        <v>1046.1300000000001</v>
      </c>
      <c r="F3911" s="557">
        <v>195.5</v>
      </c>
      <c r="G3911" s="557">
        <v>1241.6300000000001</v>
      </c>
    </row>
    <row r="3912" spans="1:7" ht="24.95" customHeight="1" x14ac:dyDescent="0.25">
      <c r="A3912" s="551" t="s">
        <v>39346</v>
      </c>
      <c r="B3912" s="342" t="s">
        <v>39347</v>
      </c>
      <c r="C3912" s="552" t="s">
        <v>226</v>
      </c>
      <c r="D3912" s="553">
        <v>4148.18</v>
      </c>
      <c r="E3912" s="553">
        <v>3952.68</v>
      </c>
      <c r="F3912" s="344">
        <v>195.5</v>
      </c>
      <c r="G3912" s="553">
        <v>4148.18</v>
      </c>
    </row>
    <row r="3913" spans="1:7" ht="12.6" customHeight="1" x14ac:dyDescent="0.25">
      <c r="A3913" s="551" t="s">
        <v>39348</v>
      </c>
      <c r="B3913" s="551" t="s">
        <v>39349</v>
      </c>
      <c r="C3913" s="552" t="s">
        <v>226</v>
      </c>
      <c r="D3913" s="553">
        <v>11501.67</v>
      </c>
      <c r="E3913" s="553">
        <v>11306.17</v>
      </c>
      <c r="F3913" s="557">
        <v>195.5</v>
      </c>
      <c r="G3913" s="553">
        <v>11501.67</v>
      </c>
    </row>
    <row r="3914" spans="1:7" ht="12.6" customHeight="1" x14ac:dyDescent="0.25">
      <c r="A3914" s="551" t="s">
        <v>39350</v>
      </c>
      <c r="B3914" s="551" t="s">
        <v>39351</v>
      </c>
      <c r="C3914" s="552" t="s">
        <v>226</v>
      </c>
      <c r="D3914" s="553">
        <v>1629.36</v>
      </c>
      <c r="E3914" s="553">
        <v>1625.82</v>
      </c>
      <c r="F3914" s="557">
        <v>3.54</v>
      </c>
      <c r="G3914" s="553">
        <v>1629.36</v>
      </c>
    </row>
    <row r="3915" spans="1:7" ht="12.6" customHeight="1" x14ac:dyDescent="0.25">
      <c r="A3915" s="551" t="s">
        <v>39352</v>
      </c>
      <c r="B3915" s="551" t="s">
        <v>39353</v>
      </c>
      <c r="C3915" s="552" t="s">
        <v>19518</v>
      </c>
      <c r="D3915" s="553">
        <v>11826.85</v>
      </c>
      <c r="E3915" s="553">
        <v>11574.02</v>
      </c>
      <c r="F3915" s="557">
        <v>252.83</v>
      </c>
      <c r="G3915" s="553">
        <v>11826.85</v>
      </c>
    </row>
    <row r="3916" spans="1:7" ht="12.6" customHeight="1" x14ac:dyDescent="0.2">
      <c r="A3916" s="551" t="s">
        <v>39354</v>
      </c>
      <c r="B3916" s="551" t="s">
        <v>39355</v>
      </c>
      <c r="C3916" s="552" t="s">
        <v>19518</v>
      </c>
      <c r="D3916" s="557">
        <v>17748.5</v>
      </c>
      <c r="E3916" s="343">
        <v>17495.669999999998</v>
      </c>
      <c r="F3916" s="557">
        <v>252.83</v>
      </c>
      <c r="G3916" s="557">
        <v>17748.5</v>
      </c>
    </row>
    <row r="3917" spans="1:7" ht="11.45" customHeight="1" x14ac:dyDescent="0.25">
      <c r="A3917" s="543" t="s">
        <v>39356</v>
      </c>
      <c r="B3917" s="544" t="s">
        <v>39357</v>
      </c>
      <c r="C3917" s="544" t="s">
        <v>226</v>
      </c>
      <c r="D3917" s="543">
        <v>1547.6</v>
      </c>
      <c r="E3917" s="545">
        <v>1379.05</v>
      </c>
      <c r="F3917" s="546">
        <v>168.55</v>
      </c>
      <c r="G3917" s="543">
        <v>1547.6</v>
      </c>
    </row>
    <row r="3918" spans="1:7" ht="24.95" customHeight="1" x14ac:dyDescent="0.25">
      <c r="A3918" s="551" t="s">
        <v>39358</v>
      </c>
      <c r="B3918" s="342" t="s">
        <v>39359</v>
      </c>
      <c r="C3918" s="552" t="s">
        <v>226</v>
      </c>
      <c r="D3918" s="553">
        <v>1995.24</v>
      </c>
      <c r="E3918" s="553">
        <v>1742.41</v>
      </c>
      <c r="F3918" s="553">
        <v>252.83</v>
      </c>
      <c r="G3918" s="553">
        <v>1995.24</v>
      </c>
    </row>
    <row r="3919" spans="1:7" ht="12.6" customHeight="1" x14ac:dyDescent="0.25">
      <c r="A3919" s="551" t="s">
        <v>39360</v>
      </c>
      <c r="B3919" s="551" t="s">
        <v>39361</v>
      </c>
      <c r="C3919" s="552" t="s">
        <v>226</v>
      </c>
      <c r="D3919" s="557">
        <v>4594.66</v>
      </c>
      <c r="E3919" s="557">
        <v>4261.78</v>
      </c>
      <c r="F3919" s="557">
        <v>332.88</v>
      </c>
      <c r="G3919" s="557">
        <v>4594.66</v>
      </c>
    </row>
    <row r="3920" spans="1:7" ht="23.1" customHeight="1" x14ac:dyDescent="0.25">
      <c r="A3920" s="551" t="s">
        <v>39362</v>
      </c>
      <c r="B3920" s="551" t="s">
        <v>39363</v>
      </c>
      <c r="C3920" s="552"/>
      <c r="D3920" s="553"/>
      <c r="E3920" s="553"/>
      <c r="F3920" s="557"/>
      <c r="G3920" s="553"/>
    </row>
    <row r="3921" spans="1:7" ht="12.6" customHeight="1" x14ac:dyDescent="0.25">
      <c r="A3921" s="551" t="s">
        <v>39364</v>
      </c>
      <c r="B3921" s="551" t="s">
        <v>39365</v>
      </c>
      <c r="C3921" s="552" t="s">
        <v>226</v>
      </c>
      <c r="D3921" s="553">
        <v>32.65</v>
      </c>
      <c r="E3921" s="553">
        <v>19.329999999999998</v>
      </c>
      <c r="F3921" s="557">
        <v>13.32</v>
      </c>
      <c r="G3921" s="553">
        <v>32.65</v>
      </c>
    </row>
    <row r="3922" spans="1:7" ht="12.6" customHeight="1" x14ac:dyDescent="0.25">
      <c r="A3922" s="551" t="s">
        <v>39366</v>
      </c>
      <c r="B3922" s="551" t="s">
        <v>39367</v>
      </c>
      <c r="C3922" s="552" t="s">
        <v>226</v>
      </c>
      <c r="D3922" s="553">
        <v>48.6</v>
      </c>
      <c r="E3922" s="553">
        <v>35.28</v>
      </c>
      <c r="F3922" s="557">
        <v>13.32</v>
      </c>
      <c r="G3922" s="553">
        <v>48.6</v>
      </c>
    </row>
    <row r="3923" spans="1:7" ht="12.6" customHeight="1" x14ac:dyDescent="0.25">
      <c r="A3923" s="551" t="s">
        <v>39368</v>
      </c>
      <c r="B3923" s="551" t="s">
        <v>39369</v>
      </c>
      <c r="C3923" s="552" t="s">
        <v>226</v>
      </c>
      <c r="D3923" s="557">
        <v>195.5</v>
      </c>
      <c r="E3923" s="557"/>
      <c r="F3923" s="557">
        <v>195.5</v>
      </c>
      <c r="G3923" s="557">
        <v>195.5</v>
      </c>
    </row>
    <row r="3924" spans="1:7" ht="12.6" customHeight="1" x14ac:dyDescent="0.25">
      <c r="A3924" s="551" t="s">
        <v>39370</v>
      </c>
      <c r="B3924" s="551" t="s">
        <v>39371</v>
      </c>
      <c r="C3924" s="552" t="s">
        <v>226</v>
      </c>
      <c r="D3924" s="557">
        <v>195.5</v>
      </c>
      <c r="E3924" s="557"/>
      <c r="F3924" s="557">
        <v>195.5</v>
      </c>
      <c r="G3924" s="557">
        <v>195.5</v>
      </c>
    </row>
    <row r="3925" spans="1:7" ht="12.6" customHeight="1" x14ac:dyDescent="0.25">
      <c r="A3925" s="551" t="s">
        <v>39372</v>
      </c>
      <c r="B3925" s="551" t="s">
        <v>39373</v>
      </c>
      <c r="C3925" s="552" t="s">
        <v>226</v>
      </c>
      <c r="D3925" s="557">
        <v>16455.05</v>
      </c>
      <c r="E3925" s="557">
        <v>16437.349999999999</v>
      </c>
      <c r="F3925" s="557">
        <v>17.7</v>
      </c>
      <c r="G3925" s="557">
        <v>16455.05</v>
      </c>
    </row>
    <row r="3926" spans="1:7" ht="12.6" customHeight="1" x14ac:dyDescent="0.25">
      <c r="A3926" s="551" t="s">
        <v>39374</v>
      </c>
      <c r="B3926" s="551" t="s">
        <v>39375</v>
      </c>
      <c r="C3926" s="552" t="s">
        <v>226</v>
      </c>
      <c r="D3926" s="557">
        <v>2902.25</v>
      </c>
      <c r="E3926" s="557">
        <v>2884.55</v>
      </c>
      <c r="F3926" s="557">
        <v>17.7</v>
      </c>
      <c r="G3926" s="557">
        <v>2902.25</v>
      </c>
    </row>
    <row r="3927" spans="1:7" ht="24.95" customHeight="1" x14ac:dyDescent="0.25">
      <c r="A3927" s="551" t="s">
        <v>39376</v>
      </c>
      <c r="B3927" s="342" t="s">
        <v>39377</v>
      </c>
      <c r="C3927" s="552"/>
      <c r="D3927" s="553"/>
      <c r="E3927" s="553"/>
      <c r="F3927" s="557"/>
      <c r="G3927" s="553"/>
    </row>
    <row r="3928" spans="1:7" ht="24.95" customHeight="1" x14ac:dyDescent="0.25">
      <c r="A3928" s="551" t="s">
        <v>39378</v>
      </c>
      <c r="B3928" s="342" t="s">
        <v>39379</v>
      </c>
      <c r="C3928" s="552"/>
      <c r="D3928" s="553"/>
      <c r="E3928" s="553"/>
      <c r="F3928" s="557"/>
      <c r="G3928" s="553"/>
    </row>
    <row r="3929" spans="1:7" ht="24.95" customHeight="1" x14ac:dyDescent="0.25">
      <c r="A3929" s="551" t="s">
        <v>39380</v>
      </c>
      <c r="B3929" s="342" t="s">
        <v>39381</v>
      </c>
      <c r="C3929" s="552" t="s">
        <v>226</v>
      </c>
      <c r="D3929" s="553">
        <v>2118.21</v>
      </c>
      <c r="E3929" s="553">
        <v>2031.89</v>
      </c>
      <c r="F3929" s="557">
        <v>86.32</v>
      </c>
      <c r="G3929" s="553">
        <v>2118.21</v>
      </c>
    </row>
    <row r="3930" spans="1:7" ht="12.6" customHeight="1" x14ac:dyDescent="0.25">
      <c r="A3930" s="551" t="s">
        <v>39382</v>
      </c>
      <c r="B3930" s="551" t="s">
        <v>39383</v>
      </c>
      <c r="C3930" s="552" t="s">
        <v>227</v>
      </c>
      <c r="D3930" s="553">
        <v>1070.78</v>
      </c>
      <c r="E3930" s="553">
        <v>1061.04</v>
      </c>
      <c r="F3930" s="557">
        <v>9.74</v>
      </c>
      <c r="G3930" s="553">
        <v>1070.78</v>
      </c>
    </row>
    <row r="3931" spans="1:7" ht="12.6" customHeight="1" x14ac:dyDescent="0.25">
      <c r="A3931" s="551" t="s">
        <v>39384</v>
      </c>
      <c r="B3931" s="551" t="s">
        <v>39385</v>
      </c>
      <c r="C3931" s="552" t="s">
        <v>227</v>
      </c>
      <c r="D3931" s="553">
        <v>2648.35</v>
      </c>
      <c r="E3931" s="553">
        <v>2638.61</v>
      </c>
      <c r="F3931" s="557">
        <v>9.74</v>
      </c>
      <c r="G3931" s="553">
        <v>2648.35</v>
      </c>
    </row>
    <row r="3932" spans="1:7" ht="12.6" customHeight="1" x14ac:dyDescent="0.25">
      <c r="A3932" s="551" t="s">
        <v>39386</v>
      </c>
      <c r="B3932" s="551" t="s">
        <v>39387</v>
      </c>
      <c r="C3932" s="552" t="s">
        <v>226</v>
      </c>
      <c r="D3932" s="553">
        <v>1049.82</v>
      </c>
      <c r="E3932" s="553">
        <v>1044.95</v>
      </c>
      <c r="F3932" s="557">
        <v>4.87</v>
      </c>
      <c r="G3932" s="553">
        <v>1049.82</v>
      </c>
    </row>
    <row r="3933" spans="1:7" ht="23.1" customHeight="1" x14ac:dyDescent="0.25">
      <c r="A3933" s="551" t="s">
        <v>39388</v>
      </c>
      <c r="B3933" s="551" t="s">
        <v>39389</v>
      </c>
      <c r="C3933" s="552" t="s">
        <v>226</v>
      </c>
      <c r="D3933" s="553">
        <v>22020.639999999999</v>
      </c>
      <c r="E3933" s="553">
        <v>21847.52</v>
      </c>
      <c r="F3933" s="557">
        <v>173.12</v>
      </c>
      <c r="G3933" s="553">
        <v>22020.639999999999</v>
      </c>
    </row>
    <row r="3934" spans="1:7" ht="23.1" customHeight="1" x14ac:dyDescent="0.25">
      <c r="A3934" s="551" t="s">
        <v>39390</v>
      </c>
      <c r="B3934" s="551" t="s">
        <v>39391</v>
      </c>
      <c r="C3934" s="552" t="s">
        <v>227</v>
      </c>
      <c r="D3934" s="553">
        <v>5274.52</v>
      </c>
      <c r="E3934" s="553">
        <v>5243.2</v>
      </c>
      <c r="F3934" s="557">
        <v>31.32</v>
      </c>
      <c r="G3934" s="553">
        <v>5274.52</v>
      </c>
    </row>
    <row r="3935" spans="1:7" ht="23.1" customHeight="1" x14ac:dyDescent="0.25">
      <c r="A3935" s="551" t="s">
        <v>39392</v>
      </c>
      <c r="B3935" s="551" t="s">
        <v>39393</v>
      </c>
      <c r="C3935" s="552" t="s">
        <v>226</v>
      </c>
      <c r="D3935" s="553">
        <v>103970.82</v>
      </c>
      <c r="E3935" s="553">
        <v>103970.82</v>
      </c>
      <c r="F3935" s="557"/>
      <c r="G3935" s="553">
        <v>103970.82</v>
      </c>
    </row>
    <row r="3936" spans="1:7" ht="23.1" customHeight="1" x14ac:dyDescent="0.25">
      <c r="A3936" s="551" t="s">
        <v>39394</v>
      </c>
      <c r="B3936" s="551" t="s">
        <v>39395</v>
      </c>
      <c r="C3936" s="552" t="s">
        <v>226</v>
      </c>
      <c r="D3936" s="553">
        <v>54968.13</v>
      </c>
      <c r="E3936" s="553">
        <v>54688.26</v>
      </c>
      <c r="F3936" s="557">
        <v>279.87</v>
      </c>
      <c r="G3936" s="553">
        <v>54968.13</v>
      </c>
    </row>
    <row r="3937" spans="1:7" ht="23.1" customHeight="1" x14ac:dyDescent="0.25">
      <c r="A3937" s="551" t="s">
        <v>39396</v>
      </c>
      <c r="B3937" s="551" t="s">
        <v>39397</v>
      </c>
      <c r="C3937" s="552" t="s">
        <v>19518</v>
      </c>
      <c r="D3937" s="553">
        <v>468838.07</v>
      </c>
      <c r="E3937" s="553">
        <v>468838.07</v>
      </c>
      <c r="F3937" s="557"/>
      <c r="G3937" s="553">
        <v>468838.07</v>
      </c>
    </row>
    <row r="3938" spans="1:7" ht="12.6" customHeight="1" x14ac:dyDescent="0.25">
      <c r="A3938" s="551" t="s">
        <v>39398</v>
      </c>
      <c r="B3938" s="551" t="s">
        <v>39399</v>
      </c>
      <c r="C3938" s="552" t="s">
        <v>19518</v>
      </c>
      <c r="D3938" s="553">
        <v>66713.59</v>
      </c>
      <c r="E3938" s="553">
        <v>5950.29</v>
      </c>
      <c r="F3938" s="557">
        <v>60763.3</v>
      </c>
      <c r="G3938" s="553">
        <v>66713.59</v>
      </c>
    </row>
    <row r="3939" spans="1:7" ht="12.6" customHeight="1" x14ac:dyDescent="0.25">
      <c r="A3939" s="551" t="s">
        <v>39400</v>
      </c>
      <c r="B3939" s="551" t="s">
        <v>39401</v>
      </c>
      <c r="C3939" s="552" t="s">
        <v>19518</v>
      </c>
      <c r="D3939" s="553">
        <v>81580.06</v>
      </c>
      <c r="E3939" s="553">
        <v>8235.98</v>
      </c>
      <c r="F3939" s="557">
        <v>73344.08</v>
      </c>
      <c r="G3939" s="553">
        <v>81580.06</v>
      </c>
    </row>
    <row r="3940" spans="1:7" ht="12.6" customHeight="1" x14ac:dyDescent="0.25">
      <c r="A3940" s="551" t="s">
        <v>39402</v>
      </c>
      <c r="B3940" s="551" t="s">
        <v>39403</v>
      </c>
      <c r="C3940" s="552"/>
      <c r="D3940" s="557"/>
      <c r="E3940" s="557"/>
      <c r="F3940" s="557"/>
      <c r="G3940" s="557"/>
    </row>
    <row r="3941" spans="1:7" ht="12.6" customHeight="1" x14ac:dyDescent="0.25">
      <c r="A3941" s="551" t="s">
        <v>39404</v>
      </c>
      <c r="B3941" s="551" t="s">
        <v>39405</v>
      </c>
      <c r="C3941" s="552"/>
      <c r="D3941" s="557"/>
      <c r="E3941" s="557"/>
      <c r="F3941" s="557"/>
      <c r="G3941" s="557"/>
    </row>
    <row r="3942" spans="1:7" ht="12.6" customHeight="1" x14ac:dyDescent="0.2">
      <c r="A3942" s="548" t="s">
        <v>39406</v>
      </c>
      <c r="B3942" s="548" t="s">
        <v>39407</v>
      </c>
      <c r="C3942" s="550" t="s">
        <v>226</v>
      </c>
      <c r="D3942" s="550">
        <v>1670.77</v>
      </c>
      <c r="E3942" s="550">
        <v>1378.47</v>
      </c>
      <c r="F3942" s="550">
        <v>292.3</v>
      </c>
      <c r="G3942" s="550">
        <v>1670.77</v>
      </c>
    </row>
    <row r="3943" spans="1:7" ht="24.95" customHeight="1" x14ac:dyDescent="0.25">
      <c r="A3943" s="551" t="s">
        <v>39408</v>
      </c>
      <c r="B3943" s="342" t="s">
        <v>39409</v>
      </c>
      <c r="C3943" s="552" t="s">
        <v>226</v>
      </c>
      <c r="D3943" s="553">
        <v>1625.62</v>
      </c>
      <c r="E3943" s="553">
        <v>1333.32</v>
      </c>
      <c r="F3943" s="553">
        <v>292.3</v>
      </c>
      <c r="G3943" s="553">
        <v>1625.62</v>
      </c>
    </row>
    <row r="3944" spans="1:7" ht="24.95" customHeight="1" x14ac:dyDescent="0.25">
      <c r="A3944" s="551" t="s">
        <v>39410</v>
      </c>
      <c r="B3944" s="342" t="s">
        <v>39411</v>
      </c>
      <c r="C3944" s="552" t="s">
        <v>226</v>
      </c>
      <c r="D3944" s="553">
        <v>2285.2600000000002</v>
      </c>
      <c r="E3944" s="553">
        <v>1992.96</v>
      </c>
      <c r="F3944" s="553">
        <v>292.3</v>
      </c>
      <c r="G3944" s="553">
        <v>2285.2600000000002</v>
      </c>
    </row>
    <row r="3945" spans="1:7" ht="24.95" customHeight="1" x14ac:dyDescent="0.25">
      <c r="A3945" s="551" t="s">
        <v>39412</v>
      </c>
      <c r="B3945" s="342" t="s">
        <v>39413</v>
      </c>
      <c r="C3945" s="552" t="s">
        <v>226</v>
      </c>
      <c r="D3945" s="553">
        <v>2502.0700000000002</v>
      </c>
      <c r="E3945" s="553">
        <v>2209.77</v>
      </c>
      <c r="F3945" s="557">
        <v>292.3</v>
      </c>
      <c r="G3945" s="553">
        <v>2502.0700000000002</v>
      </c>
    </row>
    <row r="3946" spans="1:7" ht="24.95" customHeight="1" x14ac:dyDescent="0.25">
      <c r="A3946" s="551" t="s">
        <v>39414</v>
      </c>
      <c r="B3946" s="342" t="s">
        <v>39415</v>
      </c>
      <c r="C3946" s="552" t="s">
        <v>226</v>
      </c>
      <c r="D3946" s="553">
        <v>2427.6799999999998</v>
      </c>
      <c r="E3946" s="553">
        <v>2135.38</v>
      </c>
      <c r="F3946" s="557">
        <v>292.3</v>
      </c>
      <c r="G3946" s="553">
        <v>2427.6799999999998</v>
      </c>
    </row>
    <row r="3947" spans="1:7" ht="24.95" customHeight="1" x14ac:dyDescent="0.25">
      <c r="A3947" s="551" t="s">
        <v>39416</v>
      </c>
      <c r="B3947" s="342" t="s">
        <v>39417</v>
      </c>
      <c r="C3947" s="552" t="s">
        <v>226</v>
      </c>
      <c r="D3947" s="553">
        <v>2289.7800000000002</v>
      </c>
      <c r="E3947" s="553">
        <v>1997.48</v>
      </c>
      <c r="F3947" s="557">
        <v>292.3</v>
      </c>
      <c r="G3947" s="553">
        <v>2289.7800000000002</v>
      </c>
    </row>
    <row r="3948" spans="1:7" ht="24.95" customHeight="1" x14ac:dyDescent="0.25">
      <c r="A3948" s="551" t="s">
        <v>39418</v>
      </c>
      <c r="B3948" s="342" t="s">
        <v>39419</v>
      </c>
      <c r="C3948" s="552" t="s">
        <v>226</v>
      </c>
      <c r="D3948" s="553">
        <v>1929.46</v>
      </c>
      <c r="E3948" s="553">
        <v>1637.16</v>
      </c>
      <c r="F3948" s="557">
        <v>292.3</v>
      </c>
      <c r="G3948" s="553">
        <v>1929.46</v>
      </c>
    </row>
    <row r="3949" spans="1:7" ht="24.95" customHeight="1" x14ac:dyDescent="0.25">
      <c r="A3949" s="551" t="s">
        <v>39420</v>
      </c>
      <c r="B3949" s="342" t="s">
        <v>39421</v>
      </c>
      <c r="C3949" s="552" t="s">
        <v>226</v>
      </c>
      <c r="D3949" s="553">
        <v>3004.93</v>
      </c>
      <c r="E3949" s="553">
        <v>2712.63</v>
      </c>
      <c r="F3949" s="557">
        <v>292.3</v>
      </c>
      <c r="G3949" s="553">
        <v>3004.93</v>
      </c>
    </row>
    <row r="3950" spans="1:7" ht="12.6" customHeight="1" x14ac:dyDescent="0.2">
      <c r="A3950" s="548" t="s">
        <v>39422</v>
      </c>
      <c r="B3950" s="548" t="s">
        <v>39423</v>
      </c>
      <c r="C3950" s="550" t="s">
        <v>226</v>
      </c>
      <c r="D3950" s="550">
        <v>2933.51</v>
      </c>
      <c r="E3950" s="550">
        <v>2641.21</v>
      </c>
      <c r="F3950" s="550">
        <v>292.3</v>
      </c>
      <c r="G3950" s="550">
        <v>2933.51</v>
      </c>
    </row>
    <row r="3951" spans="1:7" ht="23.1" customHeight="1" x14ac:dyDescent="0.25">
      <c r="A3951" s="551" t="s">
        <v>39424</v>
      </c>
      <c r="B3951" s="551" t="s">
        <v>39425</v>
      </c>
      <c r="C3951" s="552" t="s">
        <v>226</v>
      </c>
      <c r="D3951" s="557">
        <v>3567.28</v>
      </c>
      <c r="E3951" s="557">
        <v>3274.98</v>
      </c>
      <c r="F3951" s="557">
        <v>292.3</v>
      </c>
      <c r="G3951" s="557">
        <v>3567.28</v>
      </c>
    </row>
    <row r="3952" spans="1:7" ht="12.6" customHeight="1" x14ac:dyDescent="0.25">
      <c r="A3952" s="551" t="s">
        <v>39426</v>
      </c>
      <c r="B3952" s="551" t="s">
        <v>39427</v>
      </c>
      <c r="C3952" s="552" t="s">
        <v>226</v>
      </c>
      <c r="D3952" s="557">
        <v>3523.12</v>
      </c>
      <c r="E3952" s="557">
        <v>3230.82</v>
      </c>
      <c r="F3952" s="557">
        <v>292.3</v>
      </c>
      <c r="G3952" s="557">
        <v>3523.12</v>
      </c>
    </row>
    <row r="3953" spans="1:7" ht="24.95" customHeight="1" x14ac:dyDescent="0.25">
      <c r="A3953" s="551" t="s">
        <v>39428</v>
      </c>
      <c r="B3953" s="342" t="s">
        <v>39429</v>
      </c>
      <c r="C3953" s="552" t="s">
        <v>226</v>
      </c>
      <c r="D3953" s="557">
        <v>3913.91</v>
      </c>
      <c r="E3953" s="557">
        <v>3621.61</v>
      </c>
      <c r="F3953" s="557">
        <v>292.3</v>
      </c>
      <c r="G3953" s="557">
        <v>3913.91</v>
      </c>
    </row>
    <row r="3954" spans="1:7" ht="24.95" customHeight="1" x14ac:dyDescent="0.25">
      <c r="A3954" s="551" t="s">
        <v>39430</v>
      </c>
      <c r="B3954" s="342" t="s">
        <v>39431</v>
      </c>
      <c r="C3954" s="552" t="s">
        <v>226</v>
      </c>
      <c r="D3954" s="553">
        <v>6369.8</v>
      </c>
      <c r="E3954" s="553">
        <v>6077.5</v>
      </c>
      <c r="F3954" s="557">
        <v>292.3</v>
      </c>
      <c r="G3954" s="553">
        <v>6369.8</v>
      </c>
    </row>
    <row r="3955" spans="1:7" ht="11.45" customHeight="1" x14ac:dyDescent="0.25">
      <c r="A3955" s="543" t="s">
        <v>39432</v>
      </c>
      <c r="B3955" s="544" t="s">
        <v>39433</v>
      </c>
      <c r="C3955" s="544"/>
      <c r="D3955" s="543"/>
      <c r="E3955" s="545"/>
      <c r="F3955" s="546"/>
      <c r="G3955" s="543"/>
    </row>
    <row r="3956" spans="1:7" ht="24.95" customHeight="1" x14ac:dyDescent="0.25">
      <c r="A3956" s="551" t="s">
        <v>39434</v>
      </c>
      <c r="B3956" s="342" t="s">
        <v>39435</v>
      </c>
      <c r="C3956" s="552" t="s">
        <v>226</v>
      </c>
      <c r="D3956" s="553">
        <v>771.22</v>
      </c>
      <c r="E3956" s="553">
        <v>599.74</v>
      </c>
      <c r="F3956" s="557">
        <v>171.48</v>
      </c>
      <c r="G3956" s="553">
        <v>771.22</v>
      </c>
    </row>
    <row r="3957" spans="1:7" ht="12.6" customHeight="1" x14ac:dyDescent="0.25">
      <c r="A3957" s="551" t="s">
        <v>39436</v>
      </c>
      <c r="B3957" s="551" t="s">
        <v>39437</v>
      </c>
      <c r="C3957" s="552" t="s">
        <v>226</v>
      </c>
      <c r="D3957" s="557">
        <v>662.5</v>
      </c>
      <c r="E3957" s="557">
        <v>456.73</v>
      </c>
      <c r="F3957" s="557">
        <v>205.77</v>
      </c>
      <c r="G3957" s="557">
        <v>662.5</v>
      </c>
    </row>
    <row r="3958" spans="1:7" ht="24.95" customHeight="1" x14ac:dyDescent="0.25">
      <c r="A3958" s="551" t="s">
        <v>39438</v>
      </c>
      <c r="B3958" s="342" t="s">
        <v>39439</v>
      </c>
      <c r="C3958" s="552" t="s">
        <v>226</v>
      </c>
      <c r="D3958" s="553">
        <v>1208.1500000000001</v>
      </c>
      <c r="E3958" s="553">
        <v>1002.38</v>
      </c>
      <c r="F3958" s="557">
        <v>205.77</v>
      </c>
      <c r="G3958" s="553">
        <v>1208.1500000000001</v>
      </c>
    </row>
    <row r="3959" spans="1:7" ht="12.6" customHeight="1" x14ac:dyDescent="0.25">
      <c r="A3959" s="551" t="s">
        <v>39440</v>
      </c>
      <c r="B3959" s="551" t="s">
        <v>39441</v>
      </c>
      <c r="C3959" s="552" t="s">
        <v>226</v>
      </c>
      <c r="D3959" s="557">
        <v>1602.9</v>
      </c>
      <c r="E3959" s="557">
        <v>1294.24</v>
      </c>
      <c r="F3959" s="557">
        <v>308.66000000000003</v>
      </c>
      <c r="G3959" s="557">
        <v>1602.9</v>
      </c>
    </row>
    <row r="3960" spans="1:7" ht="24.95" customHeight="1" x14ac:dyDescent="0.25">
      <c r="A3960" s="551" t="s">
        <v>39442</v>
      </c>
      <c r="B3960" s="342" t="s">
        <v>39443</v>
      </c>
      <c r="C3960" s="552" t="s">
        <v>226</v>
      </c>
      <c r="D3960" s="553">
        <v>1916.63</v>
      </c>
      <c r="E3960" s="553">
        <v>1505.09</v>
      </c>
      <c r="F3960" s="557">
        <v>411.54</v>
      </c>
      <c r="G3960" s="553">
        <v>1916.63</v>
      </c>
    </row>
    <row r="3961" spans="1:7" ht="23.1" customHeight="1" x14ac:dyDescent="0.25">
      <c r="A3961" s="551" t="s">
        <v>39444</v>
      </c>
      <c r="B3961" s="551" t="s">
        <v>39445</v>
      </c>
      <c r="C3961" s="552" t="s">
        <v>226</v>
      </c>
      <c r="D3961" s="557">
        <v>2646.67</v>
      </c>
      <c r="E3961" s="557">
        <v>2338.0100000000002</v>
      </c>
      <c r="F3961" s="557">
        <v>308.66000000000003</v>
      </c>
      <c r="G3961" s="557">
        <v>2646.67</v>
      </c>
    </row>
    <row r="3962" spans="1:7" ht="12.6" customHeight="1" x14ac:dyDescent="0.25">
      <c r="A3962" s="551" t="s">
        <v>39446</v>
      </c>
      <c r="B3962" s="551" t="s">
        <v>39447</v>
      </c>
      <c r="C3962" s="552" t="s">
        <v>226</v>
      </c>
      <c r="D3962" s="553">
        <v>1468.2</v>
      </c>
      <c r="E3962" s="553">
        <v>1159.54</v>
      </c>
      <c r="F3962" s="557">
        <v>308.66000000000003</v>
      </c>
      <c r="G3962" s="553">
        <v>1468.2</v>
      </c>
    </row>
    <row r="3963" spans="1:7" ht="12.6" customHeight="1" x14ac:dyDescent="0.25">
      <c r="A3963" s="551" t="s">
        <v>39448</v>
      </c>
      <c r="B3963" s="551" t="s">
        <v>39449</v>
      </c>
      <c r="C3963" s="552" t="s">
        <v>226</v>
      </c>
      <c r="D3963" s="557">
        <v>2762.35</v>
      </c>
      <c r="E3963" s="557">
        <v>2350.81</v>
      </c>
      <c r="F3963" s="557">
        <v>411.54</v>
      </c>
      <c r="G3963" s="557">
        <v>2762.35</v>
      </c>
    </row>
    <row r="3964" spans="1:7" ht="12.6" customHeight="1" x14ac:dyDescent="0.25">
      <c r="A3964" s="551" t="s">
        <v>39450</v>
      </c>
      <c r="B3964" s="551" t="s">
        <v>39451</v>
      </c>
      <c r="C3964" s="552" t="s">
        <v>226</v>
      </c>
      <c r="D3964" s="557">
        <v>264.60000000000002</v>
      </c>
      <c r="E3964" s="557">
        <v>127.42</v>
      </c>
      <c r="F3964" s="557">
        <v>137.18</v>
      </c>
      <c r="G3964" s="557">
        <v>264.60000000000002</v>
      </c>
    </row>
    <row r="3965" spans="1:7" ht="12.6" customHeight="1" x14ac:dyDescent="0.25">
      <c r="A3965" s="551" t="s">
        <v>39452</v>
      </c>
      <c r="B3965" s="551" t="s">
        <v>39453</v>
      </c>
      <c r="C3965" s="552" t="s">
        <v>226</v>
      </c>
      <c r="D3965" s="553">
        <v>273.52999999999997</v>
      </c>
      <c r="E3965" s="553">
        <v>136.35</v>
      </c>
      <c r="F3965" s="557">
        <v>137.18</v>
      </c>
      <c r="G3965" s="553">
        <v>273.52999999999997</v>
      </c>
    </row>
    <row r="3966" spans="1:7" ht="12.6" customHeight="1" x14ac:dyDescent="0.25">
      <c r="A3966" s="551" t="s">
        <v>39454</v>
      </c>
      <c r="B3966" s="551" t="s">
        <v>39455</v>
      </c>
      <c r="C3966" s="552" t="s">
        <v>226</v>
      </c>
      <c r="D3966" s="557">
        <v>405.47</v>
      </c>
      <c r="E3966" s="557">
        <v>233.99</v>
      </c>
      <c r="F3966" s="557">
        <v>171.48</v>
      </c>
      <c r="G3966" s="557">
        <v>405.47</v>
      </c>
    </row>
    <row r="3967" spans="1:7" ht="12.6" customHeight="1" x14ac:dyDescent="0.25">
      <c r="A3967" s="551" t="s">
        <v>39456</v>
      </c>
      <c r="B3967" s="551" t="s">
        <v>39457</v>
      </c>
      <c r="C3967" s="552" t="s">
        <v>226</v>
      </c>
      <c r="D3967" s="557">
        <v>673.75</v>
      </c>
      <c r="E3967" s="557">
        <v>467.98</v>
      </c>
      <c r="F3967" s="557">
        <v>205.77</v>
      </c>
      <c r="G3967" s="557">
        <v>673.75</v>
      </c>
    </row>
    <row r="3968" spans="1:7" ht="12.6" customHeight="1" x14ac:dyDescent="0.25">
      <c r="A3968" s="551" t="s">
        <v>39458</v>
      </c>
      <c r="B3968" s="551" t="s">
        <v>39459</v>
      </c>
      <c r="C3968" s="552"/>
      <c r="D3968" s="557"/>
      <c r="E3968" s="557"/>
      <c r="F3968" s="557"/>
      <c r="G3968" s="557"/>
    </row>
    <row r="3969" spans="1:7" ht="12.6" customHeight="1" x14ac:dyDescent="0.25">
      <c r="A3969" s="551" t="s">
        <v>39460</v>
      </c>
      <c r="B3969" s="551" t="s">
        <v>39461</v>
      </c>
      <c r="C3969" s="552" t="s">
        <v>226</v>
      </c>
      <c r="D3969" s="553">
        <v>470.67</v>
      </c>
      <c r="E3969" s="553">
        <v>239.95</v>
      </c>
      <c r="F3969" s="557">
        <v>230.72</v>
      </c>
      <c r="G3969" s="553">
        <v>470.67</v>
      </c>
    </row>
    <row r="3970" spans="1:7" ht="24.95" customHeight="1" x14ac:dyDescent="0.25">
      <c r="A3970" s="551" t="s">
        <v>39462</v>
      </c>
      <c r="B3970" s="342" t="s">
        <v>39463</v>
      </c>
      <c r="C3970" s="552" t="s">
        <v>226</v>
      </c>
      <c r="D3970" s="553">
        <v>81.23</v>
      </c>
      <c r="E3970" s="553">
        <v>64.39</v>
      </c>
      <c r="F3970" s="557">
        <v>16.84</v>
      </c>
      <c r="G3970" s="553">
        <v>81.23</v>
      </c>
    </row>
    <row r="3971" spans="1:7" ht="24.95" customHeight="1" x14ac:dyDescent="0.25">
      <c r="A3971" s="551" t="s">
        <v>39464</v>
      </c>
      <c r="B3971" s="342" t="s">
        <v>39465</v>
      </c>
      <c r="C3971" s="552" t="s">
        <v>226</v>
      </c>
      <c r="D3971" s="553">
        <v>668.22</v>
      </c>
      <c r="E3971" s="553">
        <v>634.54999999999995</v>
      </c>
      <c r="F3971" s="557">
        <v>33.67</v>
      </c>
      <c r="G3971" s="553">
        <v>668.22</v>
      </c>
    </row>
    <row r="3972" spans="1:7" ht="12.6" customHeight="1" x14ac:dyDescent="0.25">
      <c r="A3972" s="551" t="s">
        <v>39466</v>
      </c>
      <c r="B3972" s="551" t="s">
        <v>39467</v>
      </c>
      <c r="C3972" s="552" t="s">
        <v>226</v>
      </c>
      <c r="D3972" s="553">
        <v>67.94</v>
      </c>
      <c r="E3972" s="553">
        <v>34.44</v>
      </c>
      <c r="F3972" s="557">
        <v>33.5</v>
      </c>
      <c r="G3972" s="553">
        <v>67.94</v>
      </c>
    </row>
    <row r="3973" spans="1:7" ht="12.6" customHeight="1" x14ac:dyDescent="0.25">
      <c r="A3973" s="551" t="s">
        <v>39468</v>
      </c>
      <c r="B3973" s="551" t="s">
        <v>39469</v>
      </c>
      <c r="C3973" s="552"/>
      <c r="D3973" s="553"/>
      <c r="E3973" s="553"/>
      <c r="F3973" s="557"/>
      <c r="G3973" s="553"/>
    </row>
    <row r="3974" spans="1:7" ht="12.6" customHeight="1" x14ac:dyDescent="0.25">
      <c r="A3974" s="551" t="s">
        <v>39470</v>
      </c>
      <c r="B3974" s="551" t="s">
        <v>39471</v>
      </c>
      <c r="C3974" s="552"/>
      <c r="D3974" s="553"/>
      <c r="E3974" s="553"/>
      <c r="F3974" s="557"/>
      <c r="G3974" s="553"/>
    </row>
    <row r="3975" spans="1:7" ht="12.6" customHeight="1" x14ac:dyDescent="0.25">
      <c r="A3975" s="551" t="s">
        <v>39472</v>
      </c>
      <c r="B3975" s="551" t="s">
        <v>39473</v>
      </c>
      <c r="C3975" s="552" t="s">
        <v>226</v>
      </c>
      <c r="D3975" s="557">
        <v>70.47</v>
      </c>
      <c r="E3975" s="557">
        <v>70.47</v>
      </c>
      <c r="F3975" s="557"/>
      <c r="G3975" s="557">
        <v>70.47</v>
      </c>
    </row>
    <row r="3976" spans="1:7" ht="12.6" customHeight="1" x14ac:dyDescent="0.2">
      <c r="A3976" s="548" t="s">
        <v>39474</v>
      </c>
      <c r="B3976" s="548" t="s">
        <v>39475</v>
      </c>
      <c r="C3976" s="550" t="s">
        <v>226</v>
      </c>
      <c r="D3976" s="550">
        <v>424.23</v>
      </c>
      <c r="E3976" s="550">
        <v>363.91</v>
      </c>
      <c r="F3976" s="550">
        <v>60.32</v>
      </c>
      <c r="G3976" s="550">
        <v>424.23</v>
      </c>
    </row>
    <row r="3977" spans="1:7" ht="12.6" customHeight="1" x14ac:dyDescent="0.25">
      <c r="A3977" s="551" t="s">
        <v>39476</v>
      </c>
      <c r="B3977" s="551" t="s">
        <v>39477</v>
      </c>
      <c r="C3977" s="552" t="s">
        <v>226</v>
      </c>
      <c r="D3977" s="557">
        <v>856</v>
      </c>
      <c r="E3977" s="557">
        <v>727.73</v>
      </c>
      <c r="F3977" s="557">
        <v>128.27000000000001</v>
      </c>
      <c r="G3977" s="557">
        <v>856</v>
      </c>
    </row>
    <row r="3978" spans="1:7" ht="12.6" customHeight="1" x14ac:dyDescent="0.25">
      <c r="A3978" s="551" t="s">
        <v>39478</v>
      </c>
      <c r="B3978" s="551" t="s">
        <v>39479</v>
      </c>
      <c r="C3978" s="552" t="s">
        <v>226</v>
      </c>
      <c r="D3978" s="553">
        <v>1646.05</v>
      </c>
      <c r="E3978" s="553">
        <v>1639.32</v>
      </c>
      <c r="F3978" s="557">
        <v>6.73</v>
      </c>
      <c r="G3978" s="553">
        <v>1646.05</v>
      </c>
    </row>
    <row r="3979" spans="1:7" ht="23.1" customHeight="1" x14ac:dyDescent="0.25">
      <c r="A3979" s="551" t="s">
        <v>39480</v>
      </c>
      <c r="B3979" s="551" t="s">
        <v>39481</v>
      </c>
      <c r="C3979" s="552" t="s">
        <v>226</v>
      </c>
      <c r="D3979" s="553">
        <v>174.87</v>
      </c>
      <c r="E3979" s="553">
        <v>155.72</v>
      </c>
      <c r="F3979" s="557">
        <v>19.149999999999999</v>
      </c>
      <c r="G3979" s="553">
        <v>174.87</v>
      </c>
    </row>
    <row r="3980" spans="1:7" ht="23.1" customHeight="1" x14ac:dyDescent="0.25">
      <c r="A3980" s="551" t="s">
        <v>39482</v>
      </c>
      <c r="B3980" s="551" t="s">
        <v>39483</v>
      </c>
      <c r="C3980" s="552" t="s">
        <v>226</v>
      </c>
      <c r="D3980" s="553">
        <v>40.42</v>
      </c>
      <c r="E3980" s="553">
        <v>33.24</v>
      </c>
      <c r="F3980" s="557">
        <v>7.18</v>
      </c>
      <c r="G3980" s="553">
        <v>40.42</v>
      </c>
    </row>
    <row r="3981" spans="1:7" ht="23.1" customHeight="1" x14ac:dyDescent="0.25">
      <c r="A3981" s="551" t="s">
        <v>39484</v>
      </c>
      <c r="B3981" s="551" t="s">
        <v>39485</v>
      </c>
      <c r="C3981" s="552" t="s">
        <v>226</v>
      </c>
      <c r="D3981" s="553">
        <v>179.92</v>
      </c>
      <c r="E3981" s="553">
        <v>172.74</v>
      </c>
      <c r="F3981" s="557">
        <v>7.18</v>
      </c>
      <c r="G3981" s="553">
        <v>179.92</v>
      </c>
    </row>
    <row r="3982" spans="1:7" ht="23.1" customHeight="1" x14ac:dyDescent="0.25">
      <c r="A3982" s="551" t="s">
        <v>39486</v>
      </c>
      <c r="B3982" s="551" t="s">
        <v>39487</v>
      </c>
      <c r="C3982" s="552" t="s">
        <v>19518</v>
      </c>
      <c r="D3982" s="553">
        <v>7469.9</v>
      </c>
      <c r="E3982" s="553">
        <v>7469.9</v>
      </c>
      <c r="F3982" s="557"/>
      <c r="G3982" s="553">
        <v>7469.9</v>
      </c>
    </row>
    <row r="3983" spans="1:7" ht="12.6" customHeight="1" x14ac:dyDescent="0.25">
      <c r="A3983" s="551" t="s">
        <v>39488</v>
      </c>
      <c r="B3983" s="551" t="s">
        <v>39489</v>
      </c>
      <c r="C3983" s="552" t="s">
        <v>19518</v>
      </c>
      <c r="D3983" s="557">
        <v>33376.83</v>
      </c>
      <c r="E3983" s="557">
        <v>33376.83</v>
      </c>
      <c r="F3983" s="557"/>
      <c r="G3983" s="557">
        <v>33376.83</v>
      </c>
    </row>
    <row r="3984" spans="1:7" ht="12.6" customHeight="1" x14ac:dyDescent="0.25">
      <c r="A3984" s="551" t="s">
        <v>39490</v>
      </c>
      <c r="B3984" s="551" t="s">
        <v>39491</v>
      </c>
      <c r="C3984" s="552" t="s">
        <v>19518</v>
      </c>
      <c r="D3984" s="557">
        <v>71399.34</v>
      </c>
      <c r="E3984" s="557">
        <v>71399.34</v>
      </c>
      <c r="F3984" s="557"/>
      <c r="G3984" s="557">
        <v>71399.34</v>
      </c>
    </row>
    <row r="3985" spans="1:7" ht="12.6" customHeight="1" x14ac:dyDescent="0.2">
      <c r="A3985" s="559" t="s">
        <v>39492</v>
      </c>
      <c r="B3985" s="548" t="s">
        <v>39493</v>
      </c>
      <c r="C3985" s="550"/>
      <c r="D3985" s="550"/>
      <c r="E3985" s="550"/>
      <c r="F3985" s="550"/>
      <c r="G3985" s="550"/>
    </row>
    <row r="3986" spans="1:7" ht="12.6" customHeight="1" x14ac:dyDescent="0.2">
      <c r="A3986" s="548" t="s">
        <v>39494</v>
      </c>
      <c r="B3986" s="548" t="s">
        <v>39495</v>
      </c>
      <c r="C3986" s="550" t="s">
        <v>226</v>
      </c>
      <c r="D3986" s="550">
        <v>9655.98</v>
      </c>
      <c r="E3986" s="550">
        <v>9584.18</v>
      </c>
      <c r="F3986" s="550">
        <v>71.8</v>
      </c>
      <c r="G3986" s="550">
        <v>9655.98</v>
      </c>
    </row>
    <row r="3987" spans="1:7" ht="12.6" customHeight="1" x14ac:dyDescent="0.25">
      <c r="A3987" s="551" t="s">
        <v>39496</v>
      </c>
      <c r="B3987" s="551" t="s">
        <v>39497</v>
      </c>
      <c r="C3987" s="552" t="s">
        <v>226</v>
      </c>
      <c r="D3987" s="553">
        <v>13704.75</v>
      </c>
      <c r="E3987" s="553">
        <v>13632.95</v>
      </c>
      <c r="F3987" s="557">
        <v>71.8</v>
      </c>
      <c r="G3987" s="553">
        <v>13704.75</v>
      </c>
    </row>
    <row r="3988" spans="1:7" ht="12.6" customHeight="1" x14ac:dyDescent="0.2">
      <c r="A3988" s="551" t="s">
        <v>39498</v>
      </c>
      <c r="B3988" s="551" t="s">
        <v>39499</v>
      </c>
      <c r="C3988" s="552" t="s">
        <v>226</v>
      </c>
      <c r="D3988" s="553">
        <v>39123.93</v>
      </c>
      <c r="E3988" s="553">
        <v>39052.129999999997</v>
      </c>
      <c r="F3988" s="343">
        <v>71.8</v>
      </c>
      <c r="G3988" s="553">
        <v>39123.93</v>
      </c>
    </row>
    <row r="3989" spans="1:7" ht="23.1" customHeight="1" x14ac:dyDescent="0.25">
      <c r="A3989" s="551" t="s">
        <v>39500</v>
      </c>
      <c r="B3989" s="551" t="s">
        <v>39501</v>
      </c>
      <c r="C3989" s="552"/>
      <c r="D3989" s="553"/>
      <c r="E3989" s="553"/>
      <c r="F3989" s="344"/>
      <c r="G3989" s="553"/>
    </row>
    <row r="3990" spans="1:7" ht="12.6" customHeight="1" x14ac:dyDescent="0.2">
      <c r="A3990" s="548" t="s">
        <v>39502</v>
      </c>
      <c r="B3990" s="548" t="s">
        <v>39503</v>
      </c>
      <c r="C3990" s="550" t="s">
        <v>226</v>
      </c>
      <c r="D3990" s="550">
        <v>38018.589999999997</v>
      </c>
      <c r="E3990" s="550">
        <v>37883.93</v>
      </c>
      <c r="F3990" s="550">
        <v>134.66</v>
      </c>
      <c r="G3990" s="550">
        <v>38018.589999999997</v>
      </c>
    </row>
    <row r="3991" spans="1:7" ht="12.6" customHeight="1" x14ac:dyDescent="0.2">
      <c r="A3991" s="551" t="s">
        <v>39504</v>
      </c>
      <c r="B3991" s="551" t="s">
        <v>39505</v>
      </c>
      <c r="C3991" s="552" t="s">
        <v>226</v>
      </c>
      <c r="D3991" s="553">
        <v>49524.39</v>
      </c>
      <c r="E3991" s="553">
        <v>49389.73</v>
      </c>
      <c r="F3991" s="343">
        <v>134.66</v>
      </c>
      <c r="G3991" s="553">
        <v>49524.39</v>
      </c>
    </row>
    <row r="3992" spans="1:7" ht="23.1" customHeight="1" x14ac:dyDescent="0.25">
      <c r="A3992" s="551" t="s">
        <v>39506</v>
      </c>
      <c r="B3992" s="551" t="s">
        <v>39507</v>
      </c>
      <c r="C3992" s="552" t="s">
        <v>226</v>
      </c>
      <c r="D3992" s="553">
        <v>40473.86</v>
      </c>
      <c r="E3992" s="553">
        <v>40339.199999999997</v>
      </c>
      <c r="F3992" s="344">
        <v>134.66</v>
      </c>
      <c r="G3992" s="553">
        <v>40473.86</v>
      </c>
    </row>
    <row r="3993" spans="1:7" ht="23.1" customHeight="1" x14ac:dyDescent="0.25">
      <c r="A3993" s="551" t="s">
        <v>39508</v>
      </c>
      <c r="B3993" s="551" t="s">
        <v>39509</v>
      </c>
      <c r="C3993" s="552" t="s">
        <v>226</v>
      </c>
      <c r="D3993" s="553">
        <v>5577.31</v>
      </c>
      <c r="E3993" s="553">
        <v>5481.59</v>
      </c>
      <c r="F3993" s="344">
        <v>95.72</v>
      </c>
      <c r="G3993" s="553">
        <v>5577.31</v>
      </c>
    </row>
    <row r="3994" spans="1:7" ht="12.6" customHeight="1" x14ac:dyDescent="0.2">
      <c r="A3994" s="559" t="s">
        <v>39510</v>
      </c>
      <c r="B3994" s="548" t="s">
        <v>39511</v>
      </c>
      <c r="C3994" s="550" t="s">
        <v>226</v>
      </c>
      <c r="D3994" s="550">
        <v>15944.32</v>
      </c>
      <c r="E3994" s="550">
        <v>15809.66</v>
      </c>
      <c r="F3994" s="550">
        <v>134.66</v>
      </c>
      <c r="G3994" s="550">
        <v>15944.32</v>
      </c>
    </row>
    <row r="3995" spans="1:7" ht="12.6" customHeight="1" x14ac:dyDescent="0.2">
      <c r="A3995" s="548" t="s">
        <v>39512</v>
      </c>
      <c r="B3995" s="548" t="s">
        <v>39513</v>
      </c>
      <c r="C3995" s="550" t="s">
        <v>226</v>
      </c>
      <c r="D3995" s="550">
        <v>19932.05</v>
      </c>
      <c r="E3995" s="550">
        <v>19836.330000000002</v>
      </c>
      <c r="F3995" s="550">
        <v>95.72</v>
      </c>
      <c r="G3995" s="550">
        <v>19932.05</v>
      </c>
    </row>
    <row r="3996" spans="1:7" ht="12.6" customHeight="1" x14ac:dyDescent="0.2">
      <c r="A3996" s="551" t="s">
        <v>39514</v>
      </c>
      <c r="B3996" s="551" t="s">
        <v>39515</v>
      </c>
      <c r="C3996" s="552" t="s">
        <v>226</v>
      </c>
      <c r="D3996" s="553">
        <v>905.56</v>
      </c>
      <c r="E3996" s="553">
        <v>857.7</v>
      </c>
      <c r="F3996" s="343">
        <v>47.86</v>
      </c>
      <c r="G3996" s="553">
        <v>905.56</v>
      </c>
    </row>
    <row r="3997" spans="1:7" ht="12.6" customHeight="1" x14ac:dyDescent="0.2">
      <c r="A3997" s="548" t="s">
        <v>39516</v>
      </c>
      <c r="B3997" s="548" t="s">
        <v>39517</v>
      </c>
      <c r="C3997" s="550" t="s">
        <v>226</v>
      </c>
      <c r="D3997" s="550">
        <v>44837.79</v>
      </c>
      <c r="E3997" s="550">
        <v>44703.13</v>
      </c>
      <c r="F3997" s="550">
        <v>134.66</v>
      </c>
      <c r="G3997" s="550">
        <v>44837.79</v>
      </c>
    </row>
    <row r="3998" spans="1:7" ht="12.6" customHeight="1" x14ac:dyDescent="0.2">
      <c r="A3998" s="551" t="s">
        <v>39518</v>
      </c>
      <c r="B3998" s="551" t="s">
        <v>39519</v>
      </c>
      <c r="C3998" s="552" t="s">
        <v>226</v>
      </c>
      <c r="D3998" s="553">
        <v>59476.21</v>
      </c>
      <c r="E3998" s="553">
        <v>59341.55</v>
      </c>
      <c r="F3998" s="343">
        <v>134.66</v>
      </c>
      <c r="G3998" s="553">
        <v>59476.21</v>
      </c>
    </row>
    <row r="3999" spans="1:7" ht="12.6" customHeight="1" x14ac:dyDescent="0.2">
      <c r="A3999" s="559" t="s">
        <v>39520</v>
      </c>
      <c r="B3999" s="548" t="s">
        <v>39521</v>
      </c>
      <c r="C3999" s="550" t="s">
        <v>226</v>
      </c>
      <c r="D3999" s="550">
        <v>117600.46</v>
      </c>
      <c r="E3999" s="550">
        <v>117465.8</v>
      </c>
      <c r="F3999" s="550">
        <v>134.66</v>
      </c>
      <c r="G3999" s="550">
        <v>117600.46</v>
      </c>
    </row>
    <row r="4000" spans="1:7" ht="11.45" customHeight="1" x14ac:dyDescent="0.25">
      <c r="A4000" s="543" t="s">
        <v>39522</v>
      </c>
      <c r="B4000" s="544" t="s">
        <v>39523</v>
      </c>
      <c r="C4000" s="544" t="s">
        <v>226</v>
      </c>
      <c r="D4000" s="543">
        <v>150573.85</v>
      </c>
      <c r="E4000" s="545">
        <v>150439.19</v>
      </c>
      <c r="F4000" s="546">
        <v>134.66</v>
      </c>
      <c r="G4000" s="543">
        <v>150573.85</v>
      </c>
    </row>
    <row r="4001" spans="1:7" ht="12.6" customHeight="1" x14ac:dyDescent="0.25">
      <c r="A4001" s="548" t="s">
        <v>39524</v>
      </c>
      <c r="B4001" s="548" t="s">
        <v>39525</v>
      </c>
      <c r="C4001" s="549" t="s">
        <v>226</v>
      </c>
      <c r="D4001" s="549">
        <v>51426.68</v>
      </c>
      <c r="E4001" s="549">
        <v>51292.02</v>
      </c>
      <c r="F4001" s="549">
        <v>134.66</v>
      </c>
      <c r="G4001" s="549">
        <v>51426.68</v>
      </c>
    </row>
    <row r="4002" spans="1:7" ht="23.1" customHeight="1" x14ac:dyDescent="0.25">
      <c r="A4002" s="551" t="s">
        <v>39526</v>
      </c>
      <c r="B4002" s="551" t="s">
        <v>39527</v>
      </c>
      <c r="C4002" s="552" t="s">
        <v>226</v>
      </c>
      <c r="D4002" s="557">
        <v>26606.27</v>
      </c>
      <c r="E4002" s="557">
        <v>26471.61</v>
      </c>
      <c r="F4002" s="557">
        <v>134.66</v>
      </c>
      <c r="G4002" s="557">
        <v>26606.27</v>
      </c>
    </row>
    <row r="4003" spans="1:7" ht="12.6" customHeight="1" x14ac:dyDescent="0.2">
      <c r="A4003" s="551" t="s">
        <v>39528</v>
      </c>
      <c r="B4003" s="551" t="s">
        <v>39529</v>
      </c>
      <c r="C4003" s="552" t="s">
        <v>226</v>
      </c>
      <c r="D4003" s="553">
        <v>38552.910000000003</v>
      </c>
      <c r="E4003" s="553">
        <v>38418.25</v>
      </c>
      <c r="F4003" s="343">
        <v>134.66</v>
      </c>
      <c r="G4003" s="553">
        <v>38552.910000000003</v>
      </c>
    </row>
    <row r="4004" spans="1:7" ht="12.6" customHeight="1" x14ac:dyDescent="0.25">
      <c r="A4004" s="551" t="s">
        <v>39530</v>
      </c>
      <c r="B4004" s="551" t="s">
        <v>39531</v>
      </c>
      <c r="C4004" s="552" t="s">
        <v>226</v>
      </c>
      <c r="D4004" s="557">
        <v>74057.89</v>
      </c>
      <c r="E4004" s="557">
        <v>73923.23</v>
      </c>
      <c r="F4004" s="557">
        <v>134.66</v>
      </c>
      <c r="G4004" s="557">
        <v>74057.89</v>
      </c>
    </row>
    <row r="4005" spans="1:7" ht="24.95" customHeight="1" x14ac:dyDescent="0.25">
      <c r="A4005" s="551" t="s">
        <v>39532</v>
      </c>
      <c r="B4005" s="342" t="s">
        <v>39533</v>
      </c>
      <c r="C4005" s="552" t="s">
        <v>226</v>
      </c>
      <c r="D4005" s="553">
        <v>32320.35</v>
      </c>
      <c r="E4005" s="553">
        <v>32185.69</v>
      </c>
      <c r="F4005" s="344">
        <v>134.66</v>
      </c>
      <c r="G4005" s="553">
        <v>32320.35</v>
      </c>
    </row>
    <row r="4006" spans="1:7" ht="24.95" customHeight="1" x14ac:dyDescent="0.25">
      <c r="A4006" s="551" t="s">
        <v>39534</v>
      </c>
      <c r="B4006" s="342" t="s">
        <v>39535</v>
      </c>
      <c r="C4006" s="552" t="s">
        <v>226</v>
      </c>
      <c r="D4006" s="553">
        <v>90126.66</v>
      </c>
      <c r="E4006" s="553">
        <v>89992</v>
      </c>
      <c r="F4006" s="344">
        <v>134.66</v>
      </c>
      <c r="G4006" s="553">
        <v>90126.66</v>
      </c>
    </row>
    <row r="4007" spans="1:7" ht="12.6" customHeight="1" x14ac:dyDescent="0.25">
      <c r="A4007" s="551" t="s">
        <v>39536</v>
      </c>
      <c r="B4007" s="551" t="s">
        <v>39537</v>
      </c>
      <c r="C4007" s="552"/>
      <c r="D4007" s="553"/>
      <c r="E4007" s="553"/>
      <c r="F4007" s="557"/>
      <c r="G4007" s="553"/>
    </row>
    <row r="4008" spans="1:7" ht="12.6" customHeight="1" x14ac:dyDescent="0.25">
      <c r="A4008" s="551" t="s">
        <v>39538</v>
      </c>
      <c r="B4008" s="551" t="s">
        <v>39539</v>
      </c>
      <c r="C4008" s="552" t="s">
        <v>226</v>
      </c>
      <c r="D4008" s="553">
        <v>894.05</v>
      </c>
      <c r="E4008" s="553">
        <v>839.18</v>
      </c>
      <c r="F4008" s="557">
        <v>54.87</v>
      </c>
      <c r="G4008" s="553">
        <v>894.05</v>
      </c>
    </row>
    <row r="4009" spans="1:7" ht="24.95" customHeight="1" x14ac:dyDescent="0.25">
      <c r="A4009" s="551" t="s">
        <v>39540</v>
      </c>
      <c r="B4009" s="342" t="s">
        <v>39541</v>
      </c>
      <c r="C4009" s="552"/>
      <c r="D4009" s="553"/>
      <c r="E4009" s="553"/>
      <c r="F4009" s="557"/>
      <c r="G4009" s="553"/>
    </row>
    <row r="4010" spans="1:7" ht="12.6" customHeight="1" x14ac:dyDescent="0.2">
      <c r="A4010" s="548" t="s">
        <v>39542</v>
      </c>
      <c r="B4010" s="548" t="s">
        <v>39543</v>
      </c>
      <c r="C4010" s="550" t="s">
        <v>226</v>
      </c>
      <c r="D4010" s="550">
        <v>59.56</v>
      </c>
      <c r="E4010" s="550">
        <v>49.99</v>
      </c>
      <c r="F4010" s="550">
        <v>9.57</v>
      </c>
      <c r="G4010" s="550">
        <v>59.56</v>
      </c>
    </row>
    <row r="4011" spans="1:7" ht="24.95" customHeight="1" x14ac:dyDescent="0.25">
      <c r="A4011" s="551" t="s">
        <v>39544</v>
      </c>
      <c r="B4011" s="342" t="s">
        <v>39545</v>
      </c>
      <c r="C4011" s="552" t="s">
        <v>226</v>
      </c>
      <c r="D4011" s="553">
        <v>871.03</v>
      </c>
      <c r="E4011" s="553">
        <v>832.74</v>
      </c>
      <c r="F4011" s="557">
        <v>38.29</v>
      </c>
      <c r="G4011" s="553">
        <v>871.03</v>
      </c>
    </row>
    <row r="4012" spans="1:7" ht="12.6" customHeight="1" x14ac:dyDescent="0.25">
      <c r="A4012" s="551" t="s">
        <v>39546</v>
      </c>
      <c r="B4012" s="551" t="s">
        <v>39547</v>
      </c>
      <c r="C4012" s="552" t="s">
        <v>226</v>
      </c>
      <c r="D4012" s="553">
        <v>575.16</v>
      </c>
      <c r="E4012" s="557">
        <v>536.87</v>
      </c>
      <c r="F4012" s="557">
        <v>38.29</v>
      </c>
      <c r="G4012" s="553">
        <v>575.16</v>
      </c>
    </row>
    <row r="4013" spans="1:7" ht="12.6" customHeight="1" x14ac:dyDescent="0.25">
      <c r="A4013" s="551" t="s">
        <v>39548</v>
      </c>
      <c r="B4013" s="551" t="s">
        <v>39549</v>
      </c>
      <c r="C4013" s="552" t="s">
        <v>226</v>
      </c>
      <c r="D4013" s="553">
        <v>164.87</v>
      </c>
      <c r="E4013" s="553">
        <v>155.30000000000001</v>
      </c>
      <c r="F4013" s="557">
        <v>9.57</v>
      </c>
      <c r="G4013" s="553">
        <v>164.87</v>
      </c>
    </row>
    <row r="4014" spans="1:7" ht="12.6" customHeight="1" x14ac:dyDescent="0.25">
      <c r="A4014" s="551" t="s">
        <v>39550</v>
      </c>
      <c r="B4014" s="551" t="s">
        <v>39551</v>
      </c>
      <c r="C4014" s="552" t="s">
        <v>226</v>
      </c>
      <c r="D4014" s="553">
        <v>1384.09</v>
      </c>
      <c r="E4014" s="553">
        <v>1380.55</v>
      </c>
      <c r="F4014" s="557">
        <v>3.54</v>
      </c>
      <c r="G4014" s="553">
        <v>1384.09</v>
      </c>
    </row>
    <row r="4015" spans="1:7" ht="12.6" customHeight="1" x14ac:dyDescent="0.25">
      <c r="A4015" s="551" t="s">
        <v>39552</v>
      </c>
      <c r="B4015" s="551" t="s">
        <v>39553</v>
      </c>
      <c r="C4015" s="552"/>
      <c r="D4015" s="553"/>
      <c r="E4015" s="553"/>
      <c r="F4015" s="557"/>
      <c r="G4015" s="553"/>
    </row>
    <row r="4016" spans="1:7" ht="12.6" customHeight="1" x14ac:dyDescent="0.25">
      <c r="A4016" s="551" t="s">
        <v>39554</v>
      </c>
      <c r="B4016" s="551" t="s">
        <v>39555</v>
      </c>
      <c r="C4016" s="552" t="s">
        <v>226</v>
      </c>
      <c r="D4016" s="557">
        <v>478.11</v>
      </c>
      <c r="E4016" s="557">
        <v>456.16</v>
      </c>
      <c r="F4016" s="557">
        <v>21.95</v>
      </c>
      <c r="G4016" s="557">
        <v>478.11</v>
      </c>
    </row>
    <row r="4017" spans="1:7" ht="12.6" customHeight="1" x14ac:dyDescent="0.25">
      <c r="A4017" s="551" t="s">
        <v>39556</v>
      </c>
      <c r="B4017" s="551" t="s">
        <v>39557</v>
      </c>
      <c r="C4017" s="552" t="s">
        <v>19518</v>
      </c>
      <c r="D4017" s="557">
        <v>845.03</v>
      </c>
      <c r="E4017" s="557">
        <v>462.15</v>
      </c>
      <c r="F4017" s="557">
        <v>382.88</v>
      </c>
      <c r="G4017" s="557">
        <v>845.03</v>
      </c>
    </row>
    <row r="4018" spans="1:7" ht="24.95" customHeight="1" x14ac:dyDescent="0.25">
      <c r="A4018" s="551" t="s">
        <v>39558</v>
      </c>
      <c r="B4018" s="342" t="s">
        <v>39559</v>
      </c>
      <c r="C4018" s="552" t="s">
        <v>226</v>
      </c>
      <c r="D4018" s="553">
        <v>1050.3399999999999</v>
      </c>
      <c r="E4018" s="553">
        <v>1022.35</v>
      </c>
      <c r="F4018" s="557">
        <v>27.99</v>
      </c>
      <c r="G4018" s="553">
        <v>1050.3399999999999</v>
      </c>
    </row>
    <row r="4019" spans="1:7" ht="12.6" customHeight="1" x14ac:dyDescent="0.25">
      <c r="A4019" s="551" t="s">
        <v>39560</v>
      </c>
      <c r="B4019" s="551" t="s">
        <v>39561</v>
      </c>
      <c r="C4019" s="552"/>
      <c r="D4019" s="557"/>
      <c r="E4019" s="557"/>
      <c r="F4019" s="557"/>
      <c r="G4019" s="557"/>
    </row>
    <row r="4020" spans="1:7" ht="12.6" customHeight="1" x14ac:dyDescent="0.25">
      <c r="A4020" s="551" t="s">
        <v>39562</v>
      </c>
      <c r="B4020" s="551" t="s">
        <v>39563</v>
      </c>
      <c r="C4020" s="552" t="s">
        <v>158</v>
      </c>
      <c r="D4020" s="557">
        <v>5.23</v>
      </c>
      <c r="E4020" s="557">
        <v>0.44</v>
      </c>
      <c r="F4020" s="557">
        <v>4.79</v>
      </c>
      <c r="G4020" s="557">
        <v>5.23</v>
      </c>
    </row>
    <row r="4021" spans="1:7" ht="24.95" customHeight="1" x14ac:dyDescent="0.25">
      <c r="A4021" s="551" t="s">
        <v>39564</v>
      </c>
      <c r="B4021" s="342" t="s">
        <v>39565</v>
      </c>
      <c r="C4021" s="552" t="s">
        <v>226</v>
      </c>
      <c r="D4021" s="553">
        <v>16.559999999999999</v>
      </c>
      <c r="E4021" s="557">
        <v>6.99</v>
      </c>
      <c r="F4021" s="557">
        <v>9.57</v>
      </c>
      <c r="G4021" s="553">
        <v>16.559999999999999</v>
      </c>
    </row>
    <row r="4022" spans="1:7" ht="23.1" customHeight="1" x14ac:dyDescent="0.25">
      <c r="A4022" s="551" t="s">
        <v>39566</v>
      </c>
      <c r="B4022" s="551" t="s">
        <v>39567</v>
      </c>
      <c r="C4022" s="552" t="s">
        <v>226</v>
      </c>
      <c r="D4022" s="553">
        <v>11.89</v>
      </c>
      <c r="E4022" s="553">
        <v>2.3199999999999998</v>
      </c>
      <c r="F4022" s="557">
        <v>9.57</v>
      </c>
      <c r="G4022" s="553">
        <v>11.89</v>
      </c>
    </row>
    <row r="4023" spans="1:7" ht="23.1" customHeight="1" x14ac:dyDescent="0.25">
      <c r="A4023" s="551" t="s">
        <v>39568</v>
      </c>
      <c r="B4023" s="551" t="s">
        <v>39569</v>
      </c>
      <c r="C4023" s="552" t="s">
        <v>226</v>
      </c>
      <c r="D4023" s="553">
        <v>12.51</v>
      </c>
      <c r="E4023" s="553">
        <v>2.94</v>
      </c>
      <c r="F4023" s="557">
        <v>9.57</v>
      </c>
      <c r="G4023" s="553">
        <v>12.51</v>
      </c>
    </row>
    <row r="4024" spans="1:7" ht="12.6" customHeight="1" x14ac:dyDescent="0.25">
      <c r="A4024" s="551" t="s">
        <v>39570</v>
      </c>
      <c r="B4024" s="551" t="s">
        <v>39571</v>
      </c>
      <c r="C4024" s="552" t="s">
        <v>226</v>
      </c>
      <c r="D4024" s="553">
        <v>245.4</v>
      </c>
      <c r="E4024" s="553">
        <v>234.77</v>
      </c>
      <c r="F4024" s="557">
        <v>10.63</v>
      </c>
      <c r="G4024" s="553">
        <v>245.4</v>
      </c>
    </row>
    <row r="4025" spans="1:7" ht="24.95" customHeight="1" x14ac:dyDescent="0.25">
      <c r="A4025" s="551" t="s">
        <v>39572</v>
      </c>
      <c r="B4025" s="342" t="s">
        <v>39573</v>
      </c>
      <c r="C4025" s="552" t="s">
        <v>226</v>
      </c>
      <c r="D4025" s="553">
        <v>502.23</v>
      </c>
      <c r="E4025" s="553">
        <v>491.6</v>
      </c>
      <c r="F4025" s="557">
        <v>10.63</v>
      </c>
      <c r="G4025" s="553">
        <v>502.23</v>
      </c>
    </row>
    <row r="4026" spans="1:7" ht="24.95" customHeight="1" x14ac:dyDescent="0.25">
      <c r="A4026" s="551" t="s">
        <v>39574</v>
      </c>
      <c r="B4026" s="342" t="s">
        <v>39575</v>
      </c>
      <c r="C4026" s="552" t="s">
        <v>226</v>
      </c>
      <c r="D4026" s="553">
        <v>22.12</v>
      </c>
      <c r="E4026" s="553">
        <v>5.28</v>
      </c>
      <c r="F4026" s="557">
        <v>16.84</v>
      </c>
      <c r="G4026" s="553">
        <v>22.12</v>
      </c>
    </row>
    <row r="4027" spans="1:7" ht="34.5" customHeight="1" x14ac:dyDescent="0.25">
      <c r="A4027" s="554" t="s">
        <v>39576</v>
      </c>
      <c r="B4027" s="551" t="s">
        <v>39577</v>
      </c>
      <c r="C4027" s="555" t="s">
        <v>226</v>
      </c>
      <c r="D4027" s="556">
        <v>41.74</v>
      </c>
      <c r="E4027" s="556">
        <v>24.9</v>
      </c>
      <c r="F4027" s="558">
        <v>16.84</v>
      </c>
      <c r="G4027" s="556">
        <v>41.74</v>
      </c>
    </row>
    <row r="4028" spans="1:7" ht="34.5" customHeight="1" x14ac:dyDescent="0.25">
      <c r="A4028" s="554" t="s">
        <v>39578</v>
      </c>
      <c r="B4028" s="342" t="s">
        <v>39579</v>
      </c>
      <c r="C4028" s="555" t="s">
        <v>226</v>
      </c>
      <c r="D4028" s="556">
        <v>72.87</v>
      </c>
      <c r="E4028" s="556">
        <v>70.92</v>
      </c>
      <c r="F4028" s="558">
        <v>1.95</v>
      </c>
      <c r="G4028" s="556">
        <v>72.87</v>
      </c>
    </row>
    <row r="4029" spans="1:7" ht="34.5" customHeight="1" x14ac:dyDescent="0.25">
      <c r="A4029" s="554" t="s">
        <v>39580</v>
      </c>
      <c r="B4029" s="342" t="s">
        <v>39581</v>
      </c>
      <c r="C4029" s="555" t="s">
        <v>226</v>
      </c>
      <c r="D4029" s="556">
        <v>174.61</v>
      </c>
      <c r="E4029" s="556">
        <v>163.63999999999999</v>
      </c>
      <c r="F4029" s="558">
        <v>10.97</v>
      </c>
      <c r="G4029" s="556">
        <v>174.61</v>
      </c>
    </row>
    <row r="4030" spans="1:7" ht="12.6" customHeight="1" x14ac:dyDescent="0.2">
      <c r="A4030" s="548" t="s">
        <v>39582</v>
      </c>
      <c r="B4030" s="548" t="s">
        <v>39583</v>
      </c>
      <c r="C4030" s="550" t="s">
        <v>226</v>
      </c>
      <c r="D4030" s="550">
        <v>87.42</v>
      </c>
      <c r="E4030" s="550">
        <v>80.34</v>
      </c>
      <c r="F4030" s="550">
        <v>7.08</v>
      </c>
      <c r="G4030" s="550">
        <v>87.42</v>
      </c>
    </row>
    <row r="4031" spans="1:7" ht="12.6" customHeight="1" x14ac:dyDescent="0.25">
      <c r="A4031" s="551" t="s">
        <v>39584</v>
      </c>
      <c r="B4031" s="551" t="s">
        <v>39585</v>
      </c>
      <c r="C4031" s="552" t="s">
        <v>226</v>
      </c>
      <c r="D4031" s="557">
        <v>113.11</v>
      </c>
      <c r="E4031" s="557">
        <v>106.03</v>
      </c>
      <c r="F4031" s="557">
        <v>7.08</v>
      </c>
      <c r="G4031" s="557">
        <v>113.11</v>
      </c>
    </row>
    <row r="4032" spans="1:7" ht="12.6" customHeight="1" x14ac:dyDescent="0.25">
      <c r="A4032" s="551" t="s">
        <v>39586</v>
      </c>
      <c r="B4032" s="551" t="s">
        <v>39587</v>
      </c>
      <c r="C4032" s="552" t="s">
        <v>226</v>
      </c>
      <c r="D4032" s="557">
        <v>173.03</v>
      </c>
      <c r="E4032" s="557">
        <v>165.95</v>
      </c>
      <c r="F4032" s="557">
        <v>7.08</v>
      </c>
      <c r="G4032" s="557">
        <v>173.03</v>
      </c>
    </row>
    <row r="4033" spans="1:7" ht="12.6" customHeight="1" x14ac:dyDescent="0.2">
      <c r="A4033" s="551" t="s">
        <v>39588</v>
      </c>
      <c r="B4033" s="551" t="s">
        <v>39589</v>
      </c>
      <c r="C4033" s="552" t="s">
        <v>226</v>
      </c>
      <c r="D4033" s="557">
        <v>96.21</v>
      </c>
      <c r="E4033" s="343">
        <v>94.26</v>
      </c>
      <c r="F4033" s="557">
        <v>1.95</v>
      </c>
      <c r="G4033" s="557">
        <v>96.21</v>
      </c>
    </row>
    <row r="4034" spans="1:7" ht="12.6" customHeight="1" x14ac:dyDescent="0.2">
      <c r="A4034" s="551" t="s">
        <v>39590</v>
      </c>
      <c r="B4034" s="551" t="s">
        <v>39591</v>
      </c>
      <c r="C4034" s="552" t="s">
        <v>226</v>
      </c>
      <c r="D4034" s="557">
        <v>99.22</v>
      </c>
      <c r="E4034" s="343">
        <v>97.27</v>
      </c>
      <c r="F4034" s="557">
        <v>1.95</v>
      </c>
      <c r="G4034" s="557">
        <v>99.22</v>
      </c>
    </row>
    <row r="4035" spans="1:7" ht="24.95" customHeight="1" x14ac:dyDescent="0.25">
      <c r="A4035" s="551" t="s">
        <v>39592</v>
      </c>
      <c r="B4035" s="342" t="s">
        <v>39593</v>
      </c>
      <c r="C4035" s="552" t="s">
        <v>226</v>
      </c>
      <c r="D4035" s="553">
        <v>14.31</v>
      </c>
      <c r="E4035" s="553">
        <v>10.42</v>
      </c>
      <c r="F4035" s="557">
        <v>3.89</v>
      </c>
      <c r="G4035" s="553">
        <v>14.31</v>
      </c>
    </row>
    <row r="4036" spans="1:7" ht="12.6" customHeight="1" x14ac:dyDescent="0.25">
      <c r="A4036" s="551" t="s">
        <v>39594</v>
      </c>
      <c r="B4036" s="551" t="s">
        <v>39595</v>
      </c>
      <c r="C4036" s="552" t="s">
        <v>226</v>
      </c>
      <c r="D4036" s="553">
        <v>17.850000000000001</v>
      </c>
      <c r="E4036" s="553">
        <v>13.96</v>
      </c>
      <c r="F4036" s="557">
        <v>3.89</v>
      </c>
      <c r="G4036" s="553">
        <v>17.850000000000001</v>
      </c>
    </row>
    <row r="4037" spans="1:7" ht="24.95" customHeight="1" x14ac:dyDescent="0.25">
      <c r="A4037" s="559" t="s">
        <v>39596</v>
      </c>
      <c r="B4037" s="565" t="s">
        <v>39597</v>
      </c>
      <c r="C4037" s="549" t="s">
        <v>226</v>
      </c>
      <c r="D4037" s="549">
        <v>37.36</v>
      </c>
      <c r="E4037" s="549">
        <v>19.25</v>
      </c>
      <c r="F4037" s="549">
        <v>18.11</v>
      </c>
      <c r="G4037" s="549">
        <v>37.36</v>
      </c>
    </row>
    <row r="4038" spans="1:7" ht="12.6" customHeight="1" x14ac:dyDescent="0.2">
      <c r="A4038" s="548" t="s">
        <v>39598</v>
      </c>
      <c r="B4038" s="548" t="s">
        <v>39599</v>
      </c>
      <c r="C4038" s="550" t="s">
        <v>226</v>
      </c>
      <c r="D4038" s="550">
        <v>20.04</v>
      </c>
      <c r="E4038" s="550">
        <v>9.07</v>
      </c>
      <c r="F4038" s="550">
        <v>10.97</v>
      </c>
      <c r="G4038" s="550">
        <v>20.04</v>
      </c>
    </row>
    <row r="4039" spans="1:7" ht="11.45" customHeight="1" x14ac:dyDescent="0.25">
      <c r="A4039" s="543" t="s">
        <v>39600</v>
      </c>
      <c r="B4039" s="544" t="s">
        <v>39601</v>
      </c>
      <c r="C4039" s="544" t="s">
        <v>226</v>
      </c>
      <c r="D4039" s="543">
        <v>22.72</v>
      </c>
      <c r="E4039" s="545">
        <v>11.75</v>
      </c>
      <c r="F4039" s="546">
        <v>10.97</v>
      </c>
      <c r="G4039" s="543">
        <v>22.72</v>
      </c>
    </row>
    <row r="4040" spans="1:7" ht="12.6" customHeight="1" x14ac:dyDescent="0.25">
      <c r="A4040" s="551" t="s">
        <v>39602</v>
      </c>
      <c r="B4040" s="551" t="s">
        <v>39603</v>
      </c>
      <c r="C4040" s="552" t="s">
        <v>226</v>
      </c>
      <c r="D4040" s="553">
        <v>24.64</v>
      </c>
      <c r="E4040" s="553">
        <v>13.67</v>
      </c>
      <c r="F4040" s="557">
        <v>10.97</v>
      </c>
      <c r="G4040" s="553">
        <v>24.64</v>
      </c>
    </row>
    <row r="4041" spans="1:7" ht="12.6" customHeight="1" x14ac:dyDescent="0.25">
      <c r="A4041" s="551" t="s">
        <v>39604</v>
      </c>
      <c r="B4041" s="551" t="s">
        <v>39605</v>
      </c>
      <c r="C4041" s="552" t="s">
        <v>226</v>
      </c>
      <c r="D4041" s="553">
        <v>53.64</v>
      </c>
      <c r="E4041" s="553">
        <v>35.049999999999997</v>
      </c>
      <c r="F4041" s="557">
        <v>18.59</v>
      </c>
      <c r="G4041" s="553">
        <v>53.64</v>
      </c>
    </row>
    <row r="4042" spans="1:7" ht="24.95" customHeight="1" x14ac:dyDescent="0.25">
      <c r="A4042" s="551" t="s">
        <v>39606</v>
      </c>
      <c r="B4042" s="342" t="s">
        <v>39607</v>
      </c>
      <c r="C4042" s="552" t="s">
        <v>226</v>
      </c>
      <c r="D4042" s="553">
        <v>21.26</v>
      </c>
      <c r="E4042" s="553">
        <v>11.69</v>
      </c>
      <c r="F4042" s="557">
        <v>9.57</v>
      </c>
      <c r="G4042" s="553">
        <v>21.26</v>
      </c>
    </row>
    <row r="4043" spans="1:7" ht="23.1" customHeight="1" x14ac:dyDescent="0.25">
      <c r="A4043" s="551" t="s">
        <v>39608</v>
      </c>
      <c r="B4043" s="551" t="s">
        <v>39609</v>
      </c>
      <c r="C4043" s="552" t="s">
        <v>226</v>
      </c>
      <c r="D4043" s="553">
        <v>118.91</v>
      </c>
      <c r="E4043" s="553">
        <v>85.24</v>
      </c>
      <c r="F4043" s="557">
        <v>33.67</v>
      </c>
      <c r="G4043" s="553">
        <v>118.91</v>
      </c>
    </row>
    <row r="4044" spans="1:7" ht="34.5" customHeight="1" x14ac:dyDescent="0.25">
      <c r="A4044" s="554" t="s">
        <v>39610</v>
      </c>
      <c r="B4044" s="551" t="s">
        <v>39611</v>
      </c>
      <c r="C4044" s="555"/>
      <c r="D4044" s="556"/>
      <c r="E4044" s="556"/>
      <c r="F4044" s="558"/>
      <c r="G4044" s="556"/>
    </row>
    <row r="4045" spans="1:7" ht="12.6" customHeight="1" x14ac:dyDescent="0.25">
      <c r="A4045" s="551" t="s">
        <v>39612</v>
      </c>
      <c r="B4045" s="551" t="s">
        <v>39613</v>
      </c>
      <c r="C4045" s="552"/>
      <c r="D4045" s="553"/>
      <c r="E4045" s="553"/>
      <c r="F4045" s="557"/>
      <c r="G4045" s="553"/>
    </row>
    <row r="4046" spans="1:7" ht="24.95" customHeight="1" x14ac:dyDescent="0.25">
      <c r="A4046" s="551" t="s">
        <v>39614</v>
      </c>
      <c r="B4046" s="342" t="s">
        <v>39615</v>
      </c>
      <c r="C4046" s="552" t="s">
        <v>227</v>
      </c>
      <c r="D4046" s="553">
        <v>267.63</v>
      </c>
      <c r="E4046" s="553">
        <v>264.36</v>
      </c>
      <c r="F4046" s="344">
        <v>3.27</v>
      </c>
      <c r="G4046" s="553">
        <v>267.63</v>
      </c>
    </row>
    <row r="4047" spans="1:7" ht="24.95" customHeight="1" x14ac:dyDescent="0.25">
      <c r="A4047" s="551" t="s">
        <v>39616</v>
      </c>
      <c r="B4047" s="342" t="s">
        <v>39617</v>
      </c>
      <c r="C4047" s="552" t="s">
        <v>227</v>
      </c>
      <c r="D4047" s="553">
        <v>218.39</v>
      </c>
      <c r="E4047" s="553">
        <v>215.64</v>
      </c>
      <c r="F4047" s="557">
        <v>2.75</v>
      </c>
      <c r="G4047" s="553">
        <v>218.39</v>
      </c>
    </row>
    <row r="4048" spans="1:7" ht="34.5" customHeight="1" x14ac:dyDescent="0.25">
      <c r="A4048" s="554" t="s">
        <v>39618</v>
      </c>
      <c r="B4048" s="551" t="s">
        <v>39619</v>
      </c>
      <c r="C4048" s="555" t="s">
        <v>227</v>
      </c>
      <c r="D4048" s="556">
        <v>219.13</v>
      </c>
      <c r="E4048" s="556">
        <v>216.37</v>
      </c>
      <c r="F4048" s="342">
        <v>2.76</v>
      </c>
      <c r="G4048" s="556">
        <v>219.13</v>
      </c>
    </row>
    <row r="4049" spans="1:7" ht="45.95" customHeight="1" x14ac:dyDescent="0.25">
      <c r="A4049" s="551" t="s">
        <v>39620</v>
      </c>
      <c r="B4049" s="551" t="s">
        <v>269</v>
      </c>
      <c r="C4049" s="552" t="s">
        <v>158</v>
      </c>
      <c r="D4049" s="553">
        <v>448.14</v>
      </c>
      <c r="E4049" s="553">
        <v>434.43</v>
      </c>
      <c r="F4049" s="553">
        <v>13.71</v>
      </c>
      <c r="G4049" s="553">
        <v>448.14</v>
      </c>
    </row>
    <row r="4050" spans="1:7" ht="45.95" customHeight="1" x14ac:dyDescent="0.25">
      <c r="A4050" s="551" t="s">
        <v>39621</v>
      </c>
      <c r="B4050" s="551" t="s">
        <v>270</v>
      </c>
      <c r="C4050" s="552"/>
      <c r="D4050" s="553"/>
      <c r="E4050" s="553"/>
      <c r="F4050" s="553"/>
      <c r="G4050" s="553"/>
    </row>
    <row r="4051" spans="1:7" ht="12.6" customHeight="1" x14ac:dyDescent="0.2">
      <c r="A4051" s="559" t="s">
        <v>39622</v>
      </c>
      <c r="B4051" s="548" t="s">
        <v>39623</v>
      </c>
      <c r="C4051" s="550" t="s">
        <v>227</v>
      </c>
      <c r="D4051" s="550">
        <v>74.790000000000006</v>
      </c>
      <c r="E4051" s="550">
        <v>74.790000000000006</v>
      </c>
      <c r="F4051" s="550"/>
      <c r="G4051" s="550">
        <v>74.790000000000006</v>
      </c>
    </row>
    <row r="4052" spans="1:7" ht="12.6" customHeight="1" x14ac:dyDescent="0.2">
      <c r="A4052" s="548" t="s">
        <v>39624</v>
      </c>
      <c r="B4052" s="548" t="s">
        <v>39625</v>
      </c>
      <c r="C4052" s="550" t="s">
        <v>227</v>
      </c>
      <c r="D4052" s="550">
        <v>40.72</v>
      </c>
      <c r="E4052" s="550">
        <v>40.72</v>
      </c>
      <c r="F4052" s="550"/>
      <c r="G4052" s="550">
        <v>40.72</v>
      </c>
    </row>
    <row r="4053" spans="1:7" ht="12.6" customHeight="1" x14ac:dyDescent="0.25">
      <c r="A4053" s="551" t="s">
        <v>39626</v>
      </c>
      <c r="B4053" s="551" t="s">
        <v>39627</v>
      </c>
      <c r="C4053" s="552" t="s">
        <v>227</v>
      </c>
      <c r="D4053" s="553">
        <v>171.05</v>
      </c>
      <c r="E4053" s="553">
        <v>171.05</v>
      </c>
      <c r="F4053" s="557"/>
      <c r="G4053" s="553">
        <v>171.05</v>
      </c>
    </row>
    <row r="4054" spans="1:7" ht="12.6" customHeight="1" x14ac:dyDescent="0.25">
      <c r="A4054" s="551" t="s">
        <v>39628</v>
      </c>
      <c r="B4054" s="551" t="s">
        <v>39629</v>
      </c>
      <c r="C4054" s="552" t="s">
        <v>227</v>
      </c>
      <c r="D4054" s="553">
        <v>213.81</v>
      </c>
      <c r="E4054" s="553">
        <v>213.81</v>
      </c>
      <c r="F4054" s="557"/>
      <c r="G4054" s="553">
        <v>213.81</v>
      </c>
    </row>
    <row r="4055" spans="1:7" ht="12.6" customHeight="1" x14ac:dyDescent="0.25">
      <c r="A4055" s="551" t="s">
        <v>39630</v>
      </c>
      <c r="B4055" s="551" t="s">
        <v>39631</v>
      </c>
      <c r="C4055" s="552" t="s">
        <v>227</v>
      </c>
      <c r="D4055" s="553">
        <v>72.27</v>
      </c>
      <c r="E4055" s="553">
        <v>72.27</v>
      </c>
      <c r="F4055" s="557"/>
      <c r="G4055" s="553">
        <v>72.27</v>
      </c>
    </row>
    <row r="4056" spans="1:7" ht="12.6" customHeight="1" x14ac:dyDescent="0.25">
      <c r="A4056" s="551" t="s">
        <v>39632</v>
      </c>
      <c r="B4056" s="551" t="s">
        <v>39633</v>
      </c>
      <c r="C4056" s="552" t="s">
        <v>227</v>
      </c>
      <c r="D4056" s="553">
        <v>114.93</v>
      </c>
      <c r="E4056" s="553">
        <v>114.93</v>
      </c>
      <c r="F4056" s="557"/>
      <c r="G4056" s="553">
        <v>114.93</v>
      </c>
    </row>
    <row r="4057" spans="1:7" ht="12.6" customHeight="1" x14ac:dyDescent="0.25">
      <c r="A4057" s="551" t="s">
        <v>39634</v>
      </c>
      <c r="B4057" s="551" t="s">
        <v>39635</v>
      </c>
      <c r="C4057" s="552" t="s">
        <v>227</v>
      </c>
      <c r="D4057" s="553">
        <v>121.26</v>
      </c>
      <c r="E4057" s="553">
        <v>121.26</v>
      </c>
      <c r="F4057" s="557"/>
      <c r="G4057" s="553">
        <v>121.26</v>
      </c>
    </row>
    <row r="4058" spans="1:7" ht="12.6" customHeight="1" x14ac:dyDescent="0.25">
      <c r="A4058" s="551" t="s">
        <v>39636</v>
      </c>
      <c r="B4058" s="551" t="s">
        <v>39637</v>
      </c>
      <c r="C4058" s="552" t="s">
        <v>227</v>
      </c>
      <c r="D4058" s="553">
        <v>204.98</v>
      </c>
      <c r="E4058" s="553">
        <v>204.98</v>
      </c>
      <c r="F4058" s="557"/>
      <c r="G4058" s="553">
        <v>204.98</v>
      </c>
    </row>
    <row r="4059" spans="1:7" ht="12.6" customHeight="1" x14ac:dyDescent="0.25">
      <c r="A4059" s="551" t="s">
        <v>39638</v>
      </c>
      <c r="B4059" s="551" t="s">
        <v>39639</v>
      </c>
      <c r="C4059" s="552" t="s">
        <v>227</v>
      </c>
      <c r="D4059" s="553">
        <v>200.52</v>
      </c>
      <c r="E4059" s="553">
        <v>200.52</v>
      </c>
      <c r="F4059" s="557"/>
      <c r="G4059" s="553">
        <v>200.52</v>
      </c>
    </row>
    <row r="4060" spans="1:7" ht="12.6" customHeight="1" x14ac:dyDescent="0.25">
      <c r="A4060" s="551" t="s">
        <v>39640</v>
      </c>
      <c r="B4060" s="551" t="s">
        <v>39641</v>
      </c>
      <c r="C4060" s="552" t="s">
        <v>227</v>
      </c>
      <c r="D4060" s="553">
        <v>37.44</v>
      </c>
      <c r="E4060" s="553">
        <v>37.44</v>
      </c>
      <c r="F4060" s="557"/>
      <c r="G4060" s="553">
        <v>37.44</v>
      </c>
    </row>
    <row r="4061" spans="1:7" ht="12.6" customHeight="1" x14ac:dyDescent="0.25">
      <c r="A4061" s="551" t="s">
        <v>39642</v>
      </c>
      <c r="B4061" s="551" t="s">
        <v>271</v>
      </c>
      <c r="C4061" s="552"/>
      <c r="D4061" s="553"/>
      <c r="E4061" s="553"/>
      <c r="F4061" s="557"/>
      <c r="G4061" s="553"/>
    </row>
    <row r="4062" spans="1:7" ht="12.6" customHeight="1" x14ac:dyDescent="0.25">
      <c r="A4062" s="551" t="s">
        <v>39643</v>
      </c>
      <c r="B4062" s="551" t="s">
        <v>39644</v>
      </c>
      <c r="C4062" s="552" t="s">
        <v>227</v>
      </c>
      <c r="D4062" s="553">
        <v>1521.07</v>
      </c>
      <c r="E4062" s="553">
        <v>1496.3</v>
      </c>
      <c r="F4062" s="557">
        <v>24.77</v>
      </c>
      <c r="G4062" s="553">
        <v>1521.07</v>
      </c>
    </row>
    <row r="4063" spans="1:7" ht="12.6" customHeight="1" x14ac:dyDescent="0.25">
      <c r="A4063" s="551" t="s">
        <v>39645</v>
      </c>
      <c r="B4063" s="551" t="s">
        <v>39646</v>
      </c>
      <c r="C4063" s="552" t="s">
        <v>227</v>
      </c>
      <c r="D4063" s="553">
        <v>1583.75</v>
      </c>
      <c r="E4063" s="553">
        <v>1558.99</v>
      </c>
      <c r="F4063" s="557">
        <v>24.76</v>
      </c>
      <c r="G4063" s="553">
        <v>1583.75</v>
      </c>
    </row>
    <row r="4064" spans="1:7" ht="12.6" customHeight="1" x14ac:dyDescent="0.25">
      <c r="A4064" s="551" t="s">
        <v>39647</v>
      </c>
      <c r="B4064" s="551" t="s">
        <v>39648</v>
      </c>
      <c r="C4064" s="552" t="s">
        <v>227</v>
      </c>
      <c r="D4064" s="553">
        <v>1706.2</v>
      </c>
      <c r="E4064" s="553">
        <v>1681.44</v>
      </c>
      <c r="F4064" s="557">
        <v>24.76</v>
      </c>
      <c r="G4064" s="553">
        <v>1706.2</v>
      </c>
    </row>
    <row r="4065" spans="1:7" ht="12.6" customHeight="1" x14ac:dyDescent="0.25">
      <c r="A4065" s="551" t="s">
        <v>39649</v>
      </c>
      <c r="B4065" s="551" t="s">
        <v>39650</v>
      </c>
      <c r="C4065" s="552" t="s">
        <v>227</v>
      </c>
      <c r="D4065" s="553">
        <v>1760.1</v>
      </c>
      <c r="E4065" s="553">
        <v>1735.34</v>
      </c>
      <c r="F4065" s="557">
        <v>24.76</v>
      </c>
      <c r="G4065" s="553">
        <v>1760.1</v>
      </c>
    </row>
    <row r="4066" spans="1:7" ht="12.6" customHeight="1" x14ac:dyDescent="0.2">
      <c r="A4066" s="548" t="s">
        <v>39651</v>
      </c>
      <c r="B4066" s="548" t="s">
        <v>39652</v>
      </c>
      <c r="C4066" s="550" t="s">
        <v>227</v>
      </c>
      <c r="D4066" s="550">
        <v>2140.2399999999998</v>
      </c>
      <c r="E4066" s="550">
        <v>2115.48</v>
      </c>
      <c r="F4066" s="550">
        <v>24.76</v>
      </c>
      <c r="G4066" s="550">
        <v>2140.2399999999998</v>
      </c>
    </row>
    <row r="4067" spans="1:7" ht="12.6" customHeight="1" x14ac:dyDescent="0.25">
      <c r="A4067" s="551" t="s">
        <v>39653</v>
      </c>
      <c r="B4067" s="551" t="s">
        <v>39654</v>
      </c>
      <c r="C4067" s="552" t="s">
        <v>227</v>
      </c>
      <c r="D4067" s="557">
        <v>1736.56</v>
      </c>
      <c r="E4067" s="557">
        <v>1699.41</v>
      </c>
      <c r="F4067" s="557">
        <v>37.15</v>
      </c>
      <c r="G4067" s="557">
        <v>1736.56</v>
      </c>
    </row>
    <row r="4068" spans="1:7" ht="12.6" customHeight="1" x14ac:dyDescent="0.25">
      <c r="A4068" s="551" t="s">
        <v>39655</v>
      </c>
      <c r="B4068" s="551" t="s">
        <v>39656</v>
      </c>
      <c r="C4068" s="552" t="s">
        <v>227</v>
      </c>
      <c r="D4068" s="557">
        <v>1663.24</v>
      </c>
      <c r="E4068" s="557">
        <v>1626.09</v>
      </c>
      <c r="F4068" s="557">
        <v>37.15</v>
      </c>
      <c r="G4068" s="557">
        <v>1663.24</v>
      </c>
    </row>
    <row r="4069" spans="1:7" ht="12.6" customHeight="1" x14ac:dyDescent="0.25">
      <c r="A4069" s="551" t="s">
        <v>39657</v>
      </c>
      <c r="B4069" s="551" t="s">
        <v>39658</v>
      </c>
      <c r="C4069" s="552" t="s">
        <v>227</v>
      </c>
      <c r="D4069" s="553">
        <v>1962.35</v>
      </c>
      <c r="E4069" s="557">
        <v>1925.2</v>
      </c>
      <c r="F4069" s="557">
        <v>37.15</v>
      </c>
      <c r="G4069" s="553">
        <v>1962.35</v>
      </c>
    </row>
    <row r="4070" spans="1:7" ht="12.6" customHeight="1" x14ac:dyDescent="0.25">
      <c r="A4070" s="551" t="s">
        <v>39659</v>
      </c>
      <c r="B4070" s="551" t="s">
        <v>39660</v>
      </c>
      <c r="C4070" s="552"/>
      <c r="D4070" s="553"/>
      <c r="E4070" s="553"/>
      <c r="F4070" s="557"/>
      <c r="G4070" s="553"/>
    </row>
    <row r="4071" spans="1:7" ht="12.6" customHeight="1" x14ac:dyDescent="0.25">
      <c r="A4071" s="551" t="s">
        <v>272</v>
      </c>
      <c r="B4071" s="551" t="s">
        <v>39661</v>
      </c>
      <c r="C4071" s="552" t="s">
        <v>226</v>
      </c>
      <c r="D4071" s="553">
        <v>1259.06</v>
      </c>
      <c r="E4071" s="553">
        <v>1150.9100000000001</v>
      </c>
      <c r="F4071" s="557">
        <v>108.15</v>
      </c>
      <c r="G4071" s="553">
        <v>1259.06</v>
      </c>
    </row>
    <row r="4072" spans="1:7" ht="12.6" customHeight="1" x14ac:dyDescent="0.25">
      <c r="A4072" s="551" t="s">
        <v>274</v>
      </c>
      <c r="B4072" s="551" t="s">
        <v>275</v>
      </c>
      <c r="C4072" s="552" t="s">
        <v>226</v>
      </c>
      <c r="D4072" s="553">
        <v>3410.5</v>
      </c>
      <c r="E4072" s="553">
        <v>3302.35</v>
      </c>
      <c r="F4072" s="557">
        <v>108.15</v>
      </c>
      <c r="G4072" s="553">
        <v>3410.5</v>
      </c>
    </row>
    <row r="4073" spans="1:7" ht="12.6" customHeight="1" x14ac:dyDescent="0.25">
      <c r="A4073" s="551" t="s">
        <v>276</v>
      </c>
      <c r="B4073" s="551" t="s">
        <v>277</v>
      </c>
      <c r="C4073" s="552" t="s">
        <v>226</v>
      </c>
      <c r="D4073" s="553">
        <v>5769.16</v>
      </c>
      <c r="E4073" s="553">
        <v>5584.19</v>
      </c>
      <c r="F4073" s="557">
        <v>184.97</v>
      </c>
      <c r="G4073" s="553">
        <v>5769.16</v>
      </c>
    </row>
    <row r="4074" spans="1:7" ht="12.6" customHeight="1" x14ac:dyDescent="0.25">
      <c r="A4074" s="551" t="s">
        <v>278</v>
      </c>
      <c r="B4074" s="551" t="s">
        <v>279</v>
      </c>
      <c r="C4074" s="552" t="s">
        <v>226</v>
      </c>
      <c r="D4074" s="553">
        <v>5717.67</v>
      </c>
      <c r="E4074" s="553">
        <v>5609.52</v>
      </c>
      <c r="F4074" s="557">
        <v>108.15</v>
      </c>
      <c r="G4074" s="553">
        <v>5717.67</v>
      </c>
    </row>
    <row r="4075" spans="1:7" ht="12.6" customHeight="1" x14ac:dyDescent="0.25">
      <c r="A4075" s="551" t="s">
        <v>280</v>
      </c>
      <c r="B4075" s="551" t="s">
        <v>281</v>
      </c>
      <c r="C4075" s="552" t="s">
        <v>226</v>
      </c>
      <c r="D4075" s="557">
        <v>2842.63</v>
      </c>
      <c r="E4075" s="557">
        <v>2775.3</v>
      </c>
      <c r="F4075" s="557">
        <v>67.33</v>
      </c>
      <c r="G4075" s="557">
        <v>2842.63</v>
      </c>
    </row>
    <row r="4076" spans="1:7" ht="12.6" customHeight="1" x14ac:dyDescent="0.25">
      <c r="A4076" s="551" t="s">
        <v>282</v>
      </c>
      <c r="B4076" s="551" t="s">
        <v>39662</v>
      </c>
      <c r="C4076" s="552" t="s">
        <v>226</v>
      </c>
      <c r="D4076" s="557">
        <v>1987.66</v>
      </c>
      <c r="E4076" s="557">
        <v>1879.51</v>
      </c>
      <c r="F4076" s="557">
        <v>108.15</v>
      </c>
      <c r="G4076" s="557">
        <v>1987.66</v>
      </c>
    </row>
    <row r="4077" spans="1:7" ht="12.6" customHeight="1" x14ac:dyDescent="0.25">
      <c r="A4077" s="551" t="s">
        <v>284</v>
      </c>
      <c r="B4077" s="551" t="s">
        <v>285</v>
      </c>
      <c r="C4077" s="552" t="s">
        <v>226</v>
      </c>
      <c r="D4077" s="557">
        <v>3056.58</v>
      </c>
      <c r="E4077" s="557">
        <v>2948.43</v>
      </c>
      <c r="F4077" s="557">
        <v>108.15</v>
      </c>
      <c r="G4077" s="557">
        <v>3056.58</v>
      </c>
    </row>
    <row r="4078" spans="1:7" ht="12.6" customHeight="1" x14ac:dyDescent="0.25">
      <c r="A4078" s="551" t="s">
        <v>39663</v>
      </c>
      <c r="B4078" s="551" t="s">
        <v>39664</v>
      </c>
      <c r="C4078" s="552"/>
      <c r="D4078" s="557"/>
      <c r="E4078" s="557"/>
      <c r="F4078" s="557"/>
      <c r="G4078" s="557"/>
    </row>
    <row r="4079" spans="1:7" ht="12.6" customHeight="1" x14ac:dyDescent="0.2">
      <c r="A4079" s="548" t="s">
        <v>39665</v>
      </c>
      <c r="B4079" s="548" t="s">
        <v>39666</v>
      </c>
      <c r="C4079" s="550" t="s">
        <v>226</v>
      </c>
      <c r="D4079" s="550">
        <v>446.24</v>
      </c>
      <c r="E4079" s="550">
        <v>423.47</v>
      </c>
      <c r="F4079" s="550">
        <v>22.77</v>
      </c>
      <c r="G4079" s="550">
        <v>446.24</v>
      </c>
    </row>
    <row r="4080" spans="1:7" ht="12.6" customHeight="1" x14ac:dyDescent="0.25">
      <c r="A4080" s="551" t="s">
        <v>39667</v>
      </c>
      <c r="B4080" s="551" t="s">
        <v>39668</v>
      </c>
      <c r="C4080" s="552" t="s">
        <v>226</v>
      </c>
      <c r="D4080" s="557">
        <v>3710.04</v>
      </c>
      <c r="E4080" s="557">
        <v>3659.44</v>
      </c>
      <c r="F4080" s="557">
        <v>50.6</v>
      </c>
      <c r="G4080" s="557">
        <v>3710.04</v>
      </c>
    </row>
    <row r="4081" spans="1:7" ht="24.95" customHeight="1" x14ac:dyDescent="0.25">
      <c r="A4081" s="551" t="s">
        <v>39669</v>
      </c>
      <c r="B4081" s="342" t="s">
        <v>39670</v>
      </c>
      <c r="C4081" s="552" t="s">
        <v>226</v>
      </c>
      <c r="D4081" s="557">
        <v>1603.72</v>
      </c>
      <c r="E4081" s="557">
        <v>1570.05</v>
      </c>
      <c r="F4081" s="557">
        <v>33.67</v>
      </c>
      <c r="G4081" s="557">
        <v>1603.72</v>
      </c>
    </row>
    <row r="4082" spans="1:7" ht="11.45" customHeight="1" x14ac:dyDescent="0.25">
      <c r="A4082" s="543" t="s">
        <v>39671</v>
      </c>
      <c r="B4082" s="544" t="s">
        <v>39672</v>
      </c>
      <c r="C4082" s="544" t="s">
        <v>226</v>
      </c>
      <c r="D4082" s="543">
        <v>3584.23</v>
      </c>
      <c r="E4082" s="545">
        <v>3008.28</v>
      </c>
      <c r="F4082" s="546">
        <v>575.95000000000005</v>
      </c>
      <c r="G4082" s="543">
        <v>3584.23</v>
      </c>
    </row>
    <row r="4083" spans="1:7" ht="24.95" customHeight="1" x14ac:dyDescent="0.25">
      <c r="A4083" s="551" t="s">
        <v>39673</v>
      </c>
      <c r="B4083" s="342" t="s">
        <v>39674</v>
      </c>
      <c r="C4083" s="552" t="s">
        <v>226</v>
      </c>
      <c r="D4083" s="557">
        <v>9112.9699999999993</v>
      </c>
      <c r="E4083" s="557">
        <v>8441.2999999999993</v>
      </c>
      <c r="F4083" s="557">
        <v>671.67</v>
      </c>
      <c r="G4083" s="557">
        <v>9112.9699999999993</v>
      </c>
    </row>
    <row r="4084" spans="1:7" ht="12.6" customHeight="1" x14ac:dyDescent="0.25">
      <c r="A4084" s="551" t="s">
        <v>39675</v>
      </c>
      <c r="B4084" s="551" t="s">
        <v>39676</v>
      </c>
      <c r="C4084" s="552"/>
      <c r="D4084" s="557"/>
      <c r="E4084" s="557"/>
      <c r="F4084" s="557"/>
      <c r="G4084" s="557"/>
    </row>
    <row r="4085" spans="1:7" ht="23.1" customHeight="1" x14ac:dyDescent="0.25">
      <c r="A4085" s="559" t="s">
        <v>39677</v>
      </c>
      <c r="B4085" s="548" t="s">
        <v>39678</v>
      </c>
      <c r="C4085" s="549" t="s">
        <v>226</v>
      </c>
      <c r="D4085" s="549">
        <v>132.78</v>
      </c>
      <c r="E4085" s="549">
        <v>121.82</v>
      </c>
      <c r="F4085" s="549">
        <v>10.96</v>
      </c>
      <c r="G4085" s="549">
        <v>132.78</v>
      </c>
    </row>
    <row r="4086" spans="1:7" ht="12.6" customHeight="1" x14ac:dyDescent="0.2">
      <c r="A4086" s="548" t="s">
        <v>39679</v>
      </c>
      <c r="B4086" s="548" t="s">
        <v>39680</v>
      </c>
      <c r="C4086" s="550" t="s">
        <v>226</v>
      </c>
      <c r="D4086" s="550">
        <v>52.11</v>
      </c>
      <c r="E4086" s="550">
        <v>43.89</v>
      </c>
      <c r="F4086" s="550">
        <v>8.2200000000000006</v>
      </c>
      <c r="G4086" s="550">
        <v>52.11</v>
      </c>
    </row>
    <row r="4087" spans="1:7" ht="24.95" customHeight="1" x14ac:dyDescent="0.25">
      <c r="A4087" s="551" t="s">
        <v>39681</v>
      </c>
      <c r="B4087" s="342" t="s">
        <v>286</v>
      </c>
      <c r="C4087" s="552" t="s">
        <v>226</v>
      </c>
      <c r="D4087" s="557">
        <v>25.82</v>
      </c>
      <c r="E4087" s="557">
        <v>17.600000000000001</v>
      </c>
      <c r="F4087" s="344">
        <v>8.2200000000000006</v>
      </c>
      <c r="G4087" s="557">
        <v>25.82</v>
      </c>
    </row>
    <row r="4088" spans="1:7" ht="24.95" customHeight="1" x14ac:dyDescent="0.25">
      <c r="A4088" s="551" t="s">
        <v>39682</v>
      </c>
      <c r="B4088" s="342" t="s">
        <v>287</v>
      </c>
      <c r="C4088" s="552" t="s">
        <v>226</v>
      </c>
      <c r="D4088" s="557">
        <v>23.08</v>
      </c>
      <c r="E4088" s="557">
        <v>14.86</v>
      </c>
      <c r="F4088" s="557">
        <v>8.2200000000000006</v>
      </c>
      <c r="G4088" s="557">
        <v>23.08</v>
      </c>
    </row>
    <row r="4089" spans="1:7" ht="24.95" customHeight="1" x14ac:dyDescent="0.25">
      <c r="A4089" s="551" t="s">
        <v>39683</v>
      </c>
      <c r="B4089" s="342" t="s">
        <v>39684</v>
      </c>
      <c r="C4089" s="552" t="s">
        <v>226</v>
      </c>
      <c r="D4089" s="557">
        <v>36.44</v>
      </c>
      <c r="E4089" s="557">
        <v>28.22</v>
      </c>
      <c r="F4089" s="557">
        <v>8.2200000000000006</v>
      </c>
      <c r="G4089" s="557">
        <v>36.44</v>
      </c>
    </row>
    <row r="4090" spans="1:7" ht="12.6" customHeight="1" x14ac:dyDescent="0.25">
      <c r="A4090" s="551" t="s">
        <v>39685</v>
      </c>
      <c r="B4090" s="551" t="s">
        <v>39686</v>
      </c>
      <c r="C4090" s="552" t="s">
        <v>226</v>
      </c>
      <c r="D4090" s="553">
        <v>30.44</v>
      </c>
      <c r="E4090" s="553">
        <v>22.22</v>
      </c>
      <c r="F4090" s="557">
        <v>8.2200000000000006</v>
      </c>
      <c r="G4090" s="553">
        <v>30.44</v>
      </c>
    </row>
    <row r="4091" spans="1:7" ht="34.5" customHeight="1" x14ac:dyDescent="0.25">
      <c r="A4091" s="554" t="s">
        <v>39687</v>
      </c>
      <c r="B4091" s="551" t="s">
        <v>39688</v>
      </c>
      <c r="C4091" s="555" t="s">
        <v>226</v>
      </c>
      <c r="D4091" s="558">
        <v>82.43</v>
      </c>
      <c r="E4091" s="558">
        <v>73.239999999999995</v>
      </c>
      <c r="F4091" s="558">
        <v>9.19</v>
      </c>
      <c r="G4091" s="558">
        <v>82.43</v>
      </c>
    </row>
    <row r="4092" spans="1:7" ht="12.6" customHeight="1" x14ac:dyDescent="0.25">
      <c r="A4092" s="551" t="s">
        <v>39689</v>
      </c>
      <c r="B4092" s="551" t="s">
        <v>39690</v>
      </c>
      <c r="C4092" s="552" t="s">
        <v>226</v>
      </c>
      <c r="D4092" s="557">
        <v>80.98</v>
      </c>
      <c r="E4092" s="557">
        <v>71.790000000000006</v>
      </c>
      <c r="F4092" s="557">
        <v>9.19</v>
      </c>
      <c r="G4092" s="557">
        <v>80.98</v>
      </c>
    </row>
    <row r="4093" spans="1:7" ht="12.6" customHeight="1" x14ac:dyDescent="0.25">
      <c r="A4093" s="551" t="s">
        <v>39691</v>
      </c>
      <c r="B4093" s="551" t="s">
        <v>39692</v>
      </c>
      <c r="C4093" s="552" t="s">
        <v>226</v>
      </c>
      <c r="D4093" s="557">
        <v>63.12</v>
      </c>
      <c r="E4093" s="557">
        <v>54.9</v>
      </c>
      <c r="F4093" s="557">
        <v>8.2200000000000006</v>
      </c>
      <c r="G4093" s="557">
        <v>63.12</v>
      </c>
    </row>
    <row r="4094" spans="1:7" ht="24.95" customHeight="1" x14ac:dyDescent="0.25">
      <c r="A4094" s="551" t="s">
        <v>39693</v>
      </c>
      <c r="B4094" s="342" t="s">
        <v>39694</v>
      </c>
      <c r="C4094" s="552" t="s">
        <v>226</v>
      </c>
      <c r="D4094" s="553">
        <v>41.29</v>
      </c>
      <c r="E4094" s="553">
        <v>33.07</v>
      </c>
      <c r="F4094" s="344">
        <v>8.2200000000000006</v>
      </c>
      <c r="G4094" s="553">
        <v>41.29</v>
      </c>
    </row>
    <row r="4095" spans="1:7" ht="24.95" customHeight="1" x14ac:dyDescent="0.25">
      <c r="A4095" s="551" t="s">
        <v>39695</v>
      </c>
      <c r="B4095" s="342" t="s">
        <v>39696</v>
      </c>
      <c r="C4095" s="552" t="s">
        <v>226</v>
      </c>
      <c r="D4095" s="553">
        <v>48.4</v>
      </c>
      <c r="E4095" s="553">
        <v>40.18</v>
      </c>
      <c r="F4095" s="344">
        <v>8.2200000000000006</v>
      </c>
      <c r="G4095" s="553">
        <v>48.4</v>
      </c>
    </row>
    <row r="4096" spans="1:7" ht="24.95" customHeight="1" x14ac:dyDescent="0.25">
      <c r="A4096" s="551" t="s">
        <v>39697</v>
      </c>
      <c r="B4096" s="342" t="s">
        <v>39698</v>
      </c>
      <c r="C4096" s="552" t="s">
        <v>226</v>
      </c>
      <c r="D4096" s="553">
        <v>48.4</v>
      </c>
      <c r="E4096" s="553">
        <v>40.18</v>
      </c>
      <c r="F4096" s="344">
        <v>8.2200000000000006</v>
      </c>
      <c r="G4096" s="553">
        <v>48.4</v>
      </c>
    </row>
    <row r="4097" spans="1:7" ht="12.6" customHeight="1" x14ac:dyDescent="0.2">
      <c r="A4097" s="548" t="s">
        <v>39699</v>
      </c>
      <c r="B4097" s="548" t="s">
        <v>39700</v>
      </c>
      <c r="C4097" s="550" t="s">
        <v>226</v>
      </c>
      <c r="D4097" s="550">
        <v>65.459999999999994</v>
      </c>
      <c r="E4097" s="550">
        <v>56.27</v>
      </c>
      <c r="F4097" s="550">
        <v>9.19</v>
      </c>
      <c r="G4097" s="550">
        <v>65.459999999999994</v>
      </c>
    </row>
    <row r="4098" spans="1:7" ht="23.1" customHeight="1" x14ac:dyDescent="0.25">
      <c r="A4098" s="551" t="s">
        <v>39701</v>
      </c>
      <c r="B4098" s="551" t="s">
        <v>39702</v>
      </c>
      <c r="C4098" s="552" t="s">
        <v>226</v>
      </c>
      <c r="D4098" s="553">
        <v>63.5</v>
      </c>
      <c r="E4098" s="553">
        <v>54.31</v>
      </c>
      <c r="F4098" s="557">
        <v>9.19</v>
      </c>
      <c r="G4098" s="553">
        <v>63.5</v>
      </c>
    </row>
    <row r="4099" spans="1:7" ht="23.1" customHeight="1" x14ac:dyDescent="0.25">
      <c r="A4099" s="551" t="s">
        <v>39703</v>
      </c>
      <c r="B4099" s="551" t="s">
        <v>39704</v>
      </c>
      <c r="C4099" s="552"/>
      <c r="D4099" s="553"/>
      <c r="E4099" s="553"/>
      <c r="F4099" s="557"/>
      <c r="G4099" s="553"/>
    </row>
    <row r="4100" spans="1:7" ht="12.6" customHeight="1" x14ac:dyDescent="0.25">
      <c r="A4100" s="551" t="s">
        <v>39705</v>
      </c>
      <c r="B4100" s="551" t="s">
        <v>39706</v>
      </c>
      <c r="C4100" s="552" t="s">
        <v>227</v>
      </c>
      <c r="D4100" s="553">
        <v>355.28</v>
      </c>
      <c r="E4100" s="553">
        <v>342.16</v>
      </c>
      <c r="F4100" s="557">
        <v>13.12</v>
      </c>
      <c r="G4100" s="553">
        <v>355.28</v>
      </c>
    </row>
    <row r="4101" spans="1:7" ht="12.6" customHeight="1" x14ac:dyDescent="0.2">
      <c r="A4101" s="548" t="s">
        <v>39707</v>
      </c>
      <c r="B4101" s="548" t="s">
        <v>39708</v>
      </c>
      <c r="C4101" s="550" t="s">
        <v>227</v>
      </c>
      <c r="D4101" s="550">
        <v>262.02</v>
      </c>
      <c r="E4101" s="550">
        <v>249.91</v>
      </c>
      <c r="F4101" s="550">
        <v>12.11</v>
      </c>
      <c r="G4101" s="550">
        <v>262.02</v>
      </c>
    </row>
    <row r="4102" spans="1:7" ht="24.95" customHeight="1" x14ac:dyDescent="0.25">
      <c r="A4102" s="551" t="s">
        <v>39709</v>
      </c>
      <c r="B4102" s="342" t="s">
        <v>39710</v>
      </c>
      <c r="C4102" s="552" t="s">
        <v>227</v>
      </c>
      <c r="D4102" s="553">
        <v>263.76</v>
      </c>
      <c r="E4102" s="553">
        <v>251.57</v>
      </c>
      <c r="F4102" s="557">
        <v>12.19</v>
      </c>
      <c r="G4102" s="553">
        <v>263.76</v>
      </c>
    </row>
    <row r="4103" spans="1:7" ht="24.95" customHeight="1" x14ac:dyDescent="0.25">
      <c r="A4103" s="551" t="s">
        <v>39711</v>
      </c>
      <c r="B4103" s="342" t="s">
        <v>39712</v>
      </c>
      <c r="C4103" s="552" t="s">
        <v>31681</v>
      </c>
      <c r="D4103" s="553">
        <v>10.46</v>
      </c>
      <c r="E4103" s="553">
        <v>8.35</v>
      </c>
      <c r="F4103" s="557">
        <v>2.11</v>
      </c>
      <c r="G4103" s="553">
        <v>10.46</v>
      </c>
    </row>
    <row r="4104" spans="1:7" ht="24.95" customHeight="1" x14ac:dyDescent="0.25">
      <c r="A4104" s="551" t="s">
        <v>39713</v>
      </c>
      <c r="B4104" s="342" t="s">
        <v>39714</v>
      </c>
      <c r="C4104" s="552" t="s">
        <v>39715</v>
      </c>
      <c r="D4104" s="553">
        <v>1868.86</v>
      </c>
      <c r="E4104" s="553">
        <v>570.46</v>
      </c>
      <c r="F4104" s="557">
        <v>1298.4000000000001</v>
      </c>
      <c r="G4104" s="553">
        <v>1868.86</v>
      </c>
    </row>
    <row r="4105" spans="1:7" ht="23.1" customHeight="1" x14ac:dyDescent="0.25">
      <c r="A4105" s="551" t="s">
        <v>39716</v>
      </c>
      <c r="B4105" s="551" t="s">
        <v>39717</v>
      </c>
      <c r="C4105" s="552"/>
      <c r="D4105" s="553"/>
      <c r="E4105" s="553"/>
      <c r="F4105" s="557"/>
      <c r="G4105" s="553"/>
    </row>
    <row r="4106" spans="1:7" ht="24.95" customHeight="1" x14ac:dyDescent="0.25">
      <c r="A4106" s="551" t="s">
        <v>39718</v>
      </c>
      <c r="B4106" s="342" t="s">
        <v>39719</v>
      </c>
      <c r="C4106" s="552"/>
      <c r="D4106" s="553"/>
      <c r="E4106" s="553"/>
      <c r="F4106" s="557"/>
      <c r="G4106" s="553"/>
    </row>
    <row r="4107" spans="1:7" ht="23.1" customHeight="1" x14ac:dyDescent="0.25">
      <c r="A4107" s="551" t="s">
        <v>39720</v>
      </c>
      <c r="B4107" s="551" t="s">
        <v>39721</v>
      </c>
      <c r="C4107" s="552" t="s">
        <v>227</v>
      </c>
      <c r="D4107" s="553">
        <v>11991.43</v>
      </c>
      <c r="E4107" s="553">
        <v>11905.11</v>
      </c>
      <c r="F4107" s="557">
        <v>86.32</v>
      </c>
      <c r="G4107" s="553">
        <v>11991.43</v>
      </c>
    </row>
    <row r="4108" spans="1:7" ht="24.95" customHeight="1" x14ac:dyDescent="0.25">
      <c r="A4108" s="551" t="s">
        <v>39722</v>
      </c>
      <c r="B4108" s="342" t="s">
        <v>39723</v>
      </c>
      <c r="C4108" s="552" t="s">
        <v>227</v>
      </c>
      <c r="D4108" s="557">
        <v>428.08</v>
      </c>
      <c r="E4108" s="557">
        <v>341.76</v>
      </c>
      <c r="F4108" s="557">
        <v>86.32</v>
      </c>
      <c r="G4108" s="557">
        <v>428.08</v>
      </c>
    </row>
    <row r="4109" spans="1:7" ht="24.95" customHeight="1" x14ac:dyDescent="0.25">
      <c r="A4109" s="551" t="s">
        <v>39724</v>
      </c>
      <c r="B4109" s="342" t="s">
        <v>39725</v>
      </c>
      <c r="C4109" s="552" t="s">
        <v>227</v>
      </c>
      <c r="D4109" s="553">
        <v>3901.65</v>
      </c>
      <c r="E4109" s="553">
        <v>3815.33</v>
      </c>
      <c r="F4109" s="557">
        <v>86.32</v>
      </c>
      <c r="G4109" s="553">
        <v>3901.65</v>
      </c>
    </row>
    <row r="4110" spans="1:7" ht="24.95" customHeight="1" x14ac:dyDescent="0.25">
      <c r="A4110" s="551" t="s">
        <v>39726</v>
      </c>
      <c r="B4110" s="342" t="s">
        <v>39727</v>
      </c>
      <c r="C4110" s="552" t="s">
        <v>226</v>
      </c>
      <c r="D4110" s="553">
        <v>17.25</v>
      </c>
      <c r="E4110" s="553">
        <v>10.99</v>
      </c>
      <c r="F4110" s="557">
        <v>6.26</v>
      </c>
      <c r="G4110" s="553">
        <v>17.25</v>
      </c>
    </row>
    <row r="4111" spans="1:7" ht="24.95" customHeight="1" x14ac:dyDescent="0.25">
      <c r="A4111" s="551" t="s">
        <v>39728</v>
      </c>
      <c r="B4111" s="342" t="s">
        <v>39729</v>
      </c>
      <c r="C4111" s="552" t="s">
        <v>226</v>
      </c>
      <c r="D4111" s="553">
        <v>13.61</v>
      </c>
      <c r="E4111" s="553">
        <v>7.35</v>
      </c>
      <c r="F4111" s="557">
        <v>6.26</v>
      </c>
      <c r="G4111" s="553">
        <v>13.61</v>
      </c>
    </row>
    <row r="4112" spans="1:7" ht="24.95" customHeight="1" x14ac:dyDescent="0.25">
      <c r="A4112" s="551" t="s">
        <v>39730</v>
      </c>
      <c r="B4112" s="342" t="s">
        <v>39731</v>
      </c>
      <c r="C4112" s="552" t="s">
        <v>226</v>
      </c>
      <c r="D4112" s="553">
        <v>13.14</v>
      </c>
      <c r="E4112" s="553">
        <v>6.88</v>
      </c>
      <c r="F4112" s="557">
        <v>6.26</v>
      </c>
      <c r="G4112" s="553">
        <v>13.14</v>
      </c>
    </row>
    <row r="4113" spans="1:7" ht="24.95" customHeight="1" x14ac:dyDescent="0.25">
      <c r="A4113" s="551" t="s">
        <v>39732</v>
      </c>
      <c r="B4113" s="342" t="s">
        <v>39733</v>
      </c>
      <c r="C4113" s="552" t="s">
        <v>226</v>
      </c>
      <c r="D4113" s="553">
        <v>12.33</v>
      </c>
      <c r="E4113" s="553">
        <v>6.07</v>
      </c>
      <c r="F4113" s="557">
        <v>6.26</v>
      </c>
      <c r="G4113" s="553">
        <v>12.33</v>
      </c>
    </row>
    <row r="4114" spans="1:7" ht="24.95" customHeight="1" x14ac:dyDescent="0.25">
      <c r="A4114" s="551" t="s">
        <v>39734</v>
      </c>
      <c r="B4114" s="342" t="s">
        <v>39735</v>
      </c>
      <c r="C4114" s="552" t="s">
        <v>226</v>
      </c>
      <c r="D4114" s="553">
        <v>22.62</v>
      </c>
      <c r="E4114" s="553">
        <v>16.36</v>
      </c>
      <c r="F4114" s="557">
        <v>6.26</v>
      </c>
      <c r="G4114" s="553">
        <v>22.62</v>
      </c>
    </row>
    <row r="4115" spans="1:7" ht="11.45" customHeight="1" x14ac:dyDescent="0.25">
      <c r="A4115" s="543" t="s">
        <v>39736</v>
      </c>
      <c r="B4115" s="544" t="s">
        <v>39737</v>
      </c>
      <c r="C4115" s="544" t="s">
        <v>226</v>
      </c>
      <c r="D4115" s="543">
        <v>12.2</v>
      </c>
      <c r="E4115" s="545">
        <v>5.94</v>
      </c>
      <c r="F4115" s="546">
        <v>6.26</v>
      </c>
      <c r="G4115" s="543">
        <v>12.2</v>
      </c>
    </row>
    <row r="4116" spans="1:7" ht="24.95" customHeight="1" x14ac:dyDescent="0.25">
      <c r="A4116" s="551" t="s">
        <v>39738</v>
      </c>
      <c r="B4116" s="342" t="s">
        <v>39739</v>
      </c>
      <c r="C4116" s="552" t="s">
        <v>226</v>
      </c>
      <c r="D4116" s="553">
        <v>219.45</v>
      </c>
      <c r="E4116" s="553">
        <v>215.9</v>
      </c>
      <c r="F4116" s="557">
        <v>3.55</v>
      </c>
      <c r="G4116" s="553">
        <v>219.45</v>
      </c>
    </row>
    <row r="4117" spans="1:7" ht="24.95" customHeight="1" x14ac:dyDescent="0.25">
      <c r="A4117" s="551" t="s">
        <v>39740</v>
      </c>
      <c r="B4117" s="342" t="s">
        <v>39741</v>
      </c>
      <c r="C4117" s="552"/>
      <c r="D4117" s="553"/>
      <c r="E4117" s="553"/>
      <c r="F4117" s="557"/>
      <c r="G4117" s="553"/>
    </row>
    <row r="4118" spans="1:7" ht="24.95" customHeight="1" x14ac:dyDescent="0.25">
      <c r="A4118" s="551" t="s">
        <v>39742</v>
      </c>
      <c r="B4118" s="342" t="s">
        <v>39743</v>
      </c>
      <c r="C4118" s="552" t="s">
        <v>226</v>
      </c>
      <c r="D4118" s="553">
        <v>65.34</v>
      </c>
      <c r="E4118" s="553">
        <v>10.75</v>
      </c>
      <c r="F4118" s="557">
        <v>54.59</v>
      </c>
      <c r="G4118" s="553">
        <v>65.34</v>
      </c>
    </row>
    <row r="4119" spans="1:7" ht="24.95" customHeight="1" x14ac:dyDescent="0.25">
      <c r="A4119" s="551" t="s">
        <v>39744</v>
      </c>
      <c r="B4119" s="342" t="s">
        <v>39745</v>
      </c>
      <c r="C4119" s="552"/>
      <c r="D4119" s="553"/>
      <c r="E4119" s="553"/>
      <c r="F4119" s="557"/>
      <c r="G4119" s="553"/>
    </row>
    <row r="4120" spans="1:7" ht="12.6" customHeight="1" x14ac:dyDescent="0.2">
      <c r="A4120" s="548" t="s">
        <v>39746</v>
      </c>
      <c r="B4120" s="548" t="s">
        <v>39747</v>
      </c>
      <c r="C4120" s="550" t="s">
        <v>226</v>
      </c>
      <c r="D4120" s="550">
        <v>103.05</v>
      </c>
      <c r="E4120" s="550">
        <v>95.71</v>
      </c>
      <c r="F4120" s="550">
        <v>7.34</v>
      </c>
      <c r="G4120" s="550">
        <v>103.05</v>
      </c>
    </row>
    <row r="4121" spans="1:7" ht="12.6" customHeight="1" x14ac:dyDescent="0.25">
      <c r="A4121" s="551" t="s">
        <v>39748</v>
      </c>
      <c r="B4121" s="551" t="s">
        <v>39749</v>
      </c>
      <c r="C4121" s="552" t="s">
        <v>226</v>
      </c>
      <c r="D4121" s="557">
        <v>36.32</v>
      </c>
      <c r="E4121" s="557">
        <v>34.81</v>
      </c>
      <c r="F4121" s="557">
        <v>1.51</v>
      </c>
      <c r="G4121" s="557">
        <v>36.32</v>
      </c>
    </row>
    <row r="4122" spans="1:7" ht="12.6" customHeight="1" x14ac:dyDescent="0.2">
      <c r="A4122" s="548" t="s">
        <v>39750</v>
      </c>
      <c r="B4122" s="548" t="s">
        <v>39751</v>
      </c>
      <c r="C4122" s="550" t="s">
        <v>227</v>
      </c>
      <c r="D4122" s="550">
        <v>68.95</v>
      </c>
      <c r="E4122" s="550">
        <v>68.95</v>
      </c>
      <c r="F4122" s="550"/>
      <c r="G4122" s="550">
        <v>68.95</v>
      </c>
    </row>
    <row r="4123" spans="1:7" ht="12.6" customHeight="1" x14ac:dyDescent="0.25">
      <c r="A4123" s="551" t="s">
        <v>39752</v>
      </c>
      <c r="B4123" s="551" t="s">
        <v>39753</v>
      </c>
      <c r="C4123" s="552" t="s">
        <v>6008</v>
      </c>
      <c r="D4123" s="557">
        <v>27.39</v>
      </c>
      <c r="E4123" s="557">
        <v>27.39</v>
      </c>
      <c r="F4123" s="557"/>
      <c r="G4123" s="557">
        <v>27.39</v>
      </c>
    </row>
    <row r="4124" spans="1:7" ht="12.6" customHeight="1" x14ac:dyDescent="0.25">
      <c r="A4124" s="551" t="s">
        <v>39754</v>
      </c>
      <c r="B4124" s="551" t="s">
        <v>39755</v>
      </c>
      <c r="C4124" s="552"/>
      <c r="D4124" s="557"/>
      <c r="E4124" s="557"/>
      <c r="F4124" s="557"/>
      <c r="G4124" s="557"/>
    </row>
    <row r="4125" spans="1:7" ht="12.6" customHeight="1" x14ac:dyDescent="0.25">
      <c r="A4125" s="551" t="s">
        <v>39756</v>
      </c>
      <c r="B4125" s="551" t="s">
        <v>39757</v>
      </c>
      <c r="C4125" s="552"/>
      <c r="D4125" s="557"/>
      <c r="E4125" s="557"/>
      <c r="F4125" s="557"/>
      <c r="G4125" s="557"/>
    </row>
    <row r="4126" spans="1:7" ht="12.6" customHeight="1" x14ac:dyDescent="0.25">
      <c r="A4126" s="551" t="s">
        <v>39758</v>
      </c>
      <c r="B4126" s="551" t="s">
        <v>39759</v>
      </c>
      <c r="C4126" s="552" t="s">
        <v>226</v>
      </c>
      <c r="D4126" s="557">
        <v>695.04</v>
      </c>
      <c r="E4126" s="557">
        <v>695.04</v>
      </c>
      <c r="F4126" s="557"/>
      <c r="G4126" s="557">
        <v>695.04</v>
      </c>
    </row>
    <row r="4127" spans="1:7" ht="12.6" customHeight="1" x14ac:dyDescent="0.25">
      <c r="A4127" s="551" t="s">
        <v>2508</v>
      </c>
      <c r="B4127" s="551" t="s">
        <v>2509</v>
      </c>
      <c r="C4127" s="552" t="s">
        <v>2502</v>
      </c>
      <c r="D4127" s="553">
        <v>1308.8900000000001</v>
      </c>
      <c r="E4127" s="553">
        <v>1305.82</v>
      </c>
      <c r="F4127" s="557">
        <v>3.07</v>
      </c>
      <c r="G4127" s="553">
        <v>1308.8900000000001</v>
      </c>
    </row>
    <row r="4128" spans="1:7" ht="12.6" customHeight="1" x14ac:dyDescent="0.2">
      <c r="A4128" s="548" t="s">
        <v>2510</v>
      </c>
      <c r="B4128" s="548" t="s">
        <v>2511</v>
      </c>
      <c r="C4128" s="550"/>
      <c r="D4128" s="550"/>
      <c r="E4128" s="550"/>
      <c r="F4128" s="550"/>
      <c r="G4128" s="550"/>
    </row>
    <row r="4129" spans="1:7" ht="23.1" customHeight="1" x14ac:dyDescent="0.25">
      <c r="A4129" s="551" t="s">
        <v>2512</v>
      </c>
      <c r="B4129" s="551" t="s">
        <v>2513</v>
      </c>
      <c r="C4129" s="552" t="s">
        <v>2502</v>
      </c>
      <c r="D4129" s="557">
        <v>466.97</v>
      </c>
      <c r="E4129" s="557">
        <v>447.95</v>
      </c>
      <c r="F4129" s="557">
        <v>19.02</v>
      </c>
      <c r="G4129" s="557">
        <v>466.97</v>
      </c>
    </row>
    <row r="4130" spans="1:7" ht="23.1" customHeight="1" x14ac:dyDescent="0.25">
      <c r="A4130" s="551" t="s">
        <v>2514</v>
      </c>
      <c r="B4130" s="551" t="s">
        <v>2515</v>
      </c>
      <c r="C4130" s="552" t="s">
        <v>2505</v>
      </c>
      <c r="D4130" s="557">
        <v>828.79</v>
      </c>
      <c r="E4130" s="557">
        <v>497.03</v>
      </c>
      <c r="F4130" s="557">
        <v>331.76</v>
      </c>
      <c r="G4130" s="557">
        <v>828.79</v>
      </c>
    </row>
    <row r="4131" spans="1:7" ht="12.6" customHeight="1" x14ac:dyDescent="0.2">
      <c r="A4131" s="548" t="s">
        <v>2516</v>
      </c>
      <c r="B4131" s="548" t="s">
        <v>2517</v>
      </c>
      <c r="C4131" s="550"/>
      <c r="D4131" s="550"/>
      <c r="E4131" s="550"/>
      <c r="F4131" s="550"/>
      <c r="G4131" s="550"/>
    </row>
    <row r="4132" spans="1:7" ht="12.6" customHeight="1" x14ac:dyDescent="0.25">
      <c r="A4132" s="551" t="s">
        <v>2518</v>
      </c>
      <c r="B4132" s="551" t="s">
        <v>2519</v>
      </c>
      <c r="C4132" s="552" t="s">
        <v>2504</v>
      </c>
      <c r="D4132" s="557">
        <v>4.62</v>
      </c>
      <c r="E4132" s="557">
        <v>0.47</v>
      </c>
      <c r="F4132" s="557">
        <v>4.1500000000000004</v>
      </c>
      <c r="G4132" s="557">
        <v>4.62</v>
      </c>
    </row>
    <row r="4133" spans="1:7" ht="12.6" customHeight="1" x14ac:dyDescent="0.25">
      <c r="A4133" s="551" t="s">
        <v>2520</v>
      </c>
      <c r="B4133" s="551" t="s">
        <v>2521</v>
      </c>
      <c r="C4133" s="552" t="s">
        <v>2502</v>
      </c>
      <c r="D4133" s="557">
        <v>15.4</v>
      </c>
      <c r="E4133" s="557">
        <v>7.11</v>
      </c>
      <c r="F4133" s="557">
        <v>8.2899999999999991</v>
      </c>
      <c r="G4133" s="557">
        <v>15.4</v>
      </c>
    </row>
    <row r="4134" spans="1:7" ht="12.6" customHeight="1" x14ac:dyDescent="0.25">
      <c r="A4134" s="551" t="s">
        <v>2522</v>
      </c>
      <c r="B4134" s="551" t="s">
        <v>2523</v>
      </c>
      <c r="C4134" s="552" t="s">
        <v>2502</v>
      </c>
      <c r="D4134" s="557">
        <v>10.83</v>
      </c>
      <c r="E4134" s="557">
        <v>2.54</v>
      </c>
      <c r="F4134" s="557">
        <v>8.2899999999999991</v>
      </c>
      <c r="G4134" s="557">
        <v>10.83</v>
      </c>
    </row>
    <row r="4135" spans="1:7" ht="24.95" customHeight="1" x14ac:dyDescent="0.25">
      <c r="A4135" s="551" t="s">
        <v>2524</v>
      </c>
      <c r="B4135" s="342" t="s">
        <v>2525</v>
      </c>
      <c r="C4135" s="552" t="s">
        <v>2502</v>
      </c>
      <c r="D4135" s="557">
        <v>11.48</v>
      </c>
      <c r="E4135" s="557">
        <v>3.19</v>
      </c>
      <c r="F4135" s="557">
        <v>8.2899999999999991</v>
      </c>
      <c r="G4135" s="557">
        <v>11.48</v>
      </c>
    </row>
    <row r="4136" spans="1:7" ht="12.6" customHeight="1" x14ac:dyDescent="0.25">
      <c r="A4136" s="551" t="s">
        <v>2526</v>
      </c>
      <c r="B4136" s="551" t="s">
        <v>2527</v>
      </c>
      <c r="C4136" s="552" t="s">
        <v>2502</v>
      </c>
      <c r="D4136" s="557">
        <v>290.54000000000002</v>
      </c>
      <c r="E4136" s="557">
        <v>281.33</v>
      </c>
      <c r="F4136" s="557">
        <v>9.2100000000000009</v>
      </c>
      <c r="G4136" s="557">
        <v>290.54000000000002</v>
      </c>
    </row>
    <row r="4137" spans="1:7" ht="12.6" customHeight="1" x14ac:dyDescent="0.25">
      <c r="A4137" s="551" t="s">
        <v>2528</v>
      </c>
      <c r="B4137" s="551" t="s">
        <v>2529</v>
      </c>
      <c r="C4137" s="552" t="s">
        <v>2502</v>
      </c>
      <c r="D4137" s="557">
        <v>629.07000000000005</v>
      </c>
      <c r="E4137" s="557">
        <v>619.86</v>
      </c>
      <c r="F4137" s="557">
        <v>9.2100000000000009</v>
      </c>
      <c r="G4137" s="557">
        <v>629.07000000000005</v>
      </c>
    </row>
    <row r="4138" spans="1:7" ht="12.6" customHeight="1" x14ac:dyDescent="0.25">
      <c r="A4138" s="551" t="s">
        <v>2530</v>
      </c>
      <c r="B4138" s="551" t="s">
        <v>2531</v>
      </c>
      <c r="C4138" s="552" t="s">
        <v>2502</v>
      </c>
      <c r="D4138" s="557">
        <v>19.38</v>
      </c>
      <c r="E4138" s="557">
        <v>4.79</v>
      </c>
      <c r="F4138" s="557">
        <v>14.59</v>
      </c>
      <c r="G4138" s="557">
        <v>19.38</v>
      </c>
    </row>
    <row r="4139" spans="1:7" ht="12.6" customHeight="1" x14ac:dyDescent="0.25">
      <c r="A4139" s="551" t="s">
        <v>2532</v>
      </c>
      <c r="B4139" s="551" t="s">
        <v>2533</v>
      </c>
      <c r="C4139" s="552" t="s">
        <v>2502</v>
      </c>
      <c r="D4139" s="557">
        <v>36.549999999999997</v>
      </c>
      <c r="E4139" s="557">
        <v>21.96</v>
      </c>
      <c r="F4139" s="557">
        <v>14.59</v>
      </c>
      <c r="G4139" s="557">
        <v>36.549999999999997</v>
      </c>
    </row>
    <row r="4140" spans="1:7" ht="12.6" customHeight="1" x14ac:dyDescent="0.25">
      <c r="A4140" s="551" t="s">
        <v>2534</v>
      </c>
      <c r="B4140" s="551" t="s">
        <v>2535</v>
      </c>
      <c r="C4140" s="552" t="s">
        <v>2502</v>
      </c>
      <c r="D4140" s="557">
        <v>69.599999999999994</v>
      </c>
      <c r="E4140" s="557">
        <v>67.91</v>
      </c>
      <c r="F4140" s="557">
        <v>1.69</v>
      </c>
      <c r="G4140" s="557">
        <v>69.599999999999994</v>
      </c>
    </row>
    <row r="4141" spans="1:7" ht="12.6" customHeight="1" x14ac:dyDescent="0.25">
      <c r="A4141" s="551" t="s">
        <v>2536</v>
      </c>
      <c r="B4141" s="551" t="s">
        <v>2537</v>
      </c>
      <c r="C4141" s="552" t="s">
        <v>2502</v>
      </c>
      <c r="D4141" s="557">
        <v>216.35</v>
      </c>
      <c r="E4141" s="557">
        <v>206.84</v>
      </c>
      <c r="F4141" s="557">
        <v>9.51</v>
      </c>
      <c r="G4141" s="557">
        <v>216.35</v>
      </c>
    </row>
    <row r="4142" spans="1:7" ht="12.6" customHeight="1" x14ac:dyDescent="0.25">
      <c r="A4142" s="551" t="s">
        <v>2538</v>
      </c>
      <c r="B4142" s="551" t="s">
        <v>2539</v>
      </c>
      <c r="C4142" s="552" t="s">
        <v>2502</v>
      </c>
      <c r="D4142" s="557">
        <v>86.74</v>
      </c>
      <c r="E4142" s="557">
        <v>80.599999999999994</v>
      </c>
      <c r="F4142" s="557">
        <v>6.14</v>
      </c>
      <c r="G4142" s="557">
        <v>86.74</v>
      </c>
    </row>
    <row r="4143" spans="1:7" ht="12.6" customHeight="1" x14ac:dyDescent="0.25">
      <c r="A4143" s="551" t="s">
        <v>2540</v>
      </c>
      <c r="B4143" s="551" t="s">
        <v>2541</v>
      </c>
      <c r="C4143" s="552" t="s">
        <v>2502</v>
      </c>
      <c r="D4143" s="557">
        <v>110.01</v>
      </c>
      <c r="E4143" s="557">
        <v>103.87</v>
      </c>
      <c r="F4143" s="557">
        <v>6.14</v>
      </c>
      <c r="G4143" s="557">
        <v>110.01</v>
      </c>
    </row>
    <row r="4144" spans="1:7" ht="12.6" customHeight="1" x14ac:dyDescent="0.25">
      <c r="A4144" s="551" t="s">
        <v>2542</v>
      </c>
      <c r="B4144" s="551" t="s">
        <v>2543</v>
      </c>
      <c r="C4144" s="552" t="s">
        <v>2502</v>
      </c>
      <c r="D4144" s="557">
        <v>173.18</v>
      </c>
      <c r="E4144" s="557">
        <v>167.04</v>
      </c>
      <c r="F4144" s="557">
        <v>6.14</v>
      </c>
      <c r="G4144" s="557">
        <v>173.18</v>
      </c>
    </row>
    <row r="4145" spans="1:7" ht="12.6" customHeight="1" x14ac:dyDescent="0.25">
      <c r="A4145" s="551" t="s">
        <v>2544</v>
      </c>
      <c r="B4145" s="551" t="s">
        <v>2545</v>
      </c>
      <c r="C4145" s="552" t="s">
        <v>2502</v>
      </c>
      <c r="D4145" s="557">
        <v>91.31</v>
      </c>
      <c r="E4145" s="557">
        <v>89.62</v>
      </c>
      <c r="F4145" s="557">
        <v>1.69</v>
      </c>
      <c r="G4145" s="557">
        <v>91.31</v>
      </c>
    </row>
    <row r="4146" spans="1:7" ht="12.6" customHeight="1" x14ac:dyDescent="0.25">
      <c r="A4146" s="551" t="s">
        <v>2546</v>
      </c>
      <c r="B4146" s="551" t="s">
        <v>2547</v>
      </c>
      <c r="C4146" s="552" t="s">
        <v>2502</v>
      </c>
      <c r="D4146" s="557">
        <v>94.19</v>
      </c>
      <c r="E4146" s="557">
        <v>92.5</v>
      </c>
      <c r="F4146" s="557">
        <v>1.69</v>
      </c>
      <c r="G4146" s="557">
        <v>94.19</v>
      </c>
    </row>
    <row r="4147" spans="1:7" ht="12.6" customHeight="1" x14ac:dyDescent="0.25">
      <c r="A4147" s="551" t="s">
        <v>2548</v>
      </c>
      <c r="B4147" s="551" t="s">
        <v>2549</v>
      </c>
      <c r="C4147" s="552" t="s">
        <v>2502</v>
      </c>
      <c r="D4147" s="557">
        <v>13.15</v>
      </c>
      <c r="E4147" s="557">
        <v>9.7799999999999994</v>
      </c>
      <c r="F4147" s="557">
        <v>3.37</v>
      </c>
      <c r="G4147" s="557">
        <v>13.15</v>
      </c>
    </row>
    <row r="4148" spans="1:7" ht="12.6" customHeight="1" x14ac:dyDescent="0.25">
      <c r="A4148" s="551" t="s">
        <v>2550</v>
      </c>
      <c r="B4148" s="551" t="s">
        <v>2551</v>
      </c>
      <c r="C4148" s="552" t="s">
        <v>2502</v>
      </c>
      <c r="D4148" s="557">
        <v>15.58</v>
      </c>
      <c r="E4148" s="557">
        <v>12.21</v>
      </c>
      <c r="F4148" s="557">
        <v>3.37</v>
      </c>
      <c r="G4148" s="557">
        <v>15.58</v>
      </c>
    </row>
    <row r="4149" spans="1:7" ht="12.6" customHeight="1" x14ac:dyDescent="0.25">
      <c r="A4149" s="551" t="s">
        <v>2552</v>
      </c>
      <c r="B4149" s="551" t="s">
        <v>2553</v>
      </c>
      <c r="C4149" s="552" t="s">
        <v>2502</v>
      </c>
      <c r="D4149" s="557">
        <v>34.14</v>
      </c>
      <c r="E4149" s="557">
        <v>18.45</v>
      </c>
      <c r="F4149" s="557">
        <v>15.69</v>
      </c>
      <c r="G4149" s="557">
        <v>34.14</v>
      </c>
    </row>
    <row r="4150" spans="1:7" ht="12.6" customHeight="1" x14ac:dyDescent="0.25">
      <c r="A4150" s="551" t="s">
        <v>2554</v>
      </c>
      <c r="B4150" s="551" t="s">
        <v>2555</v>
      </c>
      <c r="C4150" s="552" t="s">
        <v>2502</v>
      </c>
      <c r="D4150" s="557">
        <v>17.5</v>
      </c>
      <c r="E4150" s="557">
        <v>7.99</v>
      </c>
      <c r="F4150" s="557">
        <v>9.51</v>
      </c>
      <c r="G4150" s="557">
        <v>17.5</v>
      </c>
    </row>
    <row r="4151" spans="1:7" ht="12.6" customHeight="1" x14ac:dyDescent="0.25">
      <c r="A4151" s="551" t="s">
        <v>2556</v>
      </c>
      <c r="B4151" s="551" t="s">
        <v>2557</v>
      </c>
      <c r="C4151" s="552" t="s">
        <v>2502</v>
      </c>
      <c r="D4151" s="557">
        <v>22.62</v>
      </c>
      <c r="E4151" s="557">
        <v>13.11</v>
      </c>
      <c r="F4151" s="557">
        <v>9.51</v>
      </c>
      <c r="G4151" s="557">
        <v>22.62</v>
      </c>
    </row>
    <row r="4152" spans="1:7" ht="23.1" customHeight="1" x14ac:dyDescent="0.25">
      <c r="A4152" s="551" t="s">
        <v>2558</v>
      </c>
      <c r="B4152" s="551" t="s">
        <v>2559</v>
      </c>
      <c r="C4152" s="552" t="s">
        <v>2502</v>
      </c>
      <c r="D4152" s="557">
        <v>22.44</v>
      </c>
      <c r="E4152" s="557">
        <v>12.93</v>
      </c>
      <c r="F4152" s="557">
        <v>9.51</v>
      </c>
      <c r="G4152" s="557">
        <v>22.44</v>
      </c>
    </row>
    <row r="4153" spans="1:7" ht="12.6" customHeight="1" x14ac:dyDescent="0.25">
      <c r="A4153" s="551" t="s">
        <v>2560</v>
      </c>
      <c r="B4153" s="551" t="s">
        <v>2561</v>
      </c>
      <c r="C4153" s="552" t="s">
        <v>2502</v>
      </c>
      <c r="D4153" s="557">
        <v>47.17</v>
      </c>
      <c r="E4153" s="557">
        <v>31.06</v>
      </c>
      <c r="F4153" s="557">
        <v>16.11</v>
      </c>
      <c r="G4153" s="557">
        <v>47.17</v>
      </c>
    </row>
    <row r="4154" spans="1:7" ht="12.6" customHeight="1" x14ac:dyDescent="0.25">
      <c r="A4154" s="551" t="s">
        <v>2562</v>
      </c>
      <c r="B4154" s="551" t="s">
        <v>2563</v>
      </c>
      <c r="C4154" s="552" t="s">
        <v>2502</v>
      </c>
      <c r="D4154" s="557">
        <v>19.32</v>
      </c>
      <c r="E4154" s="557">
        <v>11.03</v>
      </c>
      <c r="F4154" s="557">
        <v>8.2899999999999991</v>
      </c>
      <c r="G4154" s="557">
        <v>19.32</v>
      </c>
    </row>
    <row r="4155" spans="1:7" ht="12.6" customHeight="1" x14ac:dyDescent="0.25">
      <c r="A4155" s="551" t="s">
        <v>2564</v>
      </c>
      <c r="B4155" s="551" t="s">
        <v>2565</v>
      </c>
      <c r="C4155" s="552" t="s">
        <v>2502</v>
      </c>
      <c r="D4155" s="557">
        <v>179.3</v>
      </c>
      <c r="E4155" s="557">
        <v>150.13</v>
      </c>
      <c r="F4155" s="557">
        <v>29.17</v>
      </c>
      <c r="G4155" s="557">
        <v>179.3</v>
      </c>
    </row>
    <row r="4156" spans="1:7" ht="12.6" customHeight="1" x14ac:dyDescent="0.2">
      <c r="A4156" s="559">
        <v>70</v>
      </c>
      <c r="B4156" s="548" t="s">
        <v>2566</v>
      </c>
      <c r="C4156" s="550"/>
      <c r="D4156" s="550"/>
      <c r="E4156" s="550"/>
      <c r="F4156" s="550"/>
      <c r="G4156" s="550"/>
    </row>
    <row r="4157" spans="1:7" ht="12.6" customHeight="1" x14ac:dyDescent="0.2">
      <c r="A4157" s="548" t="s">
        <v>2567</v>
      </c>
      <c r="B4157" s="548" t="s">
        <v>2568</v>
      </c>
      <c r="C4157" s="550"/>
      <c r="D4157" s="550"/>
      <c r="E4157" s="550"/>
      <c r="F4157" s="550"/>
      <c r="G4157" s="550"/>
    </row>
    <row r="4158" spans="1:7" ht="23.1" customHeight="1" x14ac:dyDescent="0.25">
      <c r="A4158" s="551" t="s">
        <v>2569</v>
      </c>
      <c r="B4158" s="551" t="s">
        <v>2570</v>
      </c>
      <c r="C4158" s="552" t="s">
        <v>2503</v>
      </c>
      <c r="D4158" s="557">
        <v>294.95999999999998</v>
      </c>
      <c r="E4158" s="557">
        <v>292.48</v>
      </c>
      <c r="F4158" s="557">
        <v>2.48</v>
      </c>
      <c r="G4158" s="557">
        <v>294.95999999999998</v>
      </c>
    </row>
    <row r="4159" spans="1:7" ht="12.6" customHeight="1" x14ac:dyDescent="0.25">
      <c r="A4159" s="551" t="s">
        <v>2571</v>
      </c>
      <c r="B4159" s="551" t="s">
        <v>2572</v>
      </c>
      <c r="C4159" s="552" t="s">
        <v>2503</v>
      </c>
      <c r="D4159" s="557">
        <v>311.94</v>
      </c>
      <c r="E4159" s="557">
        <v>309.31</v>
      </c>
      <c r="F4159" s="557">
        <v>2.63</v>
      </c>
      <c r="G4159" s="557">
        <v>311.94</v>
      </c>
    </row>
    <row r="4160" spans="1:7" ht="12.6" customHeight="1" x14ac:dyDescent="0.25">
      <c r="A4160" s="551" t="s">
        <v>2573</v>
      </c>
      <c r="B4160" s="551" t="s">
        <v>2574</v>
      </c>
      <c r="C4160" s="552" t="s">
        <v>2503</v>
      </c>
      <c r="D4160" s="557">
        <v>314.04000000000002</v>
      </c>
      <c r="E4160" s="557">
        <v>311.39</v>
      </c>
      <c r="F4160" s="557">
        <v>2.65</v>
      </c>
      <c r="G4160" s="557">
        <v>314.04000000000002</v>
      </c>
    </row>
    <row r="4161" spans="1:7" ht="12.6" customHeight="1" x14ac:dyDescent="0.25">
      <c r="A4161" s="551" t="s">
        <v>2575</v>
      </c>
      <c r="B4161" s="551" t="s">
        <v>2576</v>
      </c>
      <c r="C4161" s="552" t="s">
        <v>2504</v>
      </c>
      <c r="D4161" s="557">
        <v>364.95</v>
      </c>
      <c r="E4161" s="557">
        <v>353.07</v>
      </c>
      <c r="F4161" s="557">
        <v>11.88</v>
      </c>
      <c r="G4161" s="557">
        <v>364.95</v>
      </c>
    </row>
    <row r="4162" spans="1:7" ht="12.6" customHeight="1" x14ac:dyDescent="0.2">
      <c r="A4162" s="548" t="s">
        <v>2577</v>
      </c>
      <c r="B4162" s="548" t="s">
        <v>2578</v>
      </c>
      <c r="C4162" s="550"/>
      <c r="D4162" s="550"/>
      <c r="E4162" s="550"/>
      <c r="F4162" s="550"/>
      <c r="G4162" s="550"/>
    </row>
    <row r="4163" spans="1:7" ht="12.6" customHeight="1" x14ac:dyDescent="0.2">
      <c r="A4163" s="551" t="s">
        <v>2579</v>
      </c>
      <c r="B4163" s="551" t="s">
        <v>2580</v>
      </c>
      <c r="C4163" s="552" t="s">
        <v>2503</v>
      </c>
      <c r="D4163" s="557">
        <v>72.8</v>
      </c>
      <c r="E4163" s="557">
        <v>72.8</v>
      </c>
      <c r="F4163" s="343"/>
      <c r="G4163" s="557">
        <v>72.8</v>
      </c>
    </row>
    <row r="4164" spans="1:7" ht="11.45" customHeight="1" x14ac:dyDescent="0.25">
      <c r="A4164" s="543" t="s">
        <v>2496</v>
      </c>
      <c r="B4164" s="544" t="s">
        <v>2497</v>
      </c>
      <c r="C4164" s="544" t="s">
        <v>2498</v>
      </c>
      <c r="D4164" s="543" t="s">
        <v>2501</v>
      </c>
      <c r="E4164" s="545" t="s">
        <v>2499</v>
      </c>
      <c r="F4164" s="546" t="s">
        <v>2500</v>
      </c>
      <c r="G4164" s="543" t="s">
        <v>2501</v>
      </c>
    </row>
    <row r="4165" spans="1:7" ht="12.6" customHeight="1" x14ac:dyDescent="0.25">
      <c r="A4165" s="551" t="s">
        <v>2581</v>
      </c>
      <c r="B4165" s="551" t="s">
        <v>2582</v>
      </c>
      <c r="C4165" s="552" t="s">
        <v>2503</v>
      </c>
      <c r="D4165" s="557">
        <v>35.74</v>
      </c>
      <c r="E4165" s="557">
        <v>35.74</v>
      </c>
      <c r="F4165" s="344"/>
      <c r="G4165" s="557">
        <v>35.74</v>
      </c>
    </row>
    <row r="4166" spans="1:7" ht="24.95" customHeight="1" x14ac:dyDescent="0.25">
      <c r="A4166" s="551" t="s">
        <v>2583</v>
      </c>
      <c r="B4166" s="342" t="s">
        <v>2584</v>
      </c>
      <c r="C4166" s="552" t="s">
        <v>2503</v>
      </c>
      <c r="D4166" s="557">
        <v>183.28</v>
      </c>
      <c r="E4166" s="557">
        <v>183.28</v>
      </c>
      <c r="F4166" s="344"/>
      <c r="G4166" s="557">
        <v>183.28</v>
      </c>
    </row>
    <row r="4167" spans="1:7" ht="24.95" customHeight="1" x14ac:dyDescent="0.25">
      <c r="A4167" s="551" t="s">
        <v>2585</v>
      </c>
      <c r="B4167" s="342" t="s">
        <v>2586</v>
      </c>
      <c r="C4167" s="552" t="s">
        <v>2503</v>
      </c>
      <c r="D4167" s="557">
        <v>229.1</v>
      </c>
      <c r="E4167" s="557">
        <v>229.1</v>
      </c>
      <c r="F4167" s="344"/>
      <c r="G4167" s="557">
        <v>229.1</v>
      </c>
    </row>
    <row r="4168" spans="1:7" ht="24.95" customHeight="1" x14ac:dyDescent="0.25">
      <c r="A4168" s="551" t="s">
        <v>2587</v>
      </c>
      <c r="B4168" s="342" t="s">
        <v>2588</v>
      </c>
      <c r="C4168" s="552" t="s">
        <v>2503</v>
      </c>
      <c r="D4168" s="557">
        <v>76.91</v>
      </c>
      <c r="E4168" s="557">
        <v>76.91</v>
      </c>
      <c r="F4168" s="344"/>
      <c r="G4168" s="557">
        <v>76.91</v>
      </c>
    </row>
    <row r="4169" spans="1:7" ht="24.95" customHeight="1" x14ac:dyDescent="0.25">
      <c r="A4169" s="551" t="s">
        <v>2589</v>
      </c>
      <c r="B4169" s="342" t="s">
        <v>2590</v>
      </c>
      <c r="C4169" s="552" t="s">
        <v>2503</v>
      </c>
      <c r="D4169" s="557">
        <v>112.4</v>
      </c>
      <c r="E4169" s="557">
        <v>112.4</v>
      </c>
      <c r="F4169" s="344"/>
      <c r="G4169" s="557">
        <v>112.4</v>
      </c>
    </row>
    <row r="4170" spans="1:7" ht="24.95" customHeight="1" x14ac:dyDescent="0.25">
      <c r="A4170" s="551" t="s">
        <v>2591</v>
      </c>
      <c r="B4170" s="342" t="s">
        <v>2592</v>
      </c>
      <c r="C4170" s="552" t="s">
        <v>2503</v>
      </c>
      <c r="D4170" s="557">
        <v>130.19</v>
      </c>
      <c r="E4170" s="557">
        <v>130.19</v>
      </c>
      <c r="F4170" s="344"/>
      <c r="G4170" s="557">
        <v>130.19</v>
      </c>
    </row>
    <row r="4171" spans="1:7" ht="12.6" customHeight="1" x14ac:dyDescent="0.2">
      <c r="A4171" s="551" t="s">
        <v>2593</v>
      </c>
      <c r="B4171" s="551" t="s">
        <v>2594</v>
      </c>
      <c r="C4171" s="552" t="s">
        <v>2503</v>
      </c>
      <c r="D4171" s="557">
        <v>222.29</v>
      </c>
      <c r="E4171" s="557">
        <v>222.29</v>
      </c>
      <c r="F4171" s="343"/>
      <c r="G4171" s="557">
        <v>222.29</v>
      </c>
    </row>
    <row r="4172" spans="1:7" ht="12.6" customHeight="1" x14ac:dyDescent="0.2">
      <c r="A4172" s="551" t="s">
        <v>2595</v>
      </c>
      <c r="B4172" s="551" t="s">
        <v>2596</v>
      </c>
      <c r="C4172" s="552" t="s">
        <v>2503</v>
      </c>
      <c r="D4172" s="557">
        <v>215.51</v>
      </c>
      <c r="E4172" s="557">
        <v>215.51</v>
      </c>
      <c r="F4172" s="343"/>
      <c r="G4172" s="557">
        <v>215.51</v>
      </c>
    </row>
    <row r="4173" spans="1:7" ht="23.1" customHeight="1" x14ac:dyDescent="0.25">
      <c r="A4173" s="551" t="s">
        <v>2597</v>
      </c>
      <c r="B4173" s="551" t="s">
        <v>2598</v>
      </c>
      <c r="C4173" s="552" t="s">
        <v>2503</v>
      </c>
      <c r="D4173" s="557">
        <v>37.26</v>
      </c>
      <c r="E4173" s="557">
        <v>37.26</v>
      </c>
      <c r="F4173" s="344"/>
      <c r="G4173" s="557">
        <v>37.26</v>
      </c>
    </row>
    <row r="4174" spans="1:7" ht="12.6" customHeight="1" x14ac:dyDescent="0.2">
      <c r="A4174" s="548" t="s">
        <v>2599</v>
      </c>
      <c r="B4174" s="548" t="s">
        <v>2600</v>
      </c>
      <c r="C4174" s="550"/>
      <c r="D4174" s="550"/>
      <c r="E4174" s="550"/>
      <c r="F4174" s="550"/>
      <c r="G4174" s="550"/>
    </row>
    <row r="4175" spans="1:7" ht="24.95" customHeight="1" x14ac:dyDescent="0.25">
      <c r="A4175" s="551" t="s">
        <v>2601</v>
      </c>
      <c r="B4175" s="342" t="s">
        <v>2602</v>
      </c>
      <c r="C4175" s="552" t="s">
        <v>2503</v>
      </c>
      <c r="D4175" s="557">
        <v>956.37</v>
      </c>
      <c r="E4175" s="557">
        <v>934.91</v>
      </c>
      <c r="F4175" s="557">
        <v>21.46</v>
      </c>
      <c r="G4175" s="557">
        <v>956.37</v>
      </c>
    </row>
    <row r="4176" spans="1:7" ht="24.95" customHeight="1" x14ac:dyDescent="0.25">
      <c r="A4176" s="551" t="s">
        <v>2603</v>
      </c>
      <c r="B4176" s="342" t="s">
        <v>2604</v>
      </c>
      <c r="C4176" s="552" t="s">
        <v>2503</v>
      </c>
      <c r="D4176" s="553">
        <v>1007.43</v>
      </c>
      <c r="E4176" s="557">
        <v>985.97</v>
      </c>
      <c r="F4176" s="557">
        <v>21.46</v>
      </c>
      <c r="G4176" s="553">
        <v>1007.43</v>
      </c>
    </row>
    <row r="4177" spans="1:7" ht="24.95" customHeight="1" x14ac:dyDescent="0.25">
      <c r="A4177" s="551" t="s">
        <v>2605</v>
      </c>
      <c r="B4177" s="342" t="s">
        <v>2606</v>
      </c>
      <c r="C4177" s="552" t="s">
        <v>2503</v>
      </c>
      <c r="D4177" s="553">
        <v>1164.78</v>
      </c>
      <c r="E4177" s="553">
        <v>1143.32</v>
      </c>
      <c r="F4177" s="557">
        <v>21.46</v>
      </c>
      <c r="G4177" s="553">
        <v>1164.78</v>
      </c>
    </row>
    <row r="4178" spans="1:7" ht="24.95" customHeight="1" x14ac:dyDescent="0.25">
      <c r="A4178" s="551" t="s">
        <v>2607</v>
      </c>
      <c r="B4178" s="342" t="s">
        <v>2608</v>
      </c>
      <c r="C4178" s="552" t="s">
        <v>2503</v>
      </c>
      <c r="D4178" s="553">
        <v>1228.24</v>
      </c>
      <c r="E4178" s="553">
        <v>1206.78</v>
      </c>
      <c r="F4178" s="557">
        <v>21.46</v>
      </c>
      <c r="G4178" s="553">
        <v>1228.24</v>
      </c>
    </row>
    <row r="4179" spans="1:7" ht="24.95" customHeight="1" x14ac:dyDescent="0.25">
      <c r="A4179" s="551" t="s">
        <v>2609</v>
      </c>
      <c r="B4179" s="342" t="s">
        <v>2610</v>
      </c>
      <c r="C4179" s="552" t="s">
        <v>2503</v>
      </c>
      <c r="D4179" s="553">
        <v>1472.59</v>
      </c>
      <c r="E4179" s="553">
        <v>1451.13</v>
      </c>
      <c r="F4179" s="557">
        <v>21.46</v>
      </c>
      <c r="G4179" s="553">
        <v>1472.59</v>
      </c>
    </row>
    <row r="4180" spans="1:7" ht="24.95" customHeight="1" x14ac:dyDescent="0.25">
      <c r="A4180" s="551" t="s">
        <v>2611</v>
      </c>
      <c r="B4180" s="342" t="s">
        <v>2612</v>
      </c>
      <c r="C4180" s="552" t="s">
        <v>2503</v>
      </c>
      <c r="D4180" s="557">
        <v>949.47</v>
      </c>
      <c r="E4180" s="557">
        <v>917.28</v>
      </c>
      <c r="F4180" s="557">
        <v>32.19</v>
      </c>
      <c r="G4180" s="557">
        <v>949.47</v>
      </c>
    </row>
    <row r="4181" spans="1:7" ht="24.95" customHeight="1" x14ac:dyDescent="0.25">
      <c r="A4181" s="551" t="s">
        <v>2613</v>
      </c>
      <c r="B4181" s="342" t="s">
        <v>2614</v>
      </c>
      <c r="C4181" s="552" t="s">
        <v>2503</v>
      </c>
      <c r="D4181" s="553">
        <v>1020.66</v>
      </c>
      <c r="E4181" s="557">
        <v>988.47</v>
      </c>
      <c r="F4181" s="557">
        <v>32.19</v>
      </c>
      <c r="G4181" s="553">
        <v>1020.66</v>
      </c>
    </row>
    <row r="4182" spans="1:7" ht="24.95" customHeight="1" x14ac:dyDescent="0.25">
      <c r="A4182" s="551" t="s">
        <v>2615</v>
      </c>
      <c r="B4182" s="342" t="s">
        <v>2616</v>
      </c>
      <c r="C4182" s="552" t="s">
        <v>2503</v>
      </c>
      <c r="D4182" s="553">
        <v>1221.92</v>
      </c>
      <c r="E4182" s="553">
        <v>1189.73</v>
      </c>
      <c r="F4182" s="557">
        <v>32.19</v>
      </c>
      <c r="G4182" s="553">
        <v>1221.92</v>
      </c>
    </row>
    <row r="4183" spans="1:7" ht="12.6" customHeight="1" x14ac:dyDescent="0.2">
      <c r="A4183" s="548" t="s">
        <v>2617</v>
      </c>
      <c r="B4183" s="548" t="s">
        <v>2618</v>
      </c>
      <c r="C4183" s="550"/>
      <c r="D4183" s="550"/>
      <c r="E4183" s="550"/>
      <c r="F4183" s="550"/>
      <c r="G4183" s="550"/>
    </row>
    <row r="4184" spans="1:7" ht="12.6" customHeight="1" x14ac:dyDescent="0.25">
      <c r="A4184" s="551" t="s">
        <v>2619</v>
      </c>
      <c r="B4184" s="551" t="s">
        <v>2620</v>
      </c>
      <c r="C4184" s="552" t="s">
        <v>2502</v>
      </c>
      <c r="D4184" s="553">
        <v>1295.19</v>
      </c>
      <c r="E4184" s="553">
        <v>1201.48</v>
      </c>
      <c r="F4184" s="557">
        <v>93.71</v>
      </c>
      <c r="G4184" s="553">
        <v>1295.19</v>
      </c>
    </row>
    <row r="4185" spans="1:7" ht="12.6" customHeight="1" x14ac:dyDescent="0.25">
      <c r="A4185" s="551" t="s">
        <v>2621</v>
      </c>
      <c r="B4185" s="551" t="s">
        <v>2622</v>
      </c>
      <c r="C4185" s="552" t="s">
        <v>2502</v>
      </c>
      <c r="D4185" s="553">
        <v>2917.04</v>
      </c>
      <c r="E4185" s="553">
        <v>2823.33</v>
      </c>
      <c r="F4185" s="557">
        <v>93.71</v>
      </c>
      <c r="G4185" s="553">
        <v>2917.04</v>
      </c>
    </row>
    <row r="4186" spans="1:7" ht="12.6" customHeight="1" x14ac:dyDescent="0.25">
      <c r="A4186" s="551" t="s">
        <v>2623</v>
      </c>
      <c r="B4186" s="551" t="s">
        <v>2624</v>
      </c>
      <c r="C4186" s="552" t="s">
        <v>2502</v>
      </c>
      <c r="D4186" s="553">
        <v>4405.2</v>
      </c>
      <c r="E4186" s="553">
        <v>4244.92</v>
      </c>
      <c r="F4186" s="557">
        <v>160.28</v>
      </c>
      <c r="G4186" s="553">
        <v>4405.2</v>
      </c>
    </row>
    <row r="4187" spans="1:7" ht="23.1" customHeight="1" x14ac:dyDescent="0.25">
      <c r="A4187" s="551" t="s">
        <v>2625</v>
      </c>
      <c r="B4187" s="551" t="s">
        <v>2626</v>
      </c>
      <c r="C4187" s="552" t="s">
        <v>2502</v>
      </c>
      <c r="D4187" s="553">
        <v>3626.74</v>
      </c>
      <c r="E4187" s="553">
        <v>3533.03</v>
      </c>
      <c r="F4187" s="557">
        <v>93.71</v>
      </c>
      <c r="G4187" s="553">
        <v>3626.74</v>
      </c>
    </row>
    <row r="4188" spans="1:7" ht="12.6" customHeight="1" x14ac:dyDescent="0.25">
      <c r="A4188" s="551" t="s">
        <v>2627</v>
      </c>
      <c r="B4188" s="551" t="s">
        <v>2628</v>
      </c>
      <c r="C4188" s="552" t="s">
        <v>2502</v>
      </c>
      <c r="D4188" s="553">
        <v>2211.86</v>
      </c>
      <c r="E4188" s="553">
        <v>2153.52</v>
      </c>
      <c r="F4188" s="557">
        <v>58.34</v>
      </c>
      <c r="G4188" s="553">
        <v>2211.86</v>
      </c>
    </row>
    <row r="4189" spans="1:7" ht="12.6" customHeight="1" x14ac:dyDescent="0.25">
      <c r="A4189" s="551" t="s">
        <v>2629</v>
      </c>
      <c r="B4189" s="551" t="s">
        <v>2630</v>
      </c>
      <c r="C4189" s="552" t="s">
        <v>2502</v>
      </c>
      <c r="D4189" s="553">
        <v>2102.9299999999998</v>
      </c>
      <c r="E4189" s="553">
        <v>2009.22</v>
      </c>
      <c r="F4189" s="557">
        <v>93.71</v>
      </c>
      <c r="G4189" s="553">
        <v>2102.9299999999998</v>
      </c>
    </row>
    <row r="4190" spans="1:7" ht="12.6" customHeight="1" x14ac:dyDescent="0.25">
      <c r="A4190" s="551" t="s">
        <v>2631</v>
      </c>
      <c r="B4190" s="551" t="s">
        <v>2632</v>
      </c>
      <c r="C4190" s="552" t="s">
        <v>2502</v>
      </c>
      <c r="D4190" s="553">
        <v>2666.72</v>
      </c>
      <c r="E4190" s="553">
        <v>2573.0100000000002</v>
      </c>
      <c r="F4190" s="557">
        <v>93.71</v>
      </c>
      <c r="G4190" s="553">
        <v>2666.72</v>
      </c>
    </row>
    <row r="4191" spans="1:7" ht="12.6" customHeight="1" x14ac:dyDescent="0.2">
      <c r="A4191" s="548" t="s">
        <v>2633</v>
      </c>
      <c r="B4191" s="548" t="s">
        <v>2634</v>
      </c>
      <c r="C4191" s="550"/>
      <c r="D4191" s="550"/>
      <c r="E4191" s="550"/>
      <c r="F4191" s="550"/>
      <c r="G4191" s="550"/>
    </row>
    <row r="4192" spans="1:7" ht="12.6" customHeight="1" x14ac:dyDescent="0.25">
      <c r="A4192" s="551" t="s">
        <v>2635</v>
      </c>
      <c r="B4192" s="551" t="s">
        <v>2636</v>
      </c>
      <c r="C4192" s="552" t="s">
        <v>2502</v>
      </c>
      <c r="D4192" s="557">
        <v>381.01</v>
      </c>
      <c r="E4192" s="557">
        <v>361.28</v>
      </c>
      <c r="F4192" s="557">
        <v>19.73</v>
      </c>
      <c r="G4192" s="557">
        <v>381.01</v>
      </c>
    </row>
    <row r="4193" spans="1:7" ht="12.6" customHeight="1" x14ac:dyDescent="0.25">
      <c r="A4193" s="551" t="s">
        <v>2637</v>
      </c>
      <c r="B4193" s="551" t="s">
        <v>2638</v>
      </c>
      <c r="C4193" s="552" t="s">
        <v>2502</v>
      </c>
      <c r="D4193" s="553">
        <v>3572.43</v>
      </c>
      <c r="E4193" s="553">
        <v>3528.58</v>
      </c>
      <c r="F4193" s="557">
        <v>43.85</v>
      </c>
      <c r="G4193" s="553">
        <v>3572.43</v>
      </c>
    </row>
    <row r="4194" spans="1:7" ht="12.6" customHeight="1" x14ac:dyDescent="0.25">
      <c r="A4194" s="551" t="s">
        <v>2639</v>
      </c>
      <c r="B4194" s="551" t="s">
        <v>2640</v>
      </c>
      <c r="C4194" s="552" t="s">
        <v>2502</v>
      </c>
      <c r="D4194" s="553">
        <v>1449.96</v>
      </c>
      <c r="E4194" s="553">
        <v>1420.79</v>
      </c>
      <c r="F4194" s="557">
        <v>29.17</v>
      </c>
      <c r="G4194" s="553">
        <v>1449.96</v>
      </c>
    </row>
    <row r="4195" spans="1:7" ht="12.6" customHeight="1" x14ac:dyDescent="0.25">
      <c r="A4195" s="551" t="s">
        <v>2641</v>
      </c>
      <c r="B4195" s="551" t="s">
        <v>2642</v>
      </c>
      <c r="C4195" s="552" t="s">
        <v>2502</v>
      </c>
      <c r="D4195" s="553">
        <v>2564.5500000000002</v>
      </c>
      <c r="E4195" s="553">
        <v>2065.5</v>
      </c>
      <c r="F4195" s="557">
        <v>499.05</v>
      </c>
      <c r="G4195" s="553">
        <v>2564.5500000000002</v>
      </c>
    </row>
    <row r="4196" spans="1:7" ht="23.1" customHeight="1" x14ac:dyDescent="0.25">
      <c r="A4196" s="551" t="s">
        <v>2643</v>
      </c>
      <c r="B4196" s="551" t="s">
        <v>2644</v>
      </c>
      <c r="C4196" s="552" t="s">
        <v>2502</v>
      </c>
      <c r="D4196" s="553">
        <v>7330.98</v>
      </c>
      <c r="E4196" s="553">
        <v>6748.99</v>
      </c>
      <c r="F4196" s="557">
        <v>581.99</v>
      </c>
      <c r="G4196" s="553">
        <v>7330.98</v>
      </c>
    </row>
    <row r="4197" spans="1:7" ht="12.6" customHeight="1" x14ac:dyDescent="0.2">
      <c r="A4197" s="548" t="s">
        <v>2645</v>
      </c>
      <c r="B4197" s="548" t="s">
        <v>2646</v>
      </c>
      <c r="C4197" s="550"/>
      <c r="D4197" s="550"/>
      <c r="E4197" s="550"/>
      <c r="F4197" s="550"/>
      <c r="G4197" s="550"/>
    </row>
    <row r="4198" spans="1:7" ht="12.6" customHeight="1" x14ac:dyDescent="0.25">
      <c r="A4198" s="551" t="s">
        <v>2647</v>
      </c>
      <c r="B4198" s="551" t="s">
        <v>2648</v>
      </c>
      <c r="C4198" s="552" t="s">
        <v>2502</v>
      </c>
      <c r="D4198" s="557">
        <v>92.02</v>
      </c>
      <c r="E4198" s="557">
        <v>82.52</v>
      </c>
      <c r="F4198" s="557">
        <v>9.5</v>
      </c>
      <c r="G4198" s="557">
        <v>92.02</v>
      </c>
    </row>
    <row r="4199" spans="1:7" ht="12.6" customHeight="1" x14ac:dyDescent="0.25">
      <c r="A4199" s="551" t="s">
        <v>2649</v>
      </c>
      <c r="B4199" s="551" t="s">
        <v>2650</v>
      </c>
      <c r="C4199" s="552" t="s">
        <v>2502</v>
      </c>
      <c r="D4199" s="557">
        <v>30.88</v>
      </c>
      <c r="E4199" s="557">
        <v>23.75</v>
      </c>
      <c r="F4199" s="557">
        <v>7.13</v>
      </c>
      <c r="G4199" s="557">
        <v>30.88</v>
      </c>
    </row>
    <row r="4200" spans="1:7" ht="12.6" customHeight="1" x14ac:dyDescent="0.25">
      <c r="A4200" s="551" t="s">
        <v>2651</v>
      </c>
      <c r="B4200" s="551" t="s">
        <v>2652</v>
      </c>
      <c r="C4200" s="552" t="s">
        <v>2502</v>
      </c>
      <c r="D4200" s="557">
        <v>20.32</v>
      </c>
      <c r="E4200" s="557">
        <v>13.19</v>
      </c>
      <c r="F4200" s="557">
        <v>7.13</v>
      </c>
      <c r="G4200" s="557">
        <v>20.32</v>
      </c>
    </row>
    <row r="4201" spans="1:7" ht="12.6" customHeight="1" x14ac:dyDescent="0.25">
      <c r="A4201" s="551" t="s">
        <v>2653</v>
      </c>
      <c r="B4201" s="551" t="s">
        <v>2654</v>
      </c>
      <c r="C4201" s="552" t="s">
        <v>2502</v>
      </c>
      <c r="D4201" s="557">
        <v>18.62</v>
      </c>
      <c r="E4201" s="557">
        <v>11.49</v>
      </c>
      <c r="F4201" s="557">
        <v>7.13</v>
      </c>
      <c r="G4201" s="557">
        <v>18.62</v>
      </c>
    </row>
    <row r="4202" spans="1:7" ht="12.6" customHeight="1" x14ac:dyDescent="0.25">
      <c r="A4202" s="551" t="s">
        <v>2655</v>
      </c>
      <c r="B4202" s="551" t="s">
        <v>2656</v>
      </c>
      <c r="C4202" s="552" t="s">
        <v>2502</v>
      </c>
      <c r="D4202" s="557">
        <v>24.6</v>
      </c>
      <c r="E4202" s="557">
        <v>17.47</v>
      </c>
      <c r="F4202" s="557">
        <v>7.13</v>
      </c>
      <c r="G4202" s="557">
        <v>24.6</v>
      </c>
    </row>
    <row r="4203" spans="1:7" ht="12.6" customHeight="1" x14ac:dyDescent="0.25">
      <c r="A4203" s="551" t="s">
        <v>2657</v>
      </c>
      <c r="B4203" s="551" t="s">
        <v>2658</v>
      </c>
      <c r="C4203" s="552" t="s">
        <v>2502</v>
      </c>
      <c r="D4203" s="557">
        <v>20.85</v>
      </c>
      <c r="E4203" s="557">
        <v>13.72</v>
      </c>
      <c r="F4203" s="557">
        <v>7.13</v>
      </c>
      <c r="G4203" s="557">
        <v>20.85</v>
      </c>
    </row>
    <row r="4204" spans="1:7" ht="12.6" customHeight="1" x14ac:dyDescent="0.25">
      <c r="A4204" s="551" t="s">
        <v>2659</v>
      </c>
      <c r="B4204" s="551" t="s">
        <v>2660</v>
      </c>
      <c r="C4204" s="552" t="s">
        <v>2502</v>
      </c>
      <c r="D4204" s="557">
        <v>44.62</v>
      </c>
      <c r="E4204" s="557">
        <v>36.65</v>
      </c>
      <c r="F4204" s="557">
        <v>7.97</v>
      </c>
      <c r="G4204" s="557">
        <v>44.62</v>
      </c>
    </row>
    <row r="4205" spans="1:7" ht="12.6" customHeight="1" x14ac:dyDescent="0.25">
      <c r="A4205" s="551" t="s">
        <v>2661</v>
      </c>
      <c r="B4205" s="551" t="s">
        <v>2662</v>
      </c>
      <c r="C4205" s="552" t="s">
        <v>2502</v>
      </c>
      <c r="D4205" s="557">
        <v>40.76</v>
      </c>
      <c r="E4205" s="557">
        <v>32.79</v>
      </c>
      <c r="F4205" s="557">
        <v>7.97</v>
      </c>
      <c r="G4205" s="557">
        <v>40.76</v>
      </c>
    </row>
    <row r="4206" spans="1:7" ht="11.45" customHeight="1" x14ac:dyDescent="0.25">
      <c r="A4206" s="543" t="s">
        <v>2496</v>
      </c>
      <c r="B4206" s="544" t="s">
        <v>2497</v>
      </c>
      <c r="C4206" s="544" t="s">
        <v>2498</v>
      </c>
      <c r="D4206" s="543" t="s">
        <v>2501</v>
      </c>
      <c r="E4206" s="545" t="s">
        <v>2499</v>
      </c>
      <c r="F4206" s="546" t="s">
        <v>2500</v>
      </c>
      <c r="G4206" s="543" t="s">
        <v>2501</v>
      </c>
    </row>
    <row r="4207" spans="1:7" ht="12.6" customHeight="1" x14ac:dyDescent="0.25">
      <c r="A4207" s="559">
        <v>97</v>
      </c>
      <c r="B4207" s="548" t="s">
        <v>2663</v>
      </c>
      <c r="C4207" s="549"/>
      <c r="D4207" s="549"/>
      <c r="E4207" s="549"/>
      <c r="F4207" s="549"/>
      <c r="G4207" s="549"/>
    </row>
    <row r="4208" spans="1:7" ht="12.6" customHeight="1" x14ac:dyDescent="0.2">
      <c r="A4208" s="548" t="s">
        <v>2664</v>
      </c>
      <c r="B4208" s="548" t="s">
        <v>2665</v>
      </c>
      <c r="C4208" s="550"/>
      <c r="D4208" s="550"/>
      <c r="E4208" s="550"/>
      <c r="F4208" s="550"/>
      <c r="G4208" s="550"/>
    </row>
    <row r="4209" spans="1:7" ht="12.6" customHeight="1" x14ac:dyDescent="0.25">
      <c r="A4209" s="551" t="s">
        <v>2666</v>
      </c>
      <c r="B4209" s="551" t="s">
        <v>2667</v>
      </c>
      <c r="C4209" s="552" t="s">
        <v>2503</v>
      </c>
      <c r="D4209" s="553">
        <v>10331.52</v>
      </c>
      <c r="E4209" s="553">
        <v>10256.719999999999</v>
      </c>
      <c r="F4209" s="557">
        <v>74.8</v>
      </c>
      <c r="G4209" s="553">
        <v>10331.52</v>
      </c>
    </row>
    <row r="4210" spans="1:7" ht="12.6" customHeight="1" x14ac:dyDescent="0.25">
      <c r="A4210" s="551" t="s">
        <v>2668</v>
      </c>
      <c r="B4210" s="551" t="s">
        <v>2669</v>
      </c>
      <c r="C4210" s="552" t="s">
        <v>2503</v>
      </c>
      <c r="D4210" s="557">
        <v>426.56</v>
      </c>
      <c r="E4210" s="557">
        <v>351.76</v>
      </c>
      <c r="F4210" s="557">
        <v>74.8</v>
      </c>
      <c r="G4210" s="557">
        <v>426.56</v>
      </c>
    </row>
    <row r="4211" spans="1:7" ht="12.6" customHeight="1" x14ac:dyDescent="0.25">
      <c r="A4211" s="551" t="s">
        <v>2670</v>
      </c>
      <c r="B4211" s="551" t="s">
        <v>2671</v>
      </c>
      <c r="C4211" s="552" t="s">
        <v>2503</v>
      </c>
      <c r="D4211" s="553">
        <v>3362.17</v>
      </c>
      <c r="E4211" s="553">
        <v>3287.37</v>
      </c>
      <c r="F4211" s="557">
        <v>74.8</v>
      </c>
      <c r="G4211" s="553">
        <v>3362.17</v>
      </c>
    </row>
    <row r="4212" spans="1:7" ht="34.5" customHeight="1" x14ac:dyDescent="0.25">
      <c r="A4212" s="554" t="s">
        <v>2672</v>
      </c>
      <c r="B4212" s="551" t="s">
        <v>2673</v>
      </c>
      <c r="C4212" s="555" t="s">
        <v>2502</v>
      </c>
      <c r="D4212" s="558">
        <v>15.37</v>
      </c>
      <c r="E4212" s="558">
        <v>9.9499999999999993</v>
      </c>
      <c r="F4212" s="558">
        <v>5.42</v>
      </c>
      <c r="G4212" s="558">
        <v>15.37</v>
      </c>
    </row>
    <row r="4213" spans="1:7" ht="24.95" customHeight="1" x14ac:dyDescent="0.25">
      <c r="A4213" s="551" t="s">
        <v>2674</v>
      </c>
      <c r="B4213" s="342" t="s">
        <v>2675</v>
      </c>
      <c r="C4213" s="552" t="s">
        <v>2502</v>
      </c>
      <c r="D4213" s="557">
        <v>11.9</v>
      </c>
      <c r="E4213" s="557">
        <v>6.48</v>
      </c>
      <c r="F4213" s="557">
        <v>5.42</v>
      </c>
      <c r="G4213" s="557">
        <v>11.9</v>
      </c>
    </row>
    <row r="4214" spans="1:7" ht="24.95" customHeight="1" x14ac:dyDescent="0.25">
      <c r="A4214" s="551" t="s">
        <v>2676</v>
      </c>
      <c r="B4214" s="342" t="s">
        <v>2677</v>
      </c>
      <c r="C4214" s="552" t="s">
        <v>2502</v>
      </c>
      <c r="D4214" s="557">
        <v>11.47</v>
      </c>
      <c r="E4214" s="557">
        <v>6.05</v>
      </c>
      <c r="F4214" s="557">
        <v>5.42</v>
      </c>
      <c r="G4214" s="557">
        <v>11.47</v>
      </c>
    </row>
    <row r="4215" spans="1:7" ht="24.95" customHeight="1" x14ac:dyDescent="0.25">
      <c r="A4215" s="551" t="s">
        <v>2678</v>
      </c>
      <c r="B4215" s="342" t="s">
        <v>2679</v>
      </c>
      <c r="C4215" s="552" t="s">
        <v>2502</v>
      </c>
      <c r="D4215" s="557">
        <v>11.29</v>
      </c>
      <c r="E4215" s="557">
        <v>5.87</v>
      </c>
      <c r="F4215" s="557">
        <v>5.42</v>
      </c>
      <c r="G4215" s="557">
        <v>11.29</v>
      </c>
    </row>
    <row r="4216" spans="1:7" ht="12.6" customHeight="1" x14ac:dyDescent="0.25">
      <c r="A4216" s="551" t="s">
        <v>2680</v>
      </c>
      <c r="B4216" s="551" t="s">
        <v>2681</v>
      </c>
      <c r="C4216" s="552" t="s">
        <v>2502</v>
      </c>
      <c r="D4216" s="557">
        <v>16.78</v>
      </c>
      <c r="E4216" s="557">
        <v>11.36</v>
      </c>
      <c r="F4216" s="557">
        <v>5.42</v>
      </c>
      <c r="G4216" s="557">
        <v>16.78</v>
      </c>
    </row>
    <row r="4217" spans="1:7" ht="12.6" customHeight="1" x14ac:dyDescent="0.25">
      <c r="A4217" s="551" t="s">
        <v>2682</v>
      </c>
      <c r="B4217" s="551" t="s">
        <v>2683</v>
      </c>
      <c r="C4217" s="552" t="s">
        <v>2502</v>
      </c>
      <c r="D4217" s="557">
        <v>11.06</v>
      </c>
      <c r="E4217" s="557">
        <v>5.64</v>
      </c>
      <c r="F4217" s="557">
        <v>5.42</v>
      </c>
      <c r="G4217" s="557">
        <v>11.06</v>
      </c>
    </row>
    <row r="4218" spans="1:7" ht="12.6" customHeight="1" x14ac:dyDescent="0.25">
      <c r="A4218" s="551" t="s">
        <v>2684</v>
      </c>
      <c r="B4218" s="551" t="s">
        <v>2685</v>
      </c>
      <c r="C4218" s="552" t="s">
        <v>2502</v>
      </c>
      <c r="D4218" s="557">
        <v>534.67999999999995</v>
      </c>
      <c r="E4218" s="557">
        <v>531.6</v>
      </c>
      <c r="F4218" s="557">
        <v>3.08</v>
      </c>
      <c r="G4218" s="557">
        <v>534.67999999999995</v>
      </c>
    </row>
    <row r="4219" spans="1:7" ht="12.6" customHeight="1" x14ac:dyDescent="0.2">
      <c r="A4219" s="548" t="s">
        <v>2686</v>
      </c>
      <c r="B4219" s="548" t="s">
        <v>2687</v>
      </c>
      <c r="C4219" s="550"/>
      <c r="D4219" s="550"/>
      <c r="E4219" s="550"/>
      <c r="F4219" s="550"/>
      <c r="G4219" s="550"/>
    </row>
    <row r="4220" spans="1:7" ht="12.6" customHeight="1" x14ac:dyDescent="0.25">
      <c r="A4220" s="551" t="s">
        <v>2688</v>
      </c>
      <c r="B4220" s="551" t="s">
        <v>2689</v>
      </c>
      <c r="C4220" s="552" t="s">
        <v>2502</v>
      </c>
      <c r="D4220" s="557">
        <v>57.2</v>
      </c>
      <c r="E4220" s="557">
        <v>9.9</v>
      </c>
      <c r="F4220" s="557">
        <v>47.3</v>
      </c>
      <c r="G4220" s="557">
        <v>57.2</v>
      </c>
    </row>
    <row r="4221" spans="1:7" ht="12.6" customHeight="1" x14ac:dyDescent="0.2">
      <c r="A4221" s="548" t="s">
        <v>2690</v>
      </c>
      <c r="B4221" s="548" t="s">
        <v>2691</v>
      </c>
      <c r="C4221" s="550"/>
      <c r="D4221" s="550"/>
      <c r="E4221" s="550"/>
      <c r="F4221" s="550"/>
      <c r="G4221" s="550"/>
    </row>
    <row r="4222" spans="1:7" ht="24.95" customHeight="1" x14ac:dyDescent="0.25">
      <c r="A4222" s="551" t="s">
        <v>2692</v>
      </c>
      <c r="B4222" s="342" t="s">
        <v>2693</v>
      </c>
      <c r="C4222" s="552" t="s">
        <v>2502</v>
      </c>
      <c r="D4222" s="557">
        <v>103.61</v>
      </c>
      <c r="E4222" s="557">
        <v>97.25</v>
      </c>
      <c r="F4222" s="557">
        <v>6.36</v>
      </c>
      <c r="G4222" s="557">
        <v>103.61</v>
      </c>
    </row>
    <row r="4223" spans="1:7" ht="24.95" customHeight="1" x14ac:dyDescent="0.25">
      <c r="A4223" s="551" t="s">
        <v>2694</v>
      </c>
      <c r="B4223" s="342" t="s">
        <v>2695</v>
      </c>
      <c r="C4223" s="552" t="s">
        <v>2502</v>
      </c>
      <c r="D4223" s="557">
        <v>40.31</v>
      </c>
      <c r="E4223" s="557">
        <v>39</v>
      </c>
      <c r="F4223" s="557">
        <v>1.31</v>
      </c>
      <c r="G4223" s="557">
        <v>40.31</v>
      </c>
    </row>
    <row r="4224" spans="1:7" ht="12.6" customHeight="1" x14ac:dyDescent="0.2">
      <c r="A4224" s="551" t="s">
        <v>2696</v>
      </c>
      <c r="B4224" s="551" t="s">
        <v>2697</v>
      </c>
      <c r="C4224" s="552" t="s">
        <v>2503</v>
      </c>
      <c r="D4224" s="557">
        <v>64.260000000000005</v>
      </c>
      <c r="E4224" s="557">
        <v>64.260000000000005</v>
      </c>
      <c r="F4224" s="343"/>
      <c r="G4224" s="557">
        <v>64.260000000000005</v>
      </c>
    </row>
    <row r="4225" spans="1:7" ht="12.6" customHeight="1" x14ac:dyDescent="0.2">
      <c r="A4225" s="551" t="s">
        <v>2698</v>
      </c>
      <c r="B4225" s="551" t="s">
        <v>2699</v>
      </c>
      <c r="C4225" s="552" t="s">
        <v>2506</v>
      </c>
      <c r="D4225" s="557">
        <v>26.01</v>
      </c>
      <c r="E4225" s="557">
        <v>26.01</v>
      </c>
      <c r="F4225" s="343"/>
      <c r="G4225" s="557">
        <v>26.01</v>
      </c>
    </row>
    <row r="4226" spans="1:7" ht="12.6" customHeight="1" x14ac:dyDescent="0.2">
      <c r="A4226" s="559">
        <v>98</v>
      </c>
      <c r="B4226" s="548" t="s">
        <v>2700</v>
      </c>
      <c r="C4226" s="550"/>
      <c r="D4226" s="550"/>
      <c r="E4226" s="550"/>
      <c r="F4226" s="550"/>
      <c r="G4226" s="550"/>
    </row>
    <row r="4227" spans="1:7" ht="12.6" customHeight="1" x14ac:dyDescent="0.2">
      <c r="A4227" s="548" t="s">
        <v>2701</v>
      </c>
      <c r="B4227" s="548" t="s">
        <v>2702</v>
      </c>
      <c r="C4227" s="550"/>
      <c r="D4227" s="550"/>
      <c r="E4227" s="550"/>
      <c r="F4227" s="550"/>
      <c r="G4227" s="550"/>
    </row>
    <row r="4228" spans="1:7" ht="12.6" customHeight="1" x14ac:dyDescent="0.2">
      <c r="A4228" s="551" t="s">
        <v>2703</v>
      </c>
      <c r="B4228" s="551" t="s">
        <v>2704</v>
      </c>
      <c r="C4228" s="552" t="s">
        <v>2502</v>
      </c>
      <c r="D4228" s="557">
        <v>687.03</v>
      </c>
      <c r="E4228" s="557">
        <v>687.03</v>
      </c>
      <c r="F4228" s="343"/>
      <c r="G4228" s="557">
        <v>687.03</v>
      </c>
    </row>
    <row r="4230" spans="1:7" ht="12.6" customHeight="1" x14ac:dyDescent="0.2">
      <c r="A4230" s="551" t="s">
        <v>21616</v>
      </c>
      <c r="B4230" s="551" t="s">
        <v>21620</v>
      </c>
      <c r="C4230" s="552" t="s">
        <v>2502</v>
      </c>
      <c r="D4230" s="557">
        <f>G4230</f>
        <v>0.46</v>
      </c>
      <c r="E4230" s="557">
        <v>0.46</v>
      </c>
      <c r="F4230" s="343"/>
      <c r="G4230" s="557">
        <f>E4230</f>
        <v>0.46</v>
      </c>
    </row>
    <row r="4231" spans="1:7" ht="12.6" customHeight="1" x14ac:dyDescent="0.2">
      <c r="A4231" s="551" t="s">
        <v>43946</v>
      </c>
      <c r="B4231" s="551" t="s">
        <v>43947</v>
      </c>
      <c r="C4231" s="552" t="s">
        <v>227</v>
      </c>
      <c r="D4231" s="557">
        <f>G4231</f>
        <v>1.3620000000000001</v>
      </c>
      <c r="E4231" s="557"/>
      <c r="F4231" s="343"/>
      <c r="G4231" s="557">
        <v>1.3620000000000001</v>
      </c>
    </row>
  </sheetData>
  <autoFilter ref="A8:N4228" xr:uid="{33ED0D1D-3E60-4E5E-8240-F70F03F0D9F6}"/>
  <mergeCells count="4">
    <mergeCell ref="B1:G1"/>
    <mergeCell ref="A2:G2"/>
    <mergeCell ref="A3:G3"/>
    <mergeCell ref="A4:G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9F98B-74AC-42FA-9418-214E88F31D42}">
  <sheetPr codeName="Planilha12">
    <tabColor theme="0" tint="-4.9989318521683403E-2"/>
  </sheetPr>
  <dimension ref="A1:H2162"/>
  <sheetViews>
    <sheetView zoomScaleNormal="100" workbookViewId="0">
      <selection activeCell="B16" sqref="B16"/>
    </sheetView>
  </sheetViews>
  <sheetFormatPr defaultRowHeight="15" x14ac:dyDescent="0.25"/>
  <cols>
    <col min="1" max="1" width="16.7109375" customWidth="1"/>
    <col min="2" max="2" width="61.7109375" customWidth="1"/>
    <col min="3" max="3" width="8.7109375" customWidth="1"/>
    <col min="4" max="5" width="14.7109375" customWidth="1"/>
    <col min="6" max="6" width="23.140625" bestFit="1" customWidth="1"/>
    <col min="7" max="7" width="9.28515625" bestFit="1" customWidth="1"/>
    <col min="8" max="8" width="11.7109375" bestFit="1" customWidth="1"/>
    <col min="257" max="257" width="16.7109375" customWidth="1"/>
    <col min="258" max="258" width="61.7109375" customWidth="1"/>
    <col min="259" max="259" width="8.7109375" customWidth="1"/>
    <col min="260" max="260" width="14.7109375" customWidth="1"/>
    <col min="513" max="513" width="16.7109375" customWidth="1"/>
    <col min="514" max="514" width="61.7109375" customWidth="1"/>
    <col min="515" max="515" width="8.7109375" customWidth="1"/>
    <col min="516" max="516" width="14.7109375" customWidth="1"/>
    <col min="769" max="769" width="16.7109375" customWidth="1"/>
    <col min="770" max="770" width="61.7109375" customWidth="1"/>
    <col min="771" max="771" width="8.7109375" customWidth="1"/>
    <col min="772" max="772" width="14.7109375" customWidth="1"/>
    <col min="1025" max="1025" width="16.7109375" customWidth="1"/>
    <col min="1026" max="1026" width="61.7109375" customWidth="1"/>
    <col min="1027" max="1027" width="8.7109375" customWidth="1"/>
    <col min="1028" max="1028" width="14.7109375" customWidth="1"/>
    <col min="1281" max="1281" width="16.7109375" customWidth="1"/>
    <col min="1282" max="1282" width="61.7109375" customWidth="1"/>
    <col min="1283" max="1283" width="8.7109375" customWidth="1"/>
    <col min="1284" max="1284" width="14.7109375" customWidth="1"/>
    <col min="1537" max="1537" width="16.7109375" customWidth="1"/>
    <col min="1538" max="1538" width="61.7109375" customWidth="1"/>
    <col min="1539" max="1539" width="8.7109375" customWidth="1"/>
    <col min="1540" max="1540" width="14.7109375" customWidth="1"/>
    <col min="1793" max="1793" width="16.7109375" customWidth="1"/>
    <col min="1794" max="1794" width="61.7109375" customWidth="1"/>
    <col min="1795" max="1795" width="8.7109375" customWidth="1"/>
    <col min="1796" max="1796" width="14.7109375" customWidth="1"/>
    <col min="2049" max="2049" width="16.7109375" customWidth="1"/>
    <col min="2050" max="2050" width="61.7109375" customWidth="1"/>
    <col min="2051" max="2051" width="8.7109375" customWidth="1"/>
    <col min="2052" max="2052" width="14.7109375" customWidth="1"/>
    <col min="2305" max="2305" width="16.7109375" customWidth="1"/>
    <col min="2306" max="2306" width="61.7109375" customWidth="1"/>
    <col min="2307" max="2307" width="8.7109375" customWidth="1"/>
    <col min="2308" max="2308" width="14.7109375" customWidth="1"/>
    <col min="2561" max="2561" width="16.7109375" customWidth="1"/>
    <col min="2562" max="2562" width="61.7109375" customWidth="1"/>
    <col min="2563" max="2563" width="8.7109375" customWidth="1"/>
    <col min="2564" max="2564" width="14.7109375" customWidth="1"/>
    <col min="2817" max="2817" width="16.7109375" customWidth="1"/>
    <col min="2818" max="2818" width="61.7109375" customWidth="1"/>
    <col min="2819" max="2819" width="8.7109375" customWidth="1"/>
    <col min="2820" max="2820" width="14.7109375" customWidth="1"/>
    <col min="3073" max="3073" width="16.7109375" customWidth="1"/>
    <col min="3074" max="3074" width="61.7109375" customWidth="1"/>
    <col min="3075" max="3075" width="8.7109375" customWidth="1"/>
    <col min="3076" max="3076" width="14.7109375" customWidth="1"/>
    <col min="3329" max="3329" width="16.7109375" customWidth="1"/>
    <col min="3330" max="3330" width="61.7109375" customWidth="1"/>
    <col min="3331" max="3331" width="8.7109375" customWidth="1"/>
    <col min="3332" max="3332" width="14.7109375" customWidth="1"/>
    <col min="3585" max="3585" width="16.7109375" customWidth="1"/>
    <col min="3586" max="3586" width="61.7109375" customWidth="1"/>
    <col min="3587" max="3587" width="8.7109375" customWidth="1"/>
    <col min="3588" max="3588" width="14.7109375" customWidth="1"/>
    <col min="3841" max="3841" width="16.7109375" customWidth="1"/>
    <col min="3842" max="3842" width="61.7109375" customWidth="1"/>
    <col min="3843" max="3843" width="8.7109375" customWidth="1"/>
    <col min="3844" max="3844" width="14.7109375" customWidth="1"/>
    <col min="4097" max="4097" width="16.7109375" customWidth="1"/>
    <col min="4098" max="4098" width="61.7109375" customWidth="1"/>
    <col min="4099" max="4099" width="8.7109375" customWidth="1"/>
    <col min="4100" max="4100" width="14.7109375" customWidth="1"/>
    <col min="4353" max="4353" width="16.7109375" customWidth="1"/>
    <col min="4354" max="4354" width="61.7109375" customWidth="1"/>
    <col min="4355" max="4355" width="8.7109375" customWidth="1"/>
    <col min="4356" max="4356" width="14.7109375" customWidth="1"/>
    <col min="4609" max="4609" width="16.7109375" customWidth="1"/>
    <col min="4610" max="4610" width="61.7109375" customWidth="1"/>
    <col min="4611" max="4611" width="8.7109375" customWidth="1"/>
    <col min="4612" max="4612" width="14.7109375" customWidth="1"/>
    <col min="4865" max="4865" width="16.7109375" customWidth="1"/>
    <col min="4866" max="4866" width="61.7109375" customWidth="1"/>
    <col min="4867" max="4867" width="8.7109375" customWidth="1"/>
    <col min="4868" max="4868" width="14.7109375" customWidth="1"/>
    <col min="5121" max="5121" width="16.7109375" customWidth="1"/>
    <col min="5122" max="5122" width="61.7109375" customWidth="1"/>
    <col min="5123" max="5123" width="8.7109375" customWidth="1"/>
    <col min="5124" max="5124" width="14.7109375" customWidth="1"/>
    <col min="5377" max="5377" width="16.7109375" customWidth="1"/>
    <col min="5378" max="5378" width="61.7109375" customWidth="1"/>
    <col min="5379" max="5379" width="8.7109375" customWidth="1"/>
    <col min="5380" max="5380" width="14.7109375" customWidth="1"/>
    <col min="5633" max="5633" width="16.7109375" customWidth="1"/>
    <col min="5634" max="5634" width="61.7109375" customWidth="1"/>
    <col min="5635" max="5635" width="8.7109375" customWidth="1"/>
    <col min="5636" max="5636" width="14.7109375" customWidth="1"/>
    <col min="5889" max="5889" width="16.7109375" customWidth="1"/>
    <col min="5890" max="5890" width="61.7109375" customWidth="1"/>
    <col min="5891" max="5891" width="8.7109375" customWidth="1"/>
    <col min="5892" max="5892" width="14.7109375" customWidth="1"/>
    <col min="6145" max="6145" width="16.7109375" customWidth="1"/>
    <col min="6146" max="6146" width="61.7109375" customWidth="1"/>
    <col min="6147" max="6147" width="8.7109375" customWidth="1"/>
    <col min="6148" max="6148" width="14.7109375" customWidth="1"/>
    <col min="6401" max="6401" width="16.7109375" customWidth="1"/>
    <col min="6402" max="6402" width="61.7109375" customWidth="1"/>
    <col min="6403" max="6403" width="8.7109375" customWidth="1"/>
    <col min="6404" max="6404" width="14.7109375" customWidth="1"/>
    <col min="6657" max="6657" width="16.7109375" customWidth="1"/>
    <col min="6658" max="6658" width="61.7109375" customWidth="1"/>
    <col min="6659" max="6659" width="8.7109375" customWidth="1"/>
    <col min="6660" max="6660" width="14.7109375" customWidth="1"/>
    <col min="6913" max="6913" width="16.7109375" customWidth="1"/>
    <col min="6914" max="6914" width="61.7109375" customWidth="1"/>
    <col min="6915" max="6915" width="8.7109375" customWidth="1"/>
    <col min="6916" max="6916" width="14.7109375" customWidth="1"/>
    <col min="7169" max="7169" width="16.7109375" customWidth="1"/>
    <col min="7170" max="7170" width="61.7109375" customWidth="1"/>
    <col min="7171" max="7171" width="8.7109375" customWidth="1"/>
    <col min="7172" max="7172" width="14.7109375" customWidth="1"/>
    <col min="7425" max="7425" width="16.7109375" customWidth="1"/>
    <col min="7426" max="7426" width="61.7109375" customWidth="1"/>
    <col min="7427" max="7427" width="8.7109375" customWidth="1"/>
    <col min="7428" max="7428" width="14.7109375" customWidth="1"/>
    <col min="7681" max="7681" width="16.7109375" customWidth="1"/>
    <col min="7682" max="7682" width="61.7109375" customWidth="1"/>
    <col min="7683" max="7683" width="8.7109375" customWidth="1"/>
    <col min="7684" max="7684" width="14.7109375" customWidth="1"/>
    <col min="7937" max="7937" width="16.7109375" customWidth="1"/>
    <col min="7938" max="7938" width="61.7109375" customWidth="1"/>
    <col min="7939" max="7939" width="8.7109375" customWidth="1"/>
    <col min="7940" max="7940" width="14.7109375" customWidth="1"/>
    <col min="8193" max="8193" width="16.7109375" customWidth="1"/>
    <col min="8194" max="8194" width="61.7109375" customWidth="1"/>
    <col min="8195" max="8195" width="8.7109375" customWidth="1"/>
    <col min="8196" max="8196" width="14.7109375" customWidth="1"/>
    <col min="8449" max="8449" width="16.7109375" customWidth="1"/>
    <col min="8450" max="8450" width="61.7109375" customWidth="1"/>
    <col min="8451" max="8451" width="8.7109375" customWidth="1"/>
    <col min="8452" max="8452" width="14.7109375" customWidth="1"/>
    <col min="8705" max="8705" width="16.7109375" customWidth="1"/>
    <col min="8706" max="8706" width="61.7109375" customWidth="1"/>
    <col min="8707" max="8707" width="8.7109375" customWidth="1"/>
    <col min="8708" max="8708" width="14.7109375" customWidth="1"/>
    <col min="8961" max="8961" width="16.7109375" customWidth="1"/>
    <col min="8962" max="8962" width="61.7109375" customWidth="1"/>
    <col min="8963" max="8963" width="8.7109375" customWidth="1"/>
    <col min="8964" max="8964" width="14.7109375" customWidth="1"/>
    <col min="9217" max="9217" width="16.7109375" customWidth="1"/>
    <col min="9218" max="9218" width="61.7109375" customWidth="1"/>
    <col min="9219" max="9219" width="8.7109375" customWidth="1"/>
    <col min="9220" max="9220" width="14.7109375" customWidth="1"/>
    <col min="9473" max="9473" width="16.7109375" customWidth="1"/>
    <col min="9474" max="9474" width="61.7109375" customWidth="1"/>
    <col min="9475" max="9475" width="8.7109375" customWidth="1"/>
    <col min="9476" max="9476" width="14.7109375" customWidth="1"/>
    <col min="9729" max="9729" width="16.7109375" customWidth="1"/>
    <col min="9730" max="9730" width="61.7109375" customWidth="1"/>
    <col min="9731" max="9731" width="8.7109375" customWidth="1"/>
    <col min="9732" max="9732" width="14.7109375" customWidth="1"/>
    <col min="9985" max="9985" width="16.7109375" customWidth="1"/>
    <col min="9986" max="9986" width="61.7109375" customWidth="1"/>
    <col min="9987" max="9987" width="8.7109375" customWidth="1"/>
    <col min="9988" max="9988" width="14.7109375" customWidth="1"/>
    <col min="10241" max="10241" width="16.7109375" customWidth="1"/>
    <col min="10242" max="10242" width="61.7109375" customWidth="1"/>
    <col min="10243" max="10243" width="8.7109375" customWidth="1"/>
    <col min="10244" max="10244" width="14.7109375" customWidth="1"/>
    <col min="10497" max="10497" width="16.7109375" customWidth="1"/>
    <col min="10498" max="10498" width="61.7109375" customWidth="1"/>
    <col min="10499" max="10499" width="8.7109375" customWidth="1"/>
    <col min="10500" max="10500" width="14.7109375" customWidth="1"/>
    <col min="10753" max="10753" width="16.7109375" customWidth="1"/>
    <col min="10754" max="10754" width="61.7109375" customWidth="1"/>
    <col min="10755" max="10755" width="8.7109375" customWidth="1"/>
    <col min="10756" max="10756" width="14.7109375" customWidth="1"/>
    <col min="11009" max="11009" width="16.7109375" customWidth="1"/>
    <col min="11010" max="11010" width="61.7109375" customWidth="1"/>
    <col min="11011" max="11011" width="8.7109375" customWidth="1"/>
    <col min="11012" max="11012" width="14.7109375" customWidth="1"/>
    <col min="11265" max="11265" width="16.7109375" customWidth="1"/>
    <col min="11266" max="11266" width="61.7109375" customWidth="1"/>
    <col min="11267" max="11267" width="8.7109375" customWidth="1"/>
    <col min="11268" max="11268" width="14.7109375" customWidth="1"/>
    <col min="11521" max="11521" width="16.7109375" customWidth="1"/>
    <col min="11522" max="11522" width="61.7109375" customWidth="1"/>
    <col min="11523" max="11523" width="8.7109375" customWidth="1"/>
    <col min="11524" max="11524" width="14.7109375" customWidth="1"/>
    <col min="11777" max="11777" width="16.7109375" customWidth="1"/>
    <col min="11778" max="11778" width="61.7109375" customWidth="1"/>
    <col min="11779" max="11779" width="8.7109375" customWidth="1"/>
    <col min="11780" max="11780" width="14.7109375" customWidth="1"/>
    <col min="12033" max="12033" width="16.7109375" customWidth="1"/>
    <col min="12034" max="12034" width="61.7109375" customWidth="1"/>
    <col min="12035" max="12035" width="8.7109375" customWidth="1"/>
    <col min="12036" max="12036" width="14.7109375" customWidth="1"/>
    <col min="12289" max="12289" width="16.7109375" customWidth="1"/>
    <col min="12290" max="12290" width="61.7109375" customWidth="1"/>
    <col min="12291" max="12291" width="8.7109375" customWidth="1"/>
    <col min="12292" max="12292" width="14.7109375" customWidth="1"/>
    <col min="12545" max="12545" width="16.7109375" customWidth="1"/>
    <col min="12546" max="12546" width="61.7109375" customWidth="1"/>
    <col min="12547" max="12547" width="8.7109375" customWidth="1"/>
    <col min="12548" max="12548" width="14.7109375" customWidth="1"/>
    <col min="12801" max="12801" width="16.7109375" customWidth="1"/>
    <col min="12802" max="12802" width="61.7109375" customWidth="1"/>
    <col min="12803" max="12803" width="8.7109375" customWidth="1"/>
    <col min="12804" max="12804" width="14.7109375" customWidth="1"/>
    <col min="13057" max="13057" width="16.7109375" customWidth="1"/>
    <col min="13058" max="13058" width="61.7109375" customWidth="1"/>
    <col min="13059" max="13059" width="8.7109375" customWidth="1"/>
    <col min="13060" max="13060" width="14.7109375" customWidth="1"/>
    <col min="13313" max="13313" width="16.7109375" customWidth="1"/>
    <col min="13314" max="13314" width="61.7109375" customWidth="1"/>
    <col min="13315" max="13315" width="8.7109375" customWidth="1"/>
    <col min="13316" max="13316" width="14.7109375" customWidth="1"/>
    <col min="13569" max="13569" width="16.7109375" customWidth="1"/>
    <col min="13570" max="13570" width="61.7109375" customWidth="1"/>
    <col min="13571" max="13571" width="8.7109375" customWidth="1"/>
    <col min="13572" max="13572" width="14.7109375" customWidth="1"/>
    <col min="13825" max="13825" width="16.7109375" customWidth="1"/>
    <col min="13826" max="13826" width="61.7109375" customWidth="1"/>
    <col min="13827" max="13827" width="8.7109375" customWidth="1"/>
    <col min="13828" max="13828" width="14.7109375" customWidth="1"/>
    <col min="14081" max="14081" width="16.7109375" customWidth="1"/>
    <col min="14082" max="14082" width="61.7109375" customWidth="1"/>
    <col min="14083" max="14083" width="8.7109375" customWidth="1"/>
    <col min="14084" max="14084" width="14.7109375" customWidth="1"/>
    <col min="14337" max="14337" width="16.7109375" customWidth="1"/>
    <col min="14338" max="14338" width="61.7109375" customWidth="1"/>
    <col min="14339" max="14339" width="8.7109375" customWidth="1"/>
    <col min="14340" max="14340" width="14.7109375" customWidth="1"/>
    <col min="14593" max="14593" width="16.7109375" customWidth="1"/>
    <col min="14594" max="14594" width="61.7109375" customWidth="1"/>
    <col min="14595" max="14595" width="8.7109375" customWidth="1"/>
    <col min="14596" max="14596" width="14.7109375" customWidth="1"/>
    <col min="14849" max="14849" width="16.7109375" customWidth="1"/>
    <col min="14850" max="14850" width="61.7109375" customWidth="1"/>
    <col min="14851" max="14851" width="8.7109375" customWidth="1"/>
    <col min="14852" max="14852" width="14.7109375" customWidth="1"/>
    <col min="15105" max="15105" width="16.7109375" customWidth="1"/>
    <col min="15106" max="15106" width="61.7109375" customWidth="1"/>
    <col min="15107" max="15107" width="8.7109375" customWidth="1"/>
    <col min="15108" max="15108" width="14.7109375" customWidth="1"/>
    <col min="15361" max="15361" width="16.7109375" customWidth="1"/>
    <col min="15362" max="15362" width="61.7109375" customWidth="1"/>
    <col min="15363" max="15363" width="8.7109375" customWidth="1"/>
    <col min="15364" max="15364" width="14.7109375" customWidth="1"/>
    <col min="15617" max="15617" width="16.7109375" customWidth="1"/>
    <col min="15618" max="15618" width="61.7109375" customWidth="1"/>
    <col min="15619" max="15619" width="8.7109375" customWidth="1"/>
    <col min="15620" max="15620" width="14.7109375" customWidth="1"/>
    <col min="15873" max="15873" width="16.7109375" customWidth="1"/>
    <col min="15874" max="15874" width="61.7109375" customWidth="1"/>
    <col min="15875" max="15875" width="8.7109375" customWidth="1"/>
    <col min="15876" max="15876" width="14.7109375" customWidth="1"/>
    <col min="16129" max="16129" width="16.7109375" customWidth="1"/>
    <col min="16130" max="16130" width="61.7109375" customWidth="1"/>
    <col min="16131" max="16131" width="8.7109375" customWidth="1"/>
    <col min="16132" max="16132" width="14.7109375" customWidth="1"/>
  </cols>
  <sheetData>
    <row r="1" spans="1:7" x14ac:dyDescent="0.25">
      <c r="A1" s="1272" t="s">
        <v>321</v>
      </c>
      <c r="B1" s="1272"/>
      <c r="C1" s="1272"/>
      <c r="D1" s="1272"/>
    </row>
    <row r="2" spans="1:7" x14ac:dyDescent="0.25">
      <c r="A2" s="1273" t="s">
        <v>322</v>
      </c>
      <c r="B2" s="1273"/>
      <c r="C2" s="1273"/>
      <c r="D2" s="1273"/>
    </row>
    <row r="4" spans="1:7" ht="15.75" x14ac:dyDescent="0.25">
      <c r="A4" s="1274" t="s">
        <v>28014</v>
      </c>
      <c r="B4" s="1274"/>
      <c r="C4" s="1274"/>
      <c r="D4" s="1274"/>
      <c r="F4" s="1064" t="str">
        <f>IFERROR(IF(SEARCH("NÃO DESONERADO",A4,1),"BDI NÃO DESONERADO",""),"BDI DESONERADO =")</f>
        <v>BDI NÃO DESONERADO</v>
      </c>
      <c r="G4" s="1064" t="str">
        <f>IFERROR(IF(SEARCH("NÃO DESONERADO",A4,1),"35,00%",""),"41,79%")</f>
        <v>35,00%</v>
      </c>
    </row>
    <row r="5" spans="1:7" x14ac:dyDescent="0.25">
      <c r="A5" s="1275" t="s">
        <v>28015</v>
      </c>
      <c r="B5" s="1275"/>
      <c r="C5" s="1275"/>
      <c r="D5" s="1275"/>
    </row>
    <row r="6" spans="1:7" x14ac:dyDescent="0.25">
      <c r="A6" s="1273" t="s">
        <v>2727</v>
      </c>
      <c r="B6" s="1273"/>
      <c r="C6" s="1273"/>
    </row>
    <row r="8" spans="1:7" x14ac:dyDescent="0.25">
      <c r="A8" s="438" t="s">
        <v>323</v>
      </c>
      <c r="B8" s="438" t="s">
        <v>324</v>
      </c>
      <c r="C8" s="438" t="s">
        <v>0</v>
      </c>
      <c r="D8" s="438" t="s">
        <v>1</v>
      </c>
      <c r="E8" s="438" t="s">
        <v>28012</v>
      </c>
    </row>
    <row r="9" spans="1:7" x14ac:dyDescent="0.25">
      <c r="A9" s="10"/>
      <c r="B9" s="439"/>
      <c r="C9" s="10"/>
      <c r="D9" s="440"/>
      <c r="E9" s="440"/>
    </row>
    <row r="10" spans="1:7" x14ac:dyDescent="0.25">
      <c r="A10" s="10" t="s">
        <v>28016</v>
      </c>
      <c r="B10" s="439" t="s">
        <v>325</v>
      </c>
      <c r="C10" s="10" t="s">
        <v>2</v>
      </c>
      <c r="D10" s="504">
        <v>205.35</v>
      </c>
      <c r="E10" s="504">
        <f>D10/(1+$G$4)</f>
        <v>152.11111111111109</v>
      </c>
    </row>
    <row r="11" spans="1:7" x14ac:dyDescent="0.25">
      <c r="A11" s="10" t="s">
        <v>28017</v>
      </c>
      <c r="B11" s="439" t="s">
        <v>326</v>
      </c>
      <c r="C11" s="10" t="s">
        <v>2</v>
      </c>
      <c r="D11" s="504">
        <v>226.44</v>
      </c>
      <c r="E11" s="504">
        <f t="shared" ref="E11:E74" si="0">D11/(1+$G$4)</f>
        <v>167.73333333333332</v>
      </c>
    </row>
    <row r="12" spans="1:7" x14ac:dyDescent="0.25">
      <c r="A12" s="10" t="s">
        <v>28018</v>
      </c>
      <c r="B12" s="439" t="s">
        <v>327</v>
      </c>
      <c r="C12" s="10" t="s">
        <v>2</v>
      </c>
      <c r="D12" s="504">
        <v>195.51</v>
      </c>
      <c r="E12" s="504">
        <f t="shared" si="0"/>
        <v>144.82222222222219</v>
      </c>
    </row>
    <row r="13" spans="1:7" x14ac:dyDescent="0.25">
      <c r="A13" s="10" t="s">
        <v>28019</v>
      </c>
      <c r="B13" s="439" t="s">
        <v>328</v>
      </c>
      <c r="C13" s="10" t="s">
        <v>2</v>
      </c>
      <c r="D13" s="504">
        <v>266.8</v>
      </c>
      <c r="E13" s="504">
        <f t="shared" si="0"/>
        <v>197.62962962962962</v>
      </c>
    </row>
    <row r="14" spans="1:7" x14ac:dyDescent="0.25">
      <c r="A14" s="10" t="s">
        <v>28020</v>
      </c>
      <c r="B14" s="439" t="s">
        <v>329</v>
      </c>
      <c r="C14" s="10" t="s">
        <v>2</v>
      </c>
      <c r="D14" s="504">
        <v>221.56</v>
      </c>
      <c r="E14" s="504">
        <f t="shared" si="0"/>
        <v>164.1185185185185</v>
      </c>
    </row>
    <row r="15" spans="1:7" x14ac:dyDescent="0.25">
      <c r="A15" s="10" t="s">
        <v>28021</v>
      </c>
      <c r="B15" s="439" t="s">
        <v>330</v>
      </c>
      <c r="C15" s="10" t="s">
        <v>2</v>
      </c>
      <c r="D15" s="504">
        <v>302.31</v>
      </c>
      <c r="E15" s="504">
        <f t="shared" si="0"/>
        <v>223.93333333333331</v>
      </c>
    </row>
    <row r="16" spans="1:7" x14ac:dyDescent="0.25">
      <c r="A16" s="10" t="s">
        <v>28022</v>
      </c>
      <c r="B16" s="439" t="s">
        <v>331</v>
      </c>
      <c r="C16" s="10" t="s">
        <v>3</v>
      </c>
      <c r="D16" s="504">
        <v>1751.04</v>
      </c>
      <c r="E16" s="504">
        <f t="shared" si="0"/>
        <v>1297.0666666666666</v>
      </c>
    </row>
    <row r="17" spans="1:5" x14ac:dyDescent="0.25">
      <c r="A17" s="10" t="s">
        <v>28023</v>
      </c>
      <c r="B17" s="439" t="s">
        <v>332</v>
      </c>
      <c r="C17" s="10" t="s">
        <v>3</v>
      </c>
      <c r="D17" s="504">
        <v>5947.67</v>
      </c>
      <c r="E17" s="504">
        <f t="shared" si="0"/>
        <v>4405.6814814814816</v>
      </c>
    </row>
    <row r="18" spans="1:5" x14ac:dyDescent="0.25">
      <c r="A18" s="10" t="s">
        <v>28024</v>
      </c>
      <c r="B18" s="439" t="s">
        <v>333</v>
      </c>
      <c r="C18" s="10" t="s">
        <v>334</v>
      </c>
      <c r="D18" s="504">
        <v>17.809999999999999</v>
      </c>
      <c r="E18" s="504">
        <f t="shared" si="0"/>
        <v>13.192592592592591</v>
      </c>
    </row>
    <row r="19" spans="1:5" x14ac:dyDescent="0.25">
      <c r="A19" s="10" t="s">
        <v>28025</v>
      </c>
      <c r="B19" s="439" t="s">
        <v>335</v>
      </c>
      <c r="C19" s="10" t="s">
        <v>2</v>
      </c>
      <c r="D19" s="504">
        <v>12.7</v>
      </c>
      <c r="E19" s="504">
        <f t="shared" si="0"/>
        <v>9.4074074074074066</v>
      </c>
    </row>
    <row r="20" spans="1:5" x14ac:dyDescent="0.25">
      <c r="A20" s="10" t="s">
        <v>28026</v>
      </c>
      <c r="B20" s="439" t="s">
        <v>336</v>
      </c>
      <c r="C20" s="10" t="s">
        <v>337</v>
      </c>
      <c r="D20" s="504">
        <v>2760.51</v>
      </c>
      <c r="E20" s="504">
        <f t="shared" si="0"/>
        <v>2044.8222222222223</v>
      </c>
    </row>
    <row r="21" spans="1:5" x14ac:dyDescent="0.25">
      <c r="A21" s="10" t="s">
        <v>28027</v>
      </c>
      <c r="B21" s="439" t="s">
        <v>338</v>
      </c>
      <c r="C21" s="10" t="s">
        <v>337</v>
      </c>
      <c r="D21" s="504">
        <v>3041.9</v>
      </c>
      <c r="E21" s="504">
        <f t="shared" si="0"/>
        <v>2253.2592592592591</v>
      </c>
    </row>
    <row r="22" spans="1:5" x14ac:dyDescent="0.25">
      <c r="A22" s="10" t="s">
        <v>28028</v>
      </c>
      <c r="B22" s="439" t="s">
        <v>339</v>
      </c>
      <c r="C22" s="10" t="s">
        <v>340</v>
      </c>
      <c r="D22" s="504">
        <v>17633.07</v>
      </c>
      <c r="E22" s="504">
        <f t="shared" si="0"/>
        <v>13061.533333333333</v>
      </c>
    </row>
    <row r="23" spans="1:5" x14ac:dyDescent="0.25">
      <c r="A23" s="10" t="s">
        <v>28029</v>
      </c>
      <c r="B23" s="439" t="s">
        <v>341</v>
      </c>
      <c r="C23" s="10" t="s">
        <v>342</v>
      </c>
      <c r="D23" s="504">
        <v>2053.44</v>
      </c>
      <c r="E23" s="504">
        <f t="shared" si="0"/>
        <v>1521.0666666666666</v>
      </c>
    </row>
    <row r="24" spans="1:5" x14ac:dyDescent="0.25">
      <c r="A24" s="10" t="s">
        <v>28030</v>
      </c>
      <c r="B24" s="439" t="s">
        <v>343</v>
      </c>
      <c r="C24" s="10" t="s">
        <v>342</v>
      </c>
      <c r="D24" s="504">
        <v>5475.84</v>
      </c>
      <c r="E24" s="504">
        <f t="shared" si="0"/>
        <v>4056.1777777777775</v>
      </c>
    </row>
    <row r="25" spans="1:5" x14ac:dyDescent="0.25">
      <c r="A25" s="10" t="s">
        <v>28031</v>
      </c>
      <c r="B25" s="439" t="s">
        <v>344</v>
      </c>
      <c r="C25" s="10" t="s">
        <v>2</v>
      </c>
      <c r="D25" s="504">
        <v>337.03</v>
      </c>
      <c r="E25" s="504">
        <f t="shared" si="0"/>
        <v>249.6518518518518</v>
      </c>
    </row>
    <row r="26" spans="1:5" x14ac:dyDescent="0.25">
      <c r="A26" s="10" t="s">
        <v>28032</v>
      </c>
      <c r="B26" s="439" t="s">
        <v>345</v>
      </c>
      <c r="C26" s="10" t="s">
        <v>2</v>
      </c>
      <c r="D26" s="504">
        <v>343.26</v>
      </c>
      <c r="E26" s="504">
        <f t="shared" si="0"/>
        <v>254.26666666666665</v>
      </c>
    </row>
    <row r="27" spans="1:5" x14ac:dyDescent="0.25">
      <c r="A27" s="10" t="s">
        <v>28033</v>
      </c>
      <c r="B27" s="439" t="s">
        <v>346</v>
      </c>
      <c r="C27" s="10" t="s">
        <v>2</v>
      </c>
      <c r="D27" s="504">
        <v>461.85</v>
      </c>
      <c r="E27" s="504">
        <f t="shared" si="0"/>
        <v>342.11111111111109</v>
      </c>
    </row>
    <row r="28" spans="1:5" x14ac:dyDescent="0.25">
      <c r="A28" s="10" t="s">
        <v>28034</v>
      </c>
      <c r="B28" s="439" t="s">
        <v>347</v>
      </c>
      <c r="C28" s="10" t="s">
        <v>2</v>
      </c>
      <c r="D28" s="504">
        <v>499.3</v>
      </c>
      <c r="E28" s="504">
        <f t="shared" si="0"/>
        <v>369.85185185185185</v>
      </c>
    </row>
    <row r="29" spans="1:5" x14ac:dyDescent="0.25">
      <c r="A29" s="10" t="s">
        <v>28035</v>
      </c>
      <c r="B29" s="439" t="s">
        <v>348</v>
      </c>
      <c r="C29" s="10" t="s">
        <v>2</v>
      </c>
      <c r="D29" s="504">
        <v>675.2</v>
      </c>
      <c r="E29" s="504">
        <f t="shared" si="0"/>
        <v>500.14814814814815</v>
      </c>
    </row>
    <row r="30" spans="1:5" x14ac:dyDescent="0.25">
      <c r="A30" s="10" t="s">
        <v>28036</v>
      </c>
      <c r="B30" s="439" t="s">
        <v>349</v>
      </c>
      <c r="C30" s="10" t="s">
        <v>2</v>
      </c>
      <c r="D30" s="504">
        <v>719.37</v>
      </c>
      <c r="E30" s="504">
        <f t="shared" si="0"/>
        <v>532.86666666666667</v>
      </c>
    </row>
    <row r="31" spans="1:5" x14ac:dyDescent="0.25">
      <c r="A31" s="10" t="s">
        <v>28037</v>
      </c>
      <c r="B31" s="439" t="s">
        <v>350</v>
      </c>
      <c r="C31" s="10" t="s">
        <v>2</v>
      </c>
      <c r="D31" s="504">
        <v>780.17</v>
      </c>
      <c r="E31" s="504">
        <f t="shared" si="0"/>
        <v>577.90370370370363</v>
      </c>
    </row>
    <row r="32" spans="1:5" x14ac:dyDescent="0.25">
      <c r="A32" s="10" t="s">
        <v>28038</v>
      </c>
      <c r="B32" s="439" t="s">
        <v>351</v>
      </c>
      <c r="C32" s="10" t="s">
        <v>2</v>
      </c>
      <c r="D32" s="504">
        <v>892.5</v>
      </c>
      <c r="E32" s="504">
        <f t="shared" si="0"/>
        <v>661.11111111111109</v>
      </c>
    </row>
    <row r="33" spans="1:5" x14ac:dyDescent="0.25">
      <c r="A33" s="10" t="s">
        <v>28039</v>
      </c>
      <c r="B33" s="439" t="s">
        <v>352</v>
      </c>
      <c r="C33" s="10" t="s">
        <v>2</v>
      </c>
      <c r="D33" s="504">
        <v>861.29</v>
      </c>
      <c r="E33" s="504">
        <f t="shared" si="0"/>
        <v>637.99259259259247</v>
      </c>
    </row>
    <row r="34" spans="1:5" x14ac:dyDescent="0.25">
      <c r="A34" s="10" t="s">
        <v>28040</v>
      </c>
      <c r="B34" s="439" t="s">
        <v>353</v>
      </c>
      <c r="C34" s="10" t="s">
        <v>2</v>
      </c>
      <c r="D34" s="504">
        <v>886.26</v>
      </c>
      <c r="E34" s="504">
        <f t="shared" si="0"/>
        <v>656.48888888888882</v>
      </c>
    </row>
    <row r="35" spans="1:5" x14ac:dyDescent="0.25">
      <c r="A35" s="10" t="s">
        <v>28041</v>
      </c>
      <c r="B35" s="439" t="s">
        <v>354</v>
      </c>
      <c r="C35" s="10" t="s">
        <v>2</v>
      </c>
      <c r="D35" s="504">
        <v>1023.56</v>
      </c>
      <c r="E35" s="504">
        <f t="shared" si="0"/>
        <v>758.19259259259252</v>
      </c>
    </row>
    <row r="36" spans="1:5" x14ac:dyDescent="0.25">
      <c r="A36" s="10" t="s">
        <v>28042</v>
      </c>
      <c r="B36" s="439" t="s">
        <v>355</v>
      </c>
      <c r="C36" s="10" t="s">
        <v>2</v>
      </c>
      <c r="D36" s="504">
        <v>1366.82</v>
      </c>
      <c r="E36" s="504">
        <f t="shared" si="0"/>
        <v>1012.4592592592592</v>
      </c>
    </row>
    <row r="37" spans="1:5" x14ac:dyDescent="0.25">
      <c r="A37" s="10" t="s">
        <v>28043</v>
      </c>
      <c r="B37" s="439" t="s">
        <v>356</v>
      </c>
      <c r="C37" s="10" t="s">
        <v>2</v>
      </c>
      <c r="D37" s="504">
        <v>151.69999999999999</v>
      </c>
      <c r="E37" s="504">
        <f t="shared" si="0"/>
        <v>112.37037037037035</v>
      </c>
    </row>
    <row r="38" spans="1:5" x14ac:dyDescent="0.25">
      <c r="A38" s="10" t="s">
        <v>28044</v>
      </c>
      <c r="B38" s="439" t="s">
        <v>357</v>
      </c>
      <c r="C38" s="10" t="s">
        <v>2</v>
      </c>
      <c r="D38" s="504">
        <v>186</v>
      </c>
      <c r="E38" s="504">
        <f t="shared" si="0"/>
        <v>137.77777777777777</v>
      </c>
    </row>
    <row r="39" spans="1:5" ht="30" x14ac:dyDescent="0.25">
      <c r="A39" s="10" t="s">
        <v>28045</v>
      </c>
      <c r="B39" s="439" t="s">
        <v>358</v>
      </c>
      <c r="C39" s="10" t="s">
        <v>3</v>
      </c>
      <c r="D39" s="504">
        <v>4018.6</v>
      </c>
      <c r="E39" s="504">
        <f t="shared" si="0"/>
        <v>2976.7407407407404</v>
      </c>
    </row>
    <row r="40" spans="1:5" ht="30" x14ac:dyDescent="0.25">
      <c r="A40" s="10" t="s">
        <v>28046</v>
      </c>
      <c r="B40" s="439" t="s">
        <v>359</v>
      </c>
      <c r="C40" s="10" t="s">
        <v>3</v>
      </c>
      <c r="D40" s="504">
        <v>4034.61</v>
      </c>
      <c r="E40" s="504">
        <f t="shared" si="0"/>
        <v>2988.6</v>
      </c>
    </row>
    <row r="41" spans="1:5" ht="30" x14ac:dyDescent="0.25">
      <c r="A41" s="10" t="s">
        <v>28047</v>
      </c>
      <c r="B41" s="439" t="s">
        <v>360</v>
      </c>
      <c r="C41" s="10" t="s">
        <v>361</v>
      </c>
      <c r="D41" s="504">
        <v>3771.47</v>
      </c>
      <c r="E41" s="504">
        <f t="shared" si="0"/>
        <v>2793.6814814814811</v>
      </c>
    </row>
    <row r="42" spans="1:5" x14ac:dyDescent="0.25">
      <c r="A42" s="10" t="s">
        <v>28048</v>
      </c>
      <c r="B42" s="439" t="s">
        <v>362</v>
      </c>
      <c r="C42" s="10" t="s">
        <v>361</v>
      </c>
      <c r="D42" s="504">
        <v>3005.51</v>
      </c>
      <c r="E42" s="504">
        <f t="shared" si="0"/>
        <v>2226.3037037037038</v>
      </c>
    </row>
    <row r="43" spans="1:5" ht="30" x14ac:dyDescent="0.25">
      <c r="A43" s="10" t="s">
        <v>28049</v>
      </c>
      <c r="B43" s="439" t="s">
        <v>363</v>
      </c>
      <c r="C43" s="10" t="s">
        <v>361</v>
      </c>
      <c r="D43" s="504">
        <v>3099.33</v>
      </c>
      <c r="E43" s="504">
        <f t="shared" si="0"/>
        <v>2295.7999999999997</v>
      </c>
    </row>
    <row r="44" spans="1:5" ht="30" x14ac:dyDescent="0.25">
      <c r="A44" s="10" t="s">
        <v>28050</v>
      </c>
      <c r="B44" s="439" t="s">
        <v>364</v>
      </c>
      <c r="C44" s="10" t="s">
        <v>361</v>
      </c>
      <c r="D44" s="504">
        <v>2329.6799999999998</v>
      </c>
      <c r="E44" s="504">
        <f t="shared" si="0"/>
        <v>1725.6888888888886</v>
      </c>
    </row>
    <row r="45" spans="1:5" ht="30" x14ac:dyDescent="0.25">
      <c r="A45" s="10" t="s">
        <v>28051</v>
      </c>
      <c r="B45" s="439" t="s">
        <v>365</v>
      </c>
      <c r="C45" s="10" t="s">
        <v>3</v>
      </c>
      <c r="D45" s="504">
        <v>8481.52</v>
      </c>
      <c r="E45" s="504">
        <f t="shared" si="0"/>
        <v>6282.6074074074077</v>
      </c>
    </row>
    <row r="46" spans="1:5" ht="30" x14ac:dyDescent="0.25">
      <c r="A46" s="10" t="s">
        <v>28052</v>
      </c>
      <c r="B46" s="439" t="s">
        <v>366</v>
      </c>
      <c r="C46" s="10" t="s">
        <v>3</v>
      </c>
      <c r="D46" s="504">
        <v>7857.51</v>
      </c>
      <c r="E46" s="504">
        <f t="shared" si="0"/>
        <v>5820.3777777777777</v>
      </c>
    </row>
    <row r="47" spans="1:5" ht="30" x14ac:dyDescent="0.25">
      <c r="A47" s="10" t="s">
        <v>28053</v>
      </c>
      <c r="B47" s="439" t="s">
        <v>367</v>
      </c>
      <c r="C47" s="10" t="s">
        <v>368</v>
      </c>
      <c r="D47" s="504">
        <v>7569</v>
      </c>
      <c r="E47" s="504">
        <f t="shared" si="0"/>
        <v>5606.6666666666661</v>
      </c>
    </row>
    <row r="48" spans="1:5" ht="30" x14ac:dyDescent="0.25">
      <c r="A48" s="10" t="s">
        <v>28054</v>
      </c>
      <c r="B48" s="439" t="s">
        <v>369</v>
      </c>
      <c r="C48" s="10" t="s">
        <v>368</v>
      </c>
      <c r="D48" s="504">
        <v>6871.72</v>
      </c>
      <c r="E48" s="504">
        <f t="shared" si="0"/>
        <v>5090.1629629629624</v>
      </c>
    </row>
    <row r="49" spans="1:5" ht="30" x14ac:dyDescent="0.25">
      <c r="A49" s="10" t="s">
        <v>28055</v>
      </c>
      <c r="B49" s="439" t="s">
        <v>370</v>
      </c>
      <c r="C49" s="10" t="s">
        <v>3</v>
      </c>
      <c r="D49" s="504">
        <v>6.6</v>
      </c>
      <c r="E49" s="504">
        <f t="shared" si="0"/>
        <v>4.8888888888888884</v>
      </c>
    </row>
    <row r="50" spans="1:5" ht="30" x14ac:dyDescent="0.25">
      <c r="A50" s="10" t="s">
        <v>28056</v>
      </c>
      <c r="B50" s="439" t="s">
        <v>371</v>
      </c>
      <c r="C50" s="10" t="s">
        <v>41</v>
      </c>
      <c r="D50" s="504">
        <v>4.68</v>
      </c>
      <c r="E50" s="504">
        <f t="shared" si="0"/>
        <v>3.4666666666666663</v>
      </c>
    </row>
    <row r="51" spans="1:5" ht="30" x14ac:dyDescent="0.25">
      <c r="A51" s="10" t="s">
        <v>28057</v>
      </c>
      <c r="B51" s="439" t="s">
        <v>372</v>
      </c>
      <c r="C51" s="10" t="s">
        <v>2</v>
      </c>
      <c r="D51" s="504">
        <v>8.7899999999999991</v>
      </c>
      <c r="E51" s="504">
        <f t="shared" si="0"/>
        <v>6.5111111111111102</v>
      </c>
    </row>
    <row r="52" spans="1:5" ht="30" x14ac:dyDescent="0.25">
      <c r="A52" s="10" t="s">
        <v>28058</v>
      </c>
      <c r="B52" s="439" t="s">
        <v>373</v>
      </c>
      <c r="C52" s="10" t="s">
        <v>361</v>
      </c>
      <c r="D52" s="504">
        <v>15413.25</v>
      </c>
      <c r="E52" s="504">
        <f t="shared" si="0"/>
        <v>11417.222222222221</v>
      </c>
    </row>
    <row r="53" spans="1:5" ht="30" x14ac:dyDescent="0.25">
      <c r="A53" s="10" t="s">
        <v>28059</v>
      </c>
      <c r="B53" s="439" t="s">
        <v>374</v>
      </c>
      <c r="C53" s="10" t="s">
        <v>361</v>
      </c>
      <c r="D53" s="504">
        <v>21230.11</v>
      </c>
      <c r="E53" s="504">
        <f t="shared" si="0"/>
        <v>15726.007407407407</v>
      </c>
    </row>
    <row r="54" spans="1:5" ht="30" x14ac:dyDescent="0.25">
      <c r="A54" s="10" t="s">
        <v>28060</v>
      </c>
      <c r="B54" s="439" t="s">
        <v>375</v>
      </c>
      <c r="C54" s="10" t="s">
        <v>368</v>
      </c>
      <c r="D54" s="504">
        <v>5771.93</v>
      </c>
      <c r="E54" s="504">
        <f t="shared" si="0"/>
        <v>4275.5037037037036</v>
      </c>
    </row>
    <row r="55" spans="1:5" ht="30" x14ac:dyDescent="0.25">
      <c r="A55" s="10" t="s">
        <v>28061</v>
      </c>
      <c r="B55" s="439" t="s">
        <v>376</v>
      </c>
      <c r="C55" s="10" t="s">
        <v>2</v>
      </c>
      <c r="D55" s="504">
        <v>8.24</v>
      </c>
      <c r="E55" s="504">
        <f t="shared" si="0"/>
        <v>6.1037037037037036</v>
      </c>
    </row>
    <row r="56" spans="1:5" ht="30" x14ac:dyDescent="0.25">
      <c r="A56" s="10" t="s">
        <v>28062</v>
      </c>
      <c r="B56" s="439" t="s">
        <v>377</v>
      </c>
      <c r="C56" s="10" t="s">
        <v>361</v>
      </c>
      <c r="D56" s="504">
        <v>4805.3100000000004</v>
      </c>
      <c r="E56" s="504">
        <f t="shared" si="0"/>
        <v>3559.4888888888891</v>
      </c>
    </row>
    <row r="57" spans="1:5" x14ac:dyDescent="0.25">
      <c r="A57" s="10" t="s">
        <v>28063</v>
      </c>
      <c r="B57" s="439" t="s">
        <v>378</v>
      </c>
      <c r="C57" s="10" t="s">
        <v>3</v>
      </c>
      <c r="D57" s="504">
        <v>398.61</v>
      </c>
      <c r="E57" s="504">
        <f t="shared" si="0"/>
        <v>295.26666666666665</v>
      </c>
    </row>
    <row r="58" spans="1:5" ht="30" x14ac:dyDescent="0.25">
      <c r="A58" s="10" t="s">
        <v>28064</v>
      </c>
      <c r="B58" s="439" t="s">
        <v>379</v>
      </c>
      <c r="C58" s="10" t="s">
        <v>2</v>
      </c>
      <c r="D58" s="504">
        <v>13.65</v>
      </c>
      <c r="E58" s="504">
        <f t="shared" si="0"/>
        <v>10.111111111111111</v>
      </c>
    </row>
    <row r="59" spans="1:5" ht="30" x14ac:dyDescent="0.25">
      <c r="A59" s="10" t="s">
        <v>28065</v>
      </c>
      <c r="B59" s="439" t="s">
        <v>380</v>
      </c>
      <c r="C59" s="10" t="s">
        <v>381</v>
      </c>
      <c r="D59" s="504">
        <v>3829.49</v>
      </c>
      <c r="E59" s="504">
        <f t="shared" si="0"/>
        <v>2836.6592592592588</v>
      </c>
    </row>
    <row r="60" spans="1:5" x14ac:dyDescent="0.25">
      <c r="A60" s="10" t="s">
        <v>28066</v>
      </c>
      <c r="B60" s="439" t="s">
        <v>382</v>
      </c>
      <c r="C60" s="10" t="s">
        <v>3</v>
      </c>
      <c r="D60" s="504">
        <v>3932.31</v>
      </c>
      <c r="E60" s="504">
        <f t="shared" si="0"/>
        <v>2912.8222222222221</v>
      </c>
    </row>
    <row r="61" spans="1:5" ht="30" x14ac:dyDescent="0.25">
      <c r="A61" s="10" t="s">
        <v>28067</v>
      </c>
      <c r="B61" s="439" t="s">
        <v>383</v>
      </c>
      <c r="C61" s="10" t="s">
        <v>3</v>
      </c>
      <c r="D61" s="504">
        <v>4721.96</v>
      </c>
      <c r="E61" s="504">
        <f t="shared" si="0"/>
        <v>3497.7481481481477</v>
      </c>
    </row>
    <row r="62" spans="1:5" ht="30" x14ac:dyDescent="0.25">
      <c r="A62" s="10" t="s">
        <v>28068</v>
      </c>
      <c r="B62" s="439" t="s">
        <v>384</v>
      </c>
      <c r="C62" s="10" t="s">
        <v>3</v>
      </c>
      <c r="D62" s="504">
        <v>16920.91</v>
      </c>
      <c r="E62" s="504">
        <f t="shared" si="0"/>
        <v>12534.007407407407</v>
      </c>
    </row>
    <row r="63" spans="1:5" ht="30" x14ac:dyDescent="0.25">
      <c r="A63" s="10" t="s">
        <v>28069</v>
      </c>
      <c r="B63" s="439" t="s">
        <v>385</v>
      </c>
      <c r="C63" s="10" t="s">
        <v>2</v>
      </c>
      <c r="D63" s="504">
        <v>5.36</v>
      </c>
      <c r="E63" s="504">
        <f t="shared" si="0"/>
        <v>3.9703703703703703</v>
      </c>
    </row>
    <row r="64" spans="1:5" x14ac:dyDescent="0.25">
      <c r="A64" s="10" t="s">
        <v>28070</v>
      </c>
      <c r="B64" s="439" t="s">
        <v>386</v>
      </c>
      <c r="C64" s="10" t="s">
        <v>2</v>
      </c>
      <c r="D64" s="504">
        <v>16.04</v>
      </c>
      <c r="E64" s="504">
        <f t="shared" si="0"/>
        <v>11.88148148148148</v>
      </c>
    </row>
    <row r="65" spans="1:5" ht="30" x14ac:dyDescent="0.25">
      <c r="A65" s="10" t="s">
        <v>28071</v>
      </c>
      <c r="B65" s="439" t="s">
        <v>387</v>
      </c>
      <c r="C65" s="10" t="s">
        <v>2</v>
      </c>
      <c r="D65" s="504">
        <v>10.210000000000001</v>
      </c>
      <c r="E65" s="504">
        <f t="shared" si="0"/>
        <v>7.5629629629629633</v>
      </c>
    </row>
    <row r="66" spans="1:5" x14ac:dyDescent="0.25">
      <c r="A66" s="10" t="s">
        <v>28072</v>
      </c>
      <c r="B66" s="439" t="s">
        <v>388</v>
      </c>
      <c r="C66" s="10" t="s">
        <v>389</v>
      </c>
      <c r="D66" s="504">
        <v>8304.8799999999992</v>
      </c>
      <c r="E66" s="504">
        <f t="shared" si="0"/>
        <v>6151.7629629629619</v>
      </c>
    </row>
    <row r="67" spans="1:5" ht="30" x14ac:dyDescent="0.25">
      <c r="A67" s="10" t="s">
        <v>28073</v>
      </c>
      <c r="B67" s="439" t="s">
        <v>390</v>
      </c>
      <c r="C67" s="10" t="s">
        <v>391</v>
      </c>
      <c r="D67" s="504">
        <v>90614.65</v>
      </c>
      <c r="E67" s="504">
        <f t="shared" si="0"/>
        <v>67121.962962962949</v>
      </c>
    </row>
    <row r="68" spans="1:5" ht="30" x14ac:dyDescent="0.25">
      <c r="A68" s="10" t="s">
        <v>28074</v>
      </c>
      <c r="B68" s="439" t="s">
        <v>392</v>
      </c>
      <c r="C68" s="10" t="s">
        <v>3</v>
      </c>
      <c r="D68" s="504">
        <v>219.44</v>
      </c>
      <c r="E68" s="504">
        <f t="shared" si="0"/>
        <v>162.54814814814813</v>
      </c>
    </row>
    <row r="69" spans="1:5" ht="30" x14ac:dyDescent="0.25">
      <c r="A69" s="10" t="s">
        <v>28075</v>
      </c>
      <c r="B69" s="439" t="s">
        <v>393</v>
      </c>
      <c r="C69" s="10" t="s">
        <v>3</v>
      </c>
      <c r="D69" s="504">
        <v>1934.86</v>
      </c>
      <c r="E69" s="504">
        <f t="shared" si="0"/>
        <v>1433.2296296296295</v>
      </c>
    </row>
    <row r="70" spans="1:5" ht="30" x14ac:dyDescent="0.25">
      <c r="A70" s="10" t="s">
        <v>28076</v>
      </c>
      <c r="B70" s="439" t="s">
        <v>394</v>
      </c>
      <c r="C70" s="10" t="s">
        <v>3</v>
      </c>
      <c r="D70" s="504">
        <v>2245.19</v>
      </c>
      <c r="E70" s="504">
        <f t="shared" si="0"/>
        <v>1663.1037037037036</v>
      </c>
    </row>
    <row r="71" spans="1:5" ht="30" x14ac:dyDescent="0.25">
      <c r="A71" s="10" t="s">
        <v>28077</v>
      </c>
      <c r="B71" s="439" t="s">
        <v>395</v>
      </c>
      <c r="C71" s="10" t="s">
        <v>3</v>
      </c>
      <c r="D71" s="504">
        <v>3703.89</v>
      </c>
      <c r="E71" s="504">
        <f t="shared" si="0"/>
        <v>2743.6222222222218</v>
      </c>
    </row>
    <row r="72" spans="1:5" x14ac:dyDescent="0.25">
      <c r="A72" s="10" t="s">
        <v>28078</v>
      </c>
      <c r="B72" s="439" t="s">
        <v>396</v>
      </c>
      <c r="C72" s="10" t="s">
        <v>397</v>
      </c>
      <c r="D72" s="504">
        <v>40733.980000000003</v>
      </c>
      <c r="E72" s="504">
        <f t="shared" si="0"/>
        <v>30173.318518518518</v>
      </c>
    </row>
    <row r="73" spans="1:5" ht="30" x14ac:dyDescent="0.25">
      <c r="A73" s="10" t="s">
        <v>28079</v>
      </c>
      <c r="B73" s="439" t="s">
        <v>398</v>
      </c>
      <c r="C73" s="10" t="s">
        <v>2466</v>
      </c>
      <c r="D73" s="504">
        <v>1417.23</v>
      </c>
      <c r="E73" s="504">
        <f t="shared" si="0"/>
        <v>1049.8</v>
      </c>
    </row>
    <row r="74" spans="1:5" ht="30" x14ac:dyDescent="0.25">
      <c r="A74" s="10" t="s">
        <v>28080</v>
      </c>
      <c r="B74" s="439" t="s">
        <v>2387</v>
      </c>
      <c r="C74" s="10" t="s">
        <v>2466</v>
      </c>
      <c r="D74" s="504">
        <v>4054.09</v>
      </c>
      <c r="E74" s="504">
        <f t="shared" si="0"/>
        <v>3003.0296296296297</v>
      </c>
    </row>
    <row r="75" spans="1:5" ht="30" x14ac:dyDescent="0.25">
      <c r="A75" s="10" t="s">
        <v>28081</v>
      </c>
      <c r="B75" s="439" t="s">
        <v>399</v>
      </c>
      <c r="C75" s="10" t="s">
        <v>3</v>
      </c>
      <c r="D75" s="504">
        <v>260.17</v>
      </c>
      <c r="E75" s="504">
        <f t="shared" ref="E75:E138" si="1">D75/(1+$G$4)</f>
        <v>192.71851851851852</v>
      </c>
    </row>
    <row r="76" spans="1:5" ht="30" x14ac:dyDescent="0.25">
      <c r="A76" s="10" t="s">
        <v>28082</v>
      </c>
      <c r="B76" s="439" t="s">
        <v>400</v>
      </c>
      <c r="C76" s="10" t="s">
        <v>2466</v>
      </c>
      <c r="D76" s="504">
        <v>9032.2000000000007</v>
      </c>
      <c r="E76" s="504">
        <f t="shared" si="1"/>
        <v>6690.5185185185182</v>
      </c>
    </row>
    <row r="77" spans="1:5" ht="30" x14ac:dyDescent="0.25">
      <c r="A77" s="10" t="s">
        <v>28083</v>
      </c>
      <c r="B77" s="439" t="s">
        <v>2388</v>
      </c>
      <c r="C77" s="10" t="s">
        <v>2466</v>
      </c>
      <c r="D77" s="504">
        <v>43290.75</v>
      </c>
      <c r="E77" s="504">
        <f t="shared" si="1"/>
        <v>32067.222222222219</v>
      </c>
    </row>
    <row r="78" spans="1:5" ht="30" x14ac:dyDescent="0.25">
      <c r="A78" s="10" t="s">
        <v>28084</v>
      </c>
      <c r="B78" s="439" t="s">
        <v>401</v>
      </c>
      <c r="C78" s="10" t="s">
        <v>2466</v>
      </c>
      <c r="D78" s="504">
        <v>1832.03</v>
      </c>
      <c r="E78" s="504">
        <f t="shared" si="1"/>
        <v>1357.0592592592591</v>
      </c>
    </row>
    <row r="79" spans="1:5" ht="30" x14ac:dyDescent="0.25">
      <c r="A79" s="10" t="s">
        <v>28085</v>
      </c>
      <c r="B79" s="439" t="s">
        <v>402</v>
      </c>
      <c r="C79" s="10" t="s">
        <v>2466</v>
      </c>
      <c r="D79" s="504">
        <v>20992.04</v>
      </c>
      <c r="E79" s="504">
        <f t="shared" si="1"/>
        <v>15549.659259259259</v>
      </c>
    </row>
    <row r="80" spans="1:5" ht="30" x14ac:dyDescent="0.25">
      <c r="A80" s="10" t="s">
        <v>28086</v>
      </c>
      <c r="B80" s="439" t="s">
        <v>403</v>
      </c>
      <c r="C80" s="10" t="s">
        <v>2466</v>
      </c>
      <c r="D80" s="504">
        <v>3013.62</v>
      </c>
      <c r="E80" s="504">
        <f t="shared" si="1"/>
        <v>2232.3111111111107</v>
      </c>
    </row>
    <row r="81" spans="1:5" x14ac:dyDescent="0.25">
      <c r="A81" s="10" t="s">
        <v>404</v>
      </c>
      <c r="B81" s="439" t="s">
        <v>405</v>
      </c>
      <c r="C81" s="10" t="s">
        <v>2</v>
      </c>
      <c r="D81" s="504">
        <v>25.36</v>
      </c>
      <c r="E81" s="504">
        <f t="shared" si="1"/>
        <v>18.785185185185185</v>
      </c>
    </row>
    <row r="82" spans="1:5" x14ac:dyDescent="0.25">
      <c r="A82" s="10" t="s">
        <v>406</v>
      </c>
      <c r="B82" s="439" t="s">
        <v>407</v>
      </c>
      <c r="C82" s="10" t="s">
        <v>2</v>
      </c>
      <c r="D82" s="504">
        <v>88.2</v>
      </c>
      <c r="E82" s="504">
        <f t="shared" si="1"/>
        <v>65.333333333333329</v>
      </c>
    </row>
    <row r="83" spans="1:5" x14ac:dyDescent="0.25">
      <c r="A83" s="10" t="s">
        <v>408</v>
      </c>
      <c r="B83" s="439" t="s">
        <v>409</v>
      </c>
      <c r="C83" s="10" t="s">
        <v>2</v>
      </c>
      <c r="D83" s="504">
        <v>123.48</v>
      </c>
      <c r="E83" s="504">
        <f t="shared" si="1"/>
        <v>91.466666666666669</v>
      </c>
    </row>
    <row r="84" spans="1:5" x14ac:dyDescent="0.25">
      <c r="A84" s="10" t="s">
        <v>410</v>
      </c>
      <c r="B84" s="439" t="s">
        <v>411</v>
      </c>
      <c r="C84" s="10" t="s">
        <v>2</v>
      </c>
      <c r="D84" s="504">
        <v>226.95</v>
      </c>
      <c r="E84" s="504">
        <f t="shared" si="1"/>
        <v>168.11111111111109</v>
      </c>
    </row>
    <row r="85" spans="1:5" x14ac:dyDescent="0.25">
      <c r="A85" s="10" t="s">
        <v>412</v>
      </c>
      <c r="B85" s="439" t="s">
        <v>413</v>
      </c>
      <c r="C85" s="10" t="s">
        <v>2</v>
      </c>
      <c r="D85" s="504">
        <v>272.33999999999997</v>
      </c>
      <c r="E85" s="504">
        <f t="shared" si="1"/>
        <v>201.73333333333329</v>
      </c>
    </row>
    <row r="86" spans="1:5" x14ac:dyDescent="0.25">
      <c r="A86" s="10" t="s">
        <v>414</v>
      </c>
      <c r="B86" s="439" t="s">
        <v>415</v>
      </c>
      <c r="C86" s="10" t="s">
        <v>2</v>
      </c>
      <c r="D86" s="504">
        <v>189.09</v>
      </c>
      <c r="E86" s="504">
        <f t="shared" si="1"/>
        <v>140.06666666666666</v>
      </c>
    </row>
    <row r="87" spans="1:5" x14ac:dyDescent="0.25">
      <c r="A87" s="10" t="s">
        <v>416</v>
      </c>
      <c r="B87" s="439" t="s">
        <v>417</v>
      </c>
      <c r="C87" s="10" t="s">
        <v>2</v>
      </c>
      <c r="D87" s="504">
        <v>162.08000000000001</v>
      </c>
      <c r="E87" s="504">
        <f t="shared" si="1"/>
        <v>120.05925925925926</v>
      </c>
    </row>
    <row r="88" spans="1:5" x14ac:dyDescent="0.25">
      <c r="A88" s="10" t="s">
        <v>418</v>
      </c>
      <c r="B88" s="439" t="s">
        <v>419</v>
      </c>
      <c r="C88" s="10" t="s">
        <v>2</v>
      </c>
      <c r="D88" s="504">
        <v>38.79</v>
      </c>
      <c r="E88" s="504">
        <f t="shared" si="1"/>
        <v>28.733333333333331</v>
      </c>
    </row>
    <row r="89" spans="1:5" x14ac:dyDescent="0.25">
      <c r="A89" s="10" t="s">
        <v>420</v>
      </c>
      <c r="B89" s="439" t="s">
        <v>421</v>
      </c>
      <c r="C89" s="10" t="s">
        <v>2</v>
      </c>
      <c r="D89" s="504">
        <v>22.71</v>
      </c>
      <c r="E89" s="504">
        <f t="shared" si="1"/>
        <v>16.822222222222223</v>
      </c>
    </row>
    <row r="90" spans="1:5" x14ac:dyDescent="0.25">
      <c r="A90" s="10" t="s">
        <v>422</v>
      </c>
      <c r="B90" s="439" t="s">
        <v>423</v>
      </c>
      <c r="C90" s="10" t="s">
        <v>3</v>
      </c>
      <c r="D90" s="504">
        <v>14.46</v>
      </c>
      <c r="E90" s="504">
        <f t="shared" si="1"/>
        <v>10.71111111111111</v>
      </c>
    </row>
    <row r="91" spans="1:5" x14ac:dyDescent="0.25">
      <c r="A91" s="10" t="s">
        <v>424</v>
      </c>
      <c r="B91" s="439" t="s">
        <v>425</v>
      </c>
      <c r="C91" s="10" t="s">
        <v>41</v>
      </c>
      <c r="D91" s="504">
        <v>134.08000000000001</v>
      </c>
      <c r="E91" s="504">
        <f t="shared" si="1"/>
        <v>99.318518518518516</v>
      </c>
    </row>
    <row r="92" spans="1:5" ht="30" x14ac:dyDescent="0.25">
      <c r="A92" s="10" t="s">
        <v>426</v>
      </c>
      <c r="B92" s="439" t="s">
        <v>427</v>
      </c>
      <c r="C92" s="10" t="s">
        <v>41</v>
      </c>
      <c r="D92" s="504">
        <v>129.44</v>
      </c>
      <c r="E92" s="504">
        <f t="shared" si="1"/>
        <v>95.881481481481472</v>
      </c>
    </row>
    <row r="93" spans="1:5" x14ac:dyDescent="0.25">
      <c r="A93" s="10" t="s">
        <v>28087</v>
      </c>
      <c r="B93" s="439" t="s">
        <v>428</v>
      </c>
      <c r="C93" s="10" t="s">
        <v>41</v>
      </c>
      <c r="D93" s="504">
        <v>74.239999999999995</v>
      </c>
      <c r="E93" s="504">
        <f t="shared" si="1"/>
        <v>54.992592592592587</v>
      </c>
    </row>
    <row r="94" spans="1:5" x14ac:dyDescent="0.25">
      <c r="A94" s="10" t="s">
        <v>28088</v>
      </c>
      <c r="B94" s="439" t="s">
        <v>2389</v>
      </c>
      <c r="C94" s="10" t="s">
        <v>40</v>
      </c>
      <c r="D94" s="504">
        <v>336.74</v>
      </c>
      <c r="E94" s="504">
        <f t="shared" si="1"/>
        <v>249.43703703703702</v>
      </c>
    </row>
    <row r="95" spans="1:5" ht="30" x14ac:dyDescent="0.25">
      <c r="A95" s="10" t="s">
        <v>28089</v>
      </c>
      <c r="B95" s="439" t="s">
        <v>2390</v>
      </c>
      <c r="C95" s="10" t="s">
        <v>3</v>
      </c>
      <c r="D95" s="504">
        <v>111.37</v>
      </c>
      <c r="E95" s="504">
        <f t="shared" si="1"/>
        <v>82.496296296296293</v>
      </c>
    </row>
    <row r="96" spans="1:5" x14ac:dyDescent="0.25">
      <c r="A96" s="10" t="s">
        <v>429</v>
      </c>
      <c r="B96" s="439" t="s">
        <v>430</v>
      </c>
      <c r="C96" s="10" t="s">
        <v>2</v>
      </c>
      <c r="D96" s="504">
        <v>96.43</v>
      </c>
      <c r="E96" s="504">
        <f t="shared" si="1"/>
        <v>71.42962962962963</v>
      </c>
    </row>
    <row r="97" spans="1:5" x14ac:dyDescent="0.25">
      <c r="A97" s="10" t="s">
        <v>431</v>
      </c>
      <c r="B97" s="439" t="s">
        <v>432</v>
      </c>
      <c r="C97" s="10" t="s">
        <v>2</v>
      </c>
      <c r="D97" s="504">
        <v>107.54</v>
      </c>
      <c r="E97" s="504">
        <f t="shared" si="1"/>
        <v>79.659259259259258</v>
      </c>
    </row>
    <row r="98" spans="1:5" x14ac:dyDescent="0.25">
      <c r="A98" s="10" t="s">
        <v>433</v>
      </c>
      <c r="B98" s="439" t="s">
        <v>434</v>
      </c>
      <c r="C98" s="10" t="s">
        <v>2</v>
      </c>
      <c r="D98" s="504">
        <v>46.62</v>
      </c>
      <c r="E98" s="504">
        <f t="shared" si="1"/>
        <v>34.533333333333331</v>
      </c>
    </row>
    <row r="99" spans="1:5" x14ac:dyDescent="0.25">
      <c r="A99" s="10" t="s">
        <v>15</v>
      </c>
      <c r="B99" s="439" t="s">
        <v>4</v>
      </c>
      <c r="C99" s="10" t="s">
        <v>40</v>
      </c>
      <c r="D99" s="504">
        <v>639.44000000000005</v>
      </c>
      <c r="E99" s="504">
        <f t="shared" si="1"/>
        <v>473.65925925925927</v>
      </c>
    </row>
    <row r="100" spans="1:5" x14ac:dyDescent="0.25">
      <c r="A100" s="10" t="s">
        <v>435</v>
      </c>
      <c r="B100" s="439" t="s">
        <v>436</v>
      </c>
      <c r="C100" s="10" t="s">
        <v>40</v>
      </c>
      <c r="D100" s="504">
        <v>352.55</v>
      </c>
      <c r="E100" s="504">
        <f t="shared" si="1"/>
        <v>261.14814814814815</v>
      </c>
    </row>
    <row r="101" spans="1:5" x14ac:dyDescent="0.25">
      <c r="A101" s="10" t="s">
        <v>437</v>
      </c>
      <c r="B101" s="439" t="s">
        <v>438</v>
      </c>
      <c r="C101" s="10" t="s">
        <v>40</v>
      </c>
      <c r="D101" s="504">
        <v>370.92</v>
      </c>
      <c r="E101" s="504">
        <f t="shared" si="1"/>
        <v>274.75555555555553</v>
      </c>
    </row>
    <row r="102" spans="1:5" x14ac:dyDescent="0.25">
      <c r="A102" s="10" t="s">
        <v>439</v>
      </c>
      <c r="B102" s="439" t="s">
        <v>440</v>
      </c>
      <c r="C102" s="10" t="s">
        <v>41</v>
      </c>
      <c r="D102" s="504">
        <v>93.24</v>
      </c>
      <c r="E102" s="504">
        <f t="shared" si="1"/>
        <v>69.066666666666663</v>
      </c>
    </row>
    <row r="103" spans="1:5" x14ac:dyDescent="0.25">
      <c r="A103" s="10" t="s">
        <v>441</v>
      </c>
      <c r="B103" s="439" t="s">
        <v>442</v>
      </c>
      <c r="C103" s="10" t="s">
        <v>41</v>
      </c>
      <c r="D103" s="504">
        <v>35.44</v>
      </c>
      <c r="E103" s="504">
        <f t="shared" si="1"/>
        <v>26.25185185185185</v>
      </c>
    </row>
    <row r="104" spans="1:5" x14ac:dyDescent="0.25">
      <c r="A104" s="10" t="s">
        <v>443</v>
      </c>
      <c r="B104" s="439" t="s">
        <v>444</v>
      </c>
      <c r="C104" s="10" t="s">
        <v>40</v>
      </c>
      <c r="D104" s="504">
        <v>66.430000000000007</v>
      </c>
      <c r="E104" s="504">
        <f t="shared" si="1"/>
        <v>49.207407407407409</v>
      </c>
    </row>
    <row r="105" spans="1:5" x14ac:dyDescent="0.25">
      <c r="A105" s="10" t="s">
        <v>445</v>
      </c>
      <c r="B105" s="439" t="s">
        <v>446</v>
      </c>
      <c r="C105" s="10" t="s">
        <v>2</v>
      </c>
      <c r="D105" s="504">
        <v>1070.9000000000001</v>
      </c>
      <c r="E105" s="504">
        <f t="shared" si="1"/>
        <v>793.25925925925924</v>
      </c>
    </row>
    <row r="106" spans="1:5" x14ac:dyDescent="0.25">
      <c r="A106" s="10" t="s">
        <v>447</v>
      </c>
      <c r="B106" s="439" t="s">
        <v>448</v>
      </c>
      <c r="C106" s="10" t="s">
        <v>3</v>
      </c>
      <c r="D106" s="504">
        <v>49.96</v>
      </c>
      <c r="E106" s="504">
        <f t="shared" si="1"/>
        <v>37.007407407407406</v>
      </c>
    </row>
    <row r="107" spans="1:5" x14ac:dyDescent="0.25">
      <c r="A107" s="10" t="s">
        <v>449</v>
      </c>
      <c r="B107" s="439" t="s">
        <v>450</v>
      </c>
      <c r="C107" s="10" t="s">
        <v>3</v>
      </c>
      <c r="D107" s="504">
        <v>107.07</v>
      </c>
      <c r="E107" s="504">
        <f t="shared" si="1"/>
        <v>79.311111111111103</v>
      </c>
    </row>
    <row r="108" spans="1:5" ht="30" x14ac:dyDescent="0.25">
      <c r="A108" s="10" t="s">
        <v>451</v>
      </c>
      <c r="B108" s="439" t="s">
        <v>452</v>
      </c>
      <c r="C108" s="10" t="s">
        <v>3</v>
      </c>
      <c r="D108" s="504">
        <v>278.44</v>
      </c>
      <c r="E108" s="504">
        <f t="shared" si="1"/>
        <v>206.25185185185182</v>
      </c>
    </row>
    <row r="109" spans="1:5" x14ac:dyDescent="0.25">
      <c r="A109" s="10" t="s">
        <v>453</v>
      </c>
      <c r="B109" s="439" t="s">
        <v>454</v>
      </c>
      <c r="C109" s="10" t="s">
        <v>3</v>
      </c>
      <c r="D109" s="504">
        <v>385.5</v>
      </c>
      <c r="E109" s="504">
        <f t="shared" si="1"/>
        <v>285.55555555555554</v>
      </c>
    </row>
    <row r="110" spans="1:5" x14ac:dyDescent="0.25">
      <c r="A110" s="10" t="s">
        <v>455</v>
      </c>
      <c r="B110" s="439" t="s">
        <v>456</v>
      </c>
      <c r="C110" s="10" t="s">
        <v>3</v>
      </c>
      <c r="D110" s="504">
        <v>428.35</v>
      </c>
      <c r="E110" s="504">
        <f t="shared" si="1"/>
        <v>317.2962962962963</v>
      </c>
    </row>
    <row r="111" spans="1:5" x14ac:dyDescent="0.25">
      <c r="A111" s="10" t="s">
        <v>457</v>
      </c>
      <c r="B111" s="439" t="s">
        <v>458</v>
      </c>
      <c r="C111" s="10" t="s">
        <v>5</v>
      </c>
      <c r="D111" s="504">
        <v>542.58000000000004</v>
      </c>
      <c r="E111" s="504">
        <f t="shared" si="1"/>
        <v>401.9111111111111</v>
      </c>
    </row>
    <row r="112" spans="1:5" x14ac:dyDescent="0.25">
      <c r="A112" s="10" t="s">
        <v>459</v>
      </c>
      <c r="B112" s="439" t="s">
        <v>460</v>
      </c>
      <c r="C112" s="10" t="s">
        <v>3</v>
      </c>
      <c r="D112" s="504">
        <v>192.76</v>
      </c>
      <c r="E112" s="504">
        <f t="shared" si="1"/>
        <v>142.78518518518516</v>
      </c>
    </row>
    <row r="113" spans="1:5" ht="30" x14ac:dyDescent="0.25">
      <c r="A113" s="10" t="s">
        <v>461</v>
      </c>
      <c r="B113" s="439" t="s">
        <v>462</v>
      </c>
      <c r="C113" s="10" t="s">
        <v>3</v>
      </c>
      <c r="D113" s="504">
        <v>314.13</v>
      </c>
      <c r="E113" s="504">
        <f t="shared" si="1"/>
        <v>232.68888888888887</v>
      </c>
    </row>
    <row r="114" spans="1:5" x14ac:dyDescent="0.25">
      <c r="A114" s="10" t="s">
        <v>463</v>
      </c>
      <c r="B114" s="439" t="s">
        <v>464</v>
      </c>
      <c r="C114" s="10" t="s">
        <v>3</v>
      </c>
      <c r="D114" s="504">
        <v>185.6</v>
      </c>
      <c r="E114" s="504">
        <f t="shared" si="1"/>
        <v>137.48148148148147</v>
      </c>
    </row>
    <row r="115" spans="1:5" ht="30" x14ac:dyDescent="0.25">
      <c r="A115" s="10" t="s">
        <v>465</v>
      </c>
      <c r="B115" s="439" t="s">
        <v>466</v>
      </c>
      <c r="C115" s="10" t="s">
        <v>3</v>
      </c>
      <c r="D115" s="504">
        <v>142.77000000000001</v>
      </c>
      <c r="E115" s="504">
        <f t="shared" si="1"/>
        <v>105.75555555555556</v>
      </c>
    </row>
    <row r="116" spans="1:5" x14ac:dyDescent="0.25">
      <c r="A116" s="10" t="s">
        <v>28090</v>
      </c>
      <c r="B116" s="439" t="s">
        <v>467</v>
      </c>
      <c r="C116" s="10" t="s">
        <v>2</v>
      </c>
      <c r="D116" s="504">
        <v>1.99</v>
      </c>
      <c r="E116" s="504">
        <f t="shared" si="1"/>
        <v>1.4740740740740739</v>
      </c>
    </row>
    <row r="117" spans="1:5" x14ac:dyDescent="0.25">
      <c r="A117" s="10" t="s">
        <v>28091</v>
      </c>
      <c r="B117" s="439" t="s">
        <v>468</v>
      </c>
      <c r="C117" s="10" t="s">
        <v>2</v>
      </c>
      <c r="D117" s="504">
        <v>88.72</v>
      </c>
      <c r="E117" s="504">
        <f t="shared" si="1"/>
        <v>65.718518518518508</v>
      </c>
    </row>
    <row r="118" spans="1:5" x14ac:dyDescent="0.25">
      <c r="A118" s="10" t="s">
        <v>28092</v>
      </c>
      <c r="B118" s="439" t="s">
        <v>469</v>
      </c>
      <c r="C118" s="10" t="s">
        <v>2</v>
      </c>
      <c r="D118" s="504">
        <v>92.32</v>
      </c>
      <c r="E118" s="504">
        <f t="shared" si="1"/>
        <v>68.385185185185179</v>
      </c>
    </row>
    <row r="119" spans="1:5" x14ac:dyDescent="0.25">
      <c r="A119" s="10" t="s">
        <v>28093</v>
      </c>
      <c r="B119" s="439" t="s">
        <v>470</v>
      </c>
      <c r="C119" s="10" t="s">
        <v>2</v>
      </c>
      <c r="D119" s="504">
        <v>97.97</v>
      </c>
      <c r="E119" s="504">
        <f t="shared" si="1"/>
        <v>72.57037037037037</v>
      </c>
    </row>
    <row r="120" spans="1:5" x14ac:dyDescent="0.25">
      <c r="A120" s="10" t="s">
        <v>28094</v>
      </c>
      <c r="B120" s="439" t="s">
        <v>471</v>
      </c>
      <c r="C120" s="10" t="s">
        <v>2</v>
      </c>
      <c r="D120" s="504">
        <v>103.23</v>
      </c>
      <c r="E120" s="504">
        <f t="shared" si="1"/>
        <v>76.466666666666669</v>
      </c>
    </row>
    <row r="121" spans="1:5" x14ac:dyDescent="0.25">
      <c r="A121" s="10" t="s">
        <v>28095</v>
      </c>
      <c r="B121" s="439" t="s">
        <v>472</v>
      </c>
      <c r="C121" s="10" t="s">
        <v>2</v>
      </c>
      <c r="D121" s="504">
        <v>89.86</v>
      </c>
      <c r="E121" s="504">
        <f t="shared" si="1"/>
        <v>66.562962962962956</v>
      </c>
    </row>
    <row r="122" spans="1:5" x14ac:dyDescent="0.25">
      <c r="A122" s="10" t="s">
        <v>28096</v>
      </c>
      <c r="B122" s="439" t="s">
        <v>473</v>
      </c>
      <c r="C122" s="10" t="s">
        <v>40</v>
      </c>
      <c r="D122" s="504">
        <v>529.65</v>
      </c>
      <c r="E122" s="504">
        <f t="shared" si="1"/>
        <v>392.33333333333331</v>
      </c>
    </row>
    <row r="123" spans="1:5" x14ac:dyDescent="0.25">
      <c r="A123" s="10" t="s">
        <v>28097</v>
      </c>
      <c r="B123" s="439" t="s">
        <v>474</v>
      </c>
      <c r="C123" s="10" t="s">
        <v>2</v>
      </c>
      <c r="D123" s="504">
        <v>71.08</v>
      </c>
      <c r="E123" s="504">
        <f t="shared" si="1"/>
        <v>52.651851851851845</v>
      </c>
    </row>
    <row r="124" spans="1:5" x14ac:dyDescent="0.25">
      <c r="A124" s="10" t="s">
        <v>28098</v>
      </c>
      <c r="B124" s="439" t="s">
        <v>475</v>
      </c>
      <c r="C124" s="10" t="s">
        <v>2</v>
      </c>
      <c r="D124" s="504">
        <v>2.39</v>
      </c>
      <c r="E124" s="504">
        <f t="shared" si="1"/>
        <v>1.7703703703703704</v>
      </c>
    </row>
    <row r="125" spans="1:5" ht="30" x14ac:dyDescent="0.25">
      <c r="A125" s="10" t="s">
        <v>28099</v>
      </c>
      <c r="B125" s="439" t="s">
        <v>2391</v>
      </c>
      <c r="C125" s="10" t="s">
        <v>2</v>
      </c>
      <c r="D125" s="504">
        <v>138.12</v>
      </c>
      <c r="E125" s="504">
        <f t="shared" si="1"/>
        <v>102.3111111111111</v>
      </c>
    </row>
    <row r="126" spans="1:5" ht="30" x14ac:dyDescent="0.25">
      <c r="A126" s="10" t="s">
        <v>28100</v>
      </c>
      <c r="B126" s="439" t="s">
        <v>2392</v>
      </c>
      <c r="C126" s="10" t="s">
        <v>2</v>
      </c>
      <c r="D126" s="504">
        <v>74.08</v>
      </c>
      <c r="E126" s="504">
        <f t="shared" si="1"/>
        <v>54.874074074074066</v>
      </c>
    </row>
    <row r="127" spans="1:5" ht="30" x14ac:dyDescent="0.25">
      <c r="A127" s="10" t="s">
        <v>28101</v>
      </c>
      <c r="B127" s="439" t="s">
        <v>2393</v>
      </c>
      <c r="C127" s="10" t="s">
        <v>3</v>
      </c>
      <c r="D127" s="504">
        <v>484.6</v>
      </c>
      <c r="E127" s="504">
        <f t="shared" si="1"/>
        <v>358.96296296296293</v>
      </c>
    </row>
    <row r="128" spans="1:5" x14ac:dyDescent="0.25">
      <c r="A128" s="10" t="s">
        <v>28102</v>
      </c>
      <c r="B128" s="439" t="s">
        <v>476</v>
      </c>
      <c r="C128" s="10" t="s">
        <v>41</v>
      </c>
      <c r="D128" s="504">
        <v>0.66</v>
      </c>
      <c r="E128" s="504">
        <f t="shared" si="1"/>
        <v>0.48888888888888887</v>
      </c>
    </row>
    <row r="129" spans="1:5" x14ac:dyDescent="0.25">
      <c r="A129" s="10" t="s">
        <v>28103</v>
      </c>
      <c r="B129" s="439" t="s">
        <v>477</v>
      </c>
      <c r="C129" s="10" t="s">
        <v>41</v>
      </c>
      <c r="D129" s="504">
        <v>1.24</v>
      </c>
      <c r="E129" s="504">
        <f t="shared" si="1"/>
        <v>0.9185185185185184</v>
      </c>
    </row>
    <row r="130" spans="1:5" x14ac:dyDescent="0.25">
      <c r="A130" s="10" t="s">
        <v>28104</v>
      </c>
      <c r="B130" s="439" t="s">
        <v>478</v>
      </c>
      <c r="C130" s="10" t="s">
        <v>41</v>
      </c>
      <c r="D130" s="504">
        <v>5.41</v>
      </c>
      <c r="E130" s="504">
        <f t="shared" si="1"/>
        <v>4.0074074074074071</v>
      </c>
    </row>
    <row r="131" spans="1:5" x14ac:dyDescent="0.25">
      <c r="A131" s="10" t="s">
        <v>28105</v>
      </c>
      <c r="B131" s="439" t="s">
        <v>479</v>
      </c>
      <c r="C131" s="10" t="s">
        <v>3</v>
      </c>
      <c r="D131" s="504">
        <v>116.85</v>
      </c>
      <c r="E131" s="504">
        <f t="shared" si="1"/>
        <v>86.555555555555543</v>
      </c>
    </row>
    <row r="132" spans="1:5" x14ac:dyDescent="0.25">
      <c r="A132" s="10" t="s">
        <v>28106</v>
      </c>
      <c r="B132" s="439" t="s">
        <v>480</v>
      </c>
      <c r="C132" s="10" t="s">
        <v>3</v>
      </c>
      <c r="D132" s="504">
        <v>37.840000000000003</v>
      </c>
      <c r="E132" s="504">
        <f t="shared" si="1"/>
        <v>28.029629629629632</v>
      </c>
    </row>
    <row r="133" spans="1:5" x14ac:dyDescent="0.25">
      <c r="A133" s="10" t="s">
        <v>28107</v>
      </c>
      <c r="B133" s="439" t="s">
        <v>481</v>
      </c>
      <c r="C133" s="10" t="s">
        <v>41</v>
      </c>
      <c r="D133" s="504">
        <v>1.08</v>
      </c>
      <c r="E133" s="504">
        <f t="shared" si="1"/>
        <v>0.8</v>
      </c>
    </row>
    <row r="134" spans="1:5" x14ac:dyDescent="0.25">
      <c r="A134" s="10" t="s">
        <v>28108</v>
      </c>
      <c r="B134" s="439" t="s">
        <v>2394</v>
      </c>
      <c r="C134" s="10" t="s">
        <v>40</v>
      </c>
      <c r="D134" s="504">
        <v>5.0199999999999996</v>
      </c>
      <c r="E134" s="504">
        <f t="shared" si="1"/>
        <v>3.7185185185185179</v>
      </c>
    </row>
    <row r="135" spans="1:5" x14ac:dyDescent="0.25">
      <c r="A135" s="1121" t="s">
        <v>28109</v>
      </c>
      <c r="B135" s="1122" t="s">
        <v>482</v>
      </c>
      <c r="C135" s="1121" t="s">
        <v>40</v>
      </c>
      <c r="D135" s="1123">
        <v>12.28</v>
      </c>
      <c r="E135" s="1123">
        <f t="shared" si="1"/>
        <v>9.0962962962962948</v>
      </c>
    </row>
    <row r="136" spans="1:5" x14ac:dyDescent="0.25">
      <c r="A136" s="10" t="s">
        <v>28110</v>
      </c>
      <c r="B136" s="439" t="s">
        <v>483</v>
      </c>
      <c r="C136" s="10" t="s">
        <v>40</v>
      </c>
      <c r="D136" s="504">
        <v>41.16</v>
      </c>
      <c r="E136" s="504">
        <f t="shared" si="1"/>
        <v>30.488888888888884</v>
      </c>
    </row>
    <row r="137" spans="1:5" x14ac:dyDescent="0.25">
      <c r="A137" s="10" t="s">
        <v>28111</v>
      </c>
      <c r="B137" s="439" t="s">
        <v>484</v>
      </c>
      <c r="C137" s="10" t="s">
        <v>40</v>
      </c>
      <c r="D137" s="504">
        <v>65.62</v>
      </c>
      <c r="E137" s="504">
        <f t="shared" si="1"/>
        <v>48.607407407407408</v>
      </c>
    </row>
    <row r="138" spans="1:5" x14ac:dyDescent="0.25">
      <c r="A138" s="10" t="s">
        <v>28112</v>
      </c>
      <c r="B138" s="439" t="s">
        <v>485</v>
      </c>
      <c r="C138" s="10" t="s">
        <v>40</v>
      </c>
      <c r="D138" s="504">
        <v>26.57</v>
      </c>
      <c r="E138" s="504">
        <f t="shared" si="1"/>
        <v>19.68148148148148</v>
      </c>
    </row>
    <row r="139" spans="1:5" x14ac:dyDescent="0.25">
      <c r="A139" s="10" t="s">
        <v>28113</v>
      </c>
      <c r="B139" s="439" t="s">
        <v>486</v>
      </c>
      <c r="C139" s="10" t="s">
        <v>40</v>
      </c>
      <c r="D139" s="504">
        <v>5.0199999999999996</v>
      </c>
      <c r="E139" s="504">
        <f t="shared" ref="E139:E202" si="2">D139/(1+$G$4)</f>
        <v>3.7185185185185179</v>
      </c>
    </row>
    <row r="140" spans="1:5" x14ac:dyDescent="0.25">
      <c r="A140" s="10" t="s">
        <v>28114</v>
      </c>
      <c r="B140" s="439" t="s">
        <v>487</v>
      </c>
      <c r="C140" s="10" t="s">
        <v>40</v>
      </c>
      <c r="D140" s="504">
        <v>11.8</v>
      </c>
      <c r="E140" s="504">
        <f t="shared" si="2"/>
        <v>8.7407407407407405</v>
      </c>
    </row>
    <row r="141" spans="1:5" x14ac:dyDescent="0.25">
      <c r="A141" s="10" t="s">
        <v>28115</v>
      </c>
      <c r="B141" s="439" t="s">
        <v>488</v>
      </c>
      <c r="C141" s="10" t="s">
        <v>40</v>
      </c>
      <c r="D141" s="504">
        <v>9.93</v>
      </c>
      <c r="E141" s="504">
        <f t="shared" si="2"/>
        <v>7.3555555555555552</v>
      </c>
    </row>
    <row r="142" spans="1:5" ht="30" x14ac:dyDescent="0.25">
      <c r="A142" s="10" t="s">
        <v>28116</v>
      </c>
      <c r="B142" s="439" t="s">
        <v>489</v>
      </c>
      <c r="C142" s="10" t="s">
        <v>40</v>
      </c>
      <c r="D142" s="504">
        <v>4.84</v>
      </c>
      <c r="E142" s="504">
        <f t="shared" si="2"/>
        <v>3.585185185185185</v>
      </c>
    </row>
    <row r="143" spans="1:5" ht="30" x14ac:dyDescent="0.25">
      <c r="A143" s="10" t="s">
        <v>28117</v>
      </c>
      <c r="B143" s="439" t="s">
        <v>490</v>
      </c>
      <c r="C143" s="10" t="s">
        <v>40</v>
      </c>
      <c r="D143" s="504">
        <v>38.65</v>
      </c>
      <c r="E143" s="504">
        <f t="shared" si="2"/>
        <v>28.629629629629626</v>
      </c>
    </row>
    <row r="144" spans="1:5" x14ac:dyDescent="0.25">
      <c r="A144" s="10" t="s">
        <v>28118</v>
      </c>
      <c r="B144" s="439" t="s">
        <v>491</v>
      </c>
      <c r="C144" s="10" t="s">
        <v>2467</v>
      </c>
      <c r="D144" s="504">
        <v>9.86</v>
      </c>
      <c r="E144" s="504">
        <f t="shared" si="2"/>
        <v>7.3037037037037029</v>
      </c>
    </row>
    <row r="145" spans="1:8" x14ac:dyDescent="0.25">
      <c r="A145" s="10" t="s">
        <v>28119</v>
      </c>
      <c r="B145" s="439" t="s">
        <v>492</v>
      </c>
      <c r="C145" s="10" t="s">
        <v>2467</v>
      </c>
      <c r="D145" s="504">
        <v>5.8</v>
      </c>
      <c r="E145" s="504">
        <f t="shared" si="2"/>
        <v>4.2962962962962958</v>
      </c>
    </row>
    <row r="146" spans="1:8" x14ac:dyDescent="0.25">
      <c r="A146" s="10" t="s">
        <v>28120</v>
      </c>
      <c r="B146" s="439" t="s">
        <v>493</v>
      </c>
      <c r="C146" s="10" t="s">
        <v>2467</v>
      </c>
      <c r="D146" s="504">
        <v>4.51</v>
      </c>
      <c r="E146" s="504">
        <f t="shared" si="2"/>
        <v>3.3407407407407406</v>
      </c>
    </row>
    <row r="147" spans="1:8" x14ac:dyDescent="0.25">
      <c r="A147" s="10" t="s">
        <v>16</v>
      </c>
      <c r="B147" s="439" t="s">
        <v>494</v>
      </c>
      <c r="C147" s="10" t="s">
        <v>2467</v>
      </c>
      <c r="D147" s="504">
        <v>3.77</v>
      </c>
      <c r="E147" s="504">
        <f t="shared" si="2"/>
        <v>2.7925925925925923</v>
      </c>
      <c r="F147" s="1119">
        <f>MC_TERR!C43*MC_TERR!E38*E147</f>
        <v>1091295.5201651389</v>
      </c>
      <c r="G147" s="1119"/>
      <c r="H147" s="1119"/>
    </row>
    <row r="148" spans="1:8" x14ac:dyDescent="0.25">
      <c r="A148" s="10" t="s">
        <v>28121</v>
      </c>
      <c r="B148" s="439" t="s">
        <v>495</v>
      </c>
      <c r="C148" s="10" t="s">
        <v>2467</v>
      </c>
      <c r="D148" s="504">
        <v>3.32</v>
      </c>
      <c r="E148" s="504">
        <f t="shared" si="2"/>
        <v>2.4592592592592588</v>
      </c>
    </row>
    <row r="149" spans="1:8" x14ac:dyDescent="0.25">
      <c r="A149" s="10" t="s">
        <v>28122</v>
      </c>
      <c r="B149" s="439" t="s">
        <v>496</v>
      </c>
      <c r="C149" s="10" t="s">
        <v>2467</v>
      </c>
      <c r="D149" s="504">
        <v>2.62</v>
      </c>
      <c r="E149" s="504">
        <f t="shared" si="2"/>
        <v>1.9407407407407407</v>
      </c>
    </row>
    <row r="150" spans="1:8" x14ac:dyDescent="0.25">
      <c r="A150" s="10" t="s">
        <v>28123</v>
      </c>
      <c r="B150" s="439" t="s">
        <v>497</v>
      </c>
      <c r="C150" s="10" t="s">
        <v>2467</v>
      </c>
      <c r="D150" s="504">
        <v>12.11</v>
      </c>
      <c r="E150" s="504">
        <f t="shared" si="2"/>
        <v>8.9703703703703699</v>
      </c>
    </row>
    <row r="151" spans="1:8" x14ac:dyDescent="0.25">
      <c r="A151" s="10" t="s">
        <v>28124</v>
      </c>
      <c r="B151" s="439" t="s">
        <v>498</v>
      </c>
      <c r="C151" s="10" t="s">
        <v>2467</v>
      </c>
      <c r="D151" s="504">
        <v>8.83</v>
      </c>
      <c r="E151" s="504">
        <f t="shared" si="2"/>
        <v>6.5407407407407403</v>
      </c>
    </row>
    <row r="152" spans="1:8" x14ac:dyDescent="0.25">
      <c r="A152" s="10" t="s">
        <v>28125</v>
      </c>
      <c r="B152" s="439" t="s">
        <v>499</v>
      </c>
      <c r="C152" s="10" t="s">
        <v>2467</v>
      </c>
      <c r="D152" s="504">
        <v>9.23</v>
      </c>
      <c r="E152" s="504">
        <f t="shared" si="2"/>
        <v>6.837037037037037</v>
      </c>
    </row>
    <row r="153" spans="1:8" x14ac:dyDescent="0.25">
      <c r="A153" s="10" t="s">
        <v>28126</v>
      </c>
      <c r="B153" s="439" t="s">
        <v>500</v>
      </c>
      <c r="C153" s="10" t="s">
        <v>2467</v>
      </c>
      <c r="D153" s="504">
        <v>6.35</v>
      </c>
      <c r="E153" s="504">
        <f t="shared" si="2"/>
        <v>4.7037037037037033</v>
      </c>
    </row>
    <row r="154" spans="1:8" x14ac:dyDescent="0.25">
      <c r="A154" s="10" t="s">
        <v>28127</v>
      </c>
      <c r="B154" s="439" t="s">
        <v>501</v>
      </c>
      <c r="C154" s="10" t="s">
        <v>2467</v>
      </c>
      <c r="D154" s="504">
        <v>10.55</v>
      </c>
      <c r="E154" s="504">
        <f t="shared" si="2"/>
        <v>7.8148148148148149</v>
      </c>
    </row>
    <row r="155" spans="1:8" x14ac:dyDescent="0.25">
      <c r="A155" s="10" t="s">
        <v>28128</v>
      </c>
      <c r="B155" s="439" t="s">
        <v>502</v>
      </c>
      <c r="C155" s="10" t="s">
        <v>2467</v>
      </c>
      <c r="D155" s="504">
        <v>6.59</v>
      </c>
      <c r="E155" s="504">
        <f t="shared" si="2"/>
        <v>4.8814814814814813</v>
      </c>
    </row>
    <row r="156" spans="1:8" x14ac:dyDescent="0.25">
      <c r="A156" s="10" t="s">
        <v>28129</v>
      </c>
      <c r="B156" s="439" t="s">
        <v>503</v>
      </c>
      <c r="C156" s="10" t="s">
        <v>40</v>
      </c>
      <c r="D156" s="504">
        <v>7</v>
      </c>
      <c r="E156" s="504">
        <f t="shared" si="2"/>
        <v>5.1851851851851851</v>
      </c>
    </row>
    <row r="157" spans="1:8" x14ac:dyDescent="0.25">
      <c r="A157" s="10" t="s">
        <v>28130</v>
      </c>
      <c r="B157" s="439" t="s">
        <v>504</v>
      </c>
      <c r="C157" s="10" t="s">
        <v>40</v>
      </c>
      <c r="D157" s="504">
        <v>251.48</v>
      </c>
      <c r="E157" s="504">
        <f t="shared" si="2"/>
        <v>186.28148148148145</v>
      </c>
    </row>
    <row r="158" spans="1:8" x14ac:dyDescent="0.25">
      <c r="A158" s="10" t="s">
        <v>28131</v>
      </c>
      <c r="B158" s="439" t="s">
        <v>505</v>
      </c>
      <c r="C158" s="10" t="s">
        <v>40</v>
      </c>
      <c r="D158" s="504">
        <v>246.51</v>
      </c>
      <c r="E158" s="504">
        <f t="shared" si="2"/>
        <v>182.6</v>
      </c>
    </row>
    <row r="159" spans="1:8" x14ac:dyDescent="0.25">
      <c r="A159" s="10" t="s">
        <v>28132</v>
      </c>
      <c r="B159" s="439" t="s">
        <v>506</v>
      </c>
      <c r="C159" s="10" t="s">
        <v>40</v>
      </c>
      <c r="D159" s="504">
        <v>164.3</v>
      </c>
      <c r="E159" s="504">
        <f t="shared" si="2"/>
        <v>121.70370370370371</v>
      </c>
    </row>
    <row r="160" spans="1:8" x14ac:dyDescent="0.25">
      <c r="A160" s="10" t="s">
        <v>28133</v>
      </c>
      <c r="B160" s="439" t="s">
        <v>507</v>
      </c>
      <c r="C160" s="10" t="s">
        <v>40</v>
      </c>
      <c r="D160" s="504">
        <v>4.84</v>
      </c>
      <c r="E160" s="504">
        <f t="shared" si="2"/>
        <v>3.585185185185185</v>
      </c>
    </row>
    <row r="161" spans="1:5" x14ac:dyDescent="0.25">
      <c r="A161" s="10" t="s">
        <v>28134</v>
      </c>
      <c r="B161" s="439" t="s">
        <v>508</v>
      </c>
      <c r="C161" s="10" t="s">
        <v>2</v>
      </c>
      <c r="D161" s="504">
        <v>12.3</v>
      </c>
      <c r="E161" s="504">
        <f t="shared" si="2"/>
        <v>9.1111111111111107</v>
      </c>
    </row>
    <row r="162" spans="1:5" ht="30" x14ac:dyDescent="0.25">
      <c r="A162" s="10" t="s">
        <v>28135</v>
      </c>
      <c r="B162" s="439" t="s">
        <v>509</v>
      </c>
      <c r="C162" s="10" t="s">
        <v>41</v>
      </c>
      <c r="D162" s="504">
        <v>47.53</v>
      </c>
      <c r="E162" s="504">
        <f t="shared" si="2"/>
        <v>35.207407407407409</v>
      </c>
    </row>
    <row r="163" spans="1:5" ht="30" x14ac:dyDescent="0.25">
      <c r="A163" s="10" t="s">
        <v>28136</v>
      </c>
      <c r="B163" s="439" t="s">
        <v>510</v>
      </c>
      <c r="C163" s="10" t="s">
        <v>41</v>
      </c>
      <c r="D163" s="504">
        <v>54.59</v>
      </c>
      <c r="E163" s="504">
        <f t="shared" si="2"/>
        <v>40.437037037037037</v>
      </c>
    </row>
    <row r="164" spans="1:5" ht="30" x14ac:dyDescent="0.25">
      <c r="A164" s="10" t="s">
        <v>28137</v>
      </c>
      <c r="B164" s="439" t="s">
        <v>511</v>
      </c>
      <c r="C164" s="10" t="s">
        <v>41</v>
      </c>
      <c r="D164" s="504">
        <v>61.68</v>
      </c>
      <c r="E164" s="504">
        <f t="shared" si="2"/>
        <v>45.688888888888883</v>
      </c>
    </row>
    <row r="165" spans="1:5" ht="30" x14ac:dyDescent="0.25">
      <c r="A165" s="10" t="s">
        <v>28138</v>
      </c>
      <c r="B165" s="439" t="s">
        <v>512</v>
      </c>
      <c r="C165" s="10" t="s">
        <v>41</v>
      </c>
      <c r="D165" s="504">
        <v>68.7</v>
      </c>
      <c r="E165" s="504">
        <f t="shared" si="2"/>
        <v>50.888888888888886</v>
      </c>
    </row>
    <row r="166" spans="1:5" ht="30" x14ac:dyDescent="0.25">
      <c r="A166" s="10" t="s">
        <v>28139</v>
      </c>
      <c r="B166" s="439" t="s">
        <v>513</v>
      </c>
      <c r="C166" s="10" t="s">
        <v>41</v>
      </c>
      <c r="D166" s="504">
        <v>79.27</v>
      </c>
      <c r="E166" s="504">
        <f t="shared" si="2"/>
        <v>58.718518518518515</v>
      </c>
    </row>
    <row r="167" spans="1:5" ht="30" x14ac:dyDescent="0.25">
      <c r="A167" s="10" t="s">
        <v>28140</v>
      </c>
      <c r="B167" s="439" t="s">
        <v>514</v>
      </c>
      <c r="C167" s="10" t="s">
        <v>41</v>
      </c>
      <c r="D167" s="504">
        <v>88.16</v>
      </c>
      <c r="E167" s="504">
        <f t="shared" si="2"/>
        <v>65.303703703703704</v>
      </c>
    </row>
    <row r="168" spans="1:5" ht="30" x14ac:dyDescent="0.25">
      <c r="A168" s="10" t="s">
        <v>28141</v>
      </c>
      <c r="B168" s="439" t="s">
        <v>515</v>
      </c>
      <c r="C168" s="10" t="s">
        <v>41</v>
      </c>
      <c r="D168" s="504">
        <v>50.24</v>
      </c>
      <c r="E168" s="504">
        <f t="shared" si="2"/>
        <v>37.214814814814815</v>
      </c>
    </row>
    <row r="169" spans="1:5" ht="30" x14ac:dyDescent="0.25">
      <c r="A169" s="10" t="s">
        <v>28142</v>
      </c>
      <c r="B169" s="439" t="s">
        <v>516</v>
      </c>
      <c r="C169" s="10" t="s">
        <v>41</v>
      </c>
      <c r="D169" s="504">
        <v>57.74</v>
      </c>
      <c r="E169" s="504">
        <f t="shared" si="2"/>
        <v>42.770370370370372</v>
      </c>
    </row>
    <row r="170" spans="1:5" ht="30" x14ac:dyDescent="0.25">
      <c r="A170" s="10" t="s">
        <v>28143</v>
      </c>
      <c r="B170" s="439" t="s">
        <v>517</v>
      </c>
      <c r="C170" s="10" t="s">
        <v>41</v>
      </c>
      <c r="D170" s="504">
        <v>65.16</v>
      </c>
      <c r="E170" s="504">
        <f t="shared" si="2"/>
        <v>48.266666666666659</v>
      </c>
    </row>
    <row r="171" spans="1:5" ht="30" x14ac:dyDescent="0.25">
      <c r="A171" s="10" t="s">
        <v>28144</v>
      </c>
      <c r="B171" s="439" t="s">
        <v>518</v>
      </c>
      <c r="C171" s="10" t="s">
        <v>41</v>
      </c>
      <c r="D171" s="504">
        <v>72.650000000000006</v>
      </c>
      <c r="E171" s="504">
        <f t="shared" si="2"/>
        <v>53.814814814814817</v>
      </c>
    </row>
    <row r="172" spans="1:5" ht="30" x14ac:dyDescent="0.25">
      <c r="A172" s="10" t="s">
        <v>28145</v>
      </c>
      <c r="B172" s="439" t="s">
        <v>519</v>
      </c>
      <c r="C172" s="10" t="s">
        <v>41</v>
      </c>
      <c r="D172" s="504">
        <v>83.86</v>
      </c>
      <c r="E172" s="504">
        <f t="shared" si="2"/>
        <v>62.118518518518513</v>
      </c>
    </row>
    <row r="173" spans="1:5" ht="30" x14ac:dyDescent="0.25">
      <c r="A173" s="10" t="s">
        <v>28146</v>
      </c>
      <c r="B173" s="439" t="s">
        <v>520</v>
      </c>
      <c r="C173" s="10" t="s">
        <v>41</v>
      </c>
      <c r="D173" s="504">
        <v>93.15</v>
      </c>
      <c r="E173" s="504">
        <f t="shared" si="2"/>
        <v>69</v>
      </c>
    </row>
    <row r="174" spans="1:5" ht="30" x14ac:dyDescent="0.25">
      <c r="A174" s="10" t="s">
        <v>28147</v>
      </c>
      <c r="B174" s="439" t="s">
        <v>521</v>
      </c>
      <c r="C174" s="10" t="s">
        <v>41</v>
      </c>
      <c r="D174" s="504">
        <v>52.94</v>
      </c>
      <c r="E174" s="504">
        <f t="shared" si="2"/>
        <v>39.214814814814808</v>
      </c>
    </row>
    <row r="175" spans="1:5" ht="30" x14ac:dyDescent="0.25">
      <c r="A175" s="10" t="s">
        <v>28148</v>
      </c>
      <c r="B175" s="439" t="s">
        <v>522</v>
      </c>
      <c r="C175" s="10" t="s">
        <v>41</v>
      </c>
      <c r="D175" s="504">
        <v>60.84</v>
      </c>
      <c r="E175" s="504">
        <f t="shared" si="2"/>
        <v>45.066666666666663</v>
      </c>
    </row>
    <row r="176" spans="1:5" ht="30" x14ac:dyDescent="0.25">
      <c r="A176" s="10" t="s">
        <v>28149</v>
      </c>
      <c r="B176" s="439" t="s">
        <v>523</v>
      </c>
      <c r="C176" s="10" t="s">
        <v>41</v>
      </c>
      <c r="D176" s="504">
        <v>68.7</v>
      </c>
      <c r="E176" s="504">
        <f t="shared" si="2"/>
        <v>50.888888888888886</v>
      </c>
    </row>
    <row r="177" spans="1:5" ht="30" x14ac:dyDescent="0.25">
      <c r="A177" s="10" t="s">
        <v>28150</v>
      </c>
      <c r="B177" s="439" t="s">
        <v>524</v>
      </c>
      <c r="C177" s="10" t="s">
        <v>41</v>
      </c>
      <c r="D177" s="504">
        <v>76.59</v>
      </c>
      <c r="E177" s="504">
        <f t="shared" si="2"/>
        <v>56.733333333333334</v>
      </c>
    </row>
    <row r="178" spans="1:5" ht="30" x14ac:dyDescent="0.25">
      <c r="A178" s="10" t="s">
        <v>28151</v>
      </c>
      <c r="B178" s="439" t="s">
        <v>525</v>
      </c>
      <c r="C178" s="10" t="s">
        <v>41</v>
      </c>
      <c r="D178" s="504">
        <v>88.41</v>
      </c>
      <c r="E178" s="504">
        <f t="shared" si="2"/>
        <v>65.48888888888888</v>
      </c>
    </row>
    <row r="179" spans="1:5" ht="30" x14ac:dyDescent="0.25">
      <c r="A179" s="10" t="s">
        <v>28152</v>
      </c>
      <c r="B179" s="439" t="s">
        <v>526</v>
      </c>
      <c r="C179" s="10" t="s">
        <v>41</v>
      </c>
      <c r="D179" s="504">
        <v>98.33</v>
      </c>
      <c r="E179" s="504">
        <f t="shared" si="2"/>
        <v>72.837037037037035</v>
      </c>
    </row>
    <row r="180" spans="1:5" ht="30" x14ac:dyDescent="0.25">
      <c r="A180" s="10" t="s">
        <v>28153</v>
      </c>
      <c r="B180" s="439" t="s">
        <v>527</v>
      </c>
      <c r="C180" s="10" t="s">
        <v>41</v>
      </c>
      <c r="D180" s="504">
        <v>55.63</v>
      </c>
      <c r="E180" s="504">
        <f t="shared" si="2"/>
        <v>41.207407407407409</v>
      </c>
    </row>
    <row r="181" spans="1:5" ht="30" x14ac:dyDescent="0.25">
      <c r="A181" s="10" t="s">
        <v>28154</v>
      </c>
      <c r="B181" s="439" t="s">
        <v>528</v>
      </c>
      <c r="C181" s="10" t="s">
        <v>41</v>
      </c>
      <c r="D181" s="504">
        <v>63.95</v>
      </c>
      <c r="E181" s="504">
        <f t="shared" si="2"/>
        <v>47.370370370370367</v>
      </c>
    </row>
    <row r="182" spans="1:5" ht="30" x14ac:dyDescent="0.25">
      <c r="A182" s="10" t="s">
        <v>28155</v>
      </c>
      <c r="B182" s="439" t="s">
        <v>529</v>
      </c>
      <c r="C182" s="10" t="s">
        <v>41</v>
      </c>
      <c r="D182" s="504">
        <v>72.209999999999994</v>
      </c>
      <c r="E182" s="504">
        <f t="shared" si="2"/>
        <v>53.48888888888888</v>
      </c>
    </row>
    <row r="183" spans="1:5" ht="30" x14ac:dyDescent="0.25">
      <c r="A183" s="10" t="s">
        <v>28156</v>
      </c>
      <c r="B183" s="439" t="s">
        <v>530</v>
      </c>
      <c r="C183" s="10" t="s">
        <v>41</v>
      </c>
      <c r="D183" s="504">
        <v>80.510000000000005</v>
      </c>
      <c r="E183" s="504">
        <f t="shared" si="2"/>
        <v>59.63703703703704</v>
      </c>
    </row>
    <row r="184" spans="1:5" ht="30" x14ac:dyDescent="0.25">
      <c r="A184" s="10" t="s">
        <v>28157</v>
      </c>
      <c r="B184" s="439" t="s">
        <v>531</v>
      </c>
      <c r="C184" s="10" t="s">
        <v>41</v>
      </c>
      <c r="D184" s="504">
        <v>92.96</v>
      </c>
      <c r="E184" s="504">
        <f t="shared" si="2"/>
        <v>68.859259259259247</v>
      </c>
    </row>
    <row r="185" spans="1:5" ht="30" x14ac:dyDescent="0.25">
      <c r="A185" s="10" t="s">
        <v>28158</v>
      </c>
      <c r="B185" s="439" t="s">
        <v>532</v>
      </c>
      <c r="C185" s="10" t="s">
        <v>41</v>
      </c>
      <c r="D185" s="504">
        <v>103.32</v>
      </c>
      <c r="E185" s="504">
        <f t="shared" si="2"/>
        <v>76.533333333333317</v>
      </c>
    </row>
    <row r="186" spans="1:5" ht="30" x14ac:dyDescent="0.25">
      <c r="A186" s="10" t="s">
        <v>28159</v>
      </c>
      <c r="B186" s="439" t="s">
        <v>533</v>
      </c>
      <c r="C186" s="10" t="s">
        <v>41</v>
      </c>
      <c r="D186" s="504">
        <v>73.25</v>
      </c>
      <c r="E186" s="504">
        <f t="shared" si="2"/>
        <v>54.259259259259252</v>
      </c>
    </row>
    <row r="187" spans="1:5" ht="30" x14ac:dyDescent="0.25">
      <c r="A187" s="10" t="s">
        <v>28160</v>
      </c>
      <c r="B187" s="439" t="s">
        <v>534</v>
      </c>
      <c r="C187" s="10" t="s">
        <v>41</v>
      </c>
      <c r="D187" s="504">
        <v>82.78</v>
      </c>
      <c r="E187" s="504">
        <f t="shared" si="2"/>
        <v>61.318518518518516</v>
      </c>
    </row>
    <row r="188" spans="1:5" ht="30" x14ac:dyDescent="0.25">
      <c r="A188" s="10" t="s">
        <v>28161</v>
      </c>
      <c r="B188" s="439" t="s">
        <v>535</v>
      </c>
      <c r="C188" s="10" t="s">
        <v>41</v>
      </c>
      <c r="D188" s="504">
        <v>92.32</v>
      </c>
      <c r="E188" s="504">
        <f t="shared" si="2"/>
        <v>68.385185185185179</v>
      </c>
    </row>
    <row r="189" spans="1:5" ht="30" x14ac:dyDescent="0.25">
      <c r="A189" s="10" t="s">
        <v>28162</v>
      </c>
      <c r="B189" s="439" t="s">
        <v>536</v>
      </c>
      <c r="C189" s="10" t="s">
        <v>41</v>
      </c>
      <c r="D189" s="504">
        <v>106.63</v>
      </c>
      <c r="E189" s="504">
        <f t="shared" si="2"/>
        <v>78.985185185185173</v>
      </c>
    </row>
    <row r="190" spans="1:5" ht="30" x14ac:dyDescent="0.25">
      <c r="A190" s="10" t="s">
        <v>28163</v>
      </c>
      <c r="B190" s="439" t="s">
        <v>537</v>
      </c>
      <c r="C190" s="10" t="s">
        <v>41</v>
      </c>
      <c r="D190" s="504">
        <v>118.67</v>
      </c>
      <c r="E190" s="504">
        <f t="shared" si="2"/>
        <v>87.903703703703698</v>
      </c>
    </row>
    <row r="191" spans="1:5" ht="30" x14ac:dyDescent="0.25">
      <c r="A191" s="10" t="s">
        <v>28164</v>
      </c>
      <c r="B191" s="439" t="s">
        <v>538</v>
      </c>
      <c r="C191" s="10" t="s">
        <v>41</v>
      </c>
      <c r="D191" s="504">
        <v>159.31</v>
      </c>
      <c r="E191" s="504">
        <f t="shared" si="2"/>
        <v>118.0074074074074</v>
      </c>
    </row>
    <row r="192" spans="1:5" ht="30" x14ac:dyDescent="0.25">
      <c r="A192" s="10" t="s">
        <v>28165</v>
      </c>
      <c r="B192" s="439" t="s">
        <v>539</v>
      </c>
      <c r="C192" s="10" t="s">
        <v>41</v>
      </c>
      <c r="D192" s="504">
        <v>175.87</v>
      </c>
      <c r="E192" s="504">
        <f t="shared" si="2"/>
        <v>130.27407407407406</v>
      </c>
    </row>
    <row r="193" spans="1:5" ht="30" x14ac:dyDescent="0.25">
      <c r="A193" s="10" t="s">
        <v>28166</v>
      </c>
      <c r="B193" s="439" t="s">
        <v>540</v>
      </c>
      <c r="C193" s="10" t="s">
        <v>41</v>
      </c>
      <c r="D193" s="504">
        <v>188.31</v>
      </c>
      <c r="E193" s="504">
        <f t="shared" si="2"/>
        <v>139.48888888888888</v>
      </c>
    </row>
    <row r="194" spans="1:5" ht="30" x14ac:dyDescent="0.25">
      <c r="A194" s="10" t="s">
        <v>28167</v>
      </c>
      <c r="B194" s="439" t="s">
        <v>541</v>
      </c>
      <c r="C194" s="10" t="s">
        <v>41</v>
      </c>
      <c r="D194" s="504">
        <v>184.16</v>
      </c>
      <c r="E194" s="504">
        <f t="shared" si="2"/>
        <v>136.4148148148148</v>
      </c>
    </row>
    <row r="195" spans="1:5" ht="30" x14ac:dyDescent="0.25">
      <c r="A195" s="10" t="s">
        <v>28168</v>
      </c>
      <c r="B195" s="439" t="s">
        <v>542</v>
      </c>
      <c r="C195" s="10" t="s">
        <v>41</v>
      </c>
      <c r="D195" s="504">
        <v>200.73</v>
      </c>
      <c r="E195" s="504">
        <f t="shared" si="2"/>
        <v>148.68888888888887</v>
      </c>
    </row>
    <row r="196" spans="1:5" ht="30" x14ac:dyDescent="0.25">
      <c r="A196" s="10" t="s">
        <v>28169</v>
      </c>
      <c r="B196" s="439" t="s">
        <v>543</v>
      </c>
      <c r="C196" s="10" t="s">
        <v>41</v>
      </c>
      <c r="D196" s="504">
        <v>209.06</v>
      </c>
      <c r="E196" s="504">
        <f t="shared" si="2"/>
        <v>154.85925925925926</v>
      </c>
    </row>
    <row r="197" spans="1:5" ht="30" x14ac:dyDescent="0.25">
      <c r="A197" s="10" t="s">
        <v>28170</v>
      </c>
      <c r="B197" s="439" t="s">
        <v>544</v>
      </c>
      <c r="C197" s="10" t="s">
        <v>41</v>
      </c>
      <c r="D197" s="504">
        <v>52.94</v>
      </c>
      <c r="E197" s="504">
        <f t="shared" si="2"/>
        <v>39.214814814814808</v>
      </c>
    </row>
    <row r="198" spans="1:5" ht="30" x14ac:dyDescent="0.25">
      <c r="A198" s="10" t="s">
        <v>28171</v>
      </c>
      <c r="B198" s="439" t="s">
        <v>545</v>
      </c>
      <c r="C198" s="10" t="s">
        <v>41</v>
      </c>
      <c r="D198" s="504">
        <v>60.84</v>
      </c>
      <c r="E198" s="504">
        <f t="shared" si="2"/>
        <v>45.066666666666663</v>
      </c>
    </row>
    <row r="199" spans="1:5" ht="30" x14ac:dyDescent="0.25">
      <c r="A199" s="10" t="s">
        <v>28172</v>
      </c>
      <c r="B199" s="439" t="s">
        <v>546</v>
      </c>
      <c r="C199" s="10" t="s">
        <v>41</v>
      </c>
      <c r="D199" s="504">
        <v>68.7</v>
      </c>
      <c r="E199" s="504">
        <f t="shared" si="2"/>
        <v>50.888888888888886</v>
      </c>
    </row>
    <row r="200" spans="1:5" ht="30" x14ac:dyDescent="0.25">
      <c r="A200" s="10" t="s">
        <v>28173</v>
      </c>
      <c r="B200" s="439" t="s">
        <v>547</v>
      </c>
      <c r="C200" s="10" t="s">
        <v>41</v>
      </c>
      <c r="D200" s="504">
        <v>76.59</v>
      </c>
      <c r="E200" s="504">
        <f t="shared" si="2"/>
        <v>56.733333333333334</v>
      </c>
    </row>
    <row r="201" spans="1:5" ht="30" x14ac:dyDescent="0.25">
      <c r="A201" s="10" t="s">
        <v>28174</v>
      </c>
      <c r="B201" s="439" t="s">
        <v>548</v>
      </c>
      <c r="C201" s="10" t="s">
        <v>41</v>
      </c>
      <c r="D201" s="504">
        <v>55.63</v>
      </c>
      <c r="E201" s="504">
        <f t="shared" si="2"/>
        <v>41.207407407407409</v>
      </c>
    </row>
    <row r="202" spans="1:5" ht="30" x14ac:dyDescent="0.25">
      <c r="A202" s="10" t="s">
        <v>28175</v>
      </c>
      <c r="B202" s="439" t="s">
        <v>549</v>
      </c>
      <c r="C202" s="10" t="s">
        <v>41</v>
      </c>
      <c r="D202" s="504">
        <v>63.95</v>
      </c>
      <c r="E202" s="504">
        <f t="shared" si="2"/>
        <v>47.370370370370367</v>
      </c>
    </row>
    <row r="203" spans="1:5" ht="30" x14ac:dyDescent="0.25">
      <c r="A203" s="10" t="s">
        <v>28176</v>
      </c>
      <c r="B203" s="439" t="s">
        <v>550</v>
      </c>
      <c r="C203" s="10" t="s">
        <v>41</v>
      </c>
      <c r="D203" s="504">
        <v>72.209999999999994</v>
      </c>
      <c r="E203" s="504">
        <f t="shared" ref="E203:E266" si="3">D203/(1+$G$4)</f>
        <v>53.48888888888888</v>
      </c>
    </row>
    <row r="204" spans="1:5" ht="30" x14ac:dyDescent="0.25">
      <c r="A204" s="10" t="s">
        <v>28177</v>
      </c>
      <c r="B204" s="439" t="s">
        <v>551</v>
      </c>
      <c r="C204" s="10" t="s">
        <v>41</v>
      </c>
      <c r="D204" s="504">
        <v>80.510000000000005</v>
      </c>
      <c r="E204" s="504">
        <f t="shared" si="3"/>
        <v>59.63703703703704</v>
      </c>
    </row>
    <row r="205" spans="1:5" x14ac:dyDescent="0.25">
      <c r="A205" s="10" t="s">
        <v>28178</v>
      </c>
      <c r="B205" s="439" t="s">
        <v>552</v>
      </c>
      <c r="C205" s="10" t="s">
        <v>41</v>
      </c>
      <c r="D205" s="504">
        <v>2.96</v>
      </c>
      <c r="E205" s="504">
        <f t="shared" si="3"/>
        <v>2.1925925925925922</v>
      </c>
    </row>
    <row r="206" spans="1:5" x14ac:dyDescent="0.25">
      <c r="A206" s="10" t="s">
        <v>28179</v>
      </c>
      <c r="B206" s="439" t="s">
        <v>553</v>
      </c>
      <c r="C206" s="10" t="s">
        <v>41</v>
      </c>
      <c r="D206" s="504">
        <v>3.54</v>
      </c>
      <c r="E206" s="504">
        <f t="shared" si="3"/>
        <v>2.6222222222222222</v>
      </c>
    </row>
    <row r="207" spans="1:5" x14ac:dyDescent="0.25">
      <c r="A207" s="10" t="s">
        <v>28180</v>
      </c>
      <c r="B207" s="439" t="s">
        <v>554</v>
      </c>
      <c r="C207" s="10" t="s">
        <v>40</v>
      </c>
      <c r="D207" s="504">
        <v>12.09</v>
      </c>
      <c r="E207" s="504">
        <f t="shared" si="3"/>
        <v>8.9555555555555557</v>
      </c>
    </row>
    <row r="208" spans="1:5" x14ac:dyDescent="0.25">
      <c r="A208" s="10" t="s">
        <v>28181</v>
      </c>
      <c r="B208" s="439" t="s">
        <v>555</v>
      </c>
      <c r="C208" s="10" t="s">
        <v>2467</v>
      </c>
      <c r="D208" s="504">
        <v>10.32</v>
      </c>
      <c r="E208" s="504">
        <f t="shared" si="3"/>
        <v>7.6444444444444439</v>
      </c>
    </row>
    <row r="209" spans="1:5" x14ac:dyDescent="0.25">
      <c r="A209" s="10" t="s">
        <v>28182</v>
      </c>
      <c r="B209" s="439" t="s">
        <v>556</v>
      </c>
      <c r="C209" s="10" t="s">
        <v>2467</v>
      </c>
      <c r="D209" s="504">
        <v>7.24</v>
      </c>
      <c r="E209" s="504">
        <f t="shared" si="3"/>
        <v>5.3629629629629632</v>
      </c>
    </row>
    <row r="210" spans="1:5" x14ac:dyDescent="0.25">
      <c r="A210" s="10" t="s">
        <v>28183</v>
      </c>
      <c r="B210" s="439" t="s">
        <v>557</v>
      </c>
      <c r="C210" s="10" t="s">
        <v>2467</v>
      </c>
      <c r="D210" s="504">
        <v>5.65</v>
      </c>
      <c r="E210" s="504">
        <f t="shared" si="3"/>
        <v>4.1851851851851851</v>
      </c>
    </row>
    <row r="211" spans="1:5" x14ac:dyDescent="0.25">
      <c r="A211" s="10" t="s">
        <v>28184</v>
      </c>
      <c r="B211" s="439" t="s">
        <v>558</v>
      </c>
      <c r="C211" s="10" t="s">
        <v>2467</v>
      </c>
      <c r="D211" s="504">
        <v>4.7300000000000004</v>
      </c>
      <c r="E211" s="504">
        <f t="shared" si="3"/>
        <v>3.503703703703704</v>
      </c>
    </row>
    <row r="212" spans="1:5" x14ac:dyDescent="0.25">
      <c r="A212" s="10" t="s">
        <v>28185</v>
      </c>
      <c r="B212" s="439" t="s">
        <v>559</v>
      </c>
      <c r="C212" s="10" t="s">
        <v>2467</v>
      </c>
      <c r="D212" s="504">
        <v>4.17</v>
      </c>
      <c r="E212" s="504">
        <f t="shared" si="3"/>
        <v>3.0888888888888886</v>
      </c>
    </row>
    <row r="213" spans="1:5" x14ac:dyDescent="0.25">
      <c r="A213" s="10" t="s">
        <v>28186</v>
      </c>
      <c r="B213" s="439" t="s">
        <v>560</v>
      </c>
      <c r="C213" s="10" t="s">
        <v>2467</v>
      </c>
      <c r="D213" s="504">
        <v>3.29</v>
      </c>
      <c r="E213" s="504">
        <f t="shared" si="3"/>
        <v>2.4370370370370371</v>
      </c>
    </row>
    <row r="214" spans="1:5" x14ac:dyDescent="0.25">
      <c r="A214" s="10" t="s">
        <v>28187</v>
      </c>
      <c r="B214" s="439" t="s">
        <v>561</v>
      </c>
      <c r="C214" s="10" t="s">
        <v>40</v>
      </c>
      <c r="D214" s="504">
        <v>9.5500000000000007</v>
      </c>
      <c r="E214" s="504">
        <f t="shared" si="3"/>
        <v>7.0740740740740744</v>
      </c>
    </row>
    <row r="215" spans="1:5" x14ac:dyDescent="0.25">
      <c r="A215" s="10" t="s">
        <v>28188</v>
      </c>
      <c r="B215" s="439" t="s">
        <v>562</v>
      </c>
      <c r="C215" s="10" t="s">
        <v>40</v>
      </c>
      <c r="D215" s="504">
        <v>8.59</v>
      </c>
      <c r="E215" s="504">
        <f t="shared" si="3"/>
        <v>6.3629629629629623</v>
      </c>
    </row>
    <row r="216" spans="1:5" x14ac:dyDescent="0.25">
      <c r="A216" s="10" t="s">
        <v>28189</v>
      </c>
      <c r="B216" s="439" t="s">
        <v>2395</v>
      </c>
      <c r="C216" s="10" t="s">
        <v>40</v>
      </c>
      <c r="D216" s="504">
        <v>111.33</v>
      </c>
      <c r="E216" s="504">
        <f t="shared" si="3"/>
        <v>82.466666666666654</v>
      </c>
    </row>
    <row r="217" spans="1:5" ht="30" x14ac:dyDescent="0.25">
      <c r="A217" s="10" t="s">
        <v>28190</v>
      </c>
      <c r="B217" s="439" t="s">
        <v>563</v>
      </c>
      <c r="C217" s="10" t="s">
        <v>40</v>
      </c>
      <c r="D217" s="504">
        <v>173.94</v>
      </c>
      <c r="E217" s="504">
        <f t="shared" si="3"/>
        <v>128.84444444444443</v>
      </c>
    </row>
    <row r="218" spans="1:5" ht="30" x14ac:dyDescent="0.25">
      <c r="A218" s="10" t="s">
        <v>28191</v>
      </c>
      <c r="B218" s="439" t="s">
        <v>564</v>
      </c>
      <c r="C218" s="10" t="s">
        <v>40</v>
      </c>
      <c r="D218" s="504">
        <v>195.05</v>
      </c>
      <c r="E218" s="504">
        <f t="shared" si="3"/>
        <v>144.48148148148147</v>
      </c>
    </row>
    <row r="219" spans="1:5" ht="30" x14ac:dyDescent="0.25">
      <c r="A219" s="10" t="s">
        <v>28192</v>
      </c>
      <c r="B219" s="439" t="s">
        <v>565</v>
      </c>
      <c r="C219" s="10" t="s">
        <v>40</v>
      </c>
      <c r="D219" s="504">
        <v>216.16</v>
      </c>
      <c r="E219" s="504">
        <f t="shared" si="3"/>
        <v>160.1185185185185</v>
      </c>
    </row>
    <row r="220" spans="1:5" ht="30" x14ac:dyDescent="0.25">
      <c r="A220" s="10" t="s">
        <v>28193</v>
      </c>
      <c r="B220" s="439" t="s">
        <v>566</v>
      </c>
      <c r="C220" s="10" t="s">
        <v>40</v>
      </c>
      <c r="D220" s="504">
        <v>237.26</v>
      </c>
      <c r="E220" s="504">
        <f t="shared" si="3"/>
        <v>175.74814814814812</v>
      </c>
    </row>
    <row r="221" spans="1:5" ht="30" x14ac:dyDescent="0.25">
      <c r="A221" s="10" t="s">
        <v>28194</v>
      </c>
      <c r="B221" s="439" t="s">
        <v>567</v>
      </c>
      <c r="C221" s="10" t="s">
        <v>40</v>
      </c>
      <c r="D221" s="504">
        <v>258.37</v>
      </c>
      <c r="E221" s="504">
        <f t="shared" si="3"/>
        <v>191.38518518518518</v>
      </c>
    </row>
    <row r="222" spans="1:5" ht="30" x14ac:dyDescent="0.25">
      <c r="A222" s="10" t="s">
        <v>28195</v>
      </c>
      <c r="B222" s="439" t="s">
        <v>568</v>
      </c>
      <c r="C222" s="10" t="s">
        <v>40</v>
      </c>
      <c r="D222" s="504">
        <v>279.48</v>
      </c>
      <c r="E222" s="504">
        <f t="shared" si="3"/>
        <v>207.02222222222221</v>
      </c>
    </row>
    <row r="223" spans="1:5" ht="30" x14ac:dyDescent="0.25">
      <c r="A223" s="10" t="s">
        <v>28196</v>
      </c>
      <c r="B223" s="439" t="s">
        <v>569</v>
      </c>
      <c r="C223" s="10" t="s">
        <v>40</v>
      </c>
      <c r="D223" s="504">
        <v>300.58999999999997</v>
      </c>
      <c r="E223" s="504">
        <f t="shared" si="3"/>
        <v>222.65925925925922</v>
      </c>
    </row>
    <row r="224" spans="1:5" ht="30" x14ac:dyDescent="0.25">
      <c r="A224" s="10" t="s">
        <v>28197</v>
      </c>
      <c r="B224" s="439" t="s">
        <v>570</v>
      </c>
      <c r="C224" s="10" t="s">
        <v>40</v>
      </c>
      <c r="D224" s="504">
        <v>321.7</v>
      </c>
      <c r="E224" s="504">
        <f t="shared" si="3"/>
        <v>238.29629629629628</v>
      </c>
    </row>
    <row r="225" spans="1:5" ht="30" x14ac:dyDescent="0.25">
      <c r="A225" s="10" t="s">
        <v>28198</v>
      </c>
      <c r="B225" s="439" t="s">
        <v>571</v>
      </c>
      <c r="C225" s="10" t="s">
        <v>40</v>
      </c>
      <c r="D225" s="504">
        <v>342.8</v>
      </c>
      <c r="E225" s="504">
        <f t="shared" si="3"/>
        <v>253.92592592592592</v>
      </c>
    </row>
    <row r="226" spans="1:5" ht="30" x14ac:dyDescent="0.25">
      <c r="A226" s="10" t="s">
        <v>28199</v>
      </c>
      <c r="B226" s="439" t="s">
        <v>572</v>
      </c>
      <c r="C226" s="10" t="s">
        <v>40</v>
      </c>
      <c r="D226" s="504">
        <v>363.91</v>
      </c>
      <c r="E226" s="504">
        <f t="shared" si="3"/>
        <v>269.56296296296296</v>
      </c>
    </row>
    <row r="227" spans="1:5" ht="30" x14ac:dyDescent="0.25">
      <c r="A227" s="10" t="s">
        <v>28200</v>
      </c>
      <c r="B227" s="439" t="s">
        <v>573</v>
      </c>
      <c r="C227" s="10" t="s">
        <v>40</v>
      </c>
      <c r="D227" s="504">
        <v>151.80000000000001</v>
      </c>
      <c r="E227" s="504">
        <f t="shared" si="3"/>
        <v>112.44444444444444</v>
      </c>
    </row>
    <row r="228" spans="1:5" ht="30" x14ac:dyDescent="0.25">
      <c r="A228" s="10" t="s">
        <v>28201</v>
      </c>
      <c r="B228" s="439" t="s">
        <v>574</v>
      </c>
      <c r="C228" s="10" t="s">
        <v>40</v>
      </c>
      <c r="D228" s="504">
        <v>172.91</v>
      </c>
      <c r="E228" s="504">
        <f t="shared" si="3"/>
        <v>128.08148148148146</v>
      </c>
    </row>
    <row r="229" spans="1:5" ht="30" x14ac:dyDescent="0.25">
      <c r="A229" s="10" t="s">
        <v>28202</v>
      </c>
      <c r="B229" s="439" t="s">
        <v>575</v>
      </c>
      <c r="C229" s="10" t="s">
        <v>40</v>
      </c>
      <c r="D229" s="504">
        <v>194.02</v>
      </c>
      <c r="E229" s="504">
        <f t="shared" si="3"/>
        <v>143.71851851851852</v>
      </c>
    </row>
    <row r="230" spans="1:5" ht="30" x14ac:dyDescent="0.25">
      <c r="A230" s="10" t="s">
        <v>28203</v>
      </c>
      <c r="B230" s="439" t="s">
        <v>576</v>
      </c>
      <c r="C230" s="10" t="s">
        <v>40</v>
      </c>
      <c r="D230" s="504">
        <v>215.13</v>
      </c>
      <c r="E230" s="504">
        <f t="shared" si="3"/>
        <v>159.35555555555555</v>
      </c>
    </row>
    <row r="231" spans="1:5" ht="30" x14ac:dyDescent="0.25">
      <c r="A231" s="10" t="s">
        <v>28204</v>
      </c>
      <c r="B231" s="439" t="s">
        <v>577</v>
      </c>
      <c r="C231" s="10" t="s">
        <v>40</v>
      </c>
      <c r="D231" s="504">
        <v>223.86</v>
      </c>
      <c r="E231" s="504">
        <f t="shared" si="3"/>
        <v>165.82222222222222</v>
      </c>
    </row>
    <row r="232" spans="1:5" ht="30" x14ac:dyDescent="0.25">
      <c r="A232" s="10" t="s">
        <v>28205</v>
      </c>
      <c r="B232" s="439" t="s">
        <v>578</v>
      </c>
      <c r="C232" s="10" t="s">
        <v>40</v>
      </c>
      <c r="D232" s="504">
        <v>231.58</v>
      </c>
      <c r="E232" s="504">
        <f t="shared" si="3"/>
        <v>171.54074074074074</v>
      </c>
    </row>
    <row r="233" spans="1:5" ht="30" x14ac:dyDescent="0.25">
      <c r="A233" s="10" t="s">
        <v>28206</v>
      </c>
      <c r="B233" s="439" t="s">
        <v>579</v>
      </c>
      <c r="C233" s="10" t="s">
        <v>40</v>
      </c>
      <c r="D233" s="504">
        <v>249.9</v>
      </c>
      <c r="E233" s="504">
        <f t="shared" si="3"/>
        <v>185.11111111111111</v>
      </c>
    </row>
    <row r="234" spans="1:5" ht="30" x14ac:dyDescent="0.25">
      <c r="A234" s="10" t="s">
        <v>28207</v>
      </c>
      <c r="B234" s="439" t="s">
        <v>580</v>
      </c>
      <c r="C234" s="10" t="s">
        <v>40</v>
      </c>
      <c r="D234" s="504">
        <v>270.06</v>
      </c>
      <c r="E234" s="504">
        <f t="shared" si="3"/>
        <v>200.04444444444442</v>
      </c>
    </row>
    <row r="235" spans="1:5" ht="30" x14ac:dyDescent="0.25">
      <c r="A235" s="10" t="s">
        <v>28208</v>
      </c>
      <c r="B235" s="439" t="s">
        <v>581</v>
      </c>
      <c r="C235" s="10" t="s">
        <v>40</v>
      </c>
      <c r="D235" s="504">
        <v>288.04000000000002</v>
      </c>
      <c r="E235" s="504">
        <f t="shared" si="3"/>
        <v>213.36296296296297</v>
      </c>
    </row>
    <row r="236" spans="1:5" ht="30" x14ac:dyDescent="0.25">
      <c r="A236" s="10" t="s">
        <v>28209</v>
      </c>
      <c r="B236" s="439" t="s">
        <v>582</v>
      </c>
      <c r="C236" s="10" t="s">
        <v>40</v>
      </c>
      <c r="D236" s="504">
        <v>307.63</v>
      </c>
      <c r="E236" s="504">
        <f t="shared" si="3"/>
        <v>227.87407407407406</v>
      </c>
    </row>
    <row r="237" spans="1:5" ht="30" x14ac:dyDescent="0.25">
      <c r="A237" s="10" t="s">
        <v>28210</v>
      </c>
      <c r="B237" s="439" t="s">
        <v>583</v>
      </c>
      <c r="C237" s="10" t="s">
        <v>40</v>
      </c>
      <c r="D237" s="504">
        <v>197.78</v>
      </c>
      <c r="E237" s="504">
        <f t="shared" si="3"/>
        <v>146.50370370370371</v>
      </c>
    </row>
    <row r="238" spans="1:5" ht="30" x14ac:dyDescent="0.25">
      <c r="A238" s="10" t="s">
        <v>28211</v>
      </c>
      <c r="B238" s="439" t="s">
        <v>584</v>
      </c>
      <c r="C238" s="10" t="s">
        <v>40</v>
      </c>
      <c r="D238" s="504">
        <v>310.82</v>
      </c>
      <c r="E238" s="504">
        <f t="shared" si="3"/>
        <v>230.23703703703703</v>
      </c>
    </row>
    <row r="239" spans="1:5" ht="30" x14ac:dyDescent="0.25">
      <c r="A239" s="10" t="s">
        <v>28212</v>
      </c>
      <c r="B239" s="439" t="s">
        <v>585</v>
      </c>
      <c r="C239" s="10" t="s">
        <v>40</v>
      </c>
      <c r="D239" s="504">
        <v>346.36</v>
      </c>
      <c r="E239" s="504">
        <f t="shared" si="3"/>
        <v>256.56296296296296</v>
      </c>
    </row>
    <row r="240" spans="1:5" ht="30" x14ac:dyDescent="0.25">
      <c r="A240" s="10" t="s">
        <v>28213</v>
      </c>
      <c r="B240" s="439" t="s">
        <v>586</v>
      </c>
      <c r="C240" s="10" t="s">
        <v>40</v>
      </c>
      <c r="D240" s="504">
        <v>363.96</v>
      </c>
      <c r="E240" s="504">
        <f t="shared" si="3"/>
        <v>269.59999999999997</v>
      </c>
    </row>
    <row r="241" spans="1:5" ht="30" x14ac:dyDescent="0.25">
      <c r="A241" s="10" t="s">
        <v>28214</v>
      </c>
      <c r="B241" s="439" t="s">
        <v>587</v>
      </c>
      <c r="C241" s="10" t="s">
        <v>40</v>
      </c>
      <c r="D241" s="504">
        <v>381.57</v>
      </c>
      <c r="E241" s="504">
        <f t="shared" si="3"/>
        <v>282.64444444444445</v>
      </c>
    </row>
    <row r="242" spans="1:5" ht="30" x14ac:dyDescent="0.25">
      <c r="A242" s="10" t="s">
        <v>28215</v>
      </c>
      <c r="B242" s="439" t="s">
        <v>588</v>
      </c>
      <c r="C242" s="10" t="s">
        <v>40</v>
      </c>
      <c r="D242" s="504">
        <v>224.84</v>
      </c>
      <c r="E242" s="504">
        <f t="shared" si="3"/>
        <v>166.54814814814813</v>
      </c>
    </row>
    <row r="243" spans="1:5" ht="30" x14ac:dyDescent="0.25">
      <c r="A243" s="10" t="s">
        <v>28216</v>
      </c>
      <c r="B243" s="439" t="s">
        <v>589</v>
      </c>
      <c r="C243" s="10" t="s">
        <v>40</v>
      </c>
      <c r="D243" s="504">
        <v>224.84</v>
      </c>
      <c r="E243" s="504">
        <f t="shared" si="3"/>
        <v>166.54814814814813</v>
      </c>
    </row>
    <row r="244" spans="1:5" ht="30" x14ac:dyDescent="0.25">
      <c r="A244" s="10" t="s">
        <v>28217</v>
      </c>
      <c r="B244" s="439" t="s">
        <v>590</v>
      </c>
      <c r="C244" s="10" t="s">
        <v>40</v>
      </c>
      <c r="D244" s="504">
        <v>223.19</v>
      </c>
      <c r="E244" s="504">
        <f t="shared" si="3"/>
        <v>165.3259259259259</v>
      </c>
    </row>
    <row r="245" spans="1:5" ht="30" x14ac:dyDescent="0.25">
      <c r="A245" s="10" t="s">
        <v>28218</v>
      </c>
      <c r="B245" s="439" t="s">
        <v>591</v>
      </c>
      <c r="C245" s="10" t="s">
        <v>40</v>
      </c>
      <c r="D245" s="504">
        <v>271.10000000000002</v>
      </c>
      <c r="E245" s="504">
        <f t="shared" si="3"/>
        <v>200.81481481481481</v>
      </c>
    </row>
    <row r="246" spans="1:5" ht="30" x14ac:dyDescent="0.25">
      <c r="A246" s="10" t="s">
        <v>28219</v>
      </c>
      <c r="B246" s="439" t="s">
        <v>592</v>
      </c>
      <c r="C246" s="10" t="s">
        <v>40</v>
      </c>
      <c r="D246" s="504">
        <v>300.49</v>
      </c>
      <c r="E246" s="504">
        <f t="shared" si="3"/>
        <v>222.58518518518517</v>
      </c>
    </row>
    <row r="247" spans="1:5" ht="30" x14ac:dyDescent="0.25">
      <c r="A247" s="10" t="s">
        <v>28220</v>
      </c>
      <c r="B247" s="439" t="s">
        <v>593</v>
      </c>
      <c r="C247" s="10" t="s">
        <v>40</v>
      </c>
      <c r="D247" s="504">
        <v>321.25</v>
      </c>
      <c r="E247" s="504">
        <f t="shared" si="3"/>
        <v>237.96296296296293</v>
      </c>
    </row>
    <row r="248" spans="1:5" x14ac:dyDescent="0.25">
      <c r="A248" s="10" t="s">
        <v>28221</v>
      </c>
      <c r="B248" s="439" t="s">
        <v>594</v>
      </c>
      <c r="C248" s="10" t="s">
        <v>40</v>
      </c>
      <c r="D248" s="504">
        <v>296.33</v>
      </c>
      <c r="E248" s="504">
        <f t="shared" si="3"/>
        <v>219.50370370370368</v>
      </c>
    </row>
    <row r="249" spans="1:5" x14ac:dyDescent="0.25">
      <c r="A249" s="10" t="s">
        <v>28222</v>
      </c>
      <c r="B249" s="439" t="s">
        <v>595</v>
      </c>
      <c r="C249" s="10" t="s">
        <v>40</v>
      </c>
      <c r="D249" s="504">
        <v>230.86</v>
      </c>
      <c r="E249" s="504">
        <f t="shared" si="3"/>
        <v>171.00740740740741</v>
      </c>
    </row>
    <row r="250" spans="1:5" x14ac:dyDescent="0.25">
      <c r="A250" s="10" t="s">
        <v>28223</v>
      </c>
      <c r="B250" s="439" t="s">
        <v>596</v>
      </c>
      <c r="C250" s="10" t="s">
        <v>40</v>
      </c>
      <c r="D250" s="504">
        <v>261.31</v>
      </c>
      <c r="E250" s="504">
        <f t="shared" si="3"/>
        <v>193.56296296296296</v>
      </c>
    </row>
    <row r="251" spans="1:5" ht="30" x14ac:dyDescent="0.25">
      <c r="A251" s="10" t="s">
        <v>28224</v>
      </c>
      <c r="B251" s="439" t="s">
        <v>597</v>
      </c>
      <c r="C251" s="10" t="s">
        <v>40</v>
      </c>
      <c r="D251" s="504">
        <v>280.43</v>
      </c>
      <c r="E251" s="504">
        <f t="shared" si="3"/>
        <v>207.72592592592591</v>
      </c>
    </row>
    <row r="252" spans="1:5" x14ac:dyDescent="0.25">
      <c r="A252" s="10" t="s">
        <v>28225</v>
      </c>
      <c r="B252" s="439" t="s">
        <v>598</v>
      </c>
      <c r="C252" s="10" t="s">
        <v>40</v>
      </c>
      <c r="D252" s="504">
        <v>290.05</v>
      </c>
      <c r="E252" s="504">
        <f t="shared" si="3"/>
        <v>214.85185185185185</v>
      </c>
    </row>
    <row r="253" spans="1:5" x14ac:dyDescent="0.25">
      <c r="A253" s="10" t="s">
        <v>28226</v>
      </c>
      <c r="B253" s="439" t="s">
        <v>599</v>
      </c>
      <c r="C253" s="10" t="s">
        <v>40</v>
      </c>
      <c r="D253" s="504">
        <v>312.12</v>
      </c>
      <c r="E253" s="504">
        <f t="shared" si="3"/>
        <v>231.2</v>
      </c>
    </row>
    <row r="254" spans="1:5" x14ac:dyDescent="0.25">
      <c r="A254" s="10" t="s">
        <v>28227</v>
      </c>
      <c r="B254" s="439" t="s">
        <v>600</v>
      </c>
      <c r="C254" s="10" t="s">
        <v>40</v>
      </c>
      <c r="D254" s="504">
        <v>334.19</v>
      </c>
      <c r="E254" s="504">
        <f t="shared" si="3"/>
        <v>247.54814814814813</v>
      </c>
    </row>
    <row r="255" spans="1:5" x14ac:dyDescent="0.25">
      <c r="A255" s="10" t="s">
        <v>28228</v>
      </c>
      <c r="B255" s="439" t="s">
        <v>601</v>
      </c>
      <c r="C255" s="10" t="s">
        <v>40</v>
      </c>
      <c r="D255" s="504">
        <v>356.25</v>
      </c>
      <c r="E255" s="504">
        <f t="shared" si="3"/>
        <v>263.88888888888886</v>
      </c>
    </row>
    <row r="256" spans="1:5" x14ac:dyDescent="0.25">
      <c r="A256" s="10" t="s">
        <v>28229</v>
      </c>
      <c r="B256" s="439" t="s">
        <v>602</v>
      </c>
      <c r="C256" s="10" t="s">
        <v>40</v>
      </c>
      <c r="D256" s="504">
        <v>397.43</v>
      </c>
      <c r="E256" s="504">
        <f t="shared" si="3"/>
        <v>294.39259259259256</v>
      </c>
    </row>
    <row r="257" spans="1:5" x14ac:dyDescent="0.25">
      <c r="A257" s="10" t="s">
        <v>28230</v>
      </c>
      <c r="B257" s="439" t="s">
        <v>603</v>
      </c>
      <c r="C257" s="10" t="s">
        <v>40</v>
      </c>
      <c r="D257" s="504">
        <v>183.3</v>
      </c>
      <c r="E257" s="504">
        <f t="shared" si="3"/>
        <v>135.77777777777777</v>
      </c>
    </row>
    <row r="258" spans="1:5" x14ac:dyDescent="0.25">
      <c r="A258" s="10" t="s">
        <v>28231</v>
      </c>
      <c r="B258" s="439" t="s">
        <v>604</v>
      </c>
      <c r="C258" s="10" t="s">
        <v>40</v>
      </c>
      <c r="D258" s="504">
        <v>264.37</v>
      </c>
      <c r="E258" s="504">
        <f t="shared" si="3"/>
        <v>195.82962962962961</v>
      </c>
    </row>
    <row r="259" spans="1:5" x14ac:dyDescent="0.25">
      <c r="A259" s="10" t="s">
        <v>28232</v>
      </c>
      <c r="B259" s="439" t="s">
        <v>605</v>
      </c>
      <c r="C259" s="10" t="s">
        <v>40</v>
      </c>
      <c r="D259" s="504">
        <v>1217.3699999999999</v>
      </c>
      <c r="E259" s="504">
        <f t="shared" si="3"/>
        <v>901.75555555555536</v>
      </c>
    </row>
    <row r="260" spans="1:5" x14ac:dyDescent="0.25">
      <c r="A260" s="10" t="s">
        <v>28233</v>
      </c>
      <c r="B260" s="439" t="s">
        <v>606</v>
      </c>
      <c r="C260" s="10" t="s">
        <v>40</v>
      </c>
      <c r="D260" s="504">
        <v>275.19</v>
      </c>
      <c r="E260" s="504">
        <f t="shared" si="3"/>
        <v>203.84444444444443</v>
      </c>
    </row>
    <row r="261" spans="1:5" x14ac:dyDescent="0.25">
      <c r="A261" s="10" t="s">
        <v>28234</v>
      </c>
      <c r="B261" s="439" t="s">
        <v>607</v>
      </c>
      <c r="C261" s="10" t="s">
        <v>40</v>
      </c>
      <c r="D261" s="504">
        <v>41.17</v>
      </c>
      <c r="E261" s="504">
        <f t="shared" si="3"/>
        <v>30.496296296296297</v>
      </c>
    </row>
    <row r="262" spans="1:5" x14ac:dyDescent="0.25">
      <c r="A262" s="10" t="s">
        <v>28235</v>
      </c>
      <c r="B262" s="439" t="s">
        <v>608</v>
      </c>
      <c r="C262" s="10" t="s">
        <v>40</v>
      </c>
      <c r="D262" s="504">
        <v>83.36</v>
      </c>
      <c r="E262" s="504">
        <f t="shared" si="3"/>
        <v>61.748148148148147</v>
      </c>
    </row>
    <row r="263" spans="1:5" x14ac:dyDescent="0.25">
      <c r="A263" s="10" t="s">
        <v>28236</v>
      </c>
      <c r="B263" s="439" t="s">
        <v>2396</v>
      </c>
      <c r="C263" s="10" t="s">
        <v>40</v>
      </c>
      <c r="D263" s="504">
        <v>47.85</v>
      </c>
      <c r="E263" s="504">
        <f t="shared" si="3"/>
        <v>35.444444444444443</v>
      </c>
    </row>
    <row r="264" spans="1:5" x14ac:dyDescent="0.25">
      <c r="A264" s="10" t="s">
        <v>28237</v>
      </c>
      <c r="B264" s="439" t="s">
        <v>609</v>
      </c>
      <c r="C264" s="10" t="s">
        <v>41</v>
      </c>
      <c r="D264" s="504">
        <v>13.28</v>
      </c>
      <c r="E264" s="504">
        <f t="shared" si="3"/>
        <v>9.8370370370370352</v>
      </c>
    </row>
    <row r="265" spans="1:5" ht="30" x14ac:dyDescent="0.25">
      <c r="A265" s="10" t="s">
        <v>28238</v>
      </c>
      <c r="B265" s="439" t="s">
        <v>610</v>
      </c>
      <c r="C265" s="10" t="s">
        <v>41</v>
      </c>
      <c r="D265" s="504">
        <v>0.46</v>
      </c>
      <c r="E265" s="504">
        <f t="shared" si="3"/>
        <v>0.34074074074074073</v>
      </c>
    </row>
    <row r="266" spans="1:5" x14ac:dyDescent="0.25">
      <c r="A266" s="10" t="s">
        <v>28239</v>
      </c>
      <c r="B266" s="439" t="s">
        <v>611</v>
      </c>
      <c r="C266" s="10" t="s">
        <v>41</v>
      </c>
      <c r="D266" s="504">
        <v>5.09</v>
      </c>
      <c r="E266" s="504">
        <f t="shared" si="3"/>
        <v>3.7703703703703701</v>
      </c>
    </row>
    <row r="267" spans="1:5" ht="30" x14ac:dyDescent="0.25">
      <c r="A267" s="10" t="s">
        <v>28240</v>
      </c>
      <c r="B267" s="439" t="s">
        <v>612</v>
      </c>
      <c r="C267" s="10" t="s">
        <v>41</v>
      </c>
      <c r="D267" s="504">
        <v>0.33</v>
      </c>
      <c r="E267" s="504">
        <f t="shared" ref="E267:E330" si="4">D267/(1+$G$4)</f>
        <v>0.24444444444444444</v>
      </c>
    </row>
    <row r="268" spans="1:5" x14ac:dyDescent="0.25">
      <c r="A268" s="10" t="s">
        <v>28241</v>
      </c>
      <c r="B268" s="439" t="s">
        <v>613</v>
      </c>
      <c r="C268" s="10" t="s">
        <v>41</v>
      </c>
      <c r="D268" s="504">
        <v>2.71</v>
      </c>
      <c r="E268" s="504">
        <f t="shared" si="4"/>
        <v>2.0074074074074071</v>
      </c>
    </row>
    <row r="269" spans="1:5" x14ac:dyDescent="0.25">
      <c r="A269" s="10" t="s">
        <v>28242</v>
      </c>
      <c r="B269" s="439" t="s">
        <v>614</v>
      </c>
      <c r="C269" s="10" t="s">
        <v>41</v>
      </c>
      <c r="D269" s="504">
        <v>6.1</v>
      </c>
      <c r="E269" s="504">
        <f t="shared" si="4"/>
        <v>4.5185185185185182</v>
      </c>
    </row>
    <row r="270" spans="1:5" x14ac:dyDescent="0.25">
      <c r="A270" s="10" t="s">
        <v>28243</v>
      </c>
      <c r="B270" s="439" t="s">
        <v>615</v>
      </c>
      <c r="C270" s="10" t="s">
        <v>41</v>
      </c>
      <c r="D270" s="504">
        <v>12.13</v>
      </c>
      <c r="E270" s="504">
        <f t="shared" si="4"/>
        <v>8.9851851851851858</v>
      </c>
    </row>
    <row r="271" spans="1:5" x14ac:dyDescent="0.25">
      <c r="A271" s="10" t="s">
        <v>28244</v>
      </c>
      <c r="B271" s="439" t="s">
        <v>616</v>
      </c>
      <c r="C271" s="10" t="s">
        <v>40</v>
      </c>
      <c r="D271" s="504">
        <v>1084.05</v>
      </c>
      <c r="E271" s="504">
        <f t="shared" si="4"/>
        <v>802.99999999999989</v>
      </c>
    </row>
    <row r="272" spans="1:5" x14ac:dyDescent="0.25">
      <c r="A272" s="10" t="s">
        <v>28245</v>
      </c>
      <c r="B272" s="439" t="s">
        <v>617</v>
      </c>
      <c r="C272" s="10" t="s">
        <v>40</v>
      </c>
      <c r="D272" s="504">
        <v>1382.25</v>
      </c>
      <c r="E272" s="504">
        <f t="shared" si="4"/>
        <v>1023.8888888888888</v>
      </c>
    </row>
    <row r="273" spans="1:5" x14ac:dyDescent="0.25">
      <c r="A273" s="10" t="s">
        <v>28246</v>
      </c>
      <c r="B273" s="439" t="s">
        <v>618</v>
      </c>
      <c r="C273" s="10" t="s">
        <v>41</v>
      </c>
      <c r="D273" s="504">
        <v>34.979999999999997</v>
      </c>
      <c r="E273" s="504">
        <f t="shared" si="4"/>
        <v>25.911111111111108</v>
      </c>
    </row>
    <row r="274" spans="1:5" x14ac:dyDescent="0.25">
      <c r="A274" s="10" t="s">
        <v>28247</v>
      </c>
      <c r="B274" s="439" t="s">
        <v>619</v>
      </c>
      <c r="C274" s="10" t="s">
        <v>41</v>
      </c>
      <c r="D274" s="504">
        <v>32.520000000000003</v>
      </c>
      <c r="E274" s="504">
        <f t="shared" si="4"/>
        <v>24.088888888888889</v>
      </c>
    </row>
    <row r="275" spans="1:5" ht="30" x14ac:dyDescent="0.25">
      <c r="A275" s="10" t="s">
        <v>28248</v>
      </c>
      <c r="B275" s="439" t="s">
        <v>620</v>
      </c>
      <c r="C275" s="10" t="s">
        <v>41</v>
      </c>
      <c r="D275" s="504">
        <v>34.979999999999997</v>
      </c>
      <c r="E275" s="504">
        <f t="shared" si="4"/>
        <v>25.911111111111108</v>
      </c>
    </row>
    <row r="276" spans="1:5" ht="30" x14ac:dyDescent="0.25">
      <c r="A276" s="10" t="s">
        <v>28249</v>
      </c>
      <c r="B276" s="439" t="s">
        <v>621</v>
      </c>
      <c r="C276" s="10" t="s">
        <v>41</v>
      </c>
      <c r="D276" s="504">
        <v>30.82</v>
      </c>
      <c r="E276" s="504">
        <f t="shared" si="4"/>
        <v>22.829629629629629</v>
      </c>
    </row>
    <row r="277" spans="1:5" x14ac:dyDescent="0.25">
      <c r="A277" s="10" t="s">
        <v>28250</v>
      </c>
      <c r="B277" s="439" t="s">
        <v>622</v>
      </c>
      <c r="C277" s="10" t="s">
        <v>41</v>
      </c>
      <c r="D277" s="504">
        <v>14.47</v>
      </c>
      <c r="E277" s="504">
        <f t="shared" si="4"/>
        <v>10.718518518518518</v>
      </c>
    </row>
    <row r="278" spans="1:5" x14ac:dyDescent="0.25">
      <c r="A278" s="10" t="s">
        <v>28251</v>
      </c>
      <c r="B278" s="439" t="s">
        <v>623</v>
      </c>
      <c r="C278" s="10" t="s">
        <v>41</v>
      </c>
      <c r="D278" s="504">
        <v>18.239999999999998</v>
      </c>
      <c r="E278" s="504">
        <f t="shared" si="4"/>
        <v>13.511111111111109</v>
      </c>
    </row>
    <row r="279" spans="1:5" ht="30" x14ac:dyDescent="0.25">
      <c r="A279" s="10" t="s">
        <v>28252</v>
      </c>
      <c r="B279" s="439" t="s">
        <v>624</v>
      </c>
      <c r="C279" s="10" t="s">
        <v>41</v>
      </c>
      <c r="D279" s="504">
        <v>14.45</v>
      </c>
      <c r="E279" s="504">
        <f t="shared" si="4"/>
        <v>10.703703703703702</v>
      </c>
    </row>
    <row r="280" spans="1:5" x14ac:dyDescent="0.25">
      <c r="A280" s="10" t="s">
        <v>28253</v>
      </c>
      <c r="B280" s="439" t="s">
        <v>625</v>
      </c>
      <c r="C280" s="10" t="s">
        <v>40</v>
      </c>
      <c r="D280" s="504">
        <v>1427.17</v>
      </c>
      <c r="E280" s="504">
        <f t="shared" si="4"/>
        <v>1057.1629629629629</v>
      </c>
    </row>
    <row r="281" spans="1:5" x14ac:dyDescent="0.25">
      <c r="A281" s="10" t="s">
        <v>28254</v>
      </c>
      <c r="B281" s="439" t="s">
        <v>626</v>
      </c>
      <c r="C281" s="10" t="s">
        <v>40</v>
      </c>
      <c r="D281" s="504">
        <v>1667.54</v>
      </c>
      <c r="E281" s="504">
        <f t="shared" si="4"/>
        <v>1235.2148148148146</v>
      </c>
    </row>
    <row r="282" spans="1:5" x14ac:dyDescent="0.25">
      <c r="A282" s="10" t="s">
        <v>28255</v>
      </c>
      <c r="B282" s="439" t="s">
        <v>627</v>
      </c>
      <c r="C282" s="10" t="s">
        <v>40</v>
      </c>
      <c r="D282" s="504">
        <v>1347.95</v>
      </c>
      <c r="E282" s="504">
        <f t="shared" si="4"/>
        <v>998.48148148148141</v>
      </c>
    </row>
    <row r="283" spans="1:5" ht="30" x14ac:dyDescent="0.25">
      <c r="A283" s="10" t="s">
        <v>28256</v>
      </c>
      <c r="B283" s="439" t="s">
        <v>628</v>
      </c>
      <c r="C283" s="10" t="s">
        <v>40</v>
      </c>
      <c r="D283" s="504">
        <v>361.26</v>
      </c>
      <c r="E283" s="504">
        <f t="shared" si="4"/>
        <v>267.59999999999997</v>
      </c>
    </row>
    <row r="284" spans="1:5" ht="30" x14ac:dyDescent="0.25">
      <c r="A284" s="10" t="s">
        <v>28257</v>
      </c>
      <c r="B284" s="439" t="s">
        <v>629</v>
      </c>
      <c r="C284" s="10" t="s">
        <v>40</v>
      </c>
      <c r="D284" s="504">
        <v>179.35</v>
      </c>
      <c r="E284" s="504">
        <f t="shared" si="4"/>
        <v>132.85185185185185</v>
      </c>
    </row>
    <row r="285" spans="1:5" x14ac:dyDescent="0.25">
      <c r="A285" s="10" t="s">
        <v>28258</v>
      </c>
      <c r="B285" s="439" t="s">
        <v>630</v>
      </c>
      <c r="C285" s="10" t="s">
        <v>40</v>
      </c>
      <c r="D285" s="504">
        <v>1538.06</v>
      </c>
      <c r="E285" s="504">
        <f t="shared" si="4"/>
        <v>1139.3037037037036</v>
      </c>
    </row>
    <row r="286" spans="1:5" x14ac:dyDescent="0.25">
      <c r="A286" s="10" t="s">
        <v>28259</v>
      </c>
      <c r="B286" s="439" t="s">
        <v>631</v>
      </c>
      <c r="C286" s="10" t="s">
        <v>40</v>
      </c>
      <c r="D286" s="504">
        <v>1452.06</v>
      </c>
      <c r="E286" s="504">
        <f t="shared" si="4"/>
        <v>1075.5999999999999</v>
      </c>
    </row>
    <row r="287" spans="1:5" x14ac:dyDescent="0.25">
      <c r="A287" s="10" t="s">
        <v>28260</v>
      </c>
      <c r="B287" s="439" t="s">
        <v>632</v>
      </c>
      <c r="C287" s="10" t="s">
        <v>40</v>
      </c>
      <c r="D287" s="504">
        <v>1683.92</v>
      </c>
      <c r="E287" s="504">
        <f t="shared" si="4"/>
        <v>1247.3481481481481</v>
      </c>
    </row>
    <row r="288" spans="1:5" x14ac:dyDescent="0.25">
      <c r="A288" s="10" t="s">
        <v>28261</v>
      </c>
      <c r="B288" s="439" t="s">
        <v>633</v>
      </c>
      <c r="C288" s="10" t="s">
        <v>40</v>
      </c>
      <c r="D288" s="504">
        <v>1587.13</v>
      </c>
      <c r="E288" s="504">
        <f t="shared" si="4"/>
        <v>1175.6518518518519</v>
      </c>
    </row>
    <row r="289" spans="1:5" x14ac:dyDescent="0.25">
      <c r="A289" s="10" t="s">
        <v>28262</v>
      </c>
      <c r="B289" s="439" t="s">
        <v>634</v>
      </c>
      <c r="C289" s="10" t="s">
        <v>40</v>
      </c>
      <c r="D289" s="504">
        <v>1714.96</v>
      </c>
      <c r="E289" s="504">
        <f t="shared" si="4"/>
        <v>1270.3407407407408</v>
      </c>
    </row>
    <row r="290" spans="1:5" x14ac:dyDescent="0.25">
      <c r="A290" s="10" t="s">
        <v>28263</v>
      </c>
      <c r="B290" s="439" t="s">
        <v>635</v>
      </c>
      <c r="C290" s="10" t="s">
        <v>40</v>
      </c>
      <c r="D290" s="504">
        <v>1712</v>
      </c>
      <c r="E290" s="504">
        <f t="shared" si="4"/>
        <v>1268.148148148148</v>
      </c>
    </row>
    <row r="291" spans="1:5" x14ac:dyDescent="0.25">
      <c r="A291" s="10" t="s">
        <v>28264</v>
      </c>
      <c r="B291" s="439" t="s">
        <v>636</v>
      </c>
      <c r="C291" s="10" t="s">
        <v>40</v>
      </c>
      <c r="D291" s="504">
        <v>1816.79</v>
      </c>
      <c r="E291" s="504">
        <f t="shared" si="4"/>
        <v>1345.7703703703703</v>
      </c>
    </row>
    <row r="292" spans="1:5" x14ac:dyDescent="0.25">
      <c r="A292" s="10" t="s">
        <v>28265</v>
      </c>
      <c r="B292" s="439" t="s">
        <v>637</v>
      </c>
      <c r="C292" s="10" t="s">
        <v>40</v>
      </c>
      <c r="D292" s="504">
        <v>1731.82</v>
      </c>
      <c r="E292" s="504">
        <f t="shared" si="4"/>
        <v>1282.8296296296296</v>
      </c>
    </row>
    <row r="293" spans="1:5" x14ac:dyDescent="0.25">
      <c r="A293" s="10" t="s">
        <v>28266</v>
      </c>
      <c r="B293" s="439" t="s">
        <v>638</v>
      </c>
      <c r="C293" s="10" t="s">
        <v>40</v>
      </c>
      <c r="D293" s="504">
        <v>1847.82</v>
      </c>
      <c r="E293" s="504">
        <f t="shared" si="4"/>
        <v>1368.7555555555555</v>
      </c>
    </row>
    <row r="294" spans="1:5" ht="30" x14ac:dyDescent="0.25">
      <c r="A294" s="10" t="s">
        <v>28267</v>
      </c>
      <c r="B294" s="439" t="s">
        <v>639</v>
      </c>
      <c r="C294" s="10" t="s">
        <v>40</v>
      </c>
      <c r="D294" s="504">
        <v>1692.94</v>
      </c>
      <c r="E294" s="504">
        <f t="shared" si="4"/>
        <v>1254.0296296296297</v>
      </c>
    </row>
    <row r="295" spans="1:5" x14ac:dyDescent="0.25">
      <c r="A295" s="10" t="s">
        <v>28268</v>
      </c>
      <c r="B295" s="439" t="s">
        <v>640</v>
      </c>
      <c r="C295" s="10" t="s">
        <v>40</v>
      </c>
      <c r="D295" s="504">
        <v>1672.05</v>
      </c>
      <c r="E295" s="504">
        <f t="shared" si="4"/>
        <v>1238.5555555555554</v>
      </c>
    </row>
    <row r="296" spans="1:5" x14ac:dyDescent="0.25">
      <c r="A296" s="10" t="s">
        <v>28269</v>
      </c>
      <c r="B296" s="439" t="s">
        <v>641</v>
      </c>
      <c r="C296" s="10" t="s">
        <v>40</v>
      </c>
      <c r="D296" s="504">
        <v>1494.08</v>
      </c>
      <c r="E296" s="504">
        <f t="shared" si="4"/>
        <v>1106.7259259259258</v>
      </c>
    </row>
    <row r="297" spans="1:5" ht="30" x14ac:dyDescent="0.25">
      <c r="A297" s="10" t="s">
        <v>28270</v>
      </c>
      <c r="B297" s="439" t="s">
        <v>642</v>
      </c>
      <c r="C297" s="10" t="s">
        <v>40</v>
      </c>
      <c r="D297" s="504">
        <v>1683.44</v>
      </c>
      <c r="E297" s="504">
        <f t="shared" si="4"/>
        <v>1246.9925925925925</v>
      </c>
    </row>
    <row r="298" spans="1:5" ht="30" x14ac:dyDescent="0.25">
      <c r="A298" s="10" t="s">
        <v>28271</v>
      </c>
      <c r="B298" s="439" t="s">
        <v>643</v>
      </c>
      <c r="C298" s="10" t="s">
        <v>40</v>
      </c>
      <c r="D298" s="504">
        <v>1704.99</v>
      </c>
      <c r="E298" s="504">
        <f t="shared" si="4"/>
        <v>1262.9555555555555</v>
      </c>
    </row>
    <row r="299" spans="1:5" ht="30" x14ac:dyDescent="0.25">
      <c r="A299" s="10" t="s">
        <v>28272</v>
      </c>
      <c r="B299" s="439" t="s">
        <v>644</v>
      </c>
      <c r="C299" s="10" t="s">
        <v>40</v>
      </c>
      <c r="D299" s="504">
        <v>1618.79</v>
      </c>
      <c r="E299" s="504">
        <f t="shared" si="4"/>
        <v>1199.1037037037036</v>
      </c>
    </row>
    <row r="300" spans="1:5" ht="30" x14ac:dyDescent="0.25">
      <c r="A300" s="10" t="s">
        <v>28273</v>
      </c>
      <c r="B300" s="439" t="s">
        <v>645</v>
      </c>
      <c r="C300" s="10" t="s">
        <v>40</v>
      </c>
      <c r="D300" s="504">
        <v>1636.56</v>
      </c>
      <c r="E300" s="504">
        <f t="shared" si="4"/>
        <v>1212.2666666666667</v>
      </c>
    </row>
    <row r="301" spans="1:5" x14ac:dyDescent="0.25">
      <c r="A301" s="10" t="s">
        <v>28274</v>
      </c>
      <c r="B301" s="439" t="s">
        <v>646</v>
      </c>
      <c r="C301" s="10" t="s">
        <v>41</v>
      </c>
      <c r="D301" s="504">
        <v>8.81</v>
      </c>
      <c r="E301" s="504">
        <f t="shared" si="4"/>
        <v>6.5259259259259261</v>
      </c>
    </row>
    <row r="302" spans="1:5" x14ac:dyDescent="0.25">
      <c r="A302" s="10" t="s">
        <v>28275</v>
      </c>
      <c r="B302" s="439" t="s">
        <v>647</v>
      </c>
      <c r="C302" s="10" t="s">
        <v>41</v>
      </c>
      <c r="D302" s="504">
        <v>13.94</v>
      </c>
      <c r="E302" s="504">
        <f t="shared" si="4"/>
        <v>10.325925925925924</v>
      </c>
    </row>
    <row r="303" spans="1:5" x14ac:dyDescent="0.25">
      <c r="A303" s="10" t="s">
        <v>28276</v>
      </c>
      <c r="B303" s="439" t="s">
        <v>648</v>
      </c>
      <c r="C303" s="10" t="s">
        <v>40</v>
      </c>
      <c r="D303" s="504">
        <v>373.55</v>
      </c>
      <c r="E303" s="504">
        <f t="shared" si="4"/>
        <v>276.7037037037037</v>
      </c>
    </row>
    <row r="304" spans="1:5" ht="30" x14ac:dyDescent="0.25">
      <c r="A304" s="10" t="s">
        <v>28277</v>
      </c>
      <c r="B304" s="439" t="s">
        <v>649</v>
      </c>
      <c r="C304" s="10" t="s">
        <v>40</v>
      </c>
      <c r="D304" s="504">
        <v>1144.6099999999999</v>
      </c>
      <c r="E304" s="504">
        <f t="shared" si="4"/>
        <v>847.85925925925915</v>
      </c>
    </row>
    <row r="305" spans="1:5" ht="30" x14ac:dyDescent="0.25">
      <c r="A305" s="10" t="s">
        <v>28278</v>
      </c>
      <c r="B305" s="439" t="s">
        <v>650</v>
      </c>
      <c r="C305" s="10" t="s">
        <v>40</v>
      </c>
      <c r="D305" s="504">
        <v>2158.75</v>
      </c>
      <c r="E305" s="504">
        <f t="shared" si="4"/>
        <v>1599.0740740740739</v>
      </c>
    </row>
    <row r="306" spans="1:5" ht="30" x14ac:dyDescent="0.25">
      <c r="A306" s="10" t="s">
        <v>28279</v>
      </c>
      <c r="B306" s="439" t="s">
        <v>651</v>
      </c>
      <c r="C306" s="10" t="s">
        <v>40</v>
      </c>
      <c r="D306" s="504">
        <v>1217.78</v>
      </c>
      <c r="E306" s="504">
        <f t="shared" si="4"/>
        <v>902.05925925925919</v>
      </c>
    </row>
    <row r="307" spans="1:5" ht="30" x14ac:dyDescent="0.25">
      <c r="A307" s="10" t="s">
        <v>28280</v>
      </c>
      <c r="B307" s="439" t="s">
        <v>652</v>
      </c>
      <c r="C307" s="10" t="s">
        <v>40</v>
      </c>
      <c r="D307" s="504">
        <v>406.81</v>
      </c>
      <c r="E307" s="504">
        <f t="shared" si="4"/>
        <v>301.34074074074073</v>
      </c>
    </row>
    <row r="308" spans="1:5" x14ac:dyDescent="0.25">
      <c r="A308" s="10" t="s">
        <v>28281</v>
      </c>
      <c r="B308" s="439" t="s">
        <v>653</v>
      </c>
      <c r="C308" s="10" t="s">
        <v>41</v>
      </c>
      <c r="D308" s="504">
        <v>126.85</v>
      </c>
      <c r="E308" s="504">
        <f t="shared" si="4"/>
        <v>93.962962962962948</v>
      </c>
    </row>
    <row r="309" spans="1:5" x14ac:dyDescent="0.25">
      <c r="A309" s="10" t="s">
        <v>28282</v>
      </c>
      <c r="B309" s="439" t="s">
        <v>654</v>
      </c>
      <c r="C309" s="10" t="s">
        <v>41</v>
      </c>
      <c r="D309" s="504">
        <v>148.38999999999999</v>
      </c>
      <c r="E309" s="504">
        <f t="shared" si="4"/>
        <v>109.9185185185185</v>
      </c>
    </row>
    <row r="310" spans="1:5" x14ac:dyDescent="0.25">
      <c r="A310" s="10" t="s">
        <v>28283</v>
      </c>
      <c r="B310" s="439" t="s">
        <v>655</v>
      </c>
      <c r="C310" s="10" t="s">
        <v>41</v>
      </c>
      <c r="D310" s="504">
        <v>167.76</v>
      </c>
      <c r="E310" s="504">
        <f t="shared" si="4"/>
        <v>124.26666666666665</v>
      </c>
    </row>
    <row r="311" spans="1:5" x14ac:dyDescent="0.25">
      <c r="A311" s="10" t="s">
        <v>28284</v>
      </c>
      <c r="B311" s="439" t="s">
        <v>656</v>
      </c>
      <c r="C311" s="10" t="s">
        <v>40</v>
      </c>
      <c r="D311" s="504">
        <v>196.33</v>
      </c>
      <c r="E311" s="504">
        <f t="shared" si="4"/>
        <v>145.42962962962963</v>
      </c>
    </row>
    <row r="312" spans="1:5" ht="30" x14ac:dyDescent="0.25">
      <c r="A312" s="10" t="s">
        <v>28285</v>
      </c>
      <c r="B312" s="439" t="s">
        <v>657</v>
      </c>
      <c r="C312" s="10" t="s">
        <v>40</v>
      </c>
      <c r="D312" s="504">
        <v>268.16000000000003</v>
      </c>
      <c r="E312" s="504">
        <f t="shared" si="4"/>
        <v>198.63703703703703</v>
      </c>
    </row>
    <row r="313" spans="1:5" ht="30" x14ac:dyDescent="0.25">
      <c r="A313" s="10" t="s">
        <v>28286</v>
      </c>
      <c r="B313" s="439" t="s">
        <v>658</v>
      </c>
      <c r="C313" s="10" t="s">
        <v>40</v>
      </c>
      <c r="D313" s="504">
        <v>247.44</v>
      </c>
      <c r="E313" s="504">
        <f t="shared" si="4"/>
        <v>183.28888888888886</v>
      </c>
    </row>
    <row r="314" spans="1:5" ht="30" x14ac:dyDescent="0.25">
      <c r="A314" s="10" t="s">
        <v>28287</v>
      </c>
      <c r="B314" s="439" t="s">
        <v>659</v>
      </c>
      <c r="C314" s="10" t="s">
        <v>40</v>
      </c>
      <c r="D314" s="504">
        <v>294.58</v>
      </c>
      <c r="E314" s="504">
        <f t="shared" si="4"/>
        <v>218.20740740740737</v>
      </c>
    </row>
    <row r="315" spans="1:5" x14ac:dyDescent="0.25">
      <c r="A315" s="10" t="s">
        <v>28288</v>
      </c>
      <c r="B315" s="439" t="s">
        <v>660</v>
      </c>
      <c r="C315" s="10" t="s">
        <v>40</v>
      </c>
      <c r="D315" s="504">
        <v>153.18</v>
      </c>
      <c r="E315" s="504">
        <f t="shared" si="4"/>
        <v>113.46666666666667</v>
      </c>
    </row>
    <row r="316" spans="1:5" x14ac:dyDescent="0.25">
      <c r="A316" s="10" t="s">
        <v>28289</v>
      </c>
      <c r="B316" s="439" t="s">
        <v>661</v>
      </c>
      <c r="C316" s="10" t="s">
        <v>40</v>
      </c>
      <c r="D316" s="504">
        <v>202.53</v>
      </c>
      <c r="E316" s="504">
        <f t="shared" si="4"/>
        <v>150.02222222222221</v>
      </c>
    </row>
    <row r="317" spans="1:5" ht="30" x14ac:dyDescent="0.25">
      <c r="A317" s="10" t="s">
        <v>28290</v>
      </c>
      <c r="B317" s="439" t="s">
        <v>662</v>
      </c>
      <c r="C317" s="10" t="s">
        <v>40</v>
      </c>
      <c r="D317" s="504">
        <v>100.1</v>
      </c>
      <c r="E317" s="504">
        <f t="shared" si="4"/>
        <v>74.148148148148138</v>
      </c>
    </row>
    <row r="318" spans="1:5" ht="30" x14ac:dyDescent="0.25">
      <c r="A318" s="10" t="s">
        <v>28291</v>
      </c>
      <c r="B318" s="439" t="s">
        <v>663</v>
      </c>
      <c r="C318" s="10" t="s">
        <v>40</v>
      </c>
      <c r="D318" s="504">
        <v>161.94999999999999</v>
      </c>
      <c r="E318" s="504">
        <f t="shared" si="4"/>
        <v>119.96296296296295</v>
      </c>
    </row>
    <row r="319" spans="1:5" ht="30" x14ac:dyDescent="0.25">
      <c r="A319" s="10" t="s">
        <v>28292</v>
      </c>
      <c r="B319" s="439" t="s">
        <v>664</v>
      </c>
      <c r="C319" s="10" t="s">
        <v>40</v>
      </c>
      <c r="D319" s="504">
        <v>856.09</v>
      </c>
      <c r="E319" s="504">
        <f t="shared" si="4"/>
        <v>634.14074074074074</v>
      </c>
    </row>
    <row r="320" spans="1:5" x14ac:dyDescent="0.25">
      <c r="A320" s="10" t="s">
        <v>28293</v>
      </c>
      <c r="B320" s="439" t="s">
        <v>665</v>
      </c>
      <c r="C320" s="10" t="s">
        <v>40</v>
      </c>
      <c r="D320" s="504">
        <v>1010.41</v>
      </c>
      <c r="E320" s="504">
        <f t="shared" si="4"/>
        <v>748.45185185185176</v>
      </c>
    </row>
    <row r="321" spans="1:5" x14ac:dyDescent="0.25">
      <c r="A321" s="10" t="s">
        <v>28294</v>
      </c>
      <c r="B321" s="439" t="s">
        <v>666</v>
      </c>
      <c r="C321" s="10" t="s">
        <v>40</v>
      </c>
      <c r="D321" s="504">
        <v>20.96</v>
      </c>
      <c r="E321" s="504">
        <f t="shared" si="4"/>
        <v>15.525925925925925</v>
      </c>
    </row>
    <row r="322" spans="1:5" x14ac:dyDescent="0.25">
      <c r="A322" s="10" t="s">
        <v>28295</v>
      </c>
      <c r="B322" s="439" t="s">
        <v>667</v>
      </c>
      <c r="C322" s="10" t="s">
        <v>40</v>
      </c>
      <c r="D322" s="504">
        <v>92.21</v>
      </c>
      <c r="E322" s="504">
        <f t="shared" si="4"/>
        <v>68.30370370370369</v>
      </c>
    </row>
    <row r="323" spans="1:5" x14ac:dyDescent="0.25">
      <c r="A323" s="10" t="s">
        <v>28296</v>
      </c>
      <c r="B323" s="439" t="s">
        <v>668</v>
      </c>
      <c r="C323" s="10" t="s">
        <v>40</v>
      </c>
      <c r="D323" s="504">
        <v>21.16</v>
      </c>
      <c r="E323" s="504">
        <f t="shared" si="4"/>
        <v>15.674074074074072</v>
      </c>
    </row>
    <row r="324" spans="1:5" x14ac:dyDescent="0.25">
      <c r="A324" s="10" t="s">
        <v>28297</v>
      </c>
      <c r="B324" s="439" t="s">
        <v>669</v>
      </c>
      <c r="C324" s="10" t="s">
        <v>40</v>
      </c>
      <c r="D324" s="504">
        <v>104.33</v>
      </c>
      <c r="E324" s="504">
        <f t="shared" si="4"/>
        <v>77.281481481481478</v>
      </c>
    </row>
    <row r="325" spans="1:5" x14ac:dyDescent="0.25">
      <c r="A325" s="10" t="s">
        <v>28298</v>
      </c>
      <c r="B325" s="439" t="s">
        <v>670</v>
      </c>
      <c r="C325" s="10" t="s">
        <v>40</v>
      </c>
      <c r="D325" s="504">
        <v>21.16</v>
      </c>
      <c r="E325" s="504">
        <f t="shared" si="4"/>
        <v>15.674074074074072</v>
      </c>
    </row>
    <row r="326" spans="1:5" x14ac:dyDescent="0.25">
      <c r="A326" s="10" t="s">
        <v>28299</v>
      </c>
      <c r="B326" s="439" t="s">
        <v>671</v>
      </c>
      <c r="C326" s="10" t="s">
        <v>40</v>
      </c>
      <c r="D326" s="504">
        <v>104.33</v>
      </c>
      <c r="E326" s="504">
        <f t="shared" si="4"/>
        <v>77.281481481481478</v>
      </c>
    </row>
    <row r="327" spans="1:5" x14ac:dyDescent="0.25">
      <c r="A327" s="10" t="s">
        <v>28300</v>
      </c>
      <c r="B327" s="439" t="s">
        <v>672</v>
      </c>
      <c r="C327" s="10" t="s">
        <v>40</v>
      </c>
      <c r="D327" s="504">
        <v>108.79</v>
      </c>
      <c r="E327" s="504">
        <f t="shared" si="4"/>
        <v>80.585185185185182</v>
      </c>
    </row>
    <row r="328" spans="1:5" x14ac:dyDescent="0.25">
      <c r="A328" s="10" t="s">
        <v>28301</v>
      </c>
      <c r="B328" s="439" t="s">
        <v>673</v>
      </c>
      <c r="C328" s="10" t="s">
        <v>40</v>
      </c>
      <c r="D328" s="504">
        <v>22.15</v>
      </c>
      <c r="E328" s="504">
        <f t="shared" si="4"/>
        <v>16.407407407407405</v>
      </c>
    </row>
    <row r="329" spans="1:5" x14ac:dyDescent="0.25">
      <c r="A329" s="10" t="s">
        <v>28302</v>
      </c>
      <c r="B329" s="439" t="s">
        <v>674</v>
      </c>
      <c r="C329" s="10" t="s">
        <v>40</v>
      </c>
      <c r="D329" s="504">
        <v>376.43</v>
      </c>
      <c r="E329" s="504">
        <f t="shared" si="4"/>
        <v>278.83703703703702</v>
      </c>
    </row>
    <row r="330" spans="1:5" x14ac:dyDescent="0.25">
      <c r="A330" s="10" t="s">
        <v>28303</v>
      </c>
      <c r="B330" s="439" t="s">
        <v>675</v>
      </c>
      <c r="C330" s="10" t="s">
        <v>40</v>
      </c>
      <c r="D330" s="504">
        <v>34.049999999999997</v>
      </c>
      <c r="E330" s="504">
        <f t="shared" si="4"/>
        <v>25.222222222222218</v>
      </c>
    </row>
    <row r="331" spans="1:5" x14ac:dyDescent="0.25">
      <c r="A331" s="10" t="s">
        <v>28304</v>
      </c>
      <c r="B331" s="439" t="s">
        <v>676</v>
      </c>
      <c r="C331" s="10" t="s">
        <v>40</v>
      </c>
      <c r="D331" s="504">
        <v>93.45</v>
      </c>
      <c r="E331" s="504">
        <f t="shared" ref="E331:E394" si="5">D331/(1+$G$4)</f>
        <v>69.222222222222214</v>
      </c>
    </row>
    <row r="332" spans="1:5" x14ac:dyDescent="0.25">
      <c r="A332" s="10" t="s">
        <v>28305</v>
      </c>
      <c r="B332" s="439" t="s">
        <v>677</v>
      </c>
      <c r="C332" s="10" t="s">
        <v>40</v>
      </c>
      <c r="D332" s="504">
        <v>18.3</v>
      </c>
      <c r="E332" s="504">
        <f t="shared" si="5"/>
        <v>13.555555555555555</v>
      </c>
    </row>
    <row r="333" spans="1:5" x14ac:dyDescent="0.25">
      <c r="A333" s="10" t="s">
        <v>28306</v>
      </c>
      <c r="B333" s="439" t="s">
        <v>678</v>
      </c>
      <c r="C333" s="10" t="s">
        <v>40</v>
      </c>
      <c r="D333" s="504">
        <v>318.55</v>
      </c>
      <c r="E333" s="504">
        <f t="shared" si="5"/>
        <v>235.96296296296296</v>
      </c>
    </row>
    <row r="334" spans="1:5" x14ac:dyDescent="0.25">
      <c r="A334" s="10" t="s">
        <v>28307</v>
      </c>
      <c r="B334" s="439" t="s">
        <v>679</v>
      </c>
      <c r="C334" s="10" t="s">
        <v>40</v>
      </c>
      <c r="D334" s="504">
        <v>34.049999999999997</v>
      </c>
      <c r="E334" s="504">
        <f t="shared" si="5"/>
        <v>25.222222222222218</v>
      </c>
    </row>
    <row r="335" spans="1:5" x14ac:dyDescent="0.25">
      <c r="A335" s="10" t="s">
        <v>28308</v>
      </c>
      <c r="B335" s="439" t="s">
        <v>680</v>
      </c>
      <c r="C335" s="10" t="s">
        <v>41</v>
      </c>
      <c r="D335" s="504">
        <v>525</v>
      </c>
      <c r="E335" s="504">
        <f t="shared" si="5"/>
        <v>388.88888888888886</v>
      </c>
    </row>
    <row r="336" spans="1:5" x14ac:dyDescent="0.25">
      <c r="A336" s="10" t="s">
        <v>28309</v>
      </c>
      <c r="B336" s="439" t="s">
        <v>681</v>
      </c>
      <c r="C336" s="10" t="s">
        <v>41</v>
      </c>
      <c r="D336" s="504">
        <v>731.55</v>
      </c>
      <c r="E336" s="504">
        <f t="shared" si="5"/>
        <v>541.8888888888888</v>
      </c>
    </row>
    <row r="337" spans="1:5" x14ac:dyDescent="0.25">
      <c r="A337" s="10" t="s">
        <v>28310</v>
      </c>
      <c r="B337" s="439" t="s">
        <v>682</v>
      </c>
      <c r="C337" s="10" t="s">
        <v>41</v>
      </c>
      <c r="D337" s="504">
        <v>1229.75</v>
      </c>
      <c r="E337" s="504">
        <f t="shared" si="5"/>
        <v>910.92592592592587</v>
      </c>
    </row>
    <row r="338" spans="1:5" x14ac:dyDescent="0.25">
      <c r="A338" s="10" t="s">
        <v>28311</v>
      </c>
      <c r="B338" s="439" t="s">
        <v>683</v>
      </c>
      <c r="C338" s="10" t="s">
        <v>40</v>
      </c>
      <c r="D338" s="504">
        <v>92.17</v>
      </c>
      <c r="E338" s="504">
        <f t="shared" si="5"/>
        <v>68.274074074074065</v>
      </c>
    </row>
    <row r="339" spans="1:5" x14ac:dyDescent="0.25">
      <c r="A339" s="10" t="s">
        <v>28312</v>
      </c>
      <c r="B339" s="439" t="s">
        <v>684</v>
      </c>
      <c r="C339" s="10" t="s">
        <v>40</v>
      </c>
      <c r="D339" s="504">
        <v>3.64</v>
      </c>
      <c r="E339" s="504">
        <f t="shared" si="5"/>
        <v>2.6962962962962962</v>
      </c>
    </row>
    <row r="340" spans="1:5" x14ac:dyDescent="0.25">
      <c r="A340" s="10" t="s">
        <v>28313</v>
      </c>
      <c r="B340" s="439" t="s">
        <v>685</v>
      </c>
      <c r="C340" s="10" t="s">
        <v>41</v>
      </c>
      <c r="D340" s="504">
        <v>184.72</v>
      </c>
      <c r="E340" s="504">
        <f t="shared" si="5"/>
        <v>136.82962962962961</v>
      </c>
    </row>
    <row r="341" spans="1:5" x14ac:dyDescent="0.25">
      <c r="A341" s="10" t="s">
        <v>28314</v>
      </c>
      <c r="B341" s="439" t="s">
        <v>686</v>
      </c>
      <c r="C341" s="10" t="s">
        <v>41</v>
      </c>
      <c r="D341" s="504">
        <v>126.7</v>
      </c>
      <c r="E341" s="504">
        <f t="shared" si="5"/>
        <v>93.851851851851848</v>
      </c>
    </row>
    <row r="342" spans="1:5" x14ac:dyDescent="0.25">
      <c r="A342" s="10" t="s">
        <v>28315</v>
      </c>
      <c r="B342" s="439" t="s">
        <v>687</v>
      </c>
      <c r="C342" s="10" t="s">
        <v>41</v>
      </c>
      <c r="D342" s="504">
        <v>98.45</v>
      </c>
      <c r="E342" s="504">
        <f t="shared" si="5"/>
        <v>72.925925925925924</v>
      </c>
    </row>
    <row r="343" spans="1:5" x14ac:dyDescent="0.25">
      <c r="A343" s="10" t="s">
        <v>28316</v>
      </c>
      <c r="B343" s="439" t="s">
        <v>688</v>
      </c>
      <c r="C343" s="10" t="s">
        <v>40</v>
      </c>
      <c r="D343" s="504">
        <v>81.5</v>
      </c>
      <c r="E343" s="504">
        <f t="shared" si="5"/>
        <v>60.370370370370367</v>
      </c>
    </row>
    <row r="344" spans="1:5" x14ac:dyDescent="0.25">
      <c r="A344" s="10" t="s">
        <v>28317</v>
      </c>
      <c r="B344" s="439" t="s">
        <v>689</v>
      </c>
      <c r="C344" s="10" t="s">
        <v>40</v>
      </c>
      <c r="D344" s="504">
        <v>123.28</v>
      </c>
      <c r="E344" s="504">
        <f t="shared" si="5"/>
        <v>91.318518518518516</v>
      </c>
    </row>
    <row r="345" spans="1:5" x14ac:dyDescent="0.25">
      <c r="A345" s="10" t="s">
        <v>28318</v>
      </c>
      <c r="B345" s="439" t="s">
        <v>690</v>
      </c>
      <c r="C345" s="10" t="s">
        <v>40</v>
      </c>
      <c r="D345" s="504">
        <v>33.630000000000003</v>
      </c>
      <c r="E345" s="504">
        <f t="shared" si="5"/>
        <v>24.911111111111111</v>
      </c>
    </row>
    <row r="346" spans="1:5" x14ac:dyDescent="0.25">
      <c r="A346" s="10" t="s">
        <v>28319</v>
      </c>
      <c r="B346" s="439" t="s">
        <v>691</v>
      </c>
      <c r="C346" s="10" t="s">
        <v>40</v>
      </c>
      <c r="D346" s="504">
        <v>38.619999999999997</v>
      </c>
      <c r="E346" s="504">
        <f t="shared" si="5"/>
        <v>28.607407407407404</v>
      </c>
    </row>
    <row r="347" spans="1:5" x14ac:dyDescent="0.25">
      <c r="A347" s="10" t="s">
        <v>17</v>
      </c>
      <c r="B347" s="439" t="s">
        <v>692</v>
      </c>
      <c r="C347" s="10" t="s">
        <v>41</v>
      </c>
      <c r="D347" s="504">
        <v>161.19</v>
      </c>
      <c r="E347" s="504">
        <f t="shared" si="5"/>
        <v>119.39999999999999</v>
      </c>
    </row>
    <row r="348" spans="1:5" x14ac:dyDescent="0.25">
      <c r="A348" s="10" t="s">
        <v>28320</v>
      </c>
      <c r="B348" s="439" t="s">
        <v>693</v>
      </c>
      <c r="C348" s="10" t="s">
        <v>41</v>
      </c>
      <c r="D348" s="504">
        <v>189.91</v>
      </c>
      <c r="E348" s="504">
        <f t="shared" si="5"/>
        <v>140.67407407407407</v>
      </c>
    </row>
    <row r="349" spans="1:5" x14ac:dyDescent="0.25">
      <c r="A349" s="10" t="s">
        <v>28321</v>
      </c>
      <c r="B349" s="439" t="s">
        <v>694</v>
      </c>
      <c r="C349" s="10" t="s">
        <v>6</v>
      </c>
      <c r="D349" s="504">
        <v>20.91</v>
      </c>
      <c r="E349" s="504">
        <f t="shared" si="5"/>
        <v>15.488888888888887</v>
      </c>
    </row>
    <row r="350" spans="1:5" x14ac:dyDescent="0.25">
      <c r="A350" s="10" t="s">
        <v>28322</v>
      </c>
      <c r="B350" s="439" t="s">
        <v>695</v>
      </c>
      <c r="C350" s="10" t="s">
        <v>6</v>
      </c>
      <c r="D350" s="504">
        <v>17.62</v>
      </c>
      <c r="E350" s="504">
        <f t="shared" si="5"/>
        <v>13.051851851851852</v>
      </c>
    </row>
    <row r="351" spans="1:5" x14ac:dyDescent="0.25">
      <c r="A351" s="10" t="s">
        <v>28323</v>
      </c>
      <c r="B351" s="439" t="s">
        <v>696</v>
      </c>
      <c r="C351" s="10" t="s">
        <v>6</v>
      </c>
      <c r="D351" s="504">
        <v>21.69</v>
      </c>
      <c r="E351" s="504">
        <f t="shared" si="5"/>
        <v>16.066666666666666</v>
      </c>
    </row>
    <row r="352" spans="1:5" x14ac:dyDescent="0.25">
      <c r="A352" s="10" t="s">
        <v>28324</v>
      </c>
      <c r="B352" s="439" t="s">
        <v>697</v>
      </c>
      <c r="C352" s="10" t="s">
        <v>6</v>
      </c>
      <c r="D352" s="504">
        <v>18.920000000000002</v>
      </c>
      <c r="E352" s="504">
        <f t="shared" si="5"/>
        <v>14.014814814814816</v>
      </c>
    </row>
    <row r="353" spans="1:5" x14ac:dyDescent="0.25">
      <c r="A353" s="10" t="s">
        <v>18</v>
      </c>
      <c r="B353" s="439" t="s">
        <v>698</v>
      </c>
      <c r="C353" s="10" t="s">
        <v>40</v>
      </c>
      <c r="D353" s="504">
        <v>714.99</v>
      </c>
      <c r="E353" s="504">
        <f t="shared" si="5"/>
        <v>529.62222222222215</v>
      </c>
    </row>
    <row r="354" spans="1:5" x14ac:dyDescent="0.25">
      <c r="A354" s="10" t="s">
        <v>28325</v>
      </c>
      <c r="B354" s="439" t="s">
        <v>699</v>
      </c>
      <c r="C354" s="10" t="s">
        <v>40</v>
      </c>
      <c r="D354" s="504">
        <v>781.85</v>
      </c>
      <c r="E354" s="504">
        <f t="shared" si="5"/>
        <v>579.14814814814815</v>
      </c>
    </row>
    <row r="355" spans="1:5" x14ac:dyDescent="0.25">
      <c r="A355" s="10" t="s">
        <v>28326</v>
      </c>
      <c r="B355" s="439" t="s">
        <v>700</v>
      </c>
      <c r="C355" s="10" t="s">
        <v>40</v>
      </c>
      <c r="D355" s="504">
        <v>800.35</v>
      </c>
      <c r="E355" s="504">
        <f t="shared" si="5"/>
        <v>592.85185185185185</v>
      </c>
    </row>
    <row r="356" spans="1:5" x14ac:dyDescent="0.25">
      <c r="A356" s="10" t="s">
        <v>28327</v>
      </c>
      <c r="B356" s="439" t="s">
        <v>701</v>
      </c>
      <c r="C356" s="10" t="s">
        <v>40</v>
      </c>
      <c r="D356" s="504">
        <v>830.73</v>
      </c>
      <c r="E356" s="504">
        <f t="shared" si="5"/>
        <v>615.3555555555555</v>
      </c>
    </row>
    <row r="357" spans="1:5" x14ac:dyDescent="0.25">
      <c r="A357" s="10" t="s">
        <v>28328</v>
      </c>
      <c r="B357" s="439" t="s">
        <v>702</v>
      </c>
      <c r="C357" s="10" t="s">
        <v>40</v>
      </c>
      <c r="D357" s="504">
        <v>851.61</v>
      </c>
      <c r="E357" s="504">
        <f t="shared" si="5"/>
        <v>630.82222222222219</v>
      </c>
    </row>
    <row r="358" spans="1:5" x14ac:dyDescent="0.25">
      <c r="A358" s="10" t="s">
        <v>19</v>
      </c>
      <c r="B358" s="439" t="s">
        <v>703</v>
      </c>
      <c r="C358" s="10" t="s">
        <v>40</v>
      </c>
      <c r="D358" s="504">
        <v>878.45</v>
      </c>
      <c r="E358" s="504">
        <f t="shared" si="5"/>
        <v>650.7037037037037</v>
      </c>
    </row>
    <row r="359" spans="1:5" x14ac:dyDescent="0.25">
      <c r="A359" s="10" t="s">
        <v>28329</v>
      </c>
      <c r="B359" s="439" t="s">
        <v>704</v>
      </c>
      <c r="C359" s="10" t="s">
        <v>40</v>
      </c>
      <c r="D359" s="504">
        <v>718.61</v>
      </c>
      <c r="E359" s="504">
        <f t="shared" si="5"/>
        <v>532.30370370370372</v>
      </c>
    </row>
    <row r="360" spans="1:5" x14ac:dyDescent="0.25">
      <c r="A360" s="10" t="s">
        <v>28330</v>
      </c>
      <c r="B360" s="439" t="s">
        <v>705</v>
      </c>
      <c r="C360" s="10" t="s">
        <v>40</v>
      </c>
      <c r="D360" s="504">
        <v>106.56</v>
      </c>
      <c r="E360" s="504">
        <f t="shared" si="5"/>
        <v>78.933333333333323</v>
      </c>
    </row>
    <row r="361" spans="1:5" ht="30" x14ac:dyDescent="0.25">
      <c r="A361" s="10" t="s">
        <v>28331</v>
      </c>
      <c r="B361" s="439" t="s">
        <v>2397</v>
      </c>
      <c r="C361" s="10" t="s">
        <v>1323</v>
      </c>
      <c r="D361" s="504">
        <v>281.85000000000002</v>
      </c>
      <c r="E361" s="504">
        <f t="shared" si="5"/>
        <v>208.77777777777777</v>
      </c>
    </row>
    <row r="362" spans="1:5" x14ac:dyDescent="0.25">
      <c r="A362" s="10" t="s">
        <v>28332</v>
      </c>
      <c r="B362" s="439" t="s">
        <v>706</v>
      </c>
      <c r="C362" s="10" t="s">
        <v>40</v>
      </c>
      <c r="D362" s="504">
        <v>894.1</v>
      </c>
      <c r="E362" s="504">
        <f t="shared" si="5"/>
        <v>662.2962962962963</v>
      </c>
    </row>
    <row r="363" spans="1:5" x14ac:dyDescent="0.25">
      <c r="A363" s="10" t="s">
        <v>28333</v>
      </c>
      <c r="B363" s="439" t="s">
        <v>707</v>
      </c>
      <c r="C363" s="10" t="s">
        <v>40</v>
      </c>
      <c r="D363" s="504">
        <v>943.84</v>
      </c>
      <c r="E363" s="504">
        <f t="shared" si="5"/>
        <v>699.14074074074074</v>
      </c>
    </row>
    <row r="364" spans="1:5" x14ac:dyDescent="0.25">
      <c r="A364" s="10" t="s">
        <v>28334</v>
      </c>
      <c r="B364" s="439" t="s">
        <v>708</v>
      </c>
      <c r="C364" s="10" t="s">
        <v>40</v>
      </c>
      <c r="D364" s="504">
        <v>1022.8</v>
      </c>
      <c r="E364" s="504">
        <f t="shared" si="5"/>
        <v>757.62962962962956</v>
      </c>
    </row>
    <row r="365" spans="1:5" x14ac:dyDescent="0.25">
      <c r="A365" s="10" t="s">
        <v>28335</v>
      </c>
      <c r="B365" s="439" t="s">
        <v>709</v>
      </c>
      <c r="C365" s="10" t="s">
        <v>40</v>
      </c>
      <c r="D365" s="504">
        <v>1064.4000000000001</v>
      </c>
      <c r="E365" s="504">
        <f t="shared" si="5"/>
        <v>788.44444444444446</v>
      </c>
    </row>
    <row r="366" spans="1:5" x14ac:dyDescent="0.25">
      <c r="A366" s="10" t="s">
        <v>28336</v>
      </c>
      <c r="B366" s="439" t="s">
        <v>710</v>
      </c>
      <c r="C366" s="10" t="s">
        <v>2</v>
      </c>
      <c r="D366" s="504">
        <v>118.15</v>
      </c>
      <c r="E366" s="504">
        <f t="shared" si="5"/>
        <v>87.518518518518519</v>
      </c>
    </row>
    <row r="367" spans="1:5" x14ac:dyDescent="0.25">
      <c r="A367" s="10" t="s">
        <v>28337</v>
      </c>
      <c r="B367" s="439" t="s">
        <v>711</v>
      </c>
      <c r="C367" s="10" t="s">
        <v>2</v>
      </c>
      <c r="D367" s="504">
        <v>201.38</v>
      </c>
      <c r="E367" s="504">
        <f t="shared" si="5"/>
        <v>149.17037037037036</v>
      </c>
    </row>
    <row r="368" spans="1:5" x14ac:dyDescent="0.25">
      <c r="A368" s="10" t="s">
        <v>28338</v>
      </c>
      <c r="B368" s="439" t="s">
        <v>712</v>
      </c>
      <c r="C368" s="10" t="s">
        <v>40</v>
      </c>
      <c r="D368" s="504">
        <v>367.81</v>
      </c>
      <c r="E368" s="504">
        <f t="shared" si="5"/>
        <v>272.45185185185181</v>
      </c>
    </row>
    <row r="369" spans="1:5" x14ac:dyDescent="0.25">
      <c r="A369" s="10" t="s">
        <v>28339</v>
      </c>
      <c r="B369" s="439" t="s">
        <v>713</v>
      </c>
      <c r="C369" s="10" t="s">
        <v>40</v>
      </c>
      <c r="D369" s="504">
        <v>554.97</v>
      </c>
      <c r="E369" s="504">
        <f t="shared" si="5"/>
        <v>411.0888888888889</v>
      </c>
    </row>
    <row r="370" spans="1:5" x14ac:dyDescent="0.25">
      <c r="A370" s="10" t="s">
        <v>28340</v>
      </c>
      <c r="B370" s="439" t="s">
        <v>714</v>
      </c>
      <c r="C370" s="10" t="s">
        <v>40</v>
      </c>
      <c r="D370" s="504">
        <v>234.34</v>
      </c>
      <c r="E370" s="504">
        <f t="shared" si="5"/>
        <v>173.58518518518517</v>
      </c>
    </row>
    <row r="371" spans="1:5" x14ac:dyDescent="0.25">
      <c r="A371" s="10" t="s">
        <v>28341</v>
      </c>
      <c r="B371" s="439" t="s">
        <v>715</v>
      </c>
      <c r="C371" s="10" t="s">
        <v>40</v>
      </c>
      <c r="D371" s="504">
        <v>727.23</v>
      </c>
      <c r="E371" s="504">
        <f t="shared" si="5"/>
        <v>538.68888888888887</v>
      </c>
    </row>
    <row r="372" spans="1:5" ht="30" x14ac:dyDescent="0.25">
      <c r="A372" s="10" t="s">
        <v>28342</v>
      </c>
      <c r="B372" s="439" t="s">
        <v>716</v>
      </c>
      <c r="C372" s="10" t="s">
        <v>40</v>
      </c>
      <c r="D372" s="504">
        <v>835.86</v>
      </c>
      <c r="E372" s="504">
        <f t="shared" si="5"/>
        <v>619.15555555555557</v>
      </c>
    </row>
    <row r="373" spans="1:5" ht="30" x14ac:dyDescent="0.25">
      <c r="A373" s="10" t="s">
        <v>28343</v>
      </c>
      <c r="B373" s="439" t="s">
        <v>717</v>
      </c>
      <c r="C373" s="10" t="s">
        <v>40</v>
      </c>
      <c r="D373" s="504">
        <v>1079.06</v>
      </c>
      <c r="E373" s="504">
        <f t="shared" si="5"/>
        <v>799.3037037037036</v>
      </c>
    </row>
    <row r="374" spans="1:5" ht="30" x14ac:dyDescent="0.25">
      <c r="A374" s="10" t="s">
        <v>28344</v>
      </c>
      <c r="B374" s="439" t="s">
        <v>718</v>
      </c>
      <c r="C374" s="10" t="s">
        <v>40</v>
      </c>
      <c r="D374" s="504">
        <v>676.39</v>
      </c>
      <c r="E374" s="504">
        <f t="shared" si="5"/>
        <v>501.0296296296296</v>
      </c>
    </row>
    <row r="375" spans="1:5" ht="30" x14ac:dyDescent="0.25">
      <c r="A375" s="10" t="s">
        <v>28345</v>
      </c>
      <c r="B375" s="439" t="s">
        <v>719</v>
      </c>
      <c r="C375" s="10" t="s">
        <v>40</v>
      </c>
      <c r="D375" s="504">
        <v>848.49</v>
      </c>
      <c r="E375" s="504">
        <f t="shared" si="5"/>
        <v>628.51111111111106</v>
      </c>
    </row>
    <row r="376" spans="1:5" x14ac:dyDescent="0.25">
      <c r="A376" s="10" t="s">
        <v>28346</v>
      </c>
      <c r="B376" s="439" t="s">
        <v>720</v>
      </c>
      <c r="C376" s="10" t="s">
        <v>40</v>
      </c>
      <c r="D376" s="504">
        <v>614.1</v>
      </c>
      <c r="E376" s="504">
        <f t="shared" si="5"/>
        <v>454.88888888888886</v>
      </c>
    </row>
    <row r="377" spans="1:5" ht="30" x14ac:dyDescent="0.25">
      <c r="A377" s="10" t="s">
        <v>28347</v>
      </c>
      <c r="B377" s="439" t="s">
        <v>721</v>
      </c>
      <c r="C377" s="10" t="s">
        <v>41</v>
      </c>
      <c r="D377" s="504">
        <v>515.95000000000005</v>
      </c>
      <c r="E377" s="504">
        <f t="shared" si="5"/>
        <v>382.18518518518522</v>
      </c>
    </row>
    <row r="378" spans="1:5" ht="30" x14ac:dyDescent="0.25">
      <c r="A378" s="10" t="s">
        <v>28348</v>
      </c>
      <c r="B378" s="439" t="s">
        <v>722</v>
      </c>
      <c r="C378" s="10" t="s">
        <v>41</v>
      </c>
      <c r="D378" s="504">
        <v>449.13</v>
      </c>
      <c r="E378" s="504">
        <f t="shared" si="5"/>
        <v>332.68888888888887</v>
      </c>
    </row>
    <row r="379" spans="1:5" ht="30" x14ac:dyDescent="0.25">
      <c r="A379" s="10" t="s">
        <v>28349</v>
      </c>
      <c r="B379" s="439" t="s">
        <v>723</v>
      </c>
      <c r="C379" s="10" t="s">
        <v>41</v>
      </c>
      <c r="D379" s="504">
        <v>535.66999999999996</v>
      </c>
      <c r="E379" s="504">
        <f t="shared" si="5"/>
        <v>396.79259259259254</v>
      </c>
    </row>
    <row r="380" spans="1:5" ht="30" x14ac:dyDescent="0.25">
      <c r="A380" s="10" t="s">
        <v>28350</v>
      </c>
      <c r="B380" s="439" t="s">
        <v>724</v>
      </c>
      <c r="C380" s="10" t="s">
        <v>41</v>
      </c>
      <c r="D380" s="504">
        <v>460.57</v>
      </c>
      <c r="E380" s="504">
        <f t="shared" si="5"/>
        <v>341.16296296296292</v>
      </c>
    </row>
    <row r="381" spans="1:5" ht="30" x14ac:dyDescent="0.25">
      <c r="A381" s="10" t="s">
        <v>28351</v>
      </c>
      <c r="B381" s="439" t="s">
        <v>725</v>
      </c>
      <c r="C381" s="10" t="s">
        <v>41</v>
      </c>
      <c r="D381" s="504">
        <v>555.4</v>
      </c>
      <c r="E381" s="504">
        <f t="shared" si="5"/>
        <v>411.40740740740739</v>
      </c>
    </row>
    <row r="382" spans="1:5" ht="30" x14ac:dyDescent="0.25">
      <c r="A382" s="10" t="s">
        <v>28352</v>
      </c>
      <c r="B382" s="439" t="s">
        <v>726</v>
      </c>
      <c r="C382" s="10" t="s">
        <v>41</v>
      </c>
      <c r="D382" s="504">
        <v>475.57</v>
      </c>
      <c r="E382" s="504">
        <f t="shared" si="5"/>
        <v>352.27407407407406</v>
      </c>
    </row>
    <row r="383" spans="1:5" ht="30" x14ac:dyDescent="0.25">
      <c r="A383" s="10" t="s">
        <v>28353</v>
      </c>
      <c r="B383" s="439" t="s">
        <v>727</v>
      </c>
      <c r="C383" s="10" t="s">
        <v>40</v>
      </c>
      <c r="D383" s="504">
        <v>885.95</v>
      </c>
      <c r="E383" s="504">
        <f t="shared" si="5"/>
        <v>656.25925925925924</v>
      </c>
    </row>
    <row r="384" spans="1:5" ht="30" x14ac:dyDescent="0.25">
      <c r="A384" s="10" t="s">
        <v>28354</v>
      </c>
      <c r="B384" s="439" t="s">
        <v>728</v>
      </c>
      <c r="C384" s="10" t="s">
        <v>40</v>
      </c>
      <c r="D384" s="504">
        <v>703.25</v>
      </c>
      <c r="E384" s="504">
        <f t="shared" si="5"/>
        <v>520.92592592592587</v>
      </c>
    </row>
    <row r="385" spans="1:5" x14ac:dyDescent="0.25">
      <c r="A385" s="10" t="s">
        <v>28355</v>
      </c>
      <c r="B385" s="439" t="s">
        <v>729</v>
      </c>
      <c r="C385" s="10" t="s">
        <v>40</v>
      </c>
      <c r="D385" s="504">
        <v>200.82</v>
      </c>
      <c r="E385" s="504">
        <f t="shared" si="5"/>
        <v>148.75555555555553</v>
      </c>
    </row>
    <row r="386" spans="1:5" x14ac:dyDescent="0.25">
      <c r="A386" s="10" t="s">
        <v>28356</v>
      </c>
      <c r="B386" s="439" t="s">
        <v>730</v>
      </c>
      <c r="C386" s="10" t="s">
        <v>40</v>
      </c>
      <c r="D386" s="504">
        <v>1101.77</v>
      </c>
      <c r="E386" s="504">
        <f t="shared" si="5"/>
        <v>816.12592592592591</v>
      </c>
    </row>
    <row r="387" spans="1:5" x14ac:dyDescent="0.25">
      <c r="A387" s="10" t="s">
        <v>28357</v>
      </c>
      <c r="B387" s="439" t="s">
        <v>731</v>
      </c>
      <c r="C387" s="10" t="s">
        <v>40</v>
      </c>
      <c r="D387" s="504">
        <v>1031.57</v>
      </c>
      <c r="E387" s="504">
        <f t="shared" si="5"/>
        <v>764.1259259259258</v>
      </c>
    </row>
    <row r="388" spans="1:5" x14ac:dyDescent="0.25">
      <c r="A388" s="10" t="s">
        <v>28358</v>
      </c>
      <c r="B388" s="439" t="s">
        <v>732</v>
      </c>
      <c r="C388" s="10" t="s">
        <v>40</v>
      </c>
      <c r="D388" s="504">
        <v>1511.7</v>
      </c>
      <c r="E388" s="504">
        <f t="shared" si="5"/>
        <v>1119.7777777777778</v>
      </c>
    </row>
    <row r="389" spans="1:5" x14ac:dyDescent="0.25">
      <c r="A389" s="10" t="s">
        <v>28359</v>
      </c>
      <c r="B389" s="439" t="s">
        <v>733</v>
      </c>
      <c r="C389" s="10" t="s">
        <v>40</v>
      </c>
      <c r="D389" s="504">
        <v>512.22</v>
      </c>
      <c r="E389" s="504">
        <f t="shared" si="5"/>
        <v>379.42222222222222</v>
      </c>
    </row>
    <row r="390" spans="1:5" x14ac:dyDescent="0.25">
      <c r="A390" s="10" t="s">
        <v>28360</v>
      </c>
      <c r="B390" s="439" t="s">
        <v>28361</v>
      </c>
      <c r="C390" s="10" t="s">
        <v>40</v>
      </c>
      <c r="D390" s="504">
        <v>334.33</v>
      </c>
      <c r="E390" s="504">
        <f t="shared" si="5"/>
        <v>247.65185185185183</v>
      </c>
    </row>
    <row r="391" spans="1:5" x14ac:dyDescent="0.25">
      <c r="A391" s="10" t="s">
        <v>28362</v>
      </c>
      <c r="B391" s="439" t="s">
        <v>734</v>
      </c>
      <c r="C391" s="10" t="s">
        <v>40</v>
      </c>
      <c r="D391" s="504">
        <v>918.26</v>
      </c>
      <c r="E391" s="504">
        <f t="shared" si="5"/>
        <v>680.19259259259252</v>
      </c>
    </row>
    <row r="392" spans="1:5" x14ac:dyDescent="0.25">
      <c r="A392" s="10" t="s">
        <v>28363</v>
      </c>
      <c r="B392" s="439" t="s">
        <v>735</v>
      </c>
      <c r="C392" s="10" t="s">
        <v>40</v>
      </c>
      <c r="D392" s="504">
        <v>815.45</v>
      </c>
      <c r="E392" s="504">
        <f t="shared" si="5"/>
        <v>604.03703703703707</v>
      </c>
    </row>
    <row r="393" spans="1:5" x14ac:dyDescent="0.25">
      <c r="A393" s="10" t="s">
        <v>28364</v>
      </c>
      <c r="B393" s="439" t="s">
        <v>736</v>
      </c>
      <c r="C393" s="10" t="s">
        <v>41</v>
      </c>
      <c r="D393" s="504">
        <v>59.25</v>
      </c>
      <c r="E393" s="504">
        <f t="shared" si="5"/>
        <v>43.888888888888886</v>
      </c>
    </row>
    <row r="394" spans="1:5" x14ac:dyDescent="0.25">
      <c r="A394" s="10" t="s">
        <v>28365</v>
      </c>
      <c r="B394" s="439" t="s">
        <v>737</v>
      </c>
      <c r="C394" s="10" t="s">
        <v>40</v>
      </c>
      <c r="D394" s="504">
        <v>159.04</v>
      </c>
      <c r="E394" s="504">
        <f t="shared" si="5"/>
        <v>117.8074074074074</v>
      </c>
    </row>
    <row r="395" spans="1:5" x14ac:dyDescent="0.25">
      <c r="A395" s="10" t="s">
        <v>28366</v>
      </c>
      <c r="B395" s="439" t="s">
        <v>738</v>
      </c>
      <c r="C395" s="10" t="s">
        <v>40</v>
      </c>
      <c r="D395" s="504">
        <v>174.58</v>
      </c>
      <c r="E395" s="504">
        <f t="shared" ref="E395:E458" si="6">D395/(1+$G$4)</f>
        <v>129.31851851851852</v>
      </c>
    </row>
    <row r="396" spans="1:5" x14ac:dyDescent="0.25">
      <c r="A396" s="10" t="s">
        <v>28367</v>
      </c>
      <c r="B396" s="439" t="s">
        <v>739</v>
      </c>
      <c r="C396" s="10" t="s">
        <v>40</v>
      </c>
      <c r="D396" s="504">
        <v>182.6</v>
      </c>
      <c r="E396" s="504">
        <f t="shared" si="6"/>
        <v>135.25925925925924</v>
      </c>
    </row>
    <row r="397" spans="1:5" x14ac:dyDescent="0.25">
      <c r="A397" s="10" t="s">
        <v>28368</v>
      </c>
      <c r="B397" s="439" t="s">
        <v>740</v>
      </c>
      <c r="C397" s="10" t="s">
        <v>40</v>
      </c>
      <c r="D397" s="504">
        <v>246.51</v>
      </c>
      <c r="E397" s="504">
        <f t="shared" si="6"/>
        <v>182.6</v>
      </c>
    </row>
    <row r="398" spans="1:5" x14ac:dyDescent="0.25">
      <c r="A398" s="10" t="s">
        <v>28369</v>
      </c>
      <c r="B398" s="439" t="s">
        <v>741</v>
      </c>
      <c r="C398" s="10" t="s">
        <v>40</v>
      </c>
      <c r="D398" s="504">
        <v>151.38999999999999</v>
      </c>
      <c r="E398" s="504">
        <f t="shared" si="6"/>
        <v>112.14074074074072</v>
      </c>
    </row>
    <row r="399" spans="1:5" x14ac:dyDescent="0.25">
      <c r="A399" s="10" t="s">
        <v>28370</v>
      </c>
      <c r="B399" s="439" t="s">
        <v>742</v>
      </c>
      <c r="C399" s="10" t="s">
        <v>40</v>
      </c>
      <c r="D399" s="504">
        <v>217.54</v>
      </c>
      <c r="E399" s="504">
        <f t="shared" si="6"/>
        <v>161.14074074074071</v>
      </c>
    </row>
    <row r="400" spans="1:5" x14ac:dyDescent="0.25">
      <c r="A400" s="10" t="s">
        <v>28371</v>
      </c>
      <c r="B400" s="439" t="s">
        <v>743</v>
      </c>
      <c r="C400" s="10" t="s">
        <v>40</v>
      </c>
      <c r="D400" s="504">
        <v>44.08</v>
      </c>
      <c r="E400" s="504">
        <f t="shared" si="6"/>
        <v>32.651851851851852</v>
      </c>
    </row>
    <row r="401" spans="1:5" x14ac:dyDescent="0.25">
      <c r="A401" s="10" t="s">
        <v>28372</v>
      </c>
      <c r="B401" s="439" t="s">
        <v>744</v>
      </c>
      <c r="C401" s="10" t="s">
        <v>41</v>
      </c>
      <c r="D401" s="504">
        <v>22.04</v>
      </c>
      <c r="E401" s="504">
        <f t="shared" si="6"/>
        <v>16.325925925925926</v>
      </c>
    </row>
    <row r="402" spans="1:5" x14ac:dyDescent="0.25">
      <c r="A402" s="10" t="s">
        <v>28373</v>
      </c>
      <c r="B402" s="439" t="s">
        <v>745</v>
      </c>
      <c r="C402" s="10" t="s">
        <v>40</v>
      </c>
      <c r="D402" s="504">
        <v>98.01</v>
      </c>
      <c r="E402" s="504">
        <f t="shared" si="6"/>
        <v>72.599999999999994</v>
      </c>
    </row>
    <row r="403" spans="1:5" x14ac:dyDescent="0.25">
      <c r="A403" s="10" t="s">
        <v>28374</v>
      </c>
      <c r="B403" s="439" t="s">
        <v>746</v>
      </c>
      <c r="C403" s="10" t="s">
        <v>40</v>
      </c>
      <c r="D403" s="504">
        <v>144.15</v>
      </c>
      <c r="E403" s="504">
        <f t="shared" si="6"/>
        <v>106.77777777777777</v>
      </c>
    </row>
    <row r="404" spans="1:5" x14ac:dyDescent="0.25">
      <c r="A404" s="10" t="s">
        <v>28375</v>
      </c>
      <c r="B404" s="439" t="s">
        <v>747</v>
      </c>
      <c r="C404" s="10" t="s">
        <v>40</v>
      </c>
      <c r="D404" s="504">
        <v>329.54</v>
      </c>
      <c r="E404" s="504">
        <f t="shared" si="6"/>
        <v>244.1037037037037</v>
      </c>
    </row>
    <row r="405" spans="1:5" x14ac:dyDescent="0.25">
      <c r="A405" s="10" t="s">
        <v>28376</v>
      </c>
      <c r="B405" s="439" t="s">
        <v>748</v>
      </c>
      <c r="C405" s="10" t="s">
        <v>40</v>
      </c>
      <c r="D405" s="504">
        <v>37.68</v>
      </c>
      <c r="E405" s="504">
        <f t="shared" si="6"/>
        <v>27.911111111111108</v>
      </c>
    </row>
    <row r="406" spans="1:5" x14ac:dyDescent="0.25">
      <c r="A406" s="10" t="s">
        <v>28377</v>
      </c>
      <c r="B406" s="439" t="s">
        <v>749</v>
      </c>
      <c r="C406" s="10" t="s">
        <v>40</v>
      </c>
      <c r="D406" s="504">
        <v>50.24</v>
      </c>
      <c r="E406" s="504">
        <f t="shared" si="6"/>
        <v>37.214814814814815</v>
      </c>
    </row>
    <row r="407" spans="1:5" x14ac:dyDescent="0.25">
      <c r="A407" s="10" t="s">
        <v>28378</v>
      </c>
      <c r="B407" s="439" t="s">
        <v>750</v>
      </c>
      <c r="C407" s="10" t="s">
        <v>40</v>
      </c>
      <c r="D407" s="504">
        <v>229.94</v>
      </c>
      <c r="E407" s="504">
        <f t="shared" si="6"/>
        <v>170.3259259259259</v>
      </c>
    </row>
    <row r="408" spans="1:5" x14ac:dyDescent="0.25">
      <c r="A408" s="10" t="s">
        <v>28379</v>
      </c>
      <c r="B408" s="439" t="s">
        <v>751</v>
      </c>
      <c r="C408" s="10" t="s">
        <v>40</v>
      </c>
      <c r="D408" s="504">
        <v>196.37</v>
      </c>
      <c r="E408" s="504">
        <f t="shared" si="6"/>
        <v>145.45925925925926</v>
      </c>
    </row>
    <row r="409" spans="1:5" ht="30" x14ac:dyDescent="0.25">
      <c r="A409" s="10" t="s">
        <v>28380</v>
      </c>
      <c r="B409" s="439" t="s">
        <v>752</v>
      </c>
      <c r="C409" s="10" t="s">
        <v>41</v>
      </c>
      <c r="D409" s="504">
        <v>8.99</v>
      </c>
      <c r="E409" s="504">
        <f t="shared" si="6"/>
        <v>6.659259259259259</v>
      </c>
    </row>
    <row r="410" spans="1:5" ht="30" x14ac:dyDescent="0.25">
      <c r="A410" s="10" t="s">
        <v>28381</v>
      </c>
      <c r="B410" s="439" t="s">
        <v>753</v>
      </c>
      <c r="C410" s="10" t="s">
        <v>41</v>
      </c>
      <c r="D410" s="504">
        <v>9.66</v>
      </c>
      <c r="E410" s="504">
        <f t="shared" si="6"/>
        <v>7.155555555555555</v>
      </c>
    </row>
    <row r="411" spans="1:5" ht="30" x14ac:dyDescent="0.25">
      <c r="A411" s="10" t="s">
        <v>28382</v>
      </c>
      <c r="B411" s="439" t="s">
        <v>754</v>
      </c>
      <c r="C411" s="10" t="s">
        <v>41</v>
      </c>
      <c r="D411" s="504">
        <v>11.2</v>
      </c>
      <c r="E411" s="504">
        <f t="shared" si="6"/>
        <v>8.2962962962962958</v>
      </c>
    </row>
    <row r="412" spans="1:5" ht="30" x14ac:dyDescent="0.25">
      <c r="A412" s="10" t="s">
        <v>28383</v>
      </c>
      <c r="B412" s="439" t="s">
        <v>755</v>
      </c>
      <c r="C412" s="10" t="s">
        <v>41</v>
      </c>
      <c r="D412" s="504">
        <v>12.29</v>
      </c>
      <c r="E412" s="504">
        <f t="shared" si="6"/>
        <v>9.1037037037037027</v>
      </c>
    </row>
    <row r="413" spans="1:5" ht="30" x14ac:dyDescent="0.25">
      <c r="A413" s="10" t="s">
        <v>28384</v>
      </c>
      <c r="B413" s="439" t="s">
        <v>756</v>
      </c>
      <c r="C413" s="10" t="s">
        <v>41</v>
      </c>
      <c r="D413" s="504">
        <v>14.94</v>
      </c>
      <c r="E413" s="504">
        <f t="shared" si="6"/>
        <v>11.066666666666666</v>
      </c>
    </row>
    <row r="414" spans="1:5" ht="30" x14ac:dyDescent="0.25">
      <c r="A414" s="10" t="s">
        <v>28385</v>
      </c>
      <c r="B414" s="439" t="s">
        <v>757</v>
      </c>
      <c r="C414" s="10" t="s">
        <v>41</v>
      </c>
      <c r="D414" s="504">
        <v>17.57</v>
      </c>
      <c r="E414" s="504">
        <f t="shared" si="6"/>
        <v>13.014814814814814</v>
      </c>
    </row>
    <row r="415" spans="1:5" ht="30" x14ac:dyDescent="0.25">
      <c r="A415" s="10" t="s">
        <v>28386</v>
      </c>
      <c r="B415" s="439" t="s">
        <v>758</v>
      </c>
      <c r="C415" s="10" t="s">
        <v>41</v>
      </c>
      <c r="D415" s="504">
        <v>22.84</v>
      </c>
      <c r="E415" s="504">
        <f t="shared" si="6"/>
        <v>16.918518518518518</v>
      </c>
    </row>
    <row r="416" spans="1:5" ht="30" x14ac:dyDescent="0.25">
      <c r="A416" s="10" t="s">
        <v>28387</v>
      </c>
      <c r="B416" s="439" t="s">
        <v>759</v>
      </c>
      <c r="C416" s="10" t="s">
        <v>41</v>
      </c>
      <c r="D416" s="504">
        <v>28.09</v>
      </c>
      <c r="E416" s="504">
        <f t="shared" si="6"/>
        <v>20.807407407407407</v>
      </c>
    </row>
    <row r="417" spans="1:5" ht="30" x14ac:dyDescent="0.25">
      <c r="A417" s="10" t="s">
        <v>28388</v>
      </c>
      <c r="B417" s="439" t="s">
        <v>760</v>
      </c>
      <c r="C417" s="10" t="s">
        <v>41</v>
      </c>
      <c r="D417" s="504">
        <v>33.369999999999997</v>
      </c>
      <c r="E417" s="504">
        <f t="shared" si="6"/>
        <v>24.718518518518515</v>
      </c>
    </row>
    <row r="418" spans="1:5" x14ac:dyDescent="0.25">
      <c r="A418" s="10" t="s">
        <v>28389</v>
      </c>
      <c r="B418" s="439" t="s">
        <v>761</v>
      </c>
      <c r="C418" s="10" t="s">
        <v>41</v>
      </c>
      <c r="D418" s="504">
        <v>12.66</v>
      </c>
      <c r="E418" s="504">
        <f t="shared" si="6"/>
        <v>9.3777777777777764</v>
      </c>
    </row>
    <row r="419" spans="1:5" x14ac:dyDescent="0.25">
      <c r="A419" s="10" t="s">
        <v>28390</v>
      </c>
      <c r="B419" s="439" t="s">
        <v>762</v>
      </c>
      <c r="C419" s="10" t="s">
        <v>41</v>
      </c>
      <c r="D419" s="504">
        <v>19.940000000000001</v>
      </c>
      <c r="E419" s="504">
        <f t="shared" si="6"/>
        <v>14.770370370370371</v>
      </c>
    </row>
    <row r="420" spans="1:5" x14ac:dyDescent="0.25">
      <c r="A420" s="10" t="s">
        <v>28391</v>
      </c>
      <c r="B420" s="439" t="s">
        <v>763</v>
      </c>
      <c r="C420" s="10" t="s">
        <v>41</v>
      </c>
      <c r="D420" s="504">
        <v>71.05</v>
      </c>
      <c r="E420" s="504">
        <f t="shared" si="6"/>
        <v>52.629629629629626</v>
      </c>
    </row>
    <row r="421" spans="1:5" x14ac:dyDescent="0.25">
      <c r="A421" s="10" t="s">
        <v>28392</v>
      </c>
      <c r="B421" s="439" t="s">
        <v>764</v>
      </c>
      <c r="C421" s="10" t="s">
        <v>6</v>
      </c>
      <c r="D421" s="504">
        <v>82.86</v>
      </c>
      <c r="E421" s="504">
        <f t="shared" si="6"/>
        <v>61.377777777777773</v>
      </c>
    </row>
    <row r="422" spans="1:5" x14ac:dyDescent="0.25">
      <c r="A422" s="10" t="s">
        <v>28393</v>
      </c>
      <c r="B422" s="439" t="s">
        <v>765</v>
      </c>
      <c r="C422" s="10" t="s">
        <v>2</v>
      </c>
      <c r="D422" s="504">
        <v>101.44</v>
      </c>
      <c r="E422" s="504">
        <f t="shared" si="6"/>
        <v>75.140740740740739</v>
      </c>
    </row>
    <row r="423" spans="1:5" x14ac:dyDescent="0.25">
      <c r="A423" s="10" t="s">
        <v>28394</v>
      </c>
      <c r="B423" s="439" t="s">
        <v>766</v>
      </c>
      <c r="C423" s="10" t="s">
        <v>2</v>
      </c>
      <c r="D423" s="504">
        <v>92.22</v>
      </c>
      <c r="E423" s="504">
        <f t="shared" si="6"/>
        <v>68.311111111111103</v>
      </c>
    </row>
    <row r="424" spans="1:5" x14ac:dyDescent="0.25">
      <c r="A424" s="10" t="s">
        <v>28395</v>
      </c>
      <c r="B424" s="439" t="s">
        <v>767</v>
      </c>
      <c r="C424" s="10" t="s">
        <v>2</v>
      </c>
      <c r="D424" s="504">
        <v>92.64</v>
      </c>
      <c r="E424" s="504">
        <f t="shared" si="6"/>
        <v>68.62222222222222</v>
      </c>
    </row>
    <row r="425" spans="1:5" x14ac:dyDescent="0.25">
      <c r="A425" s="10" t="s">
        <v>28396</v>
      </c>
      <c r="B425" s="439" t="s">
        <v>768</v>
      </c>
      <c r="C425" s="10" t="s">
        <v>2</v>
      </c>
      <c r="D425" s="504">
        <v>124.64</v>
      </c>
      <c r="E425" s="504">
        <f t="shared" si="6"/>
        <v>92.325925925925915</v>
      </c>
    </row>
    <row r="426" spans="1:5" x14ac:dyDescent="0.25">
      <c r="A426" s="10" t="s">
        <v>28397</v>
      </c>
      <c r="B426" s="439" t="s">
        <v>769</v>
      </c>
      <c r="C426" s="10" t="s">
        <v>2</v>
      </c>
      <c r="D426" s="504">
        <v>27.53</v>
      </c>
      <c r="E426" s="504">
        <f t="shared" si="6"/>
        <v>20.392592592592592</v>
      </c>
    </row>
    <row r="427" spans="1:5" x14ac:dyDescent="0.25">
      <c r="A427" s="10" t="s">
        <v>28398</v>
      </c>
      <c r="B427" s="439" t="s">
        <v>770</v>
      </c>
      <c r="C427" s="10" t="s">
        <v>2</v>
      </c>
      <c r="D427" s="504">
        <v>209.72</v>
      </c>
      <c r="E427" s="504">
        <f t="shared" si="6"/>
        <v>155.34814814814814</v>
      </c>
    </row>
    <row r="428" spans="1:5" x14ac:dyDescent="0.25">
      <c r="A428" s="10" t="s">
        <v>2880</v>
      </c>
      <c r="B428" s="439" t="s">
        <v>771</v>
      </c>
      <c r="C428" s="10" t="s">
        <v>2</v>
      </c>
      <c r="D428" s="504">
        <v>120.95</v>
      </c>
      <c r="E428" s="504">
        <f t="shared" si="6"/>
        <v>89.592592592592595</v>
      </c>
    </row>
    <row r="429" spans="1:5" x14ac:dyDescent="0.25">
      <c r="A429" s="10" t="s">
        <v>28399</v>
      </c>
      <c r="B429" s="439" t="s">
        <v>772</v>
      </c>
      <c r="C429" s="10" t="s">
        <v>2</v>
      </c>
      <c r="D429" s="504">
        <v>154.22999999999999</v>
      </c>
      <c r="E429" s="504">
        <f t="shared" si="6"/>
        <v>114.24444444444443</v>
      </c>
    </row>
    <row r="430" spans="1:5" x14ac:dyDescent="0.25">
      <c r="A430" s="10" t="s">
        <v>28400</v>
      </c>
      <c r="B430" s="439" t="s">
        <v>773</v>
      </c>
      <c r="C430" s="10" t="s">
        <v>2</v>
      </c>
      <c r="D430" s="504">
        <v>402.94</v>
      </c>
      <c r="E430" s="504">
        <f t="shared" si="6"/>
        <v>298.47407407407405</v>
      </c>
    </row>
    <row r="431" spans="1:5" ht="30" x14ac:dyDescent="0.25">
      <c r="A431" s="10" t="s">
        <v>28401</v>
      </c>
      <c r="B431" s="439" t="s">
        <v>774</v>
      </c>
      <c r="C431" s="10" t="s">
        <v>2</v>
      </c>
      <c r="D431" s="504">
        <v>257.86</v>
      </c>
      <c r="E431" s="504">
        <f t="shared" si="6"/>
        <v>191.00740740740741</v>
      </c>
    </row>
    <row r="432" spans="1:5" ht="30" x14ac:dyDescent="0.25">
      <c r="A432" s="10" t="s">
        <v>28402</v>
      </c>
      <c r="B432" s="439" t="s">
        <v>775</v>
      </c>
      <c r="C432" s="10" t="s">
        <v>2</v>
      </c>
      <c r="D432" s="504">
        <v>49.71</v>
      </c>
      <c r="E432" s="504">
        <f t="shared" si="6"/>
        <v>36.822222222222223</v>
      </c>
    </row>
    <row r="433" spans="1:5" x14ac:dyDescent="0.25">
      <c r="A433" s="10" t="s">
        <v>28403</v>
      </c>
      <c r="B433" s="439" t="s">
        <v>776</v>
      </c>
      <c r="C433" s="10" t="s">
        <v>2</v>
      </c>
      <c r="D433" s="504">
        <v>166.75</v>
      </c>
      <c r="E433" s="504">
        <f t="shared" si="6"/>
        <v>123.5185185185185</v>
      </c>
    </row>
    <row r="434" spans="1:5" x14ac:dyDescent="0.25">
      <c r="A434" s="10" t="s">
        <v>28404</v>
      </c>
      <c r="B434" s="439" t="s">
        <v>777</v>
      </c>
      <c r="C434" s="10" t="s">
        <v>2</v>
      </c>
      <c r="D434" s="504">
        <v>231.49</v>
      </c>
      <c r="E434" s="504">
        <f t="shared" si="6"/>
        <v>171.47407407407408</v>
      </c>
    </row>
    <row r="435" spans="1:5" ht="30" x14ac:dyDescent="0.25">
      <c r="A435" s="10" t="s">
        <v>28405</v>
      </c>
      <c r="B435" s="439" t="s">
        <v>778</v>
      </c>
      <c r="C435" s="10" t="s">
        <v>2</v>
      </c>
      <c r="D435" s="504">
        <v>257.42</v>
      </c>
      <c r="E435" s="504">
        <f t="shared" si="6"/>
        <v>190.68148148148148</v>
      </c>
    </row>
    <row r="436" spans="1:5" x14ac:dyDescent="0.25">
      <c r="A436" s="10" t="s">
        <v>28406</v>
      </c>
      <c r="B436" s="439" t="s">
        <v>779</v>
      </c>
      <c r="C436" s="10" t="s">
        <v>2</v>
      </c>
      <c r="D436" s="504">
        <v>49.68</v>
      </c>
      <c r="E436" s="504">
        <f t="shared" si="6"/>
        <v>36.799999999999997</v>
      </c>
    </row>
    <row r="437" spans="1:5" x14ac:dyDescent="0.25">
      <c r="A437" s="10" t="s">
        <v>28407</v>
      </c>
      <c r="B437" s="439" t="s">
        <v>780</v>
      </c>
      <c r="C437" s="10" t="s">
        <v>2</v>
      </c>
      <c r="D437" s="504">
        <v>65</v>
      </c>
      <c r="E437" s="504">
        <f t="shared" si="6"/>
        <v>48.148148148148145</v>
      </c>
    </row>
    <row r="438" spans="1:5" x14ac:dyDescent="0.25">
      <c r="A438" s="10" t="s">
        <v>28408</v>
      </c>
      <c r="B438" s="439" t="s">
        <v>781</v>
      </c>
      <c r="C438" s="10" t="s">
        <v>2</v>
      </c>
      <c r="D438" s="504">
        <v>112.08</v>
      </c>
      <c r="E438" s="504">
        <f t="shared" si="6"/>
        <v>83.022222222222211</v>
      </c>
    </row>
    <row r="439" spans="1:5" x14ac:dyDescent="0.25">
      <c r="A439" s="10" t="s">
        <v>28409</v>
      </c>
      <c r="B439" s="439" t="s">
        <v>782</v>
      </c>
      <c r="C439" s="10" t="s">
        <v>2</v>
      </c>
      <c r="D439" s="504">
        <v>33.049999999999997</v>
      </c>
      <c r="E439" s="504">
        <f t="shared" si="6"/>
        <v>24.481481481481477</v>
      </c>
    </row>
    <row r="440" spans="1:5" x14ac:dyDescent="0.25">
      <c r="A440" s="10" t="s">
        <v>28410</v>
      </c>
      <c r="B440" s="439" t="s">
        <v>783</v>
      </c>
      <c r="C440" s="10" t="s">
        <v>2</v>
      </c>
      <c r="D440" s="504">
        <v>55.42</v>
      </c>
      <c r="E440" s="504">
        <f t="shared" si="6"/>
        <v>41.05185185185185</v>
      </c>
    </row>
    <row r="441" spans="1:5" x14ac:dyDescent="0.25">
      <c r="A441" s="10" t="s">
        <v>28411</v>
      </c>
      <c r="B441" s="439" t="s">
        <v>784</v>
      </c>
      <c r="C441" s="10" t="s">
        <v>2</v>
      </c>
      <c r="D441" s="504">
        <v>60.47</v>
      </c>
      <c r="E441" s="504">
        <f t="shared" si="6"/>
        <v>44.792592592592591</v>
      </c>
    </row>
    <row r="442" spans="1:5" x14ac:dyDescent="0.25">
      <c r="A442" s="10" t="s">
        <v>28412</v>
      </c>
      <c r="B442" s="439" t="s">
        <v>785</v>
      </c>
      <c r="C442" s="10" t="s">
        <v>2</v>
      </c>
      <c r="D442" s="504">
        <v>99.58</v>
      </c>
      <c r="E442" s="504">
        <f t="shared" si="6"/>
        <v>73.762962962962959</v>
      </c>
    </row>
    <row r="443" spans="1:5" x14ac:dyDescent="0.25">
      <c r="A443" s="10" t="s">
        <v>28413</v>
      </c>
      <c r="B443" s="439" t="s">
        <v>786</v>
      </c>
      <c r="C443" s="10" t="s">
        <v>2</v>
      </c>
      <c r="D443" s="504">
        <v>257.33</v>
      </c>
      <c r="E443" s="504">
        <f t="shared" si="6"/>
        <v>190.61481481481479</v>
      </c>
    </row>
    <row r="444" spans="1:5" x14ac:dyDescent="0.25">
      <c r="A444" s="10" t="s">
        <v>28414</v>
      </c>
      <c r="B444" s="439" t="s">
        <v>787</v>
      </c>
      <c r="C444" s="10" t="s">
        <v>2</v>
      </c>
      <c r="D444" s="504">
        <v>243.3</v>
      </c>
      <c r="E444" s="504">
        <f t="shared" si="6"/>
        <v>180.22222222222223</v>
      </c>
    </row>
    <row r="445" spans="1:5" x14ac:dyDescent="0.25">
      <c r="A445" s="10" t="s">
        <v>28415</v>
      </c>
      <c r="B445" s="439" t="s">
        <v>788</v>
      </c>
      <c r="C445" s="10" t="s">
        <v>2</v>
      </c>
      <c r="D445" s="504">
        <v>352.16</v>
      </c>
      <c r="E445" s="504">
        <f t="shared" si="6"/>
        <v>260.85925925925926</v>
      </c>
    </row>
    <row r="446" spans="1:5" x14ac:dyDescent="0.25">
      <c r="A446" s="10" t="s">
        <v>28416</v>
      </c>
      <c r="B446" s="439" t="s">
        <v>789</v>
      </c>
      <c r="C446" s="10" t="s">
        <v>2</v>
      </c>
      <c r="D446" s="504">
        <v>306.89999999999998</v>
      </c>
      <c r="E446" s="504">
        <f t="shared" si="6"/>
        <v>227.33333333333331</v>
      </c>
    </row>
    <row r="447" spans="1:5" x14ac:dyDescent="0.25">
      <c r="A447" s="10" t="s">
        <v>28417</v>
      </c>
      <c r="B447" s="439" t="s">
        <v>790</v>
      </c>
      <c r="C447" s="10" t="s">
        <v>2</v>
      </c>
      <c r="D447" s="504">
        <v>383.37</v>
      </c>
      <c r="E447" s="504">
        <f t="shared" si="6"/>
        <v>283.97777777777776</v>
      </c>
    </row>
    <row r="448" spans="1:5" x14ac:dyDescent="0.25">
      <c r="A448" s="10" t="s">
        <v>28418</v>
      </c>
      <c r="B448" s="439" t="s">
        <v>791</v>
      </c>
      <c r="C448" s="10" t="s">
        <v>2</v>
      </c>
      <c r="D448" s="504">
        <v>366.84</v>
      </c>
      <c r="E448" s="504">
        <f t="shared" si="6"/>
        <v>271.73333333333329</v>
      </c>
    </row>
    <row r="449" spans="1:5" x14ac:dyDescent="0.25">
      <c r="A449" s="10" t="s">
        <v>28419</v>
      </c>
      <c r="B449" s="439" t="s">
        <v>792</v>
      </c>
      <c r="C449" s="10" t="s">
        <v>2</v>
      </c>
      <c r="D449" s="504">
        <v>393.5</v>
      </c>
      <c r="E449" s="504">
        <f t="shared" si="6"/>
        <v>291.48148148148147</v>
      </c>
    </row>
    <row r="450" spans="1:5" x14ac:dyDescent="0.25">
      <c r="A450" s="10" t="s">
        <v>28420</v>
      </c>
      <c r="B450" s="439" t="s">
        <v>793</v>
      </c>
      <c r="C450" s="10" t="s">
        <v>2</v>
      </c>
      <c r="D450" s="504">
        <v>370.92</v>
      </c>
      <c r="E450" s="504">
        <f t="shared" si="6"/>
        <v>274.75555555555553</v>
      </c>
    </row>
    <row r="451" spans="1:5" x14ac:dyDescent="0.25">
      <c r="A451" s="10" t="s">
        <v>28421</v>
      </c>
      <c r="B451" s="439" t="s">
        <v>794</v>
      </c>
      <c r="C451" s="10" t="s">
        <v>2</v>
      </c>
      <c r="D451" s="504">
        <v>479.44</v>
      </c>
      <c r="E451" s="504">
        <f t="shared" si="6"/>
        <v>355.14074074074074</v>
      </c>
    </row>
    <row r="452" spans="1:5" x14ac:dyDescent="0.25">
      <c r="A452" s="10" t="s">
        <v>28422</v>
      </c>
      <c r="B452" s="439" t="s">
        <v>795</v>
      </c>
      <c r="C452" s="10" t="s">
        <v>2</v>
      </c>
      <c r="D452" s="504">
        <v>473.19</v>
      </c>
      <c r="E452" s="504">
        <f t="shared" si="6"/>
        <v>350.51111111111106</v>
      </c>
    </row>
    <row r="453" spans="1:5" x14ac:dyDescent="0.25">
      <c r="A453" s="10" t="s">
        <v>28423</v>
      </c>
      <c r="B453" s="439" t="s">
        <v>796</v>
      </c>
      <c r="C453" s="10" t="s">
        <v>2</v>
      </c>
      <c r="D453" s="504">
        <v>648.64</v>
      </c>
      <c r="E453" s="504">
        <f t="shared" si="6"/>
        <v>480.47407407407405</v>
      </c>
    </row>
    <row r="454" spans="1:5" x14ac:dyDescent="0.25">
      <c r="A454" s="10" t="s">
        <v>28424</v>
      </c>
      <c r="B454" s="439" t="s">
        <v>797</v>
      </c>
      <c r="C454" s="10" t="s">
        <v>2</v>
      </c>
      <c r="D454" s="504">
        <v>664.71</v>
      </c>
      <c r="E454" s="504">
        <f t="shared" si="6"/>
        <v>492.37777777777779</v>
      </c>
    </row>
    <row r="455" spans="1:5" x14ac:dyDescent="0.25">
      <c r="A455" s="10" t="s">
        <v>28425</v>
      </c>
      <c r="B455" s="439" t="s">
        <v>798</v>
      </c>
      <c r="C455" s="10" t="s">
        <v>2</v>
      </c>
      <c r="D455" s="504">
        <v>782.2</v>
      </c>
      <c r="E455" s="504">
        <f t="shared" si="6"/>
        <v>579.40740740740739</v>
      </c>
    </row>
    <row r="456" spans="1:5" x14ac:dyDescent="0.25">
      <c r="A456" s="10" t="s">
        <v>28426</v>
      </c>
      <c r="B456" s="439" t="s">
        <v>799</v>
      </c>
      <c r="C456" s="10" t="s">
        <v>2</v>
      </c>
      <c r="D456" s="504">
        <v>783.38</v>
      </c>
      <c r="E456" s="504">
        <f t="shared" si="6"/>
        <v>580.28148148148148</v>
      </c>
    </row>
    <row r="457" spans="1:5" x14ac:dyDescent="0.25">
      <c r="A457" s="10" t="s">
        <v>28427</v>
      </c>
      <c r="B457" s="439" t="s">
        <v>800</v>
      </c>
      <c r="C457" s="10" t="s">
        <v>2</v>
      </c>
      <c r="D457" s="504">
        <v>834.21</v>
      </c>
      <c r="E457" s="504">
        <f t="shared" si="6"/>
        <v>617.93333333333328</v>
      </c>
    </row>
    <row r="458" spans="1:5" x14ac:dyDescent="0.25">
      <c r="A458" s="10" t="s">
        <v>28428</v>
      </c>
      <c r="B458" s="439" t="s">
        <v>801</v>
      </c>
      <c r="C458" s="10" t="s">
        <v>2</v>
      </c>
      <c r="D458" s="504">
        <v>893.23</v>
      </c>
      <c r="E458" s="504">
        <f t="shared" si="6"/>
        <v>661.6518518518518</v>
      </c>
    </row>
    <row r="459" spans="1:5" x14ac:dyDescent="0.25">
      <c r="A459" s="10" t="s">
        <v>28429</v>
      </c>
      <c r="B459" s="439" t="s">
        <v>802</v>
      </c>
      <c r="C459" s="10" t="s">
        <v>2</v>
      </c>
      <c r="D459" s="504">
        <v>1107.18</v>
      </c>
      <c r="E459" s="504">
        <f t="shared" ref="E459:E522" si="7">D459/(1+$G$4)</f>
        <v>820.13333333333333</v>
      </c>
    </row>
    <row r="460" spans="1:5" x14ac:dyDescent="0.25">
      <c r="A460" s="10" t="s">
        <v>28430</v>
      </c>
      <c r="B460" s="439" t="s">
        <v>803</v>
      </c>
      <c r="C460" s="10" t="s">
        <v>2</v>
      </c>
      <c r="D460" s="504">
        <v>1155.24</v>
      </c>
      <c r="E460" s="504">
        <f t="shared" si="7"/>
        <v>855.73333333333323</v>
      </c>
    </row>
    <row r="461" spans="1:5" x14ac:dyDescent="0.25">
      <c r="A461" s="10" t="s">
        <v>28431</v>
      </c>
      <c r="B461" s="439" t="s">
        <v>804</v>
      </c>
      <c r="C461" s="10" t="s">
        <v>2</v>
      </c>
      <c r="D461" s="504">
        <v>1280.04</v>
      </c>
      <c r="E461" s="504">
        <f t="shared" si="7"/>
        <v>948.17777777777769</v>
      </c>
    </row>
    <row r="462" spans="1:5" x14ac:dyDescent="0.25">
      <c r="A462" s="10" t="s">
        <v>28432</v>
      </c>
      <c r="B462" s="439" t="s">
        <v>805</v>
      </c>
      <c r="C462" s="10" t="s">
        <v>2</v>
      </c>
      <c r="D462" s="504">
        <v>1364.13</v>
      </c>
      <c r="E462" s="504">
        <f t="shared" si="7"/>
        <v>1010.4666666666667</v>
      </c>
    </row>
    <row r="463" spans="1:5" x14ac:dyDescent="0.25">
      <c r="A463" s="10" t="s">
        <v>28433</v>
      </c>
      <c r="B463" s="439" t="s">
        <v>806</v>
      </c>
      <c r="C463" s="10" t="s">
        <v>2</v>
      </c>
      <c r="D463" s="504">
        <v>1661.08</v>
      </c>
      <c r="E463" s="504">
        <f t="shared" si="7"/>
        <v>1230.4296296296295</v>
      </c>
    </row>
    <row r="464" spans="1:5" x14ac:dyDescent="0.25">
      <c r="A464" s="10" t="s">
        <v>28434</v>
      </c>
      <c r="B464" s="439" t="s">
        <v>807</v>
      </c>
      <c r="C464" s="10" t="s">
        <v>2</v>
      </c>
      <c r="D464" s="504">
        <v>1753.54</v>
      </c>
      <c r="E464" s="504">
        <f t="shared" si="7"/>
        <v>1298.9185185185183</v>
      </c>
    </row>
    <row r="465" spans="1:5" x14ac:dyDescent="0.25">
      <c r="A465" s="10" t="s">
        <v>28435</v>
      </c>
      <c r="B465" s="439" t="s">
        <v>808</v>
      </c>
      <c r="C465" s="10" t="s">
        <v>2</v>
      </c>
      <c r="D465" s="504">
        <v>1835.66</v>
      </c>
      <c r="E465" s="504">
        <f t="shared" si="7"/>
        <v>1359.7481481481482</v>
      </c>
    </row>
    <row r="466" spans="1:5" x14ac:dyDescent="0.25">
      <c r="A466" s="10" t="s">
        <v>28436</v>
      </c>
      <c r="B466" s="439" t="s">
        <v>809</v>
      </c>
      <c r="C466" s="10" t="s">
        <v>2</v>
      </c>
      <c r="D466" s="504">
        <v>1971.99</v>
      </c>
      <c r="E466" s="504">
        <f t="shared" si="7"/>
        <v>1460.7333333333333</v>
      </c>
    </row>
    <row r="467" spans="1:5" x14ac:dyDescent="0.25">
      <c r="A467" s="10" t="s">
        <v>28437</v>
      </c>
      <c r="B467" s="439" t="s">
        <v>810</v>
      </c>
      <c r="C467" s="10" t="s">
        <v>2</v>
      </c>
      <c r="D467" s="504">
        <v>2461.4499999999998</v>
      </c>
      <c r="E467" s="504">
        <f t="shared" si="7"/>
        <v>1823.2962962962961</v>
      </c>
    </row>
    <row r="468" spans="1:5" x14ac:dyDescent="0.25">
      <c r="A468" s="10" t="s">
        <v>28438</v>
      </c>
      <c r="B468" s="439" t="s">
        <v>811</v>
      </c>
      <c r="C468" s="10" t="s">
        <v>2</v>
      </c>
      <c r="D468" s="504">
        <v>2639.88</v>
      </c>
      <c r="E468" s="504">
        <f t="shared" si="7"/>
        <v>1955.4666666666667</v>
      </c>
    </row>
    <row r="469" spans="1:5" x14ac:dyDescent="0.25">
      <c r="A469" s="10" t="s">
        <v>28439</v>
      </c>
      <c r="B469" s="439" t="s">
        <v>812</v>
      </c>
      <c r="C469" s="10" t="s">
        <v>2</v>
      </c>
      <c r="D469" s="504">
        <v>147.07</v>
      </c>
      <c r="E469" s="504">
        <f t="shared" si="7"/>
        <v>108.94074074074072</v>
      </c>
    </row>
    <row r="470" spans="1:5" x14ac:dyDescent="0.25">
      <c r="A470" s="10" t="s">
        <v>28440</v>
      </c>
      <c r="B470" s="439" t="s">
        <v>813</v>
      </c>
      <c r="C470" s="10" t="s">
        <v>2</v>
      </c>
      <c r="D470" s="504">
        <v>228.42</v>
      </c>
      <c r="E470" s="504">
        <f t="shared" si="7"/>
        <v>169.2</v>
      </c>
    </row>
    <row r="471" spans="1:5" x14ac:dyDescent="0.25">
      <c r="A471" s="10" t="s">
        <v>28441</v>
      </c>
      <c r="B471" s="439" t="s">
        <v>814</v>
      </c>
      <c r="C471" s="10" t="s">
        <v>2</v>
      </c>
      <c r="D471" s="504">
        <v>79.25</v>
      </c>
      <c r="E471" s="504">
        <f t="shared" si="7"/>
        <v>58.703703703703702</v>
      </c>
    </row>
    <row r="472" spans="1:5" x14ac:dyDescent="0.25">
      <c r="A472" s="10" t="s">
        <v>28442</v>
      </c>
      <c r="B472" s="439" t="s">
        <v>815</v>
      </c>
      <c r="C472" s="10" t="s">
        <v>2</v>
      </c>
      <c r="D472" s="504">
        <v>129.93</v>
      </c>
      <c r="E472" s="504">
        <f t="shared" si="7"/>
        <v>96.24444444444444</v>
      </c>
    </row>
    <row r="473" spans="1:5" x14ac:dyDescent="0.25">
      <c r="A473" s="10" t="s">
        <v>28443</v>
      </c>
      <c r="B473" s="439" t="s">
        <v>816</v>
      </c>
      <c r="C473" s="10" t="s">
        <v>2</v>
      </c>
      <c r="D473" s="504">
        <v>214.39</v>
      </c>
      <c r="E473" s="504">
        <f t="shared" si="7"/>
        <v>158.8074074074074</v>
      </c>
    </row>
    <row r="474" spans="1:5" x14ac:dyDescent="0.25">
      <c r="A474" s="10" t="s">
        <v>28444</v>
      </c>
      <c r="B474" s="439" t="s">
        <v>817</v>
      </c>
      <c r="C474" s="10" t="s">
        <v>2</v>
      </c>
      <c r="D474" s="504">
        <v>71.010000000000005</v>
      </c>
      <c r="E474" s="504">
        <f t="shared" si="7"/>
        <v>52.6</v>
      </c>
    </row>
    <row r="475" spans="1:5" x14ac:dyDescent="0.25">
      <c r="A475" s="10" t="s">
        <v>28445</v>
      </c>
      <c r="B475" s="439" t="s">
        <v>818</v>
      </c>
      <c r="C475" s="10" t="s">
        <v>40</v>
      </c>
      <c r="D475" s="504">
        <v>1085.53</v>
      </c>
      <c r="E475" s="504">
        <f t="shared" si="7"/>
        <v>804.09629629629626</v>
      </c>
    </row>
    <row r="476" spans="1:5" x14ac:dyDescent="0.25">
      <c r="A476" s="10" t="s">
        <v>28446</v>
      </c>
      <c r="B476" s="439" t="s">
        <v>819</v>
      </c>
      <c r="C476" s="10" t="s">
        <v>40</v>
      </c>
      <c r="D476" s="504">
        <v>1354.31</v>
      </c>
      <c r="E476" s="504">
        <f t="shared" si="7"/>
        <v>1003.1925925925925</v>
      </c>
    </row>
    <row r="477" spans="1:5" x14ac:dyDescent="0.25">
      <c r="A477" s="10" t="s">
        <v>28447</v>
      </c>
      <c r="B477" s="439" t="s">
        <v>820</v>
      </c>
      <c r="C477" s="10" t="s">
        <v>3</v>
      </c>
      <c r="D477" s="504">
        <v>593.86</v>
      </c>
      <c r="E477" s="504">
        <f t="shared" si="7"/>
        <v>439.89629629629627</v>
      </c>
    </row>
    <row r="478" spans="1:5" x14ac:dyDescent="0.25">
      <c r="A478" s="10" t="s">
        <v>28448</v>
      </c>
      <c r="B478" s="439" t="s">
        <v>821</v>
      </c>
      <c r="C478" s="10" t="s">
        <v>3</v>
      </c>
      <c r="D478" s="504">
        <v>339.75</v>
      </c>
      <c r="E478" s="504">
        <f t="shared" si="7"/>
        <v>251.66666666666666</v>
      </c>
    </row>
    <row r="479" spans="1:5" x14ac:dyDescent="0.25">
      <c r="A479" s="10" t="s">
        <v>28449</v>
      </c>
      <c r="B479" s="439" t="s">
        <v>822</v>
      </c>
      <c r="C479" s="10" t="s">
        <v>3</v>
      </c>
      <c r="D479" s="504">
        <v>517.35</v>
      </c>
      <c r="E479" s="504">
        <f t="shared" si="7"/>
        <v>383.22222222222223</v>
      </c>
    </row>
    <row r="480" spans="1:5" x14ac:dyDescent="0.25">
      <c r="A480" s="10" t="s">
        <v>28450</v>
      </c>
      <c r="B480" s="439" t="s">
        <v>823</v>
      </c>
      <c r="C480" s="10" t="s">
        <v>6</v>
      </c>
      <c r="D480" s="504">
        <v>83.71</v>
      </c>
      <c r="E480" s="504">
        <f t="shared" si="7"/>
        <v>62.007407407407399</v>
      </c>
    </row>
    <row r="481" spans="1:5" x14ac:dyDescent="0.25">
      <c r="A481" s="10" t="s">
        <v>28451</v>
      </c>
      <c r="B481" s="439" t="s">
        <v>824</v>
      </c>
      <c r="C481" s="10" t="s">
        <v>6</v>
      </c>
      <c r="D481" s="504">
        <v>85.31</v>
      </c>
      <c r="E481" s="504">
        <f t="shared" si="7"/>
        <v>63.19259259259259</v>
      </c>
    </row>
    <row r="482" spans="1:5" x14ac:dyDescent="0.25">
      <c r="A482" s="10" t="s">
        <v>28452</v>
      </c>
      <c r="B482" s="439" t="s">
        <v>825</v>
      </c>
      <c r="C482" s="10" t="s">
        <v>6</v>
      </c>
      <c r="D482" s="504">
        <v>53.67</v>
      </c>
      <c r="E482" s="504">
        <f t="shared" si="7"/>
        <v>39.755555555555553</v>
      </c>
    </row>
    <row r="483" spans="1:5" x14ac:dyDescent="0.25">
      <c r="A483" s="10" t="s">
        <v>28453</v>
      </c>
      <c r="B483" s="439" t="s">
        <v>826</v>
      </c>
      <c r="C483" s="10" t="s">
        <v>6</v>
      </c>
      <c r="D483" s="504">
        <v>54.23</v>
      </c>
      <c r="E483" s="504">
        <f t="shared" si="7"/>
        <v>40.170370370370364</v>
      </c>
    </row>
    <row r="484" spans="1:5" x14ac:dyDescent="0.25">
      <c r="A484" s="10" t="s">
        <v>28454</v>
      </c>
      <c r="B484" s="439" t="s">
        <v>827</v>
      </c>
      <c r="C484" s="10" t="s">
        <v>2</v>
      </c>
      <c r="D484" s="504">
        <v>85.05</v>
      </c>
      <c r="E484" s="504">
        <f t="shared" si="7"/>
        <v>62.999999999999993</v>
      </c>
    </row>
    <row r="485" spans="1:5" x14ac:dyDescent="0.25">
      <c r="A485" s="10" t="s">
        <v>28455</v>
      </c>
      <c r="B485" s="439" t="s">
        <v>828</v>
      </c>
      <c r="C485" s="10" t="s">
        <v>2</v>
      </c>
      <c r="D485" s="504">
        <v>130.68</v>
      </c>
      <c r="E485" s="504">
        <f t="shared" si="7"/>
        <v>96.8</v>
      </c>
    </row>
    <row r="486" spans="1:5" x14ac:dyDescent="0.25">
      <c r="A486" s="10" t="s">
        <v>28456</v>
      </c>
      <c r="B486" s="439" t="s">
        <v>829</v>
      </c>
      <c r="C486" s="10" t="s">
        <v>2</v>
      </c>
      <c r="D486" s="504">
        <v>49.23</v>
      </c>
      <c r="E486" s="504">
        <f t="shared" si="7"/>
        <v>36.466666666666661</v>
      </c>
    </row>
    <row r="487" spans="1:5" ht="30" x14ac:dyDescent="0.25">
      <c r="A487" s="10" t="s">
        <v>28457</v>
      </c>
      <c r="B487" s="439" t="s">
        <v>830</v>
      </c>
      <c r="C487" s="10" t="s">
        <v>41</v>
      </c>
      <c r="D487" s="504">
        <v>277.93</v>
      </c>
      <c r="E487" s="504">
        <f t="shared" si="7"/>
        <v>205.87407407407406</v>
      </c>
    </row>
    <row r="488" spans="1:5" ht="30" x14ac:dyDescent="0.25">
      <c r="A488" s="10" t="s">
        <v>28458</v>
      </c>
      <c r="B488" s="439" t="s">
        <v>831</v>
      </c>
      <c r="C488" s="10" t="s">
        <v>40</v>
      </c>
      <c r="D488" s="504">
        <v>948.82</v>
      </c>
      <c r="E488" s="504">
        <f t="shared" si="7"/>
        <v>702.82962962962961</v>
      </c>
    </row>
    <row r="489" spans="1:5" ht="30" x14ac:dyDescent="0.25">
      <c r="A489" s="10" t="s">
        <v>28459</v>
      </c>
      <c r="B489" s="439" t="s">
        <v>832</v>
      </c>
      <c r="C489" s="10" t="s">
        <v>2</v>
      </c>
      <c r="D489" s="504">
        <v>67.92</v>
      </c>
      <c r="E489" s="504">
        <f t="shared" si="7"/>
        <v>50.31111111111111</v>
      </c>
    </row>
    <row r="490" spans="1:5" ht="30" x14ac:dyDescent="0.25">
      <c r="A490" s="10" t="s">
        <v>28460</v>
      </c>
      <c r="B490" s="439" t="s">
        <v>833</v>
      </c>
      <c r="C490" s="10" t="s">
        <v>2</v>
      </c>
      <c r="D490" s="504">
        <v>69.25</v>
      </c>
      <c r="E490" s="504">
        <f t="shared" si="7"/>
        <v>51.296296296296291</v>
      </c>
    </row>
    <row r="491" spans="1:5" ht="30" x14ac:dyDescent="0.25">
      <c r="A491" s="10" t="s">
        <v>28461</v>
      </c>
      <c r="B491" s="439" t="s">
        <v>834</v>
      </c>
      <c r="C491" s="10" t="s">
        <v>2</v>
      </c>
      <c r="D491" s="504">
        <v>74.599999999999994</v>
      </c>
      <c r="E491" s="504">
        <f t="shared" si="7"/>
        <v>55.259259259259252</v>
      </c>
    </row>
    <row r="492" spans="1:5" ht="30" x14ac:dyDescent="0.25">
      <c r="A492" s="10" t="s">
        <v>28462</v>
      </c>
      <c r="B492" s="439" t="s">
        <v>835</v>
      </c>
      <c r="C492" s="10" t="s">
        <v>2</v>
      </c>
      <c r="D492" s="504">
        <v>78.61</v>
      </c>
      <c r="E492" s="504">
        <f t="shared" si="7"/>
        <v>58.229629629629628</v>
      </c>
    </row>
    <row r="493" spans="1:5" ht="30" x14ac:dyDescent="0.25">
      <c r="A493" s="10" t="s">
        <v>28463</v>
      </c>
      <c r="B493" s="439" t="s">
        <v>836</v>
      </c>
      <c r="C493" s="10" t="s">
        <v>2</v>
      </c>
      <c r="D493" s="504">
        <v>67.959999999999994</v>
      </c>
      <c r="E493" s="504">
        <f t="shared" si="7"/>
        <v>50.340740740740735</v>
      </c>
    </row>
    <row r="494" spans="1:5" ht="30" x14ac:dyDescent="0.25">
      <c r="A494" s="10" t="s">
        <v>28464</v>
      </c>
      <c r="B494" s="439" t="s">
        <v>837</v>
      </c>
      <c r="C494" s="10" t="s">
        <v>2</v>
      </c>
      <c r="D494" s="504">
        <v>71.78</v>
      </c>
      <c r="E494" s="504">
        <f t="shared" si="7"/>
        <v>53.170370370370371</v>
      </c>
    </row>
    <row r="495" spans="1:5" ht="30" x14ac:dyDescent="0.25">
      <c r="A495" s="10" t="s">
        <v>28465</v>
      </c>
      <c r="B495" s="439" t="s">
        <v>838</v>
      </c>
      <c r="C495" s="10" t="s">
        <v>2</v>
      </c>
      <c r="D495" s="504">
        <v>82.05</v>
      </c>
      <c r="E495" s="504">
        <f t="shared" si="7"/>
        <v>60.777777777777771</v>
      </c>
    </row>
    <row r="496" spans="1:5" ht="30" x14ac:dyDescent="0.25">
      <c r="A496" s="10" t="s">
        <v>28466</v>
      </c>
      <c r="B496" s="439" t="s">
        <v>839</v>
      </c>
      <c r="C496" s="10" t="s">
        <v>2</v>
      </c>
      <c r="D496" s="504">
        <v>89.76</v>
      </c>
      <c r="E496" s="504">
        <f t="shared" si="7"/>
        <v>66.488888888888894</v>
      </c>
    </row>
    <row r="497" spans="1:5" ht="30" x14ac:dyDescent="0.25">
      <c r="A497" s="10" t="s">
        <v>28467</v>
      </c>
      <c r="B497" s="439" t="s">
        <v>840</v>
      </c>
      <c r="C497" s="10" t="s">
        <v>2</v>
      </c>
      <c r="D497" s="504">
        <v>74.599999999999994</v>
      </c>
      <c r="E497" s="504">
        <f t="shared" si="7"/>
        <v>55.259259259259252</v>
      </c>
    </row>
    <row r="498" spans="1:5" ht="30" x14ac:dyDescent="0.25">
      <c r="A498" s="10" t="s">
        <v>28468</v>
      </c>
      <c r="B498" s="439" t="s">
        <v>2398</v>
      </c>
      <c r="C498" s="10" t="s">
        <v>2</v>
      </c>
      <c r="D498" s="504">
        <v>7121.82</v>
      </c>
      <c r="E498" s="504">
        <f t="shared" si="7"/>
        <v>5275.4222222222215</v>
      </c>
    </row>
    <row r="499" spans="1:5" ht="30" x14ac:dyDescent="0.25">
      <c r="A499" s="10" t="s">
        <v>28469</v>
      </c>
      <c r="B499" s="439" t="s">
        <v>2399</v>
      </c>
      <c r="C499" s="10" t="s">
        <v>2</v>
      </c>
      <c r="D499" s="504">
        <v>11314.3</v>
      </c>
      <c r="E499" s="504">
        <f t="shared" si="7"/>
        <v>8380.9629629629617</v>
      </c>
    </row>
    <row r="500" spans="1:5" ht="30" x14ac:dyDescent="0.25">
      <c r="A500" s="10" t="s">
        <v>28470</v>
      </c>
      <c r="B500" s="439" t="s">
        <v>2400</v>
      </c>
      <c r="C500" s="10" t="s">
        <v>2</v>
      </c>
      <c r="D500" s="504">
        <v>17150.22</v>
      </c>
      <c r="E500" s="504">
        <f t="shared" si="7"/>
        <v>12703.866666666667</v>
      </c>
    </row>
    <row r="501" spans="1:5" ht="30" x14ac:dyDescent="0.25">
      <c r="A501" s="10" t="s">
        <v>28471</v>
      </c>
      <c r="B501" s="439" t="s">
        <v>2401</v>
      </c>
      <c r="C501" s="10" t="s">
        <v>2</v>
      </c>
      <c r="D501" s="504">
        <v>24481.4</v>
      </c>
      <c r="E501" s="504">
        <f t="shared" si="7"/>
        <v>18134.370370370369</v>
      </c>
    </row>
    <row r="502" spans="1:5" ht="30" x14ac:dyDescent="0.25">
      <c r="A502" s="10" t="s">
        <v>28472</v>
      </c>
      <c r="B502" s="439" t="s">
        <v>2402</v>
      </c>
      <c r="C502" s="10" t="s">
        <v>2</v>
      </c>
      <c r="D502" s="504">
        <v>29347.19</v>
      </c>
      <c r="E502" s="504">
        <f t="shared" si="7"/>
        <v>21738.659259259257</v>
      </c>
    </row>
    <row r="503" spans="1:5" ht="30" x14ac:dyDescent="0.25">
      <c r="A503" s="10" t="s">
        <v>28473</v>
      </c>
      <c r="B503" s="439" t="s">
        <v>2403</v>
      </c>
      <c r="C503" s="10" t="s">
        <v>2</v>
      </c>
      <c r="D503" s="504">
        <v>40809.78</v>
      </c>
      <c r="E503" s="504">
        <f t="shared" si="7"/>
        <v>30229.466666666664</v>
      </c>
    </row>
    <row r="504" spans="1:5" ht="30" x14ac:dyDescent="0.25">
      <c r="A504" s="10" t="s">
        <v>28474</v>
      </c>
      <c r="B504" s="439" t="s">
        <v>2404</v>
      </c>
      <c r="C504" s="10" t="s">
        <v>3</v>
      </c>
      <c r="D504" s="504">
        <v>21368.6</v>
      </c>
      <c r="E504" s="504">
        <f t="shared" si="7"/>
        <v>15828.592592592591</v>
      </c>
    </row>
    <row r="505" spans="1:5" x14ac:dyDescent="0.25">
      <c r="A505" s="10" t="s">
        <v>28475</v>
      </c>
      <c r="B505" s="439" t="s">
        <v>666</v>
      </c>
      <c r="C505" s="10" t="s">
        <v>40</v>
      </c>
      <c r="D505" s="504">
        <v>20.96</v>
      </c>
      <c r="E505" s="504">
        <f t="shared" si="7"/>
        <v>15.525925925925925</v>
      </c>
    </row>
    <row r="506" spans="1:5" x14ac:dyDescent="0.25">
      <c r="A506" s="10" t="s">
        <v>28476</v>
      </c>
      <c r="B506" s="439" t="s">
        <v>841</v>
      </c>
      <c r="C506" s="10" t="s">
        <v>40</v>
      </c>
      <c r="D506" s="504">
        <v>96.82</v>
      </c>
      <c r="E506" s="504">
        <f t="shared" si="7"/>
        <v>71.718518518518508</v>
      </c>
    </row>
    <row r="507" spans="1:5" x14ac:dyDescent="0.25">
      <c r="A507" s="10" t="s">
        <v>28477</v>
      </c>
      <c r="B507" s="439" t="s">
        <v>842</v>
      </c>
      <c r="C507" s="10" t="s">
        <v>40</v>
      </c>
      <c r="D507" s="504">
        <v>89.19</v>
      </c>
      <c r="E507" s="504">
        <f t="shared" si="7"/>
        <v>66.066666666666663</v>
      </c>
    </row>
    <row r="508" spans="1:5" x14ac:dyDescent="0.25">
      <c r="A508" s="10" t="s">
        <v>28478</v>
      </c>
      <c r="B508" s="439" t="s">
        <v>843</v>
      </c>
      <c r="C508" s="10" t="s">
        <v>40</v>
      </c>
      <c r="D508" s="504">
        <v>160.44999999999999</v>
      </c>
      <c r="E508" s="504">
        <f t="shared" si="7"/>
        <v>118.85185185185183</v>
      </c>
    </row>
    <row r="509" spans="1:5" x14ac:dyDescent="0.25">
      <c r="A509" s="10" t="s">
        <v>28479</v>
      </c>
      <c r="B509" s="439" t="s">
        <v>844</v>
      </c>
      <c r="C509" s="10" t="s">
        <v>40</v>
      </c>
      <c r="D509" s="504">
        <v>92.21</v>
      </c>
      <c r="E509" s="504">
        <f t="shared" si="7"/>
        <v>68.30370370370369</v>
      </c>
    </row>
    <row r="510" spans="1:5" x14ac:dyDescent="0.25">
      <c r="A510" s="10" t="s">
        <v>28480</v>
      </c>
      <c r="B510" s="439" t="s">
        <v>668</v>
      </c>
      <c r="C510" s="10" t="s">
        <v>40</v>
      </c>
      <c r="D510" s="504">
        <v>21.16</v>
      </c>
      <c r="E510" s="504">
        <f t="shared" si="7"/>
        <v>15.674074074074072</v>
      </c>
    </row>
    <row r="511" spans="1:5" x14ac:dyDescent="0.25">
      <c r="A511" s="10" t="s">
        <v>28481</v>
      </c>
      <c r="B511" s="439" t="s">
        <v>669</v>
      </c>
      <c r="C511" s="10" t="s">
        <v>40</v>
      </c>
      <c r="D511" s="504">
        <v>104.33</v>
      </c>
      <c r="E511" s="504">
        <f t="shared" si="7"/>
        <v>77.281481481481478</v>
      </c>
    </row>
    <row r="512" spans="1:5" x14ac:dyDescent="0.25">
      <c r="A512" s="10" t="s">
        <v>28482</v>
      </c>
      <c r="B512" s="439" t="s">
        <v>670</v>
      </c>
      <c r="C512" s="10" t="s">
        <v>40</v>
      </c>
      <c r="D512" s="504">
        <v>21.16</v>
      </c>
      <c r="E512" s="504">
        <f t="shared" si="7"/>
        <v>15.674074074074072</v>
      </c>
    </row>
    <row r="513" spans="1:5" x14ac:dyDescent="0.25">
      <c r="A513" s="10" t="s">
        <v>28483</v>
      </c>
      <c r="B513" s="439" t="s">
        <v>671</v>
      </c>
      <c r="C513" s="10" t="s">
        <v>40</v>
      </c>
      <c r="D513" s="504">
        <v>104.33</v>
      </c>
      <c r="E513" s="504">
        <f t="shared" si="7"/>
        <v>77.281481481481478</v>
      </c>
    </row>
    <row r="514" spans="1:5" x14ac:dyDescent="0.25">
      <c r="A514" s="10" t="s">
        <v>28484</v>
      </c>
      <c r="B514" s="439" t="s">
        <v>672</v>
      </c>
      <c r="C514" s="10" t="s">
        <v>40</v>
      </c>
      <c r="D514" s="504">
        <v>108.79</v>
      </c>
      <c r="E514" s="504">
        <f t="shared" si="7"/>
        <v>80.585185185185182</v>
      </c>
    </row>
    <row r="515" spans="1:5" x14ac:dyDescent="0.25">
      <c r="A515" s="10" t="s">
        <v>28485</v>
      </c>
      <c r="B515" s="439" t="s">
        <v>673</v>
      </c>
      <c r="C515" s="10" t="s">
        <v>40</v>
      </c>
      <c r="D515" s="504">
        <v>22.15</v>
      </c>
      <c r="E515" s="504">
        <f t="shared" si="7"/>
        <v>16.407407407407405</v>
      </c>
    </row>
    <row r="516" spans="1:5" x14ac:dyDescent="0.25">
      <c r="A516" s="10" t="s">
        <v>28486</v>
      </c>
      <c r="B516" s="439" t="s">
        <v>674</v>
      </c>
      <c r="C516" s="10" t="s">
        <v>40</v>
      </c>
      <c r="D516" s="504">
        <v>376.43</v>
      </c>
      <c r="E516" s="504">
        <f t="shared" si="7"/>
        <v>278.83703703703702</v>
      </c>
    </row>
    <row r="517" spans="1:5" x14ac:dyDescent="0.25">
      <c r="A517" s="10" t="s">
        <v>28487</v>
      </c>
      <c r="B517" s="439" t="s">
        <v>675</v>
      </c>
      <c r="C517" s="10" t="s">
        <v>40</v>
      </c>
      <c r="D517" s="504">
        <v>34.049999999999997</v>
      </c>
      <c r="E517" s="504">
        <f t="shared" si="7"/>
        <v>25.222222222222218</v>
      </c>
    </row>
    <row r="518" spans="1:5" x14ac:dyDescent="0.25">
      <c r="A518" s="10" t="s">
        <v>28488</v>
      </c>
      <c r="B518" s="439" t="s">
        <v>845</v>
      </c>
      <c r="C518" s="10" t="s">
        <v>40</v>
      </c>
      <c r="D518" s="504">
        <v>93.45</v>
      </c>
      <c r="E518" s="504">
        <f t="shared" si="7"/>
        <v>69.222222222222214</v>
      </c>
    </row>
    <row r="519" spans="1:5" x14ac:dyDescent="0.25">
      <c r="A519" s="10" t="s">
        <v>28489</v>
      </c>
      <c r="B519" s="439" t="s">
        <v>846</v>
      </c>
      <c r="C519" s="10" t="s">
        <v>40</v>
      </c>
      <c r="D519" s="504">
        <v>18.3</v>
      </c>
      <c r="E519" s="504">
        <f t="shared" si="7"/>
        <v>13.555555555555555</v>
      </c>
    </row>
    <row r="520" spans="1:5" x14ac:dyDescent="0.25">
      <c r="A520" s="10" t="s">
        <v>28490</v>
      </c>
      <c r="B520" s="439" t="s">
        <v>847</v>
      </c>
      <c r="C520" s="10" t="s">
        <v>40</v>
      </c>
      <c r="D520" s="504">
        <v>318.55</v>
      </c>
      <c r="E520" s="504">
        <f t="shared" si="7"/>
        <v>235.96296296296296</v>
      </c>
    </row>
    <row r="521" spans="1:5" x14ac:dyDescent="0.25">
      <c r="A521" s="10" t="s">
        <v>28491</v>
      </c>
      <c r="B521" s="439" t="s">
        <v>679</v>
      </c>
      <c r="C521" s="10" t="s">
        <v>40</v>
      </c>
      <c r="D521" s="504">
        <v>34.049999999999997</v>
      </c>
      <c r="E521" s="504">
        <f t="shared" si="7"/>
        <v>25.222222222222218</v>
      </c>
    </row>
    <row r="522" spans="1:5" x14ac:dyDescent="0.25">
      <c r="A522" s="10" t="s">
        <v>28492</v>
      </c>
      <c r="B522" s="439" t="s">
        <v>680</v>
      </c>
      <c r="C522" s="10" t="s">
        <v>41</v>
      </c>
      <c r="D522" s="504">
        <v>525</v>
      </c>
      <c r="E522" s="504">
        <f t="shared" si="7"/>
        <v>388.88888888888886</v>
      </c>
    </row>
    <row r="523" spans="1:5" x14ac:dyDescent="0.25">
      <c r="A523" s="10" t="s">
        <v>28493</v>
      </c>
      <c r="B523" s="439" t="s">
        <v>681</v>
      </c>
      <c r="C523" s="10" t="s">
        <v>41</v>
      </c>
      <c r="D523" s="504">
        <v>731.55</v>
      </c>
      <c r="E523" s="504">
        <f t="shared" ref="E523:E586" si="8">D523/(1+$G$4)</f>
        <v>541.8888888888888</v>
      </c>
    </row>
    <row r="524" spans="1:5" x14ac:dyDescent="0.25">
      <c r="A524" s="10" t="s">
        <v>28494</v>
      </c>
      <c r="B524" s="439" t="s">
        <v>682</v>
      </c>
      <c r="C524" s="10" t="s">
        <v>41</v>
      </c>
      <c r="D524" s="504">
        <v>1229.75</v>
      </c>
      <c r="E524" s="504">
        <f t="shared" si="8"/>
        <v>910.92592592592587</v>
      </c>
    </row>
    <row r="525" spans="1:5" x14ac:dyDescent="0.25">
      <c r="A525" s="10" t="s">
        <v>28495</v>
      </c>
      <c r="B525" s="439" t="s">
        <v>683</v>
      </c>
      <c r="C525" s="10" t="s">
        <v>40</v>
      </c>
      <c r="D525" s="504">
        <v>92.17</v>
      </c>
      <c r="E525" s="504">
        <f t="shared" si="8"/>
        <v>68.274074074074065</v>
      </c>
    </row>
    <row r="526" spans="1:5" x14ac:dyDescent="0.25">
      <c r="A526" s="10" t="s">
        <v>28496</v>
      </c>
      <c r="B526" s="439" t="s">
        <v>848</v>
      </c>
      <c r="C526" s="10" t="s">
        <v>40</v>
      </c>
      <c r="D526" s="504">
        <v>631.16999999999996</v>
      </c>
      <c r="E526" s="504">
        <f t="shared" si="8"/>
        <v>467.53333333333325</v>
      </c>
    </row>
    <row r="527" spans="1:5" x14ac:dyDescent="0.25">
      <c r="A527" s="10" t="s">
        <v>28497</v>
      </c>
      <c r="B527" s="439" t="s">
        <v>849</v>
      </c>
      <c r="C527" s="10" t="s">
        <v>40</v>
      </c>
      <c r="D527" s="504">
        <v>261.77999999999997</v>
      </c>
      <c r="E527" s="504">
        <f t="shared" si="8"/>
        <v>193.91111111111107</v>
      </c>
    </row>
    <row r="528" spans="1:5" x14ac:dyDescent="0.25">
      <c r="A528" s="10" t="s">
        <v>28498</v>
      </c>
      <c r="B528" s="439" t="s">
        <v>850</v>
      </c>
      <c r="C528" s="10" t="s">
        <v>40</v>
      </c>
      <c r="D528" s="504">
        <v>295.32</v>
      </c>
      <c r="E528" s="504">
        <f t="shared" si="8"/>
        <v>218.75555555555553</v>
      </c>
    </row>
    <row r="529" spans="1:5" x14ac:dyDescent="0.25">
      <c r="A529" s="10" t="s">
        <v>28499</v>
      </c>
      <c r="B529" s="439" t="s">
        <v>851</v>
      </c>
      <c r="C529" s="10" t="s">
        <v>40</v>
      </c>
      <c r="D529" s="504">
        <v>328.85</v>
      </c>
      <c r="E529" s="504">
        <f t="shared" si="8"/>
        <v>243.59259259259258</v>
      </c>
    </row>
    <row r="530" spans="1:5" x14ac:dyDescent="0.25">
      <c r="A530" s="10" t="s">
        <v>28500</v>
      </c>
      <c r="B530" s="439" t="s">
        <v>684</v>
      </c>
      <c r="C530" s="10" t="s">
        <v>40</v>
      </c>
      <c r="D530" s="504">
        <v>3.64</v>
      </c>
      <c r="E530" s="504">
        <f t="shared" si="8"/>
        <v>2.6962962962962962</v>
      </c>
    </row>
    <row r="531" spans="1:5" x14ac:dyDescent="0.25">
      <c r="A531" s="10" t="s">
        <v>28501</v>
      </c>
      <c r="B531" s="439" t="s">
        <v>685</v>
      </c>
      <c r="C531" s="10" t="s">
        <v>41</v>
      </c>
      <c r="D531" s="504">
        <v>184.72</v>
      </c>
      <c r="E531" s="504">
        <f t="shared" si="8"/>
        <v>136.82962962962961</v>
      </c>
    </row>
    <row r="532" spans="1:5" x14ac:dyDescent="0.25">
      <c r="A532" s="10" t="s">
        <v>28502</v>
      </c>
      <c r="B532" s="439" t="s">
        <v>686</v>
      </c>
      <c r="C532" s="10" t="s">
        <v>41</v>
      </c>
      <c r="D532" s="504">
        <v>126.7</v>
      </c>
      <c r="E532" s="504">
        <f t="shared" si="8"/>
        <v>93.851851851851848</v>
      </c>
    </row>
    <row r="533" spans="1:5" x14ac:dyDescent="0.25">
      <c r="A533" s="10" t="s">
        <v>28503</v>
      </c>
      <c r="B533" s="439" t="s">
        <v>687</v>
      </c>
      <c r="C533" s="10" t="s">
        <v>41</v>
      </c>
      <c r="D533" s="504">
        <v>98.45</v>
      </c>
      <c r="E533" s="504">
        <f t="shared" si="8"/>
        <v>72.925925925925924</v>
      </c>
    </row>
    <row r="534" spans="1:5" x14ac:dyDescent="0.25">
      <c r="A534" s="10" t="s">
        <v>28504</v>
      </c>
      <c r="B534" s="439" t="s">
        <v>2405</v>
      </c>
      <c r="C534" s="10" t="s">
        <v>2467</v>
      </c>
      <c r="D534" s="504">
        <v>5.86</v>
      </c>
      <c r="E534" s="504">
        <f t="shared" si="8"/>
        <v>4.340740740740741</v>
      </c>
    </row>
    <row r="535" spans="1:5" x14ac:dyDescent="0.25">
      <c r="A535" s="10" t="s">
        <v>28505</v>
      </c>
      <c r="B535" s="439" t="s">
        <v>852</v>
      </c>
      <c r="C535" s="10" t="s">
        <v>2</v>
      </c>
      <c r="D535" s="504">
        <v>181.28</v>
      </c>
      <c r="E535" s="504">
        <f t="shared" si="8"/>
        <v>134.28148148148148</v>
      </c>
    </row>
    <row r="536" spans="1:5" x14ac:dyDescent="0.25">
      <c r="A536" s="10" t="s">
        <v>28506</v>
      </c>
      <c r="B536" s="439" t="s">
        <v>853</v>
      </c>
      <c r="C536" s="10" t="s">
        <v>2</v>
      </c>
      <c r="D536" s="504">
        <v>190.18</v>
      </c>
      <c r="E536" s="504">
        <f t="shared" si="8"/>
        <v>140.87407407407406</v>
      </c>
    </row>
    <row r="537" spans="1:5" x14ac:dyDescent="0.25">
      <c r="A537" s="10" t="s">
        <v>28507</v>
      </c>
      <c r="B537" s="439" t="s">
        <v>854</v>
      </c>
      <c r="C537" s="10" t="s">
        <v>2</v>
      </c>
      <c r="D537" s="504">
        <v>213.18</v>
      </c>
      <c r="E537" s="504">
        <f t="shared" si="8"/>
        <v>157.9111111111111</v>
      </c>
    </row>
    <row r="538" spans="1:5" x14ac:dyDescent="0.25">
      <c r="A538" s="10" t="s">
        <v>28508</v>
      </c>
      <c r="B538" s="439" t="s">
        <v>855</v>
      </c>
      <c r="C538" s="10" t="s">
        <v>2</v>
      </c>
      <c r="D538" s="504">
        <v>235.46</v>
      </c>
      <c r="E538" s="504">
        <f t="shared" si="8"/>
        <v>174.4148148148148</v>
      </c>
    </row>
    <row r="539" spans="1:5" x14ac:dyDescent="0.25">
      <c r="A539" s="10" t="s">
        <v>28509</v>
      </c>
      <c r="B539" s="439" t="s">
        <v>856</v>
      </c>
      <c r="C539" s="10" t="s">
        <v>2</v>
      </c>
      <c r="D539" s="504">
        <v>303.13</v>
      </c>
      <c r="E539" s="504">
        <f t="shared" si="8"/>
        <v>224.54074074074072</v>
      </c>
    </row>
    <row r="540" spans="1:5" x14ac:dyDescent="0.25">
      <c r="A540" s="10" t="s">
        <v>28510</v>
      </c>
      <c r="B540" s="439" t="s">
        <v>857</v>
      </c>
      <c r="C540" s="10" t="s">
        <v>6</v>
      </c>
      <c r="D540" s="504">
        <v>35.24</v>
      </c>
      <c r="E540" s="504">
        <f t="shared" si="8"/>
        <v>26.103703703703705</v>
      </c>
    </row>
    <row r="541" spans="1:5" x14ac:dyDescent="0.25">
      <c r="A541" s="10" t="s">
        <v>28511</v>
      </c>
      <c r="B541" s="439" t="s">
        <v>858</v>
      </c>
      <c r="C541" s="10" t="s">
        <v>2</v>
      </c>
      <c r="D541" s="504">
        <v>180.05</v>
      </c>
      <c r="E541" s="504">
        <f t="shared" si="8"/>
        <v>133.37037037037038</v>
      </c>
    </row>
    <row r="542" spans="1:5" x14ac:dyDescent="0.25">
      <c r="A542" s="10" t="s">
        <v>28512</v>
      </c>
      <c r="B542" s="439" t="s">
        <v>859</v>
      </c>
      <c r="C542" s="10" t="s">
        <v>2</v>
      </c>
      <c r="D542" s="504">
        <v>183.95</v>
      </c>
      <c r="E542" s="504">
        <f t="shared" si="8"/>
        <v>136.25925925925924</v>
      </c>
    </row>
    <row r="543" spans="1:5" x14ac:dyDescent="0.25">
      <c r="A543" s="10" t="s">
        <v>28513</v>
      </c>
      <c r="B543" s="439" t="s">
        <v>860</v>
      </c>
      <c r="C543" s="10" t="s">
        <v>2</v>
      </c>
      <c r="D543" s="504">
        <v>411.33</v>
      </c>
      <c r="E543" s="504">
        <f t="shared" si="8"/>
        <v>304.68888888888887</v>
      </c>
    </row>
    <row r="544" spans="1:5" x14ac:dyDescent="0.25">
      <c r="A544" s="10" t="s">
        <v>28514</v>
      </c>
      <c r="B544" s="439" t="s">
        <v>861</v>
      </c>
      <c r="C544" s="10" t="s">
        <v>2</v>
      </c>
      <c r="D544" s="504">
        <v>428.08</v>
      </c>
      <c r="E544" s="504">
        <f t="shared" si="8"/>
        <v>317.09629629629626</v>
      </c>
    </row>
    <row r="545" spans="1:5" x14ac:dyDescent="0.25">
      <c r="A545" s="10" t="s">
        <v>28515</v>
      </c>
      <c r="B545" s="439" t="s">
        <v>862</v>
      </c>
      <c r="C545" s="10" t="s">
        <v>2</v>
      </c>
      <c r="D545" s="504">
        <v>513.02</v>
      </c>
      <c r="E545" s="504">
        <f t="shared" si="8"/>
        <v>380.01481481481477</v>
      </c>
    </row>
    <row r="546" spans="1:5" x14ac:dyDescent="0.25">
      <c r="A546" s="10" t="s">
        <v>28516</v>
      </c>
      <c r="B546" s="439" t="s">
        <v>863</v>
      </c>
      <c r="C546" s="10" t="s">
        <v>2</v>
      </c>
      <c r="D546" s="504">
        <v>633.04</v>
      </c>
      <c r="E546" s="504">
        <f t="shared" si="8"/>
        <v>468.91851851851845</v>
      </c>
    </row>
    <row r="547" spans="1:5" x14ac:dyDescent="0.25">
      <c r="A547" s="10" t="s">
        <v>28517</v>
      </c>
      <c r="B547" s="439" t="s">
        <v>864</v>
      </c>
      <c r="C547" s="10" t="s">
        <v>2</v>
      </c>
      <c r="D547" s="504">
        <v>793.31</v>
      </c>
      <c r="E547" s="504">
        <f t="shared" si="8"/>
        <v>587.63703703703698</v>
      </c>
    </row>
    <row r="548" spans="1:5" x14ac:dyDescent="0.25">
      <c r="A548" s="10" t="s">
        <v>28518</v>
      </c>
      <c r="B548" s="439" t="s">
        <v>865</v>
      </c>
      <c r="C548" s="10" t="s">
        <v>2</v>
      </c>
      <c r="D548" s="504">
        <v>1083.52</v>
      </c>
      <c r="E548" s="504">
        <f t="shared" si="8"/>
        <v>802.60740740740732</v>
      </c>
    </row>
    <row r="549" spans="1:5" x14ac:dyDescent="0.25">
      <c r="A549" s="10" t="s">
        <v>28519</v>
      </c>
      <c r="B549" s="439" t="s">
        <v>866</v>
      </c>
      <c r="C549" s="10" t="s">
        <v>2</v>
      </c>
      <c r="D549" s="504">
        <v>774.74</v>
      </c>
      <c r="E549" s="504">
        <f t="shared" si="8"/>
        <v>573.8814814814815</v>
      </c>
    </row>
    <row r="550" spans="1:5" x14ac:dyDescent="0.25">
      <c r="A550" s="10" t="s">
        <v>28520</v>
      </c>
      <c r="B550" s="439" t="s">
        <v>867</v>
      </c>
      <c r="C550" s="10" t="s">
        <v>2</v>
      </c>
      <c r="D550" s="504">
        <v>816.41</v>
      </c>
      <c r="E550" s="504">
        <f t="shared" si="8"/>
        <v>604.74814814814806</v>
      </c>
    </row>
    <row r="551" spans="1:5" x14ac:dyDescent="0.25">
      <c r="A551" s="10" t="s">
        <v>28521</v>
      </c>
      <c r="B551" s="439" t="s">
        <v>868</v>
      </c>
      <c r="C551" s="10" t="s">
        <v>2</v>
      </c>
      <c r="D551" s="504">
        <v>1072.21</v>
      </c>
      <c r="E551" s="504">
        <f t="shared" si="8"/>
        <v>794.22962962962958</v>
      </c>
    </row>
    <row r="552" spans="1:5" x14ac:dyDescent="0.25">
      <c r="A552" s="10" t="s">
        <v>28522</v>
      </c>
      <c r="B552" s="439" t="s">
        <v>869</v>
      </c>
      <c r="C552" s="10" t="s">
        <v>2</v>
      </c>
      <c r="D552" s="504">
        <v>1232.33</v>
      </c>
      <c r="E552" s="504">
        <f t="shared" si="8"/>
        <v>912.83703703703691</v>
      </c>
    </row>
    <row r="553" spans="1:5" x14ac:dyDescent="0.25">
      <c r="A553" s="10" t="s">
        <v>28523</v>
      </c>
      <c r="B553" s="439" t="s">
        <v>28524</v>
      </c>
      <c r="C553" s="10" t="s">
        <v>2</v>
      </c>
      <c r="D553" s="504">
        <v>1620.4</v>
      </c>
      <c r="E553" s="504">
        <f t="shared" si="8"/>
        <v>1200.2962962962963</v>
      </c>
    </row>
    <row r="554" spans="1:5" x14ac:dyDescent="0.25">
      <c r="A554" s="10" t="s">
        <v>28525</v>
      </c>
      <c r="B554" s="439" t="s">
        <v>870</v>
      </c>
      <c r="C554" s="10" t="s">
        <v>2</v>
      </c>
      <c r="D554" s="504">
        <v>2112.09</v>
      </c>
      <c r="E554" s="504">
        <f t="shared" si="8"/>
        <v>1564.5111111111112</v>
      </c>
    </row>
    <row r="555" spans="1:5" x14ac:dyDescent="0.25">
      <c r="A555" s="10" t="s">
        <v>28526</v>
      </c>
      <c r="B555" s="439" t="s">
        <v>871</v>
      </c>
      <c r="C555" s="10" t="s">
        <v>3</v>
      </c>
      <c r="D555" s="504">
        <v>26118.95</v>
      </c>
      <c r="E555" s="504">
        <f t="shared" si="8"/>
        <v>19347.370370370369</v>
      </c>
    </row>
    <row r="556" spans="1:5" x14ac:dyDescent="0.25">
      <c r="A556" s="10" t="s">
        <v>28527</v>
      </c>
      <c r="B556" s="439" t="s">
        <v>872</v>
      </c>
      <c r="C556" s="10" t="s">
        <v>2</v>
      </c>
      <c r="D556" s="504">
        <v>124.43</v>
      </c>
      <c r="E556" s="504">
        <f t="shared" si="8"/>
        <v>92.170370370370364</v>
      </c>
    </row>
    <row r="557" spans="1:5" x14ac:dyDescent="0.25">
      <c r="A557" s="10" t="s">
        <v>28528</v>
      </c>
      <c r="B557" s="439" t="s">
        <v>873</v>
      </c>
      <c r="C557" s="10" t="s">
        <v>3</v>
      </c>
      <c r="D557" s="504">
        <v>12565.65</v>
      </c>
      <c r="E557" s="504">
        <f t="shared" si="8"/>
        <v>9307.8888888888887</v>
      </c>
    </row>
    <row r="558" spans="1:5" x14ac:dyDescent="0.25">
      <c r="A558" s="10" t="s">
        <v>28529</v>
      </c>
      <c r="B558" s="439" t="s">
        <v>874</v>
      </c>
      <c r="C558" s="10" t="s">
        <v>2</v>
      </c>
      <c r="D558" s="504">
        <v>4536.1899999999996</v>
      </c>
      <c r="E558" s="504">
        <f t="shared" si="8"/>
        <v>3360.1407407407401</v>
      </c>
    </row>
    <row r="559" spans="1:5" x14ac:dyDescent="0.25">
      <c r="A559" s="10" t="s">
        <v>28530</v>
      </c>
      <c r="B559" s="439" t="s">
        <v>875</v>
      </c>
      <c r="C559" s="10" t="s">
        <v>2</v>
      </c>
      <c r="D559" s="504">
        <v>2154.65</v>
      </c>
      <c r="E559" s="504">
        <f t="shared" si="8"/>
        <v>1596.037037037037</v>
      </c>
    </row>
    <row r="560" spans="1:5" x14ac:dyDescent="0.25">
      <c r="A560" s="10" t="s">
        <v>28531</v>
      </c>
      <c r="B560" s="439" t="s">
        <v>876</v>
      </c>
      <c r="C560" s="10" t="s">
        <v>2</v>
      </c>
      <c r="D560" s="504">
        <v>3949.93</v>
      </c>
      <c r="E560" s="504">
        <f t="shared" si="8"/>
        <v>2925.8740740740736</v>
      </c>
    </row>
    <row r="561" spans="1:7" x14ac:dyDescent="0.25">
      <c r="A561" s="10" t="s">
        <v>28532</v>
      </c>
      <c r="B561" s="439" t="s">
        <v>877</v>
      </c>
      <c r="C561" s="10" t="s">
        <v>2</v>
      </c>
      <c r="D561" s="504">
        <v>1907.93</v>
      </c>
      <c r="E561" s="504">
        <f t="shared" si="8"/>
        <v>1413.2814814814815</v>
      </c>
    </row>
    <row r="562" spans="1:7" x14ac:dyDescent="0.25">
      <c r="A562" s="10" t="s">
        <v>28533</v>
      </c>
      <c r="B562" s="439" t="s">
        <v>690</v>
      </c>
      <c r="C562" s="10" t="s">
        <v>40</v>
      </c>
      <c r="D562" s="504">
        <v>33.630000000000003</v>
      </c>
      <c r="E562" s="504">
        <f t="shared" si="8"/>
        <v>24.911111111111111</v>
      </c>
      <c r="F562">
        <f>D562/(1.4179)</f>
        <v>23.718174765498276</v>
      </c>
      <c r="G562">
        <f>F562*1.25</f>
        <v>29.647718456872845</v>
      </c>
    </row>
    <row r="563" spans="1:7" x14ac:dyDescent="0.25">
      <c r="A563" s="10" t="s">
        <v>28534</v>
      </c>
      <c r="B563" s="439" t="s">
        <v>691</v>
      </c>
      <c r="C563" s="10" t="s">
        <v>40</v>
      </c>
      <c r="D563" s="504">
        <v>38.619999999999997</v>
      </c>
      <c r="E563" s="504">
        <f t="shared" si="8"/>
        <v>28.607407407407404</v>
      </c>
    </row>
    <row r="564" spans="1:7" x14ac:dyDescent="0.25">
      <c r="A564" s="10" t="s">
        <v>28535</v>
      </c>
      <c r="B564" s="439" t="s">
        <v>878</v>
      </c>
      <c r="C564" s="10" t="s">
        <v>41</v>
      </c>
      <c r="D564" s="504">
        <v>161.19</v>
      </c>
      <c r="E564" s="504">
        <f t="shared" si="8"/>
        <v>119.39999999999999</v>
      </c>
    </row>
    <row r="565" spans="1:7" x14ac:dyDescent="0.25">
      <c r="A565" s="10" t="s">
        <v>28536</v>
      </c>
      <c r="B565" s="439" t="s">
        <v>879</v>
      </c>
      <c r="C565" s="10" t="s">
        <v>41</v>
      </c>
      <c r="D565" s="504">
        <v>189.91</v>
      </c>
      <c r="E565" s="504">
        <f t="shared" si="8"/>
        <v>140.67407407407407</v>
      </c>
    </row>
    <row r="566" spans="1:7" x14ac:dyDescent="0.25">
      <c r="A566" s="10" t="s">
        <v>28537</v>
      </c>
      <c r="B566" s="439" t="s">
        <v>694</v>
      </c>
      <c r="C566" s="10" t="s">
        <v>6</v>
      </c>
      <c r="D566" s="504">
        <v>20.91</v>
      </c>
      <c r="E566" s="504">
        <f t="shared" si="8"/>
        <v>15.488888888888887</v>
      </c>
    </row>
    <row r="567" spans="1:7" x14ac:dyDescent="0.25">
      <c r="A567" s="10" t="s">
        <v>28538</v>
      </c>
      <c r="B567" s="439" t="s">
        <v>695</v>
      </c>
      <c r="C567" s="10" t="s">
        <v>6</v>
      </c>
      <c r="D567" s="504">
        <v>17.62</v>
      </c>
      <c r="E567" s="504">
        <f t="shared" si="8"/>
        <v>13.051851851851852</v>
      </c>
    </row>
    <row r="568" spans="1:7" x14ac:dyDescent="0.25">
      <c r="A568" s="10" t="s">
        <v>28539</v>
      </c>
      <c r="B568" s="439" t="s">
        <v>696</v>
      </c>
      <c r="C568" s="10" t="s">
        <v>6</v>
      </c>
      <c r="D568" s="504">
        <v>21.69</v>
      </c>
      <c r="E568" s="504">
        <f t="shared" si="8"/>
        <v>16.066666666666666</v>
      </c>
    </row>
    <row r="569" spans="1:7" x14ac:dyDescent="0.25">
      <c r="A569" s="10" t="s">
        <v>28540</v>
      </c>
      <c r="B569" s="439" t="s">
        <v>880</v>
      </c>
      <c r="C569" s="10" t="s">
        <v>6</v>
      </c>
      <c r="D569" s="504">
        <v>39.090000000000003</v>
      </c>
      <c r="E569" s="504">
        <f t="shared" si="8"/>
        <v>28.955555555555556</v>
      </c>
    </row>
    <row r="570" spans="1:7" x14ac:dyDescent="0.25">
      <c r="A570" s="10" t="s">
        <v>28541</v>
      </c>
      <c r="B570" s="439" t="s">
        <v>697</v>
      </c>
      <c r="C570" s="10" t="s">
        <v>6</v>
      </c>
      <c r="D570" s="504">
        <v>18.920000000000002</v>
      </c>
      <c r="E570" s="504">
        <f t="shared" si="8"/>
        <v>14.014814814814816</v>
      </c>
    </row>
    <row r="571" spans="1:7" x14ac:dyDescent="0.25">
      <c r="A571" s="10" t="s">
        <v>28542</v>
      </c>
      <c r="B571" s="439" t="s">
        <v>881</v>
      </c>
      <c r="C571" s="10" t="s">
        <v>6</v>
      </c>
      <c r="D571" s="504">
        <v>108.5</v>
      </c>
      <c r="E571" s="504">
        <f t="shared" si="8"/>
        <v>80.370370370370367</v>
      </c>
    </row>
    <row r="572" spans="1:7" x14ac:dyDescent="0.25">
      <c r="A572" s="10" t="s">
        <v>28543</v>
      </c>
      <c r="B572" s="439" t="s">
        <v>882</v>
      </c>
      <c r="C572" s="10" t="s">
        <v>3</v>
      </c>
      <c r="D572" s="504">
        <v>892.3</v>
      </c>
      <c r="E572" s="504">
        <f t="shared" si="8"/>
        <v>660.96296296296293</v>
      </c>
    </row>
    <row r="573" spans="1:7" x14ac:dyDescent="0.25">
      <c r="A573" s="10" t="s">
        <v>28544</v>
      </c>
      <c r="B573" s="439" t="s">
        <v>883</v>
      </c>
      <c r="C573" s="10" t="s">
        <v>3</v>
      </c>
      <c r="D573" s="504">
        <v>746.54</v>
      </c>
      <c r="E573" s="504">
        <f t="shared" si="8"/>
        <v>552.99259259259247</v>
      </c>
    </row>
    <row r="574" spans="1:7" x14ac:dyDescent="0.25">
      <c r="A574" s="10" t="s">
        <v>28545</v>
      </c>
      <c r="B574" s="439" t="s">
        <v>884</v>
      </c>
      <c r="C574" s="10" t="s">
        <v>3</v>
      </c>
      <c r="D574" s="504">
        <v>1220.4100000000001</v>
      </c>
      <c r="E574" s="504">
        <f t="shared" si="8"/>
        <v>904.00740740740741</v>
      </c>
    </row>
    <row r="575" spans="1:7" x14ac:dyDescent="0.25">
      <c r="A575" s="10" t="s">
        <v>28546</v>
      </c>
      <c r="B575" s="439" t="s">
        <v>885</v>
      </c>
      <c r="C575" s="10" t="s">
        <v>3</v>
      </c>
      <c r="D575" s="504">
        <v>2074.91</v>
      </c>
      <c r="E575" s="504">
        <f t="shared" si="8"/>
        <v>1536.9703703703701</v>
      </c>
    </row>
    <row r="576" spans="1:7" x14ac:dyDescent="0.25">
      <c r="A576" s="10" t="s">
        <v>28547</v>
      </c>
      <c r="B576" s="439" t="s">
        <v>886</v>
      </c>
      <c r="C576" s="10" t="s">
        <v>3</v>
      </c>
      <c r="D576" s="504">
        <v>4384.6000000000004</v>
      </c>
      <c r="E576" s="504">
        <f t="shared" si="8"/>
        <v>3247.8518518518517</v>
      </c>
    </row>
    <row r="577" spans="1:5" x14ac:dyDescent="0.25">
      <c r="A577" s="10" t="s">
        <v>28548</v>
      </c>
      <c r="B577" s="439" t="s">
        <v>887</v>
      </c>
      <c r="C577" s="10" t="s">
        <v>3</v>
      </c>
      <c r="D577" s="504">
        <v>5775.86</v>
      </c>
      <c r="E577" s="504">
        <f t="shared" si="8"/>
        <v>4278.4148148148142</v>
      </c>
    </row>
    <row r="578" spans="1:5" x14ac:dyDescent="0.25">
      <c r="A578" s="10" t="s">
        <v>28549</v>
      </c>
      <c r="B578" s="439" t="s">
        <v>888</v>
      </c>
      <c r="C578" s="10" t="s">
        <v>3</v>
      </c>
      <c r="D578" s="504">
        <v>134.88999999999999</v>
      </c>
      <c r="E578" s="504">
        <f t="shared" si="8"/>
        <v>99.918518518518496</v>
      </c>
    </row>
    <row r="579" spans="1:5" x14ac:dyDescent="0.25">
      <c r="A579" s="10" t="s">
        <v>28550</v>
      </c>
      <c r="B579" s="439" t="s">
        <v>889</v>
      </c>
      <c r="C579" s="10" t="s">
        <v>3</v>
      </c>
      <c r="D579" s="504">
        <v>184.9</v>
      </c>
      <c r="E579" s="504">
        <f t="shared" si="8"/>
        <v>136.96296296296296</v>
      </c>
    </row>
    <row r="580" spans="1:5" x14ac:dyDescent="0.25">
      <c r="A580" s="10" t="s">
        <v>28551</v>
      </c>
      <c r="B580" s="439" t="s">
        <v>890</v>
      </c>
      <c r="C580" s="10" t="s">
        <v>3</v>
      </c>
      <c r="D580" s="504">
        <v>2670.02</v>
      </c>
      <c r="E580" s="504">
        <f t="shared" si="8"/>
        <v>1977.7925925925924</v>
      </c>
    </row>
    <row r="581" spans="1:5" x14ac:dyDescent="0.25">
      <c r="A581" s="10" t="s">
        <v>28552</v>
      </c>
      <c r="B581" s="439" t="s">
        <v>891</v>
      </c>
      <c r="C581" s="10" t="s">
        <v>3</v>
      </c>
      <c r="D581" s="504">
        <v>380.39</v>
      </c>
      <c r="E581" s="504">
        <f t="shared" si="8"/>
        <v>281.77037037037036</v>
      </c>
    </row>
    <row r="582" spans="1:5" x14ac:dyDescent="0.25">
      <c r="A582" s="10" t="s">
        <v>28553</v>
      </c>
      <c r="B582" s="439" t="s">
        <v>892</v>
      </c>
      <c r="C582" s="10" t="s">
        <v>3</v>
      </c>
      <c r="D582" s="504">
        <v>1111.92</v>
      </c>
      <c r="E582" s="504">
        <f t="shared" si="8"/>
        <v>823.64444444444439</v>
      </c>
    </row>
    <row r="583" spans="1:5" x14ac:dyDescent="0.25">
      <c r="A583" s="10" t="s">
        <v>28554</v>
      </c>
      <c r="B583" s="439" t="s">
        <v>893</v>
      </c>
      <c r="C583" s="10" t="s">
        <v>3</v>
      </c>
      <c r="D583" s="504">
        <v>3955.85</v>
      </c>
      <c r="E583" s="504">
        <f t="shared" si="8"/>
        <v>2930.2592592592591</v>
      </c>
    </row>
    <row r="584" spans="1:5" x14ac:dyDescent="0.25">
      <c r="A584" s="10" t="s">
        <v>28555</v>
      </c>
      <c r="B584" s="439" t="s">
        <v>894</v>
      </c>
      <c r="C584" s="10" t="s">
        <v>3</v>
      </c>
      <c r="D584" s="504">
        <v>5382.07</v>
      </c>
      <c r="E584" s="504">
        <f t="shared" si="8"/>
        <v>3986.7185185185181</v>
      </c>
    </row>
    <row r="585" spans="1:5" x14ac:dyDescent="0.25">
      <c r="A585" s="10" t="s">
        <v>28556</v>
      </c>
      <c r="B585" s="439" t="s">
        <v>895</v>
      </c>
      <c r="C585" s="10" t="s">
        <v>3</v>
      </c>
      <c r="D585" s="504">
        <v>6369.22</v>
      </c>
      <c r="E585" s="504">
        <f t="shared" si="8"/>
        <v>4717.9407407407407</v>
      </c>
    </row>
    <row r="586" spans="1:5" x14ac:dyDescent="0.25">
      <c r="A586" s="10" t="s">
        <v>28557</v>
      </c>
      <c r="B586" s="439" t="s">
        <v>896</v>
      </c>
      <c r="C586" s="10" t="s">
        <v>2</v>
      </c>
      <c r="D586" s="504">
        <v>422.47</v>
      </c>
      <c r="E586" s="504">
        <f t="shared" si="8"/>
        <v>312.94074074074075</v>
      </c>
    </row>
    <row r="587" spans="1:5" x14ac:dyDescent="0.25">
      <c r="A587" s="10" t="s">
        <v>28558</v>
      </c>
      <c r="B587" s="439" t="s">
        <v>897</v>
      </c>
      <c r="C587" s="10" t="s">
        <v>2</v>
      </c>
      <c r="D587" s="504">
        <v>495.89</v>
      </c>
      <c r="E587" s="504">
        <f t="shared" ref="E587:E650" si="9">D587/(1+$G$4)</f>
        <v>367.3259259259259</v>
      </c>
    </row>
    <row r="588" spans="1:5" x14ac:dyDescent="0.25">
      <c r="A588" s="10" t="s">
        <v>28559</v>
      </c>
      <c r="B588" s="439" t="s">
        <v>898</v>
      </c>
      <c r="C588" s="10" t="s">
        <v>2</v>
      </c>
      <c r="D588" s="504">
        <v>575.37</v>
      </c>
      <c r="E588" s="504">
        <f t="shared" si="9"/>
        <v>426.2</v>
      </c>
    </row>
    <row r="589" spans="1:5" x14ac:dyDescent="0.25">
      <c r="A589" s="10" t="s">
        <v>28560</v>
      </c>
      <c r="B589" s="439" t="s">
        <v>899</v>
      </c>
      <c r="C589" s="10" t="s">
        <v>2</v>
      </c>
      <c r="D589" s="504">
        <v>637.14</v>
      </c>
      <c r="E589" s="504">
        <f t="shared" si="9"/>
        <v>471.95555555555552</v>
      </c>
    </row>
    <row r="590" spans="1:5" x14ac:dyDescent="0.25">
      <c r="A590" s="10" t="s">
        <v>28561</v>
      </c>
      <c r="B590" s="439" t="s">
        <v>900</v>
      </c>
      <c r="C590" s="10" t="s">
        <v>3</v>
      </c>
      <c r="D590" s="504">
        <v>1299.6099999999999</v>
      </c>
      <c r="E590" s="504">
        <f t="shared" si="9"/>
        <v>962.67407407407393</v>
      </c>
    </row>
    <row r="591" spans="1:5" x14ac:dyDescent="0.25">
      <c r="A591" s="10" t="s">
        <v>28562</v>
      </c>
      <c r="B591" s="439" t="s">
        <v>901</v>
      </c>
      <c r="C591" s="10" t="s">
        <v>3</v>
      </c>
      <c r="D591" s="504">
        <v>1893.46</v>
      </c>
      <c r="E591" s="504">
        <f t="shared" si="9"/>
        <v>1402.562962962963</v>
      </c>
    </row>
    <row r="592" spans="1:5" x14ac:dyDescent="0.25">
      <c r="A592" s="10" t="s">
        <v>28563</v>
      </c>
      <c r="B592" s="439" t="s">
        <v>902</v>
      </c>
      <c r="C592" s="10" t="s">
        <v>3</v>
      </c>
      <c r="D592" s="504">
        <v>2324.1</v>
      </c>
      <c r="E592" s="504">
        <f t="shared" si="9"/>
        <v>1721.5555555555554</v>
      </c>
    </row>
    <row r="593" spans="1:5" x14ac:dyDescent="0.25">
      <c r="A593" s="10" t="s">
        <v>28564</v>
      </c>
      <c r="B593" s="439" t="s">
        <v>903</v>
      </c>
      <c r="C593" s="10" t="s">
        <v>3</v>
      </c>
      <c r="D593" s="504">
        <v>2158.0300000000002</v>
      </c>
      <c r="E593" s="504">
        <f t="shared" si="9"/>
        <v>1598.5407407407408</v>
      </c>
    </row>
    <row r="594" spans="1:5" x14ac:dyDescent="0.25">
      <c r="A594" s="10" t="s">
        <v>28565</v>
      </c>
      <c r="B594" s="439" t="s">
        <v>698</v>
      </c>
      <c r="C594" s="10" t="s">
        <v>40</v>
      </c>
      <c r="D594" s="504">
        <v>714.99</v>
      </c>
      <c r="E594" s="504">
        <f t="shared" si="9"/>
        <v>529.62222222222215</v>
      </c>
    </row>
    <row r="595" spans="1:5" x14ac:dyDescent="0.25">
      <c r="A595" s="10" t="s">
        <v>28566</v>
      </c>
      <c r="B595" s="439" t="s">
        <v>699</v>
      </c>
      <c r="C595" s="10" t="s">
        <v>40</v>
      </c>
      <c r="D595" s="504">
        <v>781.85</v>
      </c>
      <c r="E595" s="504">
        <f t="shared" si="9"/>
        <v>579.14814814814815</v>
      </c>
    </row>
    <row r="596" spans="1:5" x14ac:dyDescent="0.25">
      <c r="A596" s="10" t="s">
        <v>28567</v>
      </c>
      <c r="B596" s="439" t="s">
        <v>700</v>
      </c>
      <c r="C596" s="10" t="s">
        <v>40</v>
      </c>
      <c r="D596" s="504">
        <v>800.35</v>
      </c>
      <c r="E596" s="504">
        <f t="shared" si="9"/>
        <v>592.85185185185185</v>
      </c>
    </row>
    <row r="597" spans="1:5" x14ac:dyDescent="0.25">
      <c r="A597" s="10" t="s">
        <v>28568</v>
      </c>
      <c r="B597" s="439" t="s">
        <v>701</v>
      </c>
      <c r="C597" s="10" t="s">
        <v>40</v>
      </c>
      <c r="D597" s="504">
        <v>830.73</v>
      </c>
      <c r="E597" s="504">
        <f t="shared" si="9"/>
        <v>615.3555555555555</v>
      </c>
    </row>
    <row r="598" spans="1:5" x14ac:dyDescent="0.25">
      <c r="A598" s="10" t="s">
        <v>28569</v>
      </c>
      <c r="B598" s="439" t="s">
        <v>702</v>
      </c>
      <c r="C598" s="10" t="s">
        <v>40</v>
      </c>
      <c r="D598" s="504">
        <v>851.61</v>
      </c>
      <c r="E598" s="504">
        <f t="shared" si="9"/>
        <v>630.82222222222219</v>
      </c>
    </row>
    <row r="599" spans="1:5" x14ac:dyDescent="0.25">
      <c r="A599" s="10" t="s">
        <v>28570</v>
      </c>
      <c r="B599" s="439" t="s">
        <v>703</v>
      </c>
      <c r="C599" s="10" t="s">
        <v>40</v>
      </c>
      <c r="D599" s="504">
        <v>878.45</v>
      </c>
      <c r="E599" s="504">
        <f t="shared" si="9"/>
        <v>650.7037037037037</v>
      </c>
    </row>
    <row r="600" spans="1:5" x14ac:dyDescent="0.25">
      <c r="A600" s="10" t="s">
        <v>28571</v>
      </c>
      <c r="B600" s="439" t="s">
        <v>706</v>
      </c>
      <c r="C600" s="10" t="s">
        <v>40</v>
      </c>
      <c r="D600" s="504">
        <v>894.1</v>
      </c>
      <c r="E600" s="504">
        <f t="shared" si="9"/>
        <v>662.2962962962963</v>
      </c>
    </row>
    <row r="601" spans="1:5" x14ac:dyDescent="0.25">
      <c r="A601" s="10" t="s">
        <v>28572</v>
      </c>
      <c r="B601" s="439" t="s">
        <v>704</v>
      </c>
      <c r="C601" s="10" t="s">
        <v>40</v>
      </c>
      <c r="D601" s="504">
        <v>718.61</v>
      </c>
      <c r="E601" s="504">
        <f t="shared" si="9"/>
        <v>532.30370370370372</v>
      </c>
    </row>
    <row r="602" spans="1:5" x14ac:dyDescent="0.25">
      <c r="A602" s="10" t="s">
        <v>28573</v>
      </c>
      <c r="B602" s="439" t="s">
        <v>904</v>
      </c>
      <c r="C602" s="10" t="s">
        <v>40</v>
      </c>
      <c r="D602" s="504">
        <v>2600.37</v>
      </c>
      <c r="E602" s="504">
        <f t="shared" si="9"/>
        <v>1926.1999999999998</v>
      </c>
    </row>
    <row r="603" spans="1:5" x14ac:dyDescent="0.25">
      <c r="A603" s="10" t="s">
        <v>28574</v>
      </c>
      <c r="B603" s="439" t="s">
        <v>905</v>
      </c>
      <c r="C603" s="10" t="s">
        <v>40</v>
      </c>
      <c r="D603" s="504">
        <v>106.56</v>
      </c>
      <c r="E603" s="504">
        <f t="shared" si="9"/>
        <v>78.933333333333323</v>
      </c>
    </row>
    <row r="604" spans="1:5" x14ac:dyDescent="0.25">
      <c r="A604" s="10" t="s">
        <v>28575</v>
      </c>
      <c r="B604" s="439" t="s">
        <v>906</v>
      </c>
      <c r="C604" s="10" t="s">
        <v>6</v>
      </c>
      <c r="D604" s="504">
        <v>4.67</v>
      </c>
      <c r="E604" s="504">
        <f t="shared" si="9"/>
        <v>3.4592592592592588</v>
      </c>
    </row>
    <row r="605" spans="1:5" x14ac:dyDescent="0.25">
      <c r="A605" s="10" t="s">
        <v>28576</v>
      </c>
      <c r="B605" s="439" t="s">
        <v>707</v>
      </c>
      <c r="C605" s="10" t="s">
        <v>40</v>
      </c>
      <c r="D605" s="504">
        <v>943.84</v>
      </c>
      <c r="E605" s="504">
        <f t="shared" si="9"/>
        <v>699.14074074074074</v>
      </c>
    </row>
    <row r="606" spans="1:5" x14ac:dyDescent="0.25">
      <c r="A606" s="10" t="s">
        <v>28577</v>
      </c>
      <c r="B606" s="439" t="s">
        <v>708</v>
      </c>
      <c r="C606" s="10" t="s">
        <v>40</v>
      </c>
      <c r="D606" s="504">
        <v>1022.8</v>
      </c>
      <c r="E606" s="504">
        <f t="shared" si="9"/>
        <v>757.62962962962956</v>
      </c>
    </row>
    <row r="607" spans="1:5" x14ac:dyDescent="0.25">
      <c r="A607" s="10" t="s">
        <v>28578</v>
      </c>
      <c r="B607" s="439" t="s">
        <v>907</v>
      </c>
      <c r="C607" s="10" t="s">
        <v>40</v>
      </c>
      <c r="D607" s="504">
        <v>1064.4000000000001</v>
      </c>
      <c r="E607" s="504">
        <f t="shared" si="9"/>
        <v>788.44444444444446</v>
      </c>
    </row>
    <row r="608" spans="1:5" x14ac:dyDescent="0.25">
      <c r="A608" s="10" t="s">
        <v>28579</v>
      </c>
      <c r="B608" s="439" t="s">
        <v>908</v>
      </c>
      <c r="C608" s="10" t="s">
        <v>2</v>
      </c>
      <c r="D608" s="504">
        <v>283.73</v>
      </c>
      <c r="E608" s="504">
        <f t="shared" si="9"/>
        <v>210.17037037037036</v>
      </c>
    </row>
    <row r="609" spans="1:5" x14ac:dyDescent="0.25">
      <c r="A609" s="10" t="s">
        <v>28580</v>
      </c>
      <c r="B609" s="439" t="s">
        <v>909</v>
      </c>
      <c r="C609" s="10" t="s">
        <v>2</v>
      </c>
      <c r="D609" s="504">
        <v>290.04000000000002</v>
      </c>
      <c r="E609" s="504">
        <f t="shared" si="9"/>
        <v>214.84444444444443</v>
      </c>
    </row>
    <row r="610" spans="1:5" x14ac:dyDescent="0.25">
      <c r="A610" s="10" t="s">
        <v>28581</v>
      </c>
      <c r="B610" s="439" t="s">
        <v>910</v>
      </c>
      <c r="C610" s="10" t="s">
        <v>2</v>
      </c>
      <c r="D610" s="504">
        <v>307.64</v>
      </c>
      <c r="E610" s="504">
        <f t="shared" si="9"/>
        <v>227.88148148148144</v>
      </c>
    </row>
    <row r="611" spans="1:5" x14ac:dyDescent="0.25">
      <c r="A611" s="10" t="s">
        <v>28582</v>
      </c>
      <c r="B611" s="439" t="s">
        <v>911</v>
      </c>
      <c r="C611" s="10" t="s">
        <v>2</v>
      </c>
      <c r="D611" s="504">
        <v>322.67</v>
      </c>
      <c r="E611" s="504">
        <f t="shared" si="9"/>
        <v>239.0148148148148</v>
      </c>
    </row>
    <row r="612" spans="1:5" x14ac:dyDescent="0.25">
      <c r="A612" s="10" t="s">
        <v>28583</v>
      </c>
      <c r="B612" s="439" t="s">
        <v>912</v>
      </c>
      <c r="C612" s="10" t="s">
        <v>2</v>
      </c>
      <c r="D612" s="504">
        <v>834.79</v>
      </c>
      <c r="E612" s="504">
        <f t="shared" si="9"/>
        <v>618.36296296296291</v>
      </c>
    </row>
    <row r="613" spans="1:5" x14ac:dyDescent="0.25">
      <c r="A613" s="10" t="s">
        <v>28584</v>
      </c>
      <c r="B613" s="439" t="s">
        <v>913</v>
      </c>
      <c r="C613" s="10" t="s">
        <v>2</v>
      </c>
      <c r="D613" s="504">
        <v>1059.07</v>
      </c>
      <c r="E613" s="504">
        <f t="shared" si="9"/>
        <v>784.49629629629624</v>
      </c>
    </row>
    <row r="614" spans="1:5" x14ac:dyDescent="0.25">
      <c r="A614" s="10" t="s">
        <v>28585</v>
      </c>
      <c r="B614" s="439" t="s">
        <v>914</v>
      </c>
      <c r="C614" s="10" t="s">
        <v>2</v>
      </c>
      <c r="D614" s="504">
        <v>1239</v>
      </c>
      <c r="E614" s="504">
        <f t="shared" si="9"/>
        <v>917.77777777777771</v>
      </c>
    </row>
    <row r="615" spans="1:5" x14ac:dyDescent="0.25">
      <c r="A615" s="10" t="s">
        <v>28586</v>
      </c>
      <c r="B615" s="439" t="s">
        <v>915</v>
      </c>
      <c r="C615" s="10" t="s">
        <v>2</v>
      </c>
      <c r="D615" s="504">
        <v>1548.03</v>
      </c>
      <c r="E615" s="504">
        <f t="shared" si="9"/>
        <v>1146.6888888888889</v>
      </c>
    </row>
    <row r="616" spans="1:5" x14ac:dyDescent="0.25">
      <c r="A616" s="10" t="s">
        <v>28587</v>
      </c>
      <c r="B616" s="439" t="s">
        <v>916</v>
      </c>
      <c r="C616" s="10" t="s">
        <v>2</v>
      </c>
      <c r="D616" s="504">
        <v>1265.27</v>
      </c>
      <c r="E616" s="504">
        <f t="shared" si="9"/>
        <v>937.237037037037</v>
      </c>
    </row>
    <row r="617" spans="1:5" x14ac:dyDescent="0.25">
      <c r="A617" s="10" t="s">
        <v>28588</v>
      </c>
      <c r="B617" s="439" t="s">
        <v>917</v>
      </c>
      <c r="C617" s="10" t="s">
        <v>2</v>
      </c>
      <c r="D617" s="504">
        <v>1600.01</v>
      </c>
      <c r="E617" s="504">
        <f t="shared" si="9"/>
        <v>1185.1925925925925</v>
      </c>
    </row>
    <row r="618" spans="1:5" x14ac:dyDescent="0.25">
      <c r="A618" s="10" t="s">
        <v>28589</v>
      </c>
      <c r="B618" s="439" t="s">
        <v>918</v>
      </c>
      <c r="C618" s="10" t="s">
        <v>2</v>
      </c>
      <c r="D618" s="504">
        <v>1865.29</v>
      </c>
      <c r="E618" s="504">
        <f t="shared" si="9"/>
        <v>1381.6962962962962</v>
      </c>
    </row>
    <row r="619" spans="1:5" x14ac:dyDescent="0.25">
      <c r="A619" s="10" t="s">
        <v>28590</v>
      </c>
      <c r="B619" s="439" t="s">
        <v>919</v>
      </c>
      <c r="C619" s="10" t="s">
        <v>2</v>
      </c>
      <c r="D619" s="504">
        <v>2309.9</v>
      </c>
      <c r="E619" s="504">
        <f t="shared" si="9"/>
        <v>1711.037037037037</v>
      </c>
    </row>
    <row r="620" spans="1:5" x14ac:dyDescent="0.25">
      <c r="A620" s="10" t="s">
        <v>28591</v>
      </c>
      <c r="B620" s="439" t="s">
        <v>920</v>
      </c>
      <c r="C620" s="10" t="s">
        <v>2</v>
      </c>
      <c r="D620" s="504">
        <v>17.440000000000001</v>
      </c>
      <c r="E620" s="504">
        <f t="shared" si="9"/>
        <v>12.918518518518519</v>
      </c>
    </row>
    <row r="621" spans="1:5" x14ac:dyDescent="0.25">
      <c r="A621" s="10" t="s">
        <v>28592</v>
      </c>
      <c r="B621" s="439" t="s">
        <v>921</v>
      </c>
      <c r="C621" s="10" t="s">
        <v>2</v>
      </c>
      <c r="D621" s="504">
        <v>25.46</v>
      </c>
      <c r="E621" s="504">
        <f t="shared" si="9"/>
        <v>18.859259259259257</v>
      </c>
    </row>
    <row r="622" spans="1:5" x14ac:dyDescent="0.25">
      <c r="A622" s="10" t="s">
        <v>28593</v>
      </c>
      <c r="B622" s="439" t="s">
        <v>712</v>
      </c>
      <c r="C622" s="10" t="s">
        <v>40</v>
      </c>
      <c r="D622" s="504">
        <v>367.81</v>
      </c>
      <c r="E622" s="504">
        <f t="shared" si="9"/>
        <v>272.45185185185181</v>
      </c>
    </row>
    <row r="623" spans="1:5" x14ac:dyDescent="0.25">
      <c r="A623" s="10" t="s">
        <v>28594</v>
      </c>
      <c r="B623" s="439" t="s">
        <v>713</v>
      </c>
      <c r="C623" s="10" t="s">
        <v>40</v>
      </c>
      <c r="D623" s="504">
        <v>554.97</v>
      </c>
      <c r="E623" s="504">
        <f t="shared" si="9"/>
        <v>411.0888888888889</v>
      </c>
    </row>
    <row r="624" spans="1:5" x14ac:dyDescent="0.25">
      <c r="A624" s="10" t="s">
        <v>28595</v>
      </c>
      <c r="B624" s="439" t="s">
        <v>714</v>
      </c>
      <c r="C624" s="10" t="s">
        <v>40</v>
      </c>
      <c r="D624" s="504">
        <v>234.34</v>
      </c>
      <c r="E624" s="504">
        <f t="shared" si="9"/>
        <v>173.58518518518517</v>
      </c>
    </row>
    <row r="625" spans="1:5" x14ac:dyDescent="0.25">
      <c r="A625" s="10" t="s">
        <v>28596</v>
      </c>
      <c r="B625" s="439" t="s">
        <v>715</v>
      </c>
      <c r="C625" s="10" t="s">
        <v>40</v>
      </c>
      <c r="D625" s="504">
        <v>727.23</v>
      </c>
      <c r="E625" s="504">
        <f t="shared" si="9"/>
        <v>538.68888888888887</v>
      </c>
    </row>
    <row r="626" spans="1:5" ht="30" x14ac:dyDescent="0.25">
      <c r="A626" s="10" t="s">
        <v>28597</v>
      </c>
      <c r="B626" s="439" t="s">
        <v>716</v>
      </c>
      <c r="C626" s="10" t="s">
        <v>40</v>
      </c>
      <c r="D626" s="504">
        <v>835.86</v>
      </c>
      <c r="E626" s="504">
        <f t="shared" si="9"/>
        <v>619.15555555555557</v>
      </c>
    </row>
    <row r="627" spans="1:5" ht="30" x14ac:dyDescent="0.25">
      <c r="A627" s="10" t="s">
        <v>28598</v>
      </c>
      <c r="B627" s="439" t="s">
        <v>717</v>
      </c>
      <c r="C627" s="10" t="s">
        <v>40</v>
      </c>
      <c r="D627" s="504">
        <v>1079.06</v>
      </c>
      <c r="E627" s="504">
        <f t="shared" si="9"/>
        <v>799.3037037037036</v>
      </c>
    </row>
    <row r="628" spans="1:5" x14ac:dyDescent="0.25">
      <c r="A628" s="10" t="s">
        <v>28599</v>
      </c>
      <c r="B628" s="439" t="s">
        <v>720</v>
      </c>
      <c r="C628" s="10" t="s">
        <v>40</v>
      </c>
      <c r="D628" s="504">
        <v>614.1</v>
      </c>
      <c r="E628" s="504">
        <f t="shared" si="9"/>
        <v>454.88888888888886</v>
      </c>
    </row>
    <row r="629" spans="1:5" ht="30" x14ac:dyDescent="0.25">
      <c r="A629" s="10" t="s">
        <v>28600</v>
      </c>
      <c r="B629" s="439" t="s">
        <v>718</v>
      </c>
      <c r="C629" s="10" t="s">
        <v>40</v>
      </c>
      <c r="D629" s="504">
        <v>676.39</v>
      </c>
      <c r="E629" s="504">
        <f t="shared" si="9"/>
        <v>501.0296296296296</v>
      </c>
    </row>
    <row r="630" spans="1:5" ht="30" x14ac:dyDescent="0.25">
      <c r="A630" s="10" t="s">
        <v>28601</v>
      </c>
      <c r="B630" s="439" t="s">
        <v>719</v>
      </c>
      <c r="C630" s="10" t="s">
        <v>40</v>
      </c>
      <c r="D630" s="504">
        <v>848.49</v>
      </c>
      <c r="E630" s="504">
        <f t="shared" si="9"/>
        <v>628.51111111111106</v>
      </c>
    </row>
    <row r="631" spans="1:5" ht="30" x14ac:dyDescent="0.25">
      <c r="A631" s="10" t="s">
        <v>28602</v>
      </c>
      <c r="B631" s="439" t="s">
        <v>721</v>
      </c>
      <c r="C631" s="10" t="s">
        <v>41</v>
      </c>
      <c r="D631" s="504">
        <v>515.95000000000005</v>
      </c>
      <c r="E631" s="504">
        <f t="shared" si="9"/>
        <v>382.18518518518522</v>
      </c>
    </row>
    <row r="632" spans="1:5" ht="30" x14ac:dyDescent="0.25">
      <c r="A632" s="10" t="s">
        <v>28603</v>
      </c>
      <c r="B632" s="439" t="s">
        <v>722</v>
      </c>
      <c r="C632" s="10" t="s">
        <v>41</v>
      </c>
      <c r="D632" s="504">
        <v>449.13</v>
      </c>
      <c r="E632" s="504">
        <f t="shared" si="9"/>
        <v>332.68888888888887</v>
      </c>
    </row>
    <row r="633" spans="1:5" ht="30" x14ac:dyDescent="0.25">
      <c r="A633" s="10" t="s">
        <v>28604</v>
      </c>
      <c r="B633" s="439" t="s">
        <v>723</v>
      </c>
      <c r="C633" s="10" t="s">
        <v>41</v>
      </c>
      <c r="D633" s="504">
        <v>535.66999999999996</v>
      </c>
      <c r="E633" s="504">
        <f t="shared" si="9"/>
        <v>396.79259259259254</v>
      </c>
    </row>
    <row r="634" spans="1:5" ht="30" x14ac:dyDescent="0.25">
      <c r="A634" s="10" t="s">
        <v>28605</v>
      </c>
      <c r="B634" s="439" t="s">
        <v>724</v>
      </c>
      <c r="C634" s="10" t="s">
        <v>41</v>
      </c>
      <c r="D634" s="504">
        <v>460.57</v>
      </c>
      <c r="E634" s="504">
        <f t="shared" si="9"/>
        <v>341.16296296296292</v>
      </c>
    </row>
    <row r="635" spans="1:5" ht="30" x14ac:dyDescent="0.25">
      <c r="A635" s="10" t="s">
        <v>28606</v>
      </c>
      <c r="B635" s="439" t="s">
        <v>725</v>
      </c>
      <c r="C635" s="10" t="s">
        <v>41</v>
      </c>
      <c r="D635" s="504">
        <v>555.4</v>
      </c>
      <c r="E635" s="504">
        <f t="shared" si="9"/>
        <v>411.40740740740739</v>
      </c>
    </row>
    <row r="636" spans="1:5" ht="30" x14ac:dyDescent="0.25">
      <c r="A636" s="10" t="s">
        <v>28607</v>
      </c>
      <c r="B636" s="439" t="s">
        <v>726</v>
      </c>
      <c r="C636" s="10" t="s">
        <v>41</v>
      </c>
      <c r="D636" s="504">
        <v>475.57</v>
      </c>
      <c r="E636" s="504">
        <f t="shared" si="9"/>
        <v>352.27407407407406</v>
      </c>
    </row>
    <row r="637" spans="1:5" ht="30" x14ac:dyDescent="0.25">
      <c r="A637" s="10" t="s">
        <v>28608</v>
      </c>
      <c r="B637" s="439" t="s">
        <v>727</v>
      </c>
      <c r="C637" s="10" t="s">
        <v>40</v>
      </c>
      <c r="D637" s="504">
        <v>885.95</v>
      </c>
      <c r="E637" s="504">
        <f t="shared" si="9"/>
        <v>656.25925925925924</v>
      </c>
    </row>
    <row r="638" spans="1:5" ht="30" x14ac:dyDescent="0.25">
      <c r="A638" s="10" t="s">
        <v>28609</v>
      </c>
      <c r="B638" s="439" t="s">
        <v>728</v>
      </c>
      <c r="C638" s="10" t="s">
        <v>41</v>
      </c>
      <c r="D638" s="504">
        <v>703.25</v>
      </c>
      <c r="E638" s="504">
        <f t="shared" si="9"/>
        <v>520.92592592592587</v>
      </c>
    </row>
    <row r="639" spans="1:5" x14ac:dyDescent="0.25">
      <c r="A639" s="10" t="s">
        <v>28610</v>
      </c>
      <c r="B639" s="439" t="s">
        <v>730</v>
      </c>
      <c r="C639" s="10" t="s">
        <v>40</v>
      </c>
      <c r="D639" s="504">
        <v>1101.77</v>
      </c>
      <c r="E639" s="504">
        <f t="shared" si="9"/>
        <v>816.12592592592591</v>
      </c>
    </row>
    <row r="640" spans="1:5" x14ac:dyDescent="0.25">
      <c r="A640" s="10" t="s">
        <v>28611</v>
      </c>
      <c r="B640" s="439" t="s">
        <v>731</v>
      </c>
      <c r="C640" s="10" t="s">
        <v>40</v>
      </c>
      <c r="D640" s="504">
        <v>1031.57</v>
      </c>
      <c r="E640" s="504">
        <f t="shared" si="9"/>
        <v>764.1259259259258</v>
      </c>
    </row>
    <row r="641" spans="1:5" x14ac:dyDescent="0.25">
      <c r="A641" s="10" t="s">
        <v>28612</v>
      </c>
      <c r="B641" s="439" t="s">
        <v>732</v>
      </c>
      <c r="C641" s="10" t="s">
        <v>40</v>
      </c>
      <c r="D641" s="504">
        <v>1511.7</v>
      </c>
      <c r="E641" s="504">
        <f t="shared" si="9"/>
        <v>1119.7777777777778</v>
      </c>
    </row>
    <row r="642" spans="1:5" x14ac:dyDescent="0.25">
      <c r="A642" s="10" t="s">
        <v>28613</v>
      </c>
      <c r="B642" s="439" t="s">
        <v>733</v>
      </c>
      <c r="C642" s="10" t="s">
        <v>40</v>
      </c>
      <c r="D642" s="504">
        <v>512.22</v>
      </c>
      <c r="E642" s="504">
        <f t="shared" si="9"/>
        <v>379.42222222222222</v>
      </c>
    </row>
    <row r="643" spans="1:5" x14ac:dyDescent="0.25">
      <c r="A643" s="10" t="s">
        <v>28614</v>
      </c>
      <c r="B643" s="439" t="s">
        <v>734</v>
      </c>
      <c r="C643" s="10" t="s">
        <v>40</v>
      </c>
      <c r="D643" s="504">
        <v>918.26</v>
      </c>
      <c r="E643" s="504">
        <f t="shared" si="9"/>
        <v>680.19259259259252</v>
      </c>
    </row>
    <row r="644" spans="1:5" x14ac:dyDescent="0.25">
      <c r="A644" s="10" t="s">
        <v>28615</v>
      </c>
      <c r="B644" s="439" t="s">
        <v>735</v>
      </c>
      <c r="C644" s="10" t="s">
        <v>40</v>
      </c>
      <c r="D644" s="504">
        <v>815.45</v>
      </c>
      <c r="E644" s="504">
        <f t="shared" si="9"/>
        <v>604.03703703703707</v>
      </c>
    </row>
    <row r="645" spans="1:5" x14ac:dyDescent="0.25">
      <c r="A645" s="10" t="s">
        <v>28616</v>
      </c>
      <c r="B645" s="439" t="s">
        <v>736</v>
      </c>
      <c r="C645" s="10" t="s">
        <v>41</v>
      </c>
      <c r="D645" s="504">
        <v>59.25</v>
      </c>
      <c r="E645" s="504">
        <f t="shared" si="9"/>
        <v>43.888888888888886</v>
      </c>
    </row>
    <row r="646" spans="1:5" x14ac:dyDescent="0.25">
      <c r="A646" s="10" t="s">
        <v>28617</v>
      </c>
      <c r="B646" s="439" t="s">
        <v>764</v>
      </c>
      <c r="C646" s="10" t="s">
        <v>6</v>
      </c>
      <c r="D646" s="504">
        <v>82.86</v>
      </c>
      <c r="E646" s="504">
        <f t="shared" si="9"/>
        <v>61.377777777777773</v>
      </c>
    </row>
    <row r="647" spans="1:5" x14ac:dyDescent="0.25">
      <c r="A647" s="10" t="s">
        <v>28618</v>
      </c>
      <c r="B647" s="439" t="s">
        <v>922</v>
      </c>
      <c r="C647" s="10" t="s">
        <v>2</v>
      </c>
      <c r="D647" s="504">
        <v>63.03</v>
      </c>
      <c r="E647" s="504">
        <f t="shared" si="9"/>
        <v>46.68888888888889</v>
      </c>
    </row>
    <row r="648" spans="1:5" x14ac:dyDescent="0.25">
      <c r="A648" s="10" t="s">
        <v>28619</v>
      </c>
      <c r="B648" s="439" t="s">
        <v>923</v>
      </c>
      <c r="C648" s="10" t="s">
        <v>2</v>
      </c>
      <c r="D648" s="504">
        <v>50.78</v>
      </c>
      <c r="E648" s="504">
        <f t="shared" si="9"/>
        <v>37.614814814814814</v>
      </c>
    </row>
    <row r="649" spans="1:5" x14ac:dyDescent="0.25">
      <c r="A649" s="10" t="s">
        <v>28620</v>
      </c>
      <c r="B649" s="439" t="s">
        <v>924</v>
      </c>
      <c r="C649" s="10" t="s">
        <v>2</v>
      </c>
      <c r="D649" s="504">
        <v>48.51</v>
      </c>
      <c r="E649" s="504">
        <f t="shared" si="9"/>
        <v>35.93333333333333</v>
      </c>
    </row>
    <row r="650" spans="1:5" x14ac:dyDescent="0.25">
      <c r="A650" s="10" t="s">
        <v>28621</v>
      </c>
      <c r="B650" s="439" t="s">
        <v>925</v>
      </c>
      <c r="C650" s="10" t="s">
        <v>2</v>
      </c>
      <c r="D650" s="504">
        <v>71.69</v>
      </c>
      <c r="E650" s="504">
        <f t="shared" si="9"/>
        <v>53.103703703703701</v>
      </c>
    </row>
    <row r="651" spans="1:5" x14ac:dyDescent="0.25">
      <c r="A651" s="10" t="s">
        <v>28622</v>
      </c>
      <c r="B651" s="439" t="s">
        <v>926</v>
      </c>
      <c r="C651" s="10" t="s">
        <v>2</v>
      </c>
      <c r="D651" s="504">
        <v>47.16</v>
      </c>
      <c r="E651" s="504">
        <f t="shared" ref="E651:E714" si="10">D651/(1+$G$4)</f>
        <v>34.93333333333333</v>
      </c>
    </row>
    <row r="652" spans="1:5" x14ac:dyDescent="0.25">
      <c r="A652" s="10" t="s">
        <v>28623</v>
      </c>
      <c r="B652" s="439" t="s">
        <v>927</v>
      </c>
      <c r="C652" s="10" t="s">
        <v>2</v>
      </c>
      <c r="D652" s="504">
        <v>56.15</v>
      </c>
      <c r="E652" s="504">
        <f t="shared" si="10"/>
        <v>41.592592592592588</v>
      </c>
    </row>
    <row r="653" spans="1:5" x14ac:dyDescent="0.25">
      <c r="A653" s="10" t="s">
        <v>28624</v>
      </c>
      <c r="B653" s="439" t="s">
        <v>928</v>
      </c>
      <c r="C653" s="10" t="s">
        <v>2</v>
      </c>
      <c r="D653" s="504">
        <v>44.12</v>
      </c>
      <c r="E653" s="504">
        <f t="shared" si="10"/>
        <v>32.681481481481477</v>
      </c>
    </row>
    <row r="654" spans="1:5" x14ac:dyDescent="0.25">
      <c r="A654" s="10" t="s">
        <v>28625</v>
      </c>
      <c r="B654" s="439" t="s">
        <v>929</v>
      </c>
      <c r="C654" s="10" t="s">
        <v>2</v>
      </c>
      <c r="D654" s="504">
        <v>52.95</v>
      </c>
      <c r="E654" s="504">
        <f t="shared" si="10"/>
        <v>39.222222222222221</v>
      </c>
    </row>
    <row r="655" spans="1:5" x14ac:dyDescent="0.25">
      <c r="A655" s="10" t="s">
        <v>28626</v>
      </c>
      <c r="B655" s="439" t="s">
        <v>930</v>
      </c>
      <c r="C655" s="10" t="s">
        <v>2</v>
      </c>
      <c r="D655" s="504">
        <v>27.53</v>
      </c>
      <c r="E655" s="504">
        <f t="shared" si="10"/>
        <v>20.392592592592592</v>
      </c>
    </row>
    <row r="656" spans="1:5" x14ac:dyDescent="0.25">
      <c r="A656" s="10" t="s">
        <v>28627</v>
      </c>
      <c r="B656" s="439" t="s">
        <v>931</v>
      </c>
      <c r="C656" s="10" t="s">
        <v>2</v>
      </c>
      <c r="D656" s="504">
        <v>115.84</v>
      </c>
      <c r="E656" s="504">
        <f t="shared" si="10"/>
        <v>85.80740740740741</v>
      </c>
    </row>
    <row r="657" spans="1:5" x14ac:dyDescent="0.25">
      <c r="A657" s="10" t="s">
        <v>28628</v>
      </c>
      <c r="B657" s="439" t="s">
        <v>770</v>
      </c>
      <c r="C657" s="10" t="s">
        <v>2</v>
      </c>
      <c r="D657" s="504">
        <v>209.72</v>
      </c>
      <c r="E657" s="504">
        <f t="shared" si="10"/>
        <v>155.34814814814814</v>
      </c>
    </row>
    <row r="658" spans="1:5" x14ac:dyDescent="0.25">
      <c r="A658" s="10" t="s">
        <v>28629</v>
      </c>
      <c r="B658" s="439" t="s">
        <v>771</v>
      </c>
      <c r="C658" s="10" t="s">
        <v>2</v>
      </c>
      <c r="D658" s="504">
        <v>120.95</v>
      </c>
      <c r="E658" s="504">
        <f t="shared" si="10"/>
        <v>89.592592592592595</v>
      </c>
    </row>
    <row r="659" spans="1:5" x14ac:dyDescent="0.25">
      <c r="A659" s="10" t="s">
        <v>28630</v>
      </c>
      <c r="B659" s="439" t="s">
        <v>772</v>
      </c>
      <c r="C659" s="10" t="s">
        <v>2</v>
      </c>
      <c r="D659" s="504">
        <v>154.22999999999999</v>
      </c>
      <c r="E659" s="504">
        <f t="shared" si="10"/>
        <v>114.24444444444443</v>
      </c>
    </row>
    <row r="660" spans="1:5" x14ac:dyDescent="0.25">
      <c r="A660" s="10" t="s">
        <v>28631</v>
      </c>
      <c r="B660" s="439" t="s">
        <v>932</v>
      </c>
      <c r="C660" s="10" t="s">
        <v>40</v>
      </c>
      <c r="D660" s="504">
        <v>107.63</v>
      </c>
      <c r="E660" s="504">
        <f t="shared" si="10"/>
        <v>79.725925925925921</v>
      </c>
    </row>
    <row r="661" spans="1:5" x14ac:dyDescent="0.25">
      <c r="A661" s="10" t="s">
        <v>28632</v>
      </c>
      <c r="B661" s="439" t="s">
        <v>933</v>
      </c>
      <c r="C661" s="10" t="s">
        <v>41</v>
      </c>
      <c r="D661" s="504">
        <v>824.64</v>
      </c>
      <c r="E661" s="504">
        <f t="shared" si="10"/>
        <v>610.84444444444443</v>
      </c>
    </row>
    <row r="662" spans="1:5" x14ac:dyDescent="0.25">
      <c r="A662" s="10" t="s">
        <v>28633</v>
      </c>
      <c r="B662" s="439" t="s">
        <v>934</v>
      </c>
      <c r="C662" s="10" t="s">
        <v>41</v>
      </c>
      <c r="D662" s="504">
        <v>988.96</v>
      </c>
      <c r="E662" s="504">
        <f t="shared" si="10"/>
        <v>732.56296296296296</v>
      </c>
    </row>
    <row r="663" spans="1:5" x14ac:dyDescent="0.25">
      <c r="A663" s="10" t="s">
        <v>28634</v>
      </c>
      <c r="B663" s="439" t="s">
        <v>935</v>
      </c>
      <c r="C663" s="10" t="s">
        <v>41</v>
      </c>
      <c r="D663" s="504">
        <v>1180.53</v>
      </c>
      <c r="E663" s="504">
        <f t="shared" si="10"/>
        <v>874.46666666666658</v>
      </c>
    </row>
    <row r="664" spans="1:5" x14ac:dyDescent="0.25">
      <c r="A664" s="10" t="s">
        <v>28635</v>
      </c>
      <c r="B664" s="439" t="s">
        <v>936</v>
      </c>
      <c r="C664" s="10" t="s">
        <v>41</v>
      </c>
      <c r="D664" s="504">
        <v>1431.62</v>
      </c>
      <c r="E664" s="504">
        <f t="shared" si="10"/>
        <v>1060.4592592592592</v>
      </c>
    </row>
    <row r="665" spans="1:5" ht="30" x14ac:dyDescent="0.25">
      <c r="A665" s="10" t="s">
        <v>28636</v>
      </c>
      <c r="B665" s="439" t="s">
        <v>937</v>
      </c>
      <c r="C665" s="10" t="s">
        <v>41</v>
      </c>
      <c r="D665" s="504">
        <v>1257.6099999999999</v>
      </c>
      <c r="E665" s="504">
        <f t="shared" si="10"/>
        <v>931.56296296296284</v>
      </c>
    </row>
    <row r="666" spans="1:5" ht="30" x14ac:dyDescent="0.25">
      <c r="A666" s="10" t="s">
        <v>28637</v>
      </c>
      <c r="B666" s="439" t="s">
        <v>938</v>
      </c>
      <c r="C666" s="10" t="s">
        <v>41</v>
      </c>
      <c r="D666" s="504">
        <v>1519.74</v>
      </c>
      <c r="E666" s="504">
        <f t="shared" si="10"/>
        <v>1125.7333333333333</v>
      </c>
    </row>
    <row r="667" spans="1:5" ht="30" x14ac:dyDescent="0.25">
      <c r="A667" s="10" t="s">
        <v>28638</v>
      </c>
      <c r="B667" s="439" t="s">
        <v>939</v>
      </c>
      <c r="C667" s="10" t="s">
        <v>41</v>
      </c>
      <c r="D667" s="504">
        <v>1783.86</v>
      </c>
      <c r="E667" s="504">
        <f t="shared" si="10"/>
        <v>1321.3777777777775</v>
      </c>
    </row>
    <row r="668" spans="1:5" ht="30" x14ac:dyDescent="0.25">
      <c r="A668" s="10" t="s">
        <v>28639</v>
      </c>
      <c r="B668" s="439" t="s">
        <v>940</v>
      </c>
      <c r="C668" s="10" t="s">
        <v>41</v>
      </c>
      <c r="D668" s="504">
        <v>2235.52</v>
      </c>
      <c r="E668" s="504">
        <f t="shared" si="10"/>
        <v>1655.9407407407407</v>
      </c>
    </row>
    <row r="669" spans="1:5" ht="30" x14ac:dyDescent="0.25">
      <c r="A669" s="10" t="s">
        <v>28640</v>
      </c>
      <c r="B669" s="439" t="s">
        <v>941</v>
      </c>
      <c r="C669" s="10" t="s">
        <v>41</v>
      </c>
      <c r="D669" s="504">
        <v>940.45</v>
      </c>
      <c r="E669" s="504">
        <f t="shared" si="10"/>
        <v>696.62962962962956</v>
      </c>
    </row>
    <row r="670" spans="1:5" ht="30" x14ac:dyDescent="0.25">
      <c r="A670" s="10" t="s">
        <v>28641</v>
      </c>
      <c r="B670" s="439" t="s">
        <v>942</v>
      </c>
      <c r="C670" s="10" t="s">
        <v>41</v>
      </c>
      <c r="D670" s="504">
        <v>982.3</v>
      </c>
      <c r="E670" s="504">
        <f t="shared" si="10"/>
        <v>727.62962962962956</v>
      </c>
    </row>
    <row r="671" spans="1:5" ht="30" x14ac:dyDescent="0.25">
      <c r="A671" s="10" t="s">
        <v>28642</v>
      </c>
      <c r="B671" s="439" t="s">
        <v>943</v>
      </c>
      <c r="C671" s="10" t="s">
        <v>41</v>
      </c>
      <c r="D671" s="504">
        <v>1184.94</v>
      </c>
      <c r="E671" s="504">
        <f t="shared" si="10"/>
        <v>877.73333333333335</v>
      </c>
    </row>
    <row r="672" spans="1:5" ht="30" x14ac:dyDescent="0.25">
      <c r="A672" s="10" t="s">
        <v>28643</v>
      </c>
      <c r="B672" s="439" t="s">
        <v>944</v>
      </c>
      <c r="C672" s="10" t="s">
        <v>41</v>
      </c>
      <c r="D672" s="504">
        <v>1030.78</v>
      </c>
      <c r="E672" s="504">
        <f t="shared" si="10"/>
        <v>763.54074074074072</v>
      </c>
    </row>
    <row r="673" spans="1:5" ht="30" x14ac:dyDescent="0.25">
      <c r="A673" s="10" t="s">
        <v>28644</v>
      </c>
      <c r="B673" s="439" t="s">
        <v>945</v>
      </c>
      <c r="C673" s="10" t="s">
        <v>41</v>
      </c>
      <c r="D673" s="504">
        <v>1184.94</v>
      </c>
      <c r="E673" s="504">
        <f t="shared" si="10"/>
        <v>877.73333333333335</v>
      </c>
    </row>
    <row r="674" spans="1:5" ht="30" x14ac:dyDescent="0.25">
      <c r="A674" s="10" t="s">
        <v>28645</v>
      </c>
      <c r="B674" s="439" t="s">
        <v>946</v>
      </c>
      <c r="C674" s="10" t="s">
        <v>41</v>
      </c>
      <c r="D674" s="504">
        <v>1244.45</v>
      </c>
      <c r="E674" s="504">
        <f t="shared" si="10"/>
        <v>921.81481481481478</v>
      </c>
    </row>
    <row r="675" spans="1:5" ht="30" x14ac:dyDescent="0.25">
      <c r="A675" s="10" t="s">
        <v>28646</v>
      </c>
      <c r="B675" s="439" t="s">
        <v>947</v>
      </c>
      <c r="C675" s="10" t="s">
        <v>41</v>
      </c>
      <c r="D675" s="504">
        <v>1244.45</v>
      </c>
      <c r="E675" s="504">
        <f t="shared" si="10"/>
        <v>921.81481481481478</v>
      </c>
    </row>
    <row r="676" spans="1:5" ht="30" x14ac:dyDescent="0.25">
      <c r="A676" s="10" t="s">
        <v>28647</v>
      </c>
      <c r="B676" s="439" t="s">
        <v>948</v>
      </c>
      <c r="C676" s="10" t="s">
        <v>41</v>
      </c>
      <c r="D676" s="504">
        <v>1436.02</v>
      </c>
      <c r="E676" s="504">
        <f t="shared" si="10"/>
        <v>1063.7185185185185</v>
      </c>
    </row>
    <row r="677" spans="1:5" ht="30" x14ac:dyDescent="0.25">
      <c r="A677" s="10" t="s">
        <v>28648</v>
      </c>
      <c r="B677" s="439" t="s">
        <v>949</v>
      </c>
      <c r="C677" s="10" t="s">
        <v>41</v>
      </c>
      <c r="D677" s="504">
        <v>1436.02</v>
      </c>
      <c r="E677" s="504">
        <f t="shared" si="10"/>
        <v>1063.7185185185185</v>
      </c>
    </row>
    <row r="678" spans="1:5" ht="30" x14ac:dyDescent="0.25">
      <c r="A678" s="10" t="s">
        <v>28649</v>
      </c>
      <c r="B678" s="439" t="s">
        <v>950</v>
      </c>
      <c r="C678" s="10" t="s">
        <v>41</v>
      </c>
      <c r="D678" s="504">
        <v>1508.73</v>
      </c>
      <c r="E678" s="504">
        <f t="shared" si="10"/>
        <v>1117.5777777777778</v>
      </c>
    </row>
    <row r="679" spans="1:5" ht="30" x14ac:dyDescent="0.25">
      <c r="A679" s="10" t="s">
        <v>28650</v>
      </c>
      <c r="B679" s="439" t="s">
        <v>951</v>
      </c>
      <c r="C679" s="10" t="s">
        <v>41</v>
      </c>
      <c r="D679" s="504">
        <v>1620.29</v>
      </c>
      <c r="E679" s="504">
        <f t="shared" si="10"/>
        <v>1200.2148148148146</v>
      </c>
    </row>
    <row r="680" spans="1:5" ht="30" x14ac:dyDescent="0.25">
      <c r="A680" s="10" t="s">
        <v>28651</v>
      </c>
      <c r="B680" s="439" t="s">
        <v>952</v>
      </c>
      <c r="C680" s="10" t="s">
        <v>41</v>
      </c>
      <c r="D680" s="504">
        <v>1667.28</v>
      </c>
      <c r="E680" s="504">
        <f t="shared" si="10"/>
        <v>1235.0222222222221</v>
      </c>
    </row>
    <row r="681" spans="1:5" ht="30" x14ac:dyDescent="0.25">
      <c r="A681" s="10" t="s">
        <v>28652</v>
      </c>
      <c r="B681" s="439" t="s">
        <v>953</v>
      </c>
      <c r="C681" s="10" t="s">
        <v>41</v>
      </c>
      <c r="D681" s="504">
        <v>737.82</v>
      </c>
      <c r="E681" s="504">
        <f t="shared" si="10"/>
        <v>546.5333333333333</v>
      </c>
    </row>
    <row r="682" spans="1:5" ht="30" x14ac:dyDescent="0.25">
      <c r="A682" s="10" t="s">
        <v>28653</v>
      </c>
      <c r="B682" s="439" t="s">
        <v>954</v>
      </c>
      <c r="C682" s="10" t="s">
        <v>41</v>
      </c>
      <c r="D682" s="504">
        <v>788.88</v>
      </c>
      <c r="E682" s="504">
        <f t="shared" si="10"/>
        <v>584.3555555555555</v>
      </c>
    </row>
    <row r="683" spans="1:5" ht="30" x14ac:dyDescent="0.25">
      <c r="A683" s="10" t="s">
        <v>28654</v>
      </c>
      <c r="B683" s="439" t="s">
        <v>955</v>
      </c>
      <c r="C683" s="10" t="s">
        <v>41</v>
      </c>
      <c r="D683" s="504">
        <v>952.97</v>
      </c>
      <c r="E683" s="504">
        <f t="shared" si="10"/>
        <v>705.90370370370363</v>
      </c>
    </row>
    <row r="684" spans="1:5" ht="30" x14ac:dyDescent="0.25">
      <c r="A684" s="10" t="s">
        <v>28655</v>
      </c>
      <c r="B684" s="439" t="s">
        <v>956</v>
      </c>
      <c r="C684" s="10" t="s">
        <v>41</v>
      </c>
      <c r="D684" s="504">
        <v>1137.25</v>
      </c>
      <c r="E684" s="504">
        <f t="shared" si="10"/>
        <v>842.40740740740739</v>
      </c>
    </row>
    <row r="685" spans="1:5" ht="30" x14ac:dyDescent="0.25">
      <c r="A685" s="10" t="s">
        <v>28656</v>
      </c>
      <c r="B685" s="439" t="s">
        <v>957</v>
      </c>
      <c r="C685" s="10" t="s">
        <v>41</v>
      </c>
      <c r="D685" s="504">
        <v>1444.46</v>
      </c>
      <c r="E685" s="504">
        <f t="shared" si="10"/>
        <v>1069.9703703703703</v>
      </c>
    </row>
    <row r="686" spans="1:5" ht="30" x14ac:dyDescent="0.25">
      <c r="A686" s="10" t="s">
        <v>28657</v>
      </c>
      <c r="B686" s="439" t="s">
        <v>958</v>
      </c>
      <c r="C686" s="10" t="s">
        <v>41</v>
      </c>
      <c r="D686" s="504">
        <v>1010.14</v>
      </c>
      <c r="E686" s="504">
        <f t="shared" si="10"/>
        <v>748.25185185185182</v>
      </c>
    </row>
    <row r="687" spans="1:5" ht="30" x14ac:dyDescent="0.25">
      <c r="A687" s="10" t="s">
        <v>28658</v>
      </c>
      <c r="B687" s="439" t="s">
        <v>959</v>
      </c>
      <c r="C687" s="10" t="s">
        <v>41</v>
      </c>
      <c r="D687" s="504">
        <v>1249.4000000000001</v>
      </c>
      <c r="E687" s="504">
        <f t="shared" si="10"/>
        <v>925.48148148148152</v>
      </c>
    </row>
    <row r="688" spans="1:5" ht="30" x14ac:dyDescent="0.25">
      <c r="A688" s="10" t="s">
        <v>28659</v>
      </c>
      <c r="B688" s="439" t="s">
        <v>960</v>
      </c>
      <c r="C688" s="10" t="s">
        <v>41</v>
      </c>
      <c r="D688" s="504">
        <v>1441.37</v>
      </c>
      <c r="E688" s="504">
        <f t="shared" si="10"/>
        <v>1067.6814814814813</v>
      </c>
    </row>
    <row r="689" spans="1:5" ht="30" x14ac:dyDescent="0.25">
      <c r="A689" s="10" t="s">
        <v>28660</v>
      </c>
      <c r="B689" s="439" t="s">
        <v>961</v>
      </c>
      <c r="C689" s="10" t="s">
        <v>41</v>
      </c>
      <c r="D689" s="504">
        <v>1835.85</v>
      </c>
      <c r="E689" s="504">
        <f t="shared" si="10"/>
        <v>1359.8888888888887</v>
      </c>
    </row>
    <row r="690" spans="1:5" ht="30" x14ac:dyDescent="0.25">
      <c r="A690" s="10" t="s">
        <v>28661</v>
      </c>
      <c r="B690" s="439" t="s">
        <v>962</v>
      </c>
      <c r="C690" s="10" t="s">
        <v>41</v>
      </c>
      <c r="D690" s="504">
        <v>2218.33</v>
      </c>
      <c r="E690" s="504">
        <f t="shared" si="10"/>
        <v>1643.2074074074073</v>
      </c>
    </row>
    <row r="691" spans="1:5" ht="30" x14ac:dyDescent="0.25">
      <c r="A691" s="10" t="s">
        <v>28662</v>
      </c>
      <c r="B691" s="439" t="s">
        <v>963</v>
      </c>
      <c r="C691" s="10" t="s">
        <v>41</v>
      </c>
      <c r="D691" s="504">
        <v>733.51</v>
      </c>
      <c r="E691" s="504">
        <f t="shared" si="10"/>
        <v>543.34074074074067</v>
      </c>
    </row>
    <row r="692" spans="1:5" ht="30" x14ac:dyDescent="0.25">
      <c r="A692" s="10" t="s">
        <v>28663</v>
      </c>
      <c r="B692" s="439" t="s">
        <v>964</v>
      </c>
      <c r="C692" s="10" t="s">
        <v>41</v>
      </c>
      <c r="D692" s="504">
        <v>784.24</v>
      </c>
      <c r="E692" s="504">
        <f t="shared" si="10"/>
        <v>580.91851851851845</v>
      </c>
    </row>
    <row r="693" spans="1:5" ht="30" x14ac:dyDescent="0.25">
      <c r="A693" s="10" t="s">
        <v>28664</v>
      </c>
      <c r="B693" s="439" t="s">
        <v>965</v>
      </c>
      <c r="C693" s="10" t="s">
        <v>41</v>
      </c>
      <c r="D693" s="504">
        <v>831.46</v>
      </c>
      <c r="E693" s="504">
        <f t="shared" si="10"/>
        <v>615.89629629629633</v>
      </c>
    </row>
    <row r="694" spans="1:5" ht="30" x14ac:dyDescent="0.25">
      <c r="A694" s="10" t="s">
        <v>28665</v>
      </c>
      <c r="B694" s="439" t="s">
        <v>966</v>
      </c>
      <c r="C694" s="10" t="s">
        <v>41</v>
      </c>
      <c r="D694" s="504">
        <v>828.52</v>
      </c>
      <c r="E694" s="504">
        <f t="shared" si="10"/>
        <v>613.71851851851841</v>
      </c>
    </row>
    <row r="695" spans="1:5" ht="30" x14ac:dyDescent="0.25">
      <c r="A695" s="10" t="s">
        <v>28666</v>
      </c>
      <c r="B695" s="439" t="s">
        <v>967</v>
      </c>
      <c r="C695" s="10" t="s">
        <v>41</v>
      </c>
      <c r="D695" s="504">
        <v>945.63</v>
      </c>
      <c r="E695" s="504">
        <f t="shared" si="10"/>
        <v>700.46666666666658</v>
      </c>
    </row>
    <row r="696" spans="1:5" ht="30" x14ac:dyDescent="0.25">
      <c r="A696" s="10" t="s">
        <v>28667</v>
      </c>
      <c r="B696" s="439" t="s">
        <v>968</v>
      </c>
      <c r="C696" s="10" t="s">
        <v>41</v>
      </c>
      <c r="D696" s="504">
        <v>1044.26</v>
      </c>
      <c r="E696" s="504">
        <f t="shared" si="10"/>
        <v>773.52592592592589</v>
      </c>
    </row>
    <row r="697" spans="1:5" ht="30" x14ac:dyDescent="0.25">
      <c r="A697" s="10" t="s">
        <v>28668</v>
      </c>
      <c r="B697" s="439" t="s">
        <v>969</v>
      </c>
      <c r="C697" s="10" t="s">
        <v>41</v>
      </c>
      <c r="D697" s="504">
        <v>1018.89</v>
      </c>
      <c r="E697" s="504">
        <f t="shared" si="10"/>
        <v>754.73333333333323</v>
      </c>
    </row>
    <row r="698" spans="1:5" ht="30" x14ac:dyDescent="0.25">
      <c r="A698" s="10" t="s">
        <v>28669</v>
      </c>
      <c r="B698" s="439" t="s">
        <v>970</v>
      </c>
      <c r="C698" s="10" t="s">
        <v>41</v>
      </c>
      <c r="D698" s="504">
        <v>1166.43</v>
      </c>
      <c r="E698" s="504">
        <f t="shared" si="10"/>
        <v>864.02222222222224</v>
      </c>
    </row>
    <row r="699" spans="1:5" ht="30" x14ac:dyDescent="0.25">
      <c r="A699" s="10" t="s">
        <v>28670</v>
      </c>
      <c r="B699" s="439" t="s">
        <v>971</v>
      </c>
      <c r="C699" s="10" t="s">
        <v>41</v>
      </c>
      <c r="D699" s="504">
        <v>1246.72</v>
      </c>
      <c r="E699" s="504">
        <f t="shared" si="10"/>
        <v>923.49629629629624</v>
      </c>
    </row>
    <row r="700" spans="1:5" ht="30" x14ac:dyDescent="0.25">
      <c r="A700" s="10" t="s">
        <v>28671</v>
      </c>
      <c r="B700" s="439" t="s">
        <v>972</v>
      </c>
      <c r="C700" s="10" t="s">
        <v>41</v>
      </c>
      <c r="D700" s="504">
        <v>1211.6600000000001</v>
      </c>
      <c r="E700" s="504">
        <f t="shared" si="10"/>
        <v>897.52592592592589</v>
      </c>
    </row>
    <row r="701" spans="1:5" ht="30" x14ac:dyDescent="0.25">
      <c r="A701" s="10" t="s">
        <v>28672</v>
      </c>
      <c r="B701" s="439" t="s">
        <v>973</v>
      </c>
      <c r="C701" s="10" t="s">
        <v>41</v>
      </c>
      <c r="D701" s="504">
        <v>1328.38</v>
      </c>
      <c r="E701" s="504">
        <f t="shared" si="10"/>
        <v>983.98518518518517</v>
      </c>
    </row>
    <row r="702" spans="1:5" ht="30" x14ac:dyDescent="0.25">
      <c r="A702" s="10" t="s">
        <v>28673</v>
      </c>
      <c r="B702" s="439" t="s">
        <v>974</v>
      </c>
      <c r="C702" s="10" t="s">
        <v>41</v>
      </c>
      <c r="D702" s="504">
        <v>1376.26</v>
      </c>
      <c r="E702" s="504">
        <f t="shared" si="10"/>
        <v>1019.4518518518518</v>
      </c>
    </row>
    <row r="703" spans="1:5" ht="30" x14ac:dyDescent="0.25">
      <c r="A703" s="10" t="s">
        <v>28674</v>
      </c>
      <c r="B703" s="439" t="s">
        <v>975</v>
      </c>
      <c r="C703" s="10" t="s">
        <v>41</v>
      </c>
      <c r="D703" s="504">
        <v>1345.7</v>
      </c>
      <c r="E703" s="504">
        <f t="shared" si="10"/>
        <v>996.81481481481478</v>
      </c>
    </row>
    <row r="704" spans="1:5" ht="30" x14ac:dyDescent="0.25">
      <c r="A704" s="10" t="s">
        <v>28675</v>
      </c>
      <c r="B704" s="439" t="s">
        <v>976</v>
      </c>
      <c r="C704" s="10" t="s">
        <v>41</v>
      </c>
      <c r="D704" s="504">
        <v>1595.13</v>
      </c>
      <c r="E704" s="504">
        <f t="shared" si="10"/>
        <v>1181.5777777777778</v>
      </c>
    </row>
    <row r="705" spans="1:5" ht="30" x14ac:dyDescent="0.25">
      <c r="A705" s="10" t="s">
        <v>28676</v>
      </c>
      <c r="B705" s="439" t="s">
        <v>977</v>
      </c>
      <c r="C705" s="10" t="s">
        <v>41</v>
      </c>
      <c r="D705" s="504">
        <v>1964.06</v>
      </c>
      <c r="E705" s="504">
        <f t="shared" si="10"/>
        <v>1454.859259259259</v>
      </c>
    </row>
    <row r="706" spans="1:5" ht="30" x14ac:dyDescent="0.25">
      <c r="A706" s="10" t="s">
        <v>28677</v>
      </c>
      <c r="B706" s="439" t="s">
        <v>978</v>
      </c>
      <c r="C706" s="10" t="s">
        <v>41</v>
      </c>
      <c r="D706" s="504">
        <v>586.47</v>
      </c>
      <c r="E706" s="504">
        <f t="shared" si="10"/>
        <v>434.42222222222222</v>
      </c>
    </row>
    <row r="707" spans="1:5" ht="30" x14ac:dyDescent="0.25">
      <c r="A707" s="10" t="s">
        <v>28678</v>
      </c>
      <c r="B707" s="439" t="s">
        <v>979</v>
      </c>
      <c r="C707" s="10" t="s">
        <v>41</v>
      </c>
      <c r="D707" s="504">
        <v>724.02</v>
      </c>
      <c r="E707" s="504">
        <f t="shared" si="10"/>
        <v>536.31111111111102</v>
      </c>
    </row>
    <row r="708" spans="1:5" ht="30" x14ac:dyDescent="0.25">
      <c r="A708" s="10" t="s">
        <v>28679</v>
      </c>
      <c r="B708" s="439" t="s">
        <v>980</v>
      </c>
      <c r="C708" s="10" t="s">
        <v>41</v>
      </c>
      <c r="D708" s="504">
        <v>847.61</v>
      </c>
      <c r="E708" s="504">
        <f t="shared" si="10"/>
        <v>627.85925925925926</v>
      </c>
    </row>
    <row r="709" spans="1:5" ht="30" x14ac:dyDescent="0.25">
      <c r="A709" s="10" t="s">
        <v>28680</v>
      </c>
      <c r="B709" s="439" t="s">
        <v>981</v>
      </c>
      <c r="C709" s="10" t="s">
        <v>41</v>
      </c>
      <c r="D709" s="504">
        <v>964.03</v>
      </c>
      <c r="E709" s="504">
        <f t="shared" si="10"/>
        <v>714.09629629629626</v>
      </c>
    </row>
    <row r="710" spans="1:5" ht="30" x14ac:dyDescent="0.25">
      <c r="A710" s="10" t="s">
        <v>28681</v>
      </c>
      <c r="B710" s="439" t="s">
        <v>982</v>
      </c>
      <c r="C710" s="10" t="s">
        <v>41</v>
      </c>
      <c r="D710" s="504">
        <v>1080.53</v>
      </c>
      <c r="E710" s="504">
        <f t="shared" si="10"/>
        <v>800.39259259259256</v>
      </c>
    </row>
    <row r="711" spans="1:5" ht="30" x14ac:dyDescent="0.25">
      <c r="A711" s="10" t="s">
        <v>28682</v>
      </c>
      <c r="B711" s="439" t="s">
        <v>983</v>
      </c>
      <c r="C711" s="10" t="s">
        <v>41</v>
      </c>
      <c r="D711" s="504">
        <v>647.29999999999995</v>
      </c>
      <c r="E711" s="504">
        <f t="shared" si="10"/>
        <v>479.48148148148141</v>
      </c>
    </row>
    <row r="712" spans="1:5" ht="30" x14ac:dyDescent="0.25">
      <c r="A712" s="10" t="s">
        <v>28683</v>
      </c>
      <c r="B712" s="439" t="s">
        <v>984</v>
      </c>
      <c r="C712" s="10" t="s">
        <v>41</v>
      </c>
      <c r="D712" s="504">
        <v>724.02</v>
      </c>
      <c r="E712" s="504">
        <f t="shared" si="10"/>
        <v>536.31111111111102</v>
      </c>
    </row>
    <row r="713" spans="1:5" ht="30" x14ac:dyDescent="0.25">
      <c r="A713" s="10" t="s">
        <v>28684</v>
      </c>
      <c r="B713" s="439" t="s">
        <v>985</v>
      </c>
      <c r="C713" s="10" t="s">
        <v>41</v>
      </c>
      <c r="D713" s="504">
        <v>847.61</v>
      </c>
      <c r="E713" s="504">
        <f t="shared" si="10"/>
        <v>627.85925925925926</v>
      </c>
    </row>
    <row r="714" spans="1:5" ht="30" x14ac:dyDescent="0.25">
      <c r="A714" s="10" t="s">
        <v>28685</v>
      </c>
      <c r="B714" s="439" t="s">
        <v>986</v>
      </c>
      <c r="C714" s="10" t="s">
        <v>41</v>
      </c>
      <c r="D714" s="504">
        <v>784.42</v>
      </c>
      <c r="E714" s="504">
        <f t="shared" si="10"/>
        <v>581.05185185185178</v>
      </c>
    </row>
    <row r="715" spans="1:5" ht="30" x14ac:dyDescent="0.25">
      <c r="A715" s="10" t="s">
        <v>28686</v>
      </c>
      <c r="B715" s="439" t="s">
        <v>987</v>
      </c>
      <c r="C715" s="10" t="s">
        <v>41</v>
      </c>
      <c r="D715" s="504">
        <v>847.61</v>
      </c>
      <c r="E715" s="504">
        <f t="shared" ref="E715:E778" si="11">D715/(1+$G$4)</f>
        <v>627.85925925925926</v>
      </c>
    </row>
    <row r="716" spans="1:5" ht="30" x14ac:dyDescent="0.25">
      <c r="A716" s="10" t="s">
        <v>28687</v>
      </c>
      <c r="B716" s="439" t="s">
        <v>988</v>
      </c>
      <c r="C716" s="10" t="s">
        <v>41</v>
      </c>
      <c r="D716" s="504">
        <v>964.03</v>
      </c>
      <c r="E716" s="504">
        <f t="shared" si="11"/>
        <v>714.09629629629626</v>
      </c>
    </row>
    <row r="717" spans="1:5" ht="30" x14ac:dyDescent="0.25">
      <c r="A717" s="10" t="s">
        <v>28688</v>
      </c>
      <c r="B717" s="439" t="s">
        <v>989</v>
      </c>
      <c r="C717" s="10" t="s">
        <v>41</v>
      </c>
      <c r="D717" s="504">
        <v>905.84</v>
      </c>
      <c r="E717" s="504">
        <f t="shared" si="11"/>
        <v>670.99259259259259</v>
      </c>
    </row>
    <row r="718" spans="1:5" ht="30" x14ac:dyDescent="0.25">
      <c r="A718" s="10" t="s">
        <v>28689</v>
      </c>
      <c r="B718" s="439" t="s">
        <v>990</v>
      </c>
      <c r="C718" s="10" t="s">
        <v>41</v>
      </c>
      <c r="D718" s="504">
        <v>1022.19</v>
      </c>
      <c r="E718" s="504">
        <f t="shared" si="11"/>
        <v>757.17777777777781</v>
      </c>
    </row>
    <row r="719" spans="1:5" ht="30" x14ac:dyDescent="0.25">
      <c r="A719" s="10" t="s">
        <v>28690</v>
      </c>
      <c r="B719" s="439" t="s">
        <v>991</v>
      </c>
      <c r="C719" s="10" t="s">
        <v>41</v>
      </c>
      <c r="D719" s="504">
        <v>1119.75</v>
      </c>
      <c r="E719" s="504">
        <f t="shared" si="11"/>
        <v>829.44444444444434</v>
      </c>
    </row>
    <row r="720" spans="1:5" ht="30" x14ac:dyDescent="0.25">
      <c r="A720" s="10" t="s">
        <v>28691</v>
      </c>
      <c r="B720" s="439" t="s">
        <v>992</v>
      </c>
      <c r="C720" s="10" t="s">
        <v>41</v>
      </c>
      <c r="D720" s="504">
        <v>1022.19</v>
      </c>
      <c r="E720" s="504">
        <f t="shared" si="11"/>
        <v>757.17777777777781</v>
      </c>
    </row>
    <row r="721" spans="1:5" ht="30" x14ac:dyDescent="0.25">
      <c r="A721" s="10" t="s">
        <v>28692</v>
      </c>
      <c r="B721" s="439" t="s">
        <v>993</v>
      </c>
      <c r="C721" s="10" t="s">
        <v>41</v>
      </c>
      <c r="D721" s="504">
        <v>1144.55</v>
      </c>
      <c r="E721" s="504">
        <f t="shared" si="11"/>
        <v>847.81481481481478</v>
      </c>
    </row>
    <row r="722" spans="1:5" ht="30" x14ac:dyDescent="0.25">
      <c r="A722" s="10" t="s">
        <v>28693</v>
      </c>
      <c r="B722" s="439" t="s">
        <v>994</v>
      </c>
      <c r="C722" s="10" t="s">
        <v>41</v>
      </c>
      <c r="D722" s="504">
        <v>1242.8599999999999</v>
      </c>
      <c r="E722" s="504">
        <f t="shared" si="11"/>
        <v>920.63703703703686</v>
      </c>
    </row>
    <row r="723" spans="1:5" ht="30" x14ac:dyDescent="0.25">
      <c r="A723" s="10" t="s">
        <v>28694</v>
      </c>
      <c r="B723" s="439" t="s">
        <v>995</v>
      </c>
      <c r="C723" s="10" t="s">
        <v>41</v>
      </c>
      <c r="D723" s="504">
        <v>1138.57</v>
      </c>
      <c r="E723" s="504">
        <f t="shared" si="11"/>
        <v>843.38518518518504</v>
      </c>
    </row>
    <row r="724" spans="1:5" ht="30" x14ac:dyDescent="0.25">
      <c r="A724" s="10" t="s">
        <v>28695</v>
      </c>
      <c r="B724" s="439" t="s">
        <v>996</v>
      </c>
      <c r="C724" s="10" t="s">
        <v>41</v>
      </c>
      <c r="D724" s="504">
        <v>1401.41</v>
      </c>
      <c r="E724" s="504">
        <f t="shared" si="11"/>
        <v>1038.0814814814814</v>
      </c>
    </row>
    <row r="725" spans="1:5" ht="30" x14ac:dyDescent="0.25">
      <c r="A725" s="10" t="s">
        <v>28696</v>
      </c>
      <c r="B725" s="439" t="s">
        <v>997</v>
      </c>
      <c r="C725" s="10" t="s">
        <v>41</v>
      </c>
      <c r="D725" s="504">
        <v>1488.15</v>
      </c>
      <c r="E725" s="504">
        <f t="shared" si="11"/>
        <v>1102.3333333333333</v>
      </c>
    </row>
    <row r="726" spans="1:5" ht="30" x14ac:dyDescent="0.25">
      <c r="A726" s="10" t="s">
        <v>28697</v>
      </c>
      <c r="B726" s="439" t="s">
        <v>998</v>
      </c>
      <c r="C726" s="10" t="s">
        <v>41</v>
      </c>
      <c r="D726" s="504">
        <v>1147.3399999999999</v>
      </c>
      <c r="E726" s="504">
        <f t="shared" si="11"/>
        <v>849.88148148148139</v>
      </c>
    </row>
    <row r="727" spans="1:5" ht="30" x14ac:dyDescent="0.25">
      <c r="A727" s="10" t="s">
        <v>28698</v>
      </c>
      <c r="B727" s="439" t="s">
        <v>999</v>
      </c>
      <c r="C727" s="10" t="s">
        <v>41</v>
      </c>
      <c r="D727" s="504">
        <v>1127.77</v>
      </c>
      <c r="E727" s="504">
        <f t="shared" si="11"/>
        <v>835.38518518518515</v>
      </c>
    </row>
    <row r="728" spans="1:5" ht="30" x14ac:dyDescent="0.25">
      <c r="A728" s="10" t="s">
        <v>28699</v>
      </c>
      <c r="B728" s="439" t="s">
        <v>1000</v>
      </c>
      <c r="C728" s="10" t="s">
        <v>41</v>
      </c>
      <c r="D728" s="504">
        <v>1100.47</v>
      </c>
      <c r="E728" s="504">
        <f t="shared" si="11"/>
        <v>815.16296296296298</v>
      </c>
    </row>
    <row r="729" spans="1:5" ht="30" x14ac:dyDescent="0.25">
      <c r="A729" s="10" t="s">
        <v>28700</v>
      </c>
      <c r="B729" s="439" t="s">
        <v>1001</v>
      </c>
      <c r="C729" s="10" t="s">
        <v>41</v>
      </c>
      <c r="D729" s="504">
        <v>1087.24</v>
      </c>
      <c r="E729" s="504">
        <f t="shared" si="11"/>
        <v>805.36296296296291</v>
      </c>
    </row>
    <row r="730" spans="1:5" ht="30" x14ac:dyDescent="0.25">
      <c r="A730" s="10" t="s">
        <v>28701</v>
      </c>
      <c r="B730" s="439" t="s">
        <v>1002</v>
      </c>
      <c r="C730" s="10" t="s">
        <v>41</v>
      </c>
      <c r="D730" s="504">
        <v>482.66</v>
      </c>
      <c r="E730" s="504">
        <f t="shared" si="11"/>
        <v>357.52592592592595</v>
      </c>
    </row>
    <row r="731" spans="1:5" ht="30" x14ac:dyDescent="0.25">
      <c r="A731" s="10" t="s">
        <v>28702</v>
      </c>
      <c r="B731" s="439" t="s">
        <v>1003</v>
      </c>
      <c r="C731" s="10" t="s">
        <v>41</v>
      </c>
      <c r="D731" s="504">
        <v>1059.05</v>
      </c>
      <c r="E731" s="504">
        <f t="shared" si="11"/>
        <v>784.48148148148141</v>
      </c>
    </row>
    <row r="732" spans="1:5" ht="30" x14ac:dyDescent="0.25">
      <c r="A732" s="10" t="s">
        <v>28703</v>
      </c>
      <c r="B732" s="439" t="s">
        <v>1004</v>
      </c>
      <c r="C732" s="10" t="s">
        <v>41</v>
      </c>
      <c r="D732" s="504">
        <v>1081.8699999999999</v>
      </c>
      <c r="E732" s="504">
        <f t="shared" si="11"/>
        <v>801.38518518518504</v>
      </c>
    </row>
    <row r="733" spans="1:5" ht="30" x14ac:dyDescent="0.25">
      <c r="A733" s="10" t="s">
        <v>28704</v>
      </c>
      <c r="B733" s="439" t="s">
        <v>1005</v>
      </c>
      <c r="C733" s="10" t="s">
        <v>41</v>
      </c>
      <c r="D733" s="504">
        <v>1097.01</v>
      </c>
      <c r="E733" s="504">
        <f t="shared" si="11"/>
        <v>812.59999999999991</v>
      </c>
    </row>
    <row r="734" spans="1:5" ht="30" x14ac:dyDescent="0.25">
      <c r="A734" s="10" t="s">
        <v>28705</v>
      </c>
      <c r="B734" s="439" t="s">
        <v>1006</v>
      </c>
      <c r="C734" s="10" t="s">
        <v>41</v>
      </c>
      <c r="D734" s="504">
        <v>1154.76</v>
      </c>
      <c r="E734" s="504">
        <f t="shared" si="11"/>
        <v>855.37777777777774</v>
      </c>
    </row>
    <row r="735" spans="1:5" ht="30" x14ac:dyDescent="0.25">
      <c r="A735" s="10" t="s">
        <v>28706</v>
      </c>
      <c r="B735" s="439" t="s">
        <v>1007</v>
      </c>
      <c r="C735" s="10" t="s">
        <v>41</v>
      </c>
      <c r="D735" s="504">
        <v>1071.52</v>
      </c>
      <c r="E735" s="504">
        <f t="shared" si="11"/>
        <v>793.71851851851841</v>
      </c>
    </row>
    <row r="736" spans="1:5" ht="30" x14ac:dyDescent="0.25">
      <c r="A736" s="10" t="s">
        <v>28707</v>
      </c>
      <c r="B736" s="439" t="s">
        <v>1008</v>
      </c>
      <c r="C736" s="10" t="s">
        <v>41</v>
      </c>
      <c r="D736" s="504">
        <v>1089.24</v>
      </c>
      <c r="E736" s="504">
        <f t="shared" si="11"/>
        <v>806.84444444444443</v>
      </c>
    </row>
    <row r="737" spans="1:5" ht="30" x14ac:dyDescent="0.25">
      <c r="A737" s="10" t="s">
        <v>28708</v>
      </c>
      <c r="B737" s="439" t="s">
        <v>1009</v>
      </c>
      <c r="C737" s="10" t="s">
        <v>41</v>
      </c>
      <c r="D737" s="504">
        <v>1113.28</v>
      </c>
      <c r="E737" s="504">
        <f t="shared" si="11"/>
        <v>824.6518518518518</v>
      </c>
    </row>
    <row r="738" spans="1:5" ht="30" x14ac:dyDescent="0.25">
      <c r="A738" s="10" t="s">
        <v>28709</v>
      </c>
      <c r="B738" s="439" t="s">
        <v>1010</v>
      </c>
      <c r="C738" s="10" t="s">
        <v>41</v>
      </c>
      <c r="D738" s="504">
        <v>1176.79</v>
      </c>
      <c r="E738" s="504">
        <f t="shared" si="11"/>
        <v>871.69629629629617</v>
      </c>
    </row>
    <row r="739" spans="1:5" ht="30" x14ac:dyDescent="0.25">
      <c r="A739" s="10" t="s">
        <v>28710</v>
      </c>
      <c r="B739" s="439" t="s">
        <v>1011</v>
      </c>
      <c r="C739" s="10" t="s">
        <v>41</v>
      </c>
      <c r="D739" s="504">
        <v>1486.94</v>
      </c>
      <c r="E739" s="504">
        <f t="shared" si="11"/>
        <v>1101.437037037037</v>
      </c>
    </row>
    <row r="740" spans="1:5" ht="30" x14ac:dyDescent="0.25">
      <c r="A740" s="10" t="s">
        <v>28711</v>
      </c>
      <c r="B740" s="439" t="s">
        <v>1012</v>
      </c>
      <c r="C740" s="10" t="s">
        <v>41</v>
      </c>
      <c r="D740" s="504">
        <v>3479.82</v>
      </c>
      <c r="E740" s="504">
        <f t="shared" si="11"/>
        <v>2577.6444444444446</v>
      </c>
    </row>
    <row r="741" spans="1:5" ht="30" x14ac:dyDescent="0.25">
      <c r="A741" s="10" t="s">
        <v>28712</v>
      </c>
      <c r="B741" s="439" t="s">
        <v>1013</v>
      </c>
      <c r="C741" s="10" t="s">
        <v>41</v>
      </c>
      <c r="D741" s="504">
        <v>3494.64</v>
      </c>
      <c r="E741" s="504">
        <f t="shared" si="11"/>
        <v>2588.6222222222218</v>
      </c>
    </row>
    <row r="742" spans="1:5" ht="30" x14ac:dyDescent="0.25">
      <c r="A742" s="10" t="s">
        <v>28713</v>
      </c>
      <c r="B742" s="439" t="s">
        <v>1014</v>
      </c>
      <c r="C742" s="10" t="s">
        <v>41</v>
      </c>
      <c r="D742" s="504">
        <v>3763.96</v>
      </c>
      <c r="E742" s="504">
        <f t="shared" si="11"/>
        <v>2788.1185185185182</v>
      </c>
    </row>
    <row r="743" spans="1:5" x14ac:dyDescent="0.25">
      <c r="A743" s="10" t="s">
        <v>28714</v>
      </c>
      <c r="B743" s="439" t="s">
        <v>1015</v>
      </c>
      <c r="C743" s="10" t="s">
        <v>40</v>
      </c>
      <c r="D743" s="504">
        <v>92.21</v>
      </c>
      <c r="E743" s="504">
        <f t="shared" si="11"/>
        <v>68.30370370370369</v>
      </c>
    </row>
    <row r="744" spans="1:5" x14ac:dyDescent="0.25">
      <c r="A744" s="10" t="s">
        <v>28715</v>
      </c>
      <c r="B744" s="439" t="s">
        <v>668</v>
      </c>
      <c r="C744" s="10" t="s">
        <v>40</v>
      </c>
      <c r="D744" s="504">
        <v>21.16</v>
      </c>
      <c r="E744" s="504">
        <f t="shared" si="11"/>
        <v>15.674074074074072</v>
      </c>
    </row>
    <row r="745" spans="1:5" x14ac:dyDescent="0.25">
      <c r="A745" s="10" t="s">
        <v>28716</v>
      </c>
      <c r="B745" s="439" t="s">
        <v>1016</v>
      </c>
      <c r="C745" s="10" t="s">
        <v>40</v>
      </c>
      <c r="D745" s="504">
        <v>104.33</v>
      </c>
      <c r="E745" s="504">
        <f t="shared" si="11"/>
        <v>77.281481481481478</v>
      </c>
    </row>
    <row r="746" spans="1:5" x14ac:dyDescent="0.25">
      <c r="A746" s="10" t="s">
        <v>28717</v>
      </c>
      <c r="B746" s="439" t="s">
        <v>1017</v>
      </c>
      <c r="C746" s="10" t="s">
        <v>2</v>
      </c>
      <c r="D746" s="504">
        <v>181.28</v>
      </c>
      <c r="E746" s="504">
        <f t="shared" si="11"/>
        <v>134.28148148148148</v>
      </c>
    </row>
    <row r="747" spans="1:5" x14ac:dyDescent="0.25">
      <c r="A747" s="10" t="s">
        <v>28718</v>
      </c>
      <c r="B747" s="439" t="s">
        <v>1018</v>
      </c>
      <c r="C747" s="10" t="s">
        <v>2</v>
      </c>
      <c r="D747" s="504">
        <v>190.18</v>
      </c>
      <c r="E747" s="504">
        <f t="shared" si="11"/>
        <v>140.87407407407406</v>
      </c>
    </row>
    <row r="748" spans="1:5" x14ac:dyDescent="0.25">
      <c r="A748" s="10" t="s">
        <v>28719</v>
      </c>
      <c r="B748" s="439" t="s">
        <v>1019</v>
      </c>
      <c r="C748" s="10" t="s">
        <v>2</v>
      </c>
      <c r="D748" s="504">
        <v>213.18</v>
      </c>
      <c r="E748" s="504">
        <f t="shared" si="11"/>
        <v>157.9111111111111</v>
      </c>
    </row>
    <row r="749" spans="1:5" x14ac:dyDescent="0.25">
      <c r="A749" s="10" t="s">
        <v>28720</v>
      </c>
      <c r="B749" s="439" t="s">
        <v>1020</v>
      </c>
      <c r="C749" s="10" t="s">
        <v>2</v>
      </c>
      <c r="D749" s="504">
        <v>235.46</v>
      </c>
      <c r="E749" s="504">
        <f t="shared" si="11"/>
        <v>174.4148148148148</v>
      </c>
    </row>
    <row r="750" spans="1:5" x14ac:dyDescent="0.25">
      <c r="A750" s="10" t="s">
        <v>28721</v>
      </c>
      <c r="B750" s="439" t="s">
        <v>1021</v>
      </c>
      <c r="C750" s="10" t="s">
        <v>2</v>
      </c>
      <c r="D750" s="504">
        <v>303.13</v>
      </c>
      <c r="E750" s="504">
        <f t="shared" si="11"/>
        <v>224.54074074074072</v>
      </c>
    </row>
    <row r="751" spans="1:5" x14ac:dyDescent="0.25">
      <c r="A751" s="10" t="s">
        <v>28722</v>
      </c>
      <c r="B751" s="439" t="s">
        <v>1022</v>
      </c>
      <c r="C751" s="10" t="s">
        <v>3</v>
      </c>
      <c r="D751" s="504">
        <v>12565.65</v>
      </c>
      <c r="E751" s="504">
        <f t="shared" si="11"/>
        <v>9307.8888888888887</v>
      </c>
    </row>
    <row r="752" spans="1:5" x14ac:dyDescent="0.25">
      <c r="A752" s="10" t="s">
        <v>28723</v>
      </c>
      <c r="B752" s="439" t="s">
        <v>857</v>
      </c>
      <c r="C752" s="10" t="s">
        <v>6</v>
      </c>
      <c r="D752" s="504">
        <v>35.24</v>
      </c>
      <c r="E752" s="504">
        <f t="shared" si="11"/>
        <v>26.103703703703705</v>
      </c>
    </row>
    <row r="753" spans="1:5" x14ac:dyDescent="0.25">
      <c r="A753" s="10" t="s">
        <v>28724</v>
      </c>
      <c r="B753" s="439" t="s">
        <v>1023</v>
      </c>
      <c r="C753" s="10" t="s">
        <v>2</v>
      </c>
      <c r="D753" s="504">
        <v>2362.4</v>
      </c>
      <c r="E753" s="504">
        <f t="shared" si="11"/>
        <v>1749.9259259259259</v>
      </c>
    </row>
    <row r="754" spans="1:5" x14ac:dyDescent="0.25">
      <c r="A754" s="10" t="s">
        <v>28725</v>
      </c>
      <c r="B754" s="439" t="s">
        <v>1024</v>
      </c>
      <c r="C754" s="10" t="s">
        <v>2</v>
      </c>
      <c r="D754" s="504">
        <v>3392.17</v>
      </c>
      <c r="E754" s="504">
        <f t="shared" si="11"/>
        <v>2512.7185185185185</v>
      </c>
    </row>
    <row r="755" spans="1:5" x14ac:dyDescent="0.25">
      <c r="A755" s="10" t="s">
        <v>28726</v>
      </c>
      <c r="B755" s="439" t="s">
        <v>1025</v>
      </c>
      <c r="C755" s="10" t="s">
        <v>2</v>
      </c>
      <c r="D755" s="504">
        <v>4533.1000000000004</v>
      </c>
      <c r="E755" s="504">
        <f t="shared" si="11"/>
        <v>3357.8518518518517</v>
      </c>
    </row>
    <row r="756" spans="1:5" x14ac:dyDescent="0.25">
      <c r="A756" s="10" t="s">
        <v>28727</v>
      </c>
      <c r="B756" s="439" t="s">
        <v>1026</v>
      </c>
      <c r="C756" s="10" t="s">
        <v>2</v>
      </c>
      <c r="D756" s="504">
        <v>5183.87</v>
      </c>
      <c r="E756" s="504">
        <f t="shared" si="11"/>
        <v>3839.9037037037033</v>
      </c>
    </row>
    <row r="757" spans="1:5" x14ac:dyDescent="0.25">
      <c r="A757" s="10" t="s">
        <v>28728</v>
      </c>
      <c r="B757" s="439" t="s">
        <v>1027</v>
      </c>
      <c r="C757" s="10" t="s">
        <v>2</v>
      </c>
      <c r="D757" s="504">
        <v>5886.11</v>
      </c>
      <c r="E757" s="504">
        <f t="shared" si="11"/>
        <v>4360.0814814814812</v>
      </c>
    </row>
    <row r="758" spans="1:5" x14ac:dyDescent="0.25">
      <c r="A758" s="10" t="s">
        <v>28729</v>
      </c>
      <c r="B758" s="439" t="s">
        <v>1028</v>
      </c>
      <c r="C758" s="10" t="s">
        <v>3</v>
      </c>
      <c r="D758" s="504">
        <v>144971.10999999999</v>
      </c>
      <c r="E758" s="504">
        <f t="shared" si="11"/>
        <v>107386.00740740739</v>
      </c>
    </row>
    <row r="759" spans="1:5" x14ac:dyDescent="0.25">
      <c r="A759" s="10" t="s">
        <v>28730</v>
      </c>
      <c r="B759" s="439" t="s">
        <v>1029</v>
      </c>
      <c r="C759" s="10" t="s">
        <v>6</v>
      </c>
      <c r="D759" s="504">
        <v>36.17</v>
      </c>
      <c r="E759" s="504">
        <f t="shared" si="11"/>
        <v>26.792592592592591</v>
      </c>
    </row>
    <row r="760" spans="1:5" x14ac:dyDescent="0.25">
      <c r="A760" s="10" t="s">
        <v>28731</v>
      </c>
      <c r="B760" s="439" t="s">
        <v>1030</v>
      </c>
      <c r="C760" s="10" t="s">
        <v>6</v>
      </c>
      <c r="D760" s="504">
        <v>37.61</v>
      </c>
      <c r="E760" s="504">
        <f t="shared" si="11"/>
        <v>27.859259259259257</v>
      </c>
    </row>
    <row r="761" spans="1:5" x14ac:dyDescent="0.25">
      <c r="A761" s="10" t="s">
        <v>28732</v>
      </c>
      <c r="B761" s="439" t="s">
        <v>1031</v>
      </c>
      <c r="C761" s="10" t="s">
        <v>2</v>
      </c>
      <c r="D761" s="504">
        <v>180.05</v>
      </c>
      <c r="E761" s="504">
        <f t="shared" si="11"/>
        <v>133.37037037037038</v>
      </c>
    </row>
    <row r="762" spans="1:5" x14ac:dyDescent="0.25">
      <c r="A762" s="10" t="s">
        <v>28733</v>
      </c>
      <c r="B762" s="439" t="s">
        <v>1032</v>
      </c>
      <c r="C762" s="10" t="s">
        <v>40</v>
      </c>
      <c r="D762" s="504">
        <v>1561.44</v>
      </c>
      <c r="E762" s="504">
        <f t="shared" si="11"/>
        <v>1156.6222222222223</v>
      </c>
    </row>
    <row r="763" spans="1:5" x14ac:dyDescent="0.25">
      <c r="A763" s="10" t="s">
        <v>28734</v>
      </c>
      <c r="B763" s="439" t="s">
        <v>1033</v>
      </c>
      <c r="C763" s="10" t="s">
        <v>40</v>
      </c>
      <c r="D763" s="504">
        <v>4194.3999999999996</v>
      </c>
      <c r="E763" s="504">
        <f t="shared" si="11"/>
        <v>3106.9629629629626</v>
      </c>
    </row>
    <row r="764" spans="1:5" x14ac:dyDescent="0.25">
      <c r="A764" s="10" t="s">
        <v>28735</v>
      </c>
      <c r="B764" s="439" t="s">
        <v>1034</v>
      </c>
      <c r="C764" s="10" t="s">
        <v>40</v>
      </c>
      <c r="D764" s="504">
        <v>4488.6499999999996</v>
      </c>
      <c r="E764" s="504">
        <f t="shared" si="11"/>
        <v>3324.9259259259256</v>
      </c>
    </row>
    <row r="765" spans="1:5" x14ac:dyDescent="0.25">
      <c r="A765" s="10" t="s">
        <v>28736</v>
      </c>
      <c r="B765" s="439" t="s">
        <v>1035</v>
      </c>
      <c r="C765" s="10" t="s">
        <v>40</v>
      </c>
      <c r="D765" s="504">
        <v>9984.24</v>
      </c>
      <c r="E765" s="504">
        <f t="shared" si="11"/>
        <v>7395.7333333333327</v>
      </c>
    </row>
    <row r="766" spans="1:5" x14ac:dyDescent="0.25">
      <c r="A766" s="10" t="s">
        <v>28737</v>
      </c>
      <c r="B766" s="439" t="s">
        <v>1036</v>
      </c>
      <c r="C766" s="10" t="s">
        <v>40</v>
      </c>
      <c r="D766" s="504">
        <v>157.01</v>
      </c>
      <c r="E766" s="504">
        <f t="shared" si="11"/>
        <v>116.30370370370369</v>
      </c>
    </row>
    <row r="767" spans="1:5" x14ac:dyDescent="0.25">
      <c r="A767" s="10" t="s">
        <v>28738</v>
      </c>
      <c r="B767" s="439" t="s">
        <v>1037</v>
      </c>
      <c r="C767" s="10" t="s">
        <v>40</v>
      </c>
      <c r="D767" s="504">
        <v>112</v>
      </c>
      <c r="E767" s="504">
        <f t="shared" si="11"/>
        <v>82.962962962962962</v>
      </c>
    </row>
    <row r="768" spans="1:5" x14ac:dyDescent="0.25">
      <c r="A768" s="10" t="s">
        <v>28739</v>
      </c>
      <c r="B768" s="439" t="s">
        <v>1038</v>
      </c>
      <c r="C768" s="10" t="s">
        <v>40</v>
      </c>
      <c r="D768" s="504">
        <v>81.5</v>
      </c>
      <c r="E768" s="504">
        <f t="shared" si="11"/>
        <v>60.370370370370367</v>
      </c>
    </row>
    <row r="769" spans="1:5" x14ac:dyDescent="0.25">
      <c r="A769" s="10" t="s">
        <v>28740</v>
      </c>
      <c r="B769" s="439" t="s">
        <v>1039</v>
      </c>
      <c r="C769" s="10" t="s">
        <v>40</v>
      </c>
      <c r="D769" s="504">
        <v>107.27</v>
      </c>
      <c r="E769" s="504">
        <f t="shared" si="11"/>
        <v>79.459259259259255</v>
      </c>
    </row>
    <row r="770" spans="1:5" x14ac:dyDescent="0.25">
      <c r="A770" s="10" t="s">
        <v>28741</v>
      </c>
      <c r="B770" s="439" t="s">
        <v>690</v>
      </c>
      <c r="C770" s="10" t="s">
        <v>40</v>
      </c>
      <c r="D770" s="504">
        <v>33.630000000000003</v>
      </c>
      <c r="E770" s="504">
        <f t="shared" si="11"/>
        <v>24.911111111111111</v>
      </c>
    </row>
    <row r="771" spans="1:5" x14ac:dyDescent="0.25">
      <c r="A771" s="10" t="s">
        <v>28742</v>
      </c>
      <c r="B771" s="439" t="s">
        <v>691</v>
      </c>
      <c r="C771" s="10" t="s">
        <v>40</v>
      </c>
      <c r="D771" s="504">
        <v>38.619999999999997</v>
      </c>
      <c r="E771" s="504">
        <f t="shared" si="11"/>
        <v>28.607407407407404</v>
      </c>
    </row>
    <row r="772" spans="1:5" x14ac:dyDescent="0.25">
      <c r="A772" s="10" t="s">
        <v>28743</v>
      </c>
      <c r="B772" s="439" t="s">
        <v>1040</v>
      </c>
      <c r="C772" s="10" t="s">
        <v>41</v>
      </c>
      <c r="D772" s="504">
        <v>161.19</v>
      </c>
      <c r="E772" s="504">
        <f t="shared" si="11"/>
        <v>119.39999999999999</v>
      </c>
    </row>
    <row r="773" spans="1:5" x14ac:dyDescent="0.25">
      <c r="A773" s="10" t="s">
        <v>28744</v>
      </c>
      <c r="B773" s="439" t="s">
        <v>1041</v>
      </c>
      <c r="C773" s="10" t="s">
        <v>41</v>
      </c>
      <c r="D773" s="504">
        <v>189.91</v>
      </c>
      <c r="E773" s="504">
        <f t="shared" si="11"/>
        <v>140.67407407407407</v>
      </c>
    </row>
    <row r="774" spans="1:5" x14ac:dyDescent="0.25">
      <c r="A774" s="10" t="s">
        <v>28745</v>
      </c>
      <c r="B774" s="439" t="s">
        <v>1042</v>
      </c>
      <c r="C774" s="10" t="s">
        <v>41</v>
      </c>
      <c r="D774" s="504">
        <v>215.64</v>
      </c>
      <c r="E774" s="504">
        <f t="shared" si="11"/>
        <v>159.73333333333332</v>
      </c>
    </row>
    <row r="775" spans="1:5" x14ac:dyDescent="0.25">
      <c r="A775" s="10" t="s">
        <v>28746</v>
      </c>
      <c r="B775" s="439" t="s">
        <v>1043</v>
      </c>
      <c r="C775" s="10" t="s">
        <v>41</v>
      </c>
      <c r="D775" s="504">
        <v>149.96</v>
      </c>
      <c r="E775" s="504">
        <f t="shared" si="11"/>
        <v>111.08148148148148</v>
      </c>
    </row>
    <row r="776" spans="1:5" x14ac:dyDescent="0.25">
      <c r="A776" s="10" t="s">
        <v>28747</v>
      </c>
      <c r="B776" s="439" t="s">
        <v>1044</v>
      </c>
      <c r="C776" s="10" t="s">
        <v>41</v>
      </c>
      <c r="D776" s="504">
        <v>212.49</v>
      </c>
      <c r="E776" s="504">
        <f t="shared" si="11"/>
        <v>157.4</v>
      </c>
    </row>
    <row r="777" spans="1:5" x14ac:dyDescent="0.25">
      <c r="A777" s="10" t="s">
        <v>28748</v>
      </c>
      <c r="B777" s="439" t="s">
        <v>1045</v>
      </c>
      <c r="C777" s="10" t="s">
        <v>41</v>
      </c>
      <c r="D777" s="504">
        <v>226.14</v>
      </c>
      <c r="E777" s="504">
        <f t="shared" si="11"/>
        <v>167.51111111111109</v>
      </c>
    </row>
    <row r="778" spans="1:5" x14ac:dyDescent="0.25">
      <c r="A778" s="10" t="s">
        <v>28749</v>
      </c>
      <c r="B778" s="439" t="s">
        <v>694</v>
      </c>
      <c r="C778" s="10" t="s">
        <v>6</v>
      </c>
      <c r="D778" s="504">
        <v>20.91</v>
      </c>
      <c r="E778" s="504">
        <f t="shared" si="11"/>
        <v>15.488888888888887</v>
      </c>
    </row>
    <row r="779" spans="1:5" x14ac:dyDescent="0.25">
      <c r="A779" s="10" t="s">
        <v>28750</v>
      </c>
      <c r="B779" s="439" t="s">
        <v>695</v>
      </c>
      <c r="C779" s="10" t="s">
        <v>6</v>
      </c>
      <c r="D779" s="504">
        <v>17.62</v>
      </c>
      <c r="E779" s="504">
        <f t="shared" ref="E779:E842" si="12">D779/(1+$G$4)</f>
        <v>13.051851851851852</v>
      </c>
    </row>
    <row r="780" spans="1:5" x14ac:dyDescent="0.25">
      <c r="A780" s="10" t="s">
        <v>28751</v>
      </c>
      <c r="B780" s="439" t="s">
        <v>696</v>
      </c>
      <c r="C780" s="10" t="s">
        <v>6</v>
      </c>
      <c r="D780" s="504">
        <v>21.69</v>
      </c>
      <c r="E780" s="504">
        <f t="shared" si="12"/>
        <v>16.066666666666666</v>
      </c>
    </row>
    <row r="781" spans="1:5" x14ac:dyDescent="0.25">
      <c r="A781" s="10" t="s">
        <v>28752</v>
      </c>
      <c r="B781" s="439" t="s">
        <v>880</v>
      </c>
      <c r="C781" s="10" t="s">
        <v>6</v>
      </c>
      <c r="D781" s="504">
        <v>39.090000000000003</v>
      </c>
      <c r="E781" s="504">
        <f t="shared" si="12"/>
        <v>28.955555555555556</v>
      </c>
    </row>
    <row r="782" spans="1:5" x14ac:dyDescent="0.25">
      <c r="A782" s="10" t="s">
        <v>28753</v>
      </c>
      <c r="B782" s="439" t="s">
        <v>697</v>
      </c>
      <c r="C782" s="10" t="s">
        <v>6</v>
      </c>
      <c r="D782" s="504">
        <v>18.920000000000002</v>
      </c>
      <c r="E782" s="504">
        <f t="shared" si="12"/>
        <v>14.014814814814816</v>
      </c>
    </row>
    <row r="783" spans="1:5" x14ac:dyDescent="0.25">
      <c r="A783" s="10" t="s">
        <v>28754</v>
      </c>
      <c r="B783" s="439" t="s">
        <v>1046</v>
      </c>
      <c r="C783" s="10" t="s">
        <v>6</v>
      </c>
      <c r="D783" s="504">
        <v>58.79</v>
      </c>
      <c r="E783" s="504">
        <f t="shared" si="12"/>
        <v>43.548148148148144</v>
      </c>
    </row>
    <row r="784" spans="1:5" x14ac:dyDescent="0.25">
      <c r="A784" s="10" t="s">
        <v>28755</v>
      </c>
      <c r="B784" s="439" t="s">
        <v>1047</v>
      </c>
      <c r="C784" s="10" t="s">
        <v>3</v>
      </c>
      <c r="D784" s="504">
        <v>892.3</v>
      </c>
      <c r="E784" s="504">
        <f t="shared" si="12"/>
        <v>660.96296296296293</v>
      </c>
    </row>
    <row r="785" spans="1:5" x14ac:dyDescent="0.25">
      <c r="A785" s="10" t="s">
        <v>28756</v>
      </c>
      <c r="B785" s="439" t="s">
        <v>1048</v>
      </c>
      <c r="C785" s="10" t="s">
        <v>3</v>
      </c>
      <c r="D785" s="504">
        <v>746.54</v>
      </c>
      <c r="E785" s="504">
        <f t="shared" si="12"/>
        <v>552.99259259259247</v>
      </c>
    </row>
    <row r="786" spans="1:5" x14ac:dyDescent="0.25">
      <c r="A786" s="10" t="s">
        <v>28757</v>
      </c>
      <c r="B786" s="439" t="s">
        <v>1049</v>
      </c>
      <c r="C786" s="10" t="s">
        <v>3</v>
      </c>
      <c r="D786" s="504">
        <v>1220.4100000000001</v>
      </c>
      <c r="E786" s="504">
        <f t="shared" si="12"/>
        <v>904.00740740740741</v>
      </c>
    </row>
    <row r="787" spans="1:5" x14ac:dyDescent="0.25">
      <c r="A787" s="10" t="s">
        <v>28758</v>
      </c>
      <c r="B787" s="439" t="s">
        <v>885</v>
      </c>
      <c r="C787" s="10" t="s">
        <v>3</v>
      </c>
      <c r="D787" s="504">
        <v>2074.91</v>
      </c>
      <c r="E787" s="504">
        <f t="shared" si="12"/>
        <v>1536.9703703703701</v>
      </c>
    </row>
    <row r="788" spans="1:5" x14ac:dyDescent="0.25">
      <c r="A788" s="10" t="s">
        <v>28759</v>
      </c>
      <c r="B788" s="439" t="s">
        <v>886</v>
      </c>
      <c r="C788" s="10" t="s">
        <v>3</v>
      </c>
      <c r="D788" s="504">
        <v>4384.6000000000004</v>
      </c>
      <c r="E788" s="504">
        <f t="shared" si="12"/>
        <v>3247.8518518518517</v>
      </c>
    </row>
    <row r="789" spans="1:5" x14ac:dyDescent="0.25">
      <c r="A789" s="10" t="s">
        <v>28760</v>
      </c>
      <c r="B789" s="439" t="s">
        <v>887</v>
      </c>
      <c r="C789" s="10" t="s">
        <v>3</v>
      </c>
      <c r="D789" s="504">
        <v>5775.86</v>
      </c>
      <c r="E789" s="504">
        <f t="shared" si="12"/>
        <v>4278.4148148148142</v>
      </c>
    </row>
    <row r="790" spans="1:5" x14ac:dyDescent="0.25">
      <c r="A790" s="10" t="s">
        <v>28761</v>
      </c>
      <c r="B790" s="439" t="s">
        <v>1050</v>
      </c>
      <c r="C790" s="10" t="s">
        <v>3</v>
      </c>
      <c r="D790" s="504">
        <v>134.88999999999999</v>
      </c>
      <c r="E790" s="504">
        <f t="shared" si="12"/>
        <v>99.918518518518496</v>
      </c>
    </row>
    <row r="791" spans="1:5" x14ac:dyDescent="0.25">
      <c r="A791" s="10" t="s">
        <v>28762</v>
      </c>
      <c r="B791" s="439" t="s">
        <v>1051</v>
      </c>
      <c r="C791" s="10" t="s">
        <v>3</v>
      </c>
      <c r="D791" s="504">
        <v>184.9</v>
      </c>
      <c r="E791" s="504">
        <f t="shared" si="12"/>
        <v>136.96296296296296</v>
      </c>
    </row>
    <row r="792" spans="1:5" x14ac:dyDescent="0.25">
      <c r="A792" s="10" t="s">
        <v>28763</v>
      </c>
      <c r="B792" s="439" t="s">
        <v>891</v>
      </c>
      <c r="C792" s="10" t="s">
        <v>3</v>
      </c>
      <c r="D792" s="504">
        <v>380.39</v>
      </c>
      <c r="E792" s="504">
        <f t="shared" si="12"/>
        <v>281.77037037037036</v>
      </c>
    </row>
    <row r="793" spans="1:5" x14ac:dyDescent="0.25">
      <c r="A793" s="10" t="s">
        <v>28764</v>
      </c>
      <c r="B793" s="439" t="s">
        <v>892</v>
      </c>
      <c r="C793" s="10" t="s">
        <v>3</v>
      </c>
      <c r="D793" s="504">
        <v>1111.92</v>
      </c>
      <c r="E793" s="504">
        <f t="shared" si="12"/>
        <v>823.64444444444439</v>
      </c>
    </row>
    <row r="794" spans="1:5" x14ac:dyDescent="0.25">
      <c r="A794" s="10" t="s">
        <v>28765</v>
      </c>
      <c r="B794" s="439" t="s">
        <v>1052</v>
      </c>
      <c r="C794" s="10" t="s">
        <v>3</v>
      </c>
      <c r="D794" s="504">
        <v>3955.85</v>
      </c>
      <c r="E794" s="504">
        <f t="shared" si="12"/>
        <v>2930.2592592592591</v>
      </c>
    </row>
    <row r="795" spans="1:5" x14ac:dyDescent="0.25">
      <c r="A795" s="10" t="s">
        <v>28766</v>
      </c>
      <c r="B795" s="439" t="s">
        <v>1053</v>
      </c>
      <c r="C795" s="10" t="s">
        <v>3</v>
      </c>
      <c r="D795" s="504">
        <v>5382.07</v>
      </c>
      <c r="E795" s="504">
        <f t="shared" si="12"/>
        <v>3986.7185185185181</v>
      </c>
    </row>
    <row r="796" spans="1:5" x14ac:dyDescent="0.25">
      <c r="A796" s="10" t="s">
        <v>28767</v>
      </c>
      <c r="B796" s="439" t="s">
        <v>895</v>
      </c>
      <c r="C796" s="10" t="s">
        <v>3</v>
      </c>
      <c r="D796" s="504">
        <v>6369.22</v>
      </c>
      <c r="E796" s="504">
        <f t="shared" si="12"/>
        <v>4717.9407407407407</v>
      </c>
    </row>
    <row r="797" spans="1:5" x14ac:dyDescent="0.25">
      <c r="A797" s="10" t="s">
        <v>28768</v>
      </c>
      <c r="B797" s="439" t="s">
        <v>1054</v>
      </c>
      <c r="C797" s="10" t="s">
        <v>2468</v>
      </c>
      <c r="D797" s="504">
        <v>96.43</v>
      </c>
      <c r="E797" s="504">
        <f t="shared" si="12"/>
        <v>71.42962962962963</v>
      </c>
    </row>
    <row r="798" spans="1:5" x14ac:dyDescent="0.25">
      <c r="A798" s="10" t="s">
        <v>28769</v>
      </c>
      <c r="B798" s="439" t="s">
        <v>1055</v>
      </c>
      <c r="C798" s="10" t="s">
        <v>2469</v>
      </c>
      <c r="D798" s="504">
        <v>12.64</v>
      </c>
      <c r="E798" s="504">
        <f t="shared" si="12"/>
        <v>9.3629629629629623</v>
      </c>
    </row>
    <row r="799" spans="1:5" x14ac:dyDescent="0.25">
      <c r="A799" s="10" t="s">
        <v>28770</v>
      </c>
      <c r="B799" s="439" t="s">
        <v>1056</v>
      </c>
      <c r="C799" s="10" t="s">
        <v>40</v>
      </c>
      <c r="D799" s="504">
        <v>714.99</v>
      </c>
      <c r="E799" s="504">
        <f t="shared" si="12"/>
        <v>529.62222222222215</v>
      </c>
    </row>
    <row r="800" spans="1:5" x14ac:dyDescent="0.25">
      <c r="A800" s="10" t="s">
        <v>28771</v>
      </c>
      <c r="B800" s="439" t="s">
        <v>1057</v>
      </c>
      <c r="C800" s="10" t="s">
        <v>40</v>
      </c>
      <c r="D800" s="504">
        <v>781.85</v>
      </c>
      <c r="E800" s="504">
        <f t="shared" si="12"/>
        <v>579.14814814814815</v>
      </c>
    </row>
    <row r="801" spans="1:5" x14ac:dyDescent="0.25">
      <c r="A801" s="10" t="s">
        <v>28772</v>
      </c>
      <c r="B801" s="439" t="s">
        <v>1058</v>
      </c>
      <c r="C801" s="10" t="s">
        <v>40</v>
      </c>
      <c r="D801" s="504">
        <v>800.35</v>
      </c>
      <c r="E801" s="504">
        <f t="shared" si="12"/>
        <v>592.85185185185185</v>
      </c>
    </row>
    <row r="802" spans="1:5" x14ac:dyDescent="0.25">
      <c r="A802" s="10" t="s">
        <v>28773</v>
      </c>
      <c r="B802" s="439" t="s">
        <v>701</v>
      </c>
      <c r="C802" s="10" t="s">
        <v>40</v>
      </c>
      <c r="D802" s="504">
        <v>830.73</v>
      </c>
      <c r="E802" s="504">
        <f t="shared" si="12"/>
        <v>615.3555555555555</v>
      </c>
    </row>
    <row r="803" spans="1:5" x14ac:dyDescent="0.25">
      <c r="A803" s="10" t="s">
        <v>28774</v>
      </c>
      <c r="B803" s="439" t="s">
        <v>702</v>
      </c>
      <c r="C803" s="10" t="s">
        <v>40</v>
      </c>
      <c r="D803" s="504">
        <v>851.61</v>
      </c>
      <c r="E803" s="504">
        <f t="shared" si="12"/>
        <v>630.82222222222219</v>
      </c>
    </row>
    <row r="804" spans="1:5" x14ac:dyDescent="0.25">
      <c r="A804" s="10" t="s">
        <v>28775</v>
      </c>
      <c r="B804" s="439" t="s">
        <v>1059</v>
      </c>
      <c r="C804" s="10" t="s">
        <v>40</v>
      </c>
      <c r="D804" s="504">
        <v>878.45</v>
      </c>
      <c r="E804" s="504">
        <f t="shared" si="12"/>
        <v>650.7037037037037</v>
      </c>
    </row>
    <row r="805" spans="1:5" x14ac:dyDescent="0.25">
      <c r="A805" s="10" t="s">
        <v>28776</v>
      </c>
      <c r="B805" s="439" t="s">
        <v>704</v>
      </c>
      <c r="C805" s="10" t="s">
        <v>40</v>
      </c>
      <c r="D805" s="504">
        <v>718.61</v>
      </c>
      <c r="E805" s="504">
        <f t="shared" si="12"/>
        <v>532.30370370370372</v>
      </c>
    </row>
    <row r="806" spans="1:5" x14ac:dyDescent="0.25">
      <c r="A806" s="10" t="s">
        <v>28777</v>
      </c>
      <c r="B806" s="439" t="s">
        <v>1060</v>
      </c>
      <c r="C806" s="10" t="s">
        <v>40</v>
      </c>
      <c r="D806" s="504">
        <v>106.56</v>
      </c>
      <c r="E806" s="504">
        <f t="shared" si="12"/>
        <v>78.933333333333323</v>
      </c>
    </row>
    <row r="807" spans="1:5" x14ac:dyDescent="0.25">
      <c r="A807" s="10" t="s">
        <v>28778</v>
      </c>
      <c r="B807" s="439" t="s">
        <v>706</v>
      </c>
      <c r="C807" s="10" t="s">
        <v>40</v>
      </c>
      <c r="D807" s="504">
        <v>894.1</v>
      </c>
      <c r="E807" s="504">
        <f t="shared" si="12"/>
        <v>662.2962962962963</v>
      </c>
    </row>
    <row r="808" spans="1:5" x14ac:dyDescent="0.25">
      <c r="A808" s="10" t="s">
        <v>28779</v>
      </c>
      <c r="B808" s="439" t="s">
        <v>707</v>
      </c>
      <c r="C808" s="10" t="s">
        <v>40</v>
      </c>
      <c r="D808" s="504">
        <v>943.84</v>
      </c>
      <c r="E808" s="504">
        <f t="shared" si="12"/>
        <v>699.14074074074074</v>
      </c>
    </row>
    <row r="809" spans="1:5" x14ac:dyDescent="0.25">
      <c r="A809" s="10" t="s">
        <v>28780</v>
      </c>
      <c r="B809" s="439" t="s">
        <v>708</v>
      </c>
      <c r="C809" s="10" t="s">
        <v>40</v>
      </c>
      <c r="D809" s="504">
        <v>1022.8</v>
      </c>
      <c r="E809" s="504">
        <f t="shared" si="12"/>
        <v>757.62962962962956</v>
      </c>
    </row>
    <row r="810" spans="1:5" x14ac:dyDescent="0.25">
      <c r="A810" s="10" t="s">
        <v>28781</v>
      </c>
      <c r="B810" s="439" t="s">
        <v>907</v>
      </c>
      <c r="C810" s="10" t="s">
        <v>40</v>
      </c>
      <c r="D810" s="504">
        <v>1064.4000000000001</v>
      </c>
      <c r="E810" s="504">
        <f t="shared" si="12"/>
        <v>788.44444444444446</v>
      </c>
    </row>
    <row r="811" spans="1:5" x14ac:dyDescent="0.25">
      <c r="A811" s="10" t="s">
        <v>28782</v>
      </c>
      <c r="B811" s="439" t="s">
        <v>1061</v>
      </c>
      <c r="C811" s="10" t="s">
        <v>2</v>
      </c>
      <c r="D811" s="504">
        <v>697.95</v>
      </c>
      <c r="E811" s="504">
        <f t="shared" si="12"/>
        <v>517</v>
      </c>
    </row>
    <row r="812" spans="1:5" x14ac:dyDescent="0.25">
      <c r="A812" s="10" t="s">
        <v>28783</v>
      </c>
      <c r="B812" s="439" t="s">
        <v>1062</v>
      </c>
      <c r="C812" s="10" t="s">
        <v>2</v>
      </c>
      <c r="D812" s="504">
        <v>1324.62</v>
      </c>
      <c r="E812" s="504">
        <f t="shared" si="12"/>
        <v>981.19999999999982</v>
      </c>
    </row>
    <row r="813" spans="1:5" x14ac:dyDescent="0.25">
      <c r="A813" s="10" t="s">
        <v>28784</v>
      </c>
      <c r="B813" s="439" t="s">
        <v>1063</v>
      </c>
      <c r="C813" s="10" t="s">
        <v>2</v>
      </c>
      <c r="D813" s="504">
        <v>1323</v>
      </c>
      <c r="E813" s="504">
        <f t="shared" si="12"/>
        <v>979.99999999999989</v>
      </c>
    </row>
    <row r="814" spans="1:5" x14ac:dyDescent="0.25">
      <c r="A814" s="10" t="s">
        <v>28785</v>
      </c>
      <c r="B814" s="439" t="s">
        <v>1064</v>
      </c>
      <c r="C814" s="10" t="s">
        <v>2</v>
      </c>
      <c r="D814" s="504">
        <v>294.60000000000002</v>
      </c>
      <c r="E814" s="504">
        <f t="shared" si="12"/>
        <v>218.22222222222223</v>
      </c>
    </row>
    <row r="815" spans="1:5" x14ac:dyDescent="0.25">
      <c r="A815" s="10" t="s">
        <v>28786</v>
      </c>
      <c r="B815" s="439" t="s">
        <v>1065</v>
      </c>
      <c r="C815" s="10" t="s">
        <v>2</v>
      </c>
      <c r="D815" s="504">
        <v>259.51</v>
      </c>
      <c r="E815" s="504">
        <f t="shared" si="12"/>
        <v>192.22962962962961</v>
      </c>
    </row>
    <row r="816" spans="1:5" ht="30" x14ac:dyDescent="0.25">
      <c r="A816" s="10" t="s">
        <v>28787</v>
      </c>
      <c r="B816" s="439" t="s">
        <v>1066</v>
      </c>
      <c r="C816" s="10" t="s">
        <v>2</v>
      </c>
      <c r="D816" s="504">
        <v>1752.3</v>
      </c>
      <c r="E816" s="504">
        <f t="shared" si="12"/>
        <v>1297.9999999999998</v>
      </c>
    </row>
    <row r="817" spans="1:5" ht="30" x14ac:dyDescent="0.25">
      <c r="A817" s="10" t="s">
        <v>28788</v>
      </c>
      <c r="B817" s="439" t="s">
        <v>1067</v>
      </c>
      <c r="C817" s="10" t="s">
        <v>2</v>
      </c>
      <c r="D817" s="504">
        <v>2454.59</v>
      </c>
      <c r="E817" s="504">
        <f t="shared" si="12"/>
        <v>1818.2148148148149</v>
      </c>
    </row>
    <row r="818" spans="1:5" ht="30" x14ac:dyDescent="0.25">
      <c r="A818" s="10" t="s">
        <v>28789</v>
      </c>
      <c r="B818" s="439" t="s">
        <v>1068</v>
      </c>
      <c r="C818" s="10" t="s">
        <v>3</v>
      </c>
      <c r="D818" s="504">
        <v>412.23</v>
      </c>
      <c r="E818" s="504">
        <f t="shared" si="12"/>
        <v>305.35555555555555</v>
      </c>
    </row>
    <row r="819" spans="1:5" ht="30" x14ac:dyDescent="0.25">
      <c r="A819" s="10" t="s">
        <v>28790</v>
      </c>
      <c r="B819" s="439" t="s">
        <v>1069</v>
      </c>
      <c r="C819" s="10" t="s">
        <v>3</v>
      </c>
      <c r="D819" s="504">
        <v>758.39</v>
      </c>
      <c r="E819" s="504">
        <f t="shared" si="12"/>
        <v>561.7703703703703</v>
      </c>
    </row>
    <row r="820" spans="1:5" ht="30" x14ac:dyDescent="0.25">
      <c r="A820" s="10" t="s">
        <v>28791</v>
      </c>
      <c r="B820" s="439" t="s">
        <v>1070</v>
      </c>
      <c r="C820" s="10" t="s">
        <v>3</v>
      </c>
      <c r="D820" s="504">
        <v>146.57</v>
      </c>
      <c r="E820" s="504">
        <f t="shared" si="12"/>
        <v>108.57037037037036</v>
      </c>
    </row>
    <row r="821" spans="1:5" ht="30" x14ac:dyDescent="0.25">
      <c r="A821" s="10" t="s">
        <v>28792</v>
      </c>
      <c r="B821" s="439" t="s">
        <v>1071</v>
      </c>
      <c r="C821" s="10" t="s">
        <v>2</v>
      </c>
      <c r="D821" s="504">
        <v>4961.03</v>
      </c>
      <c r="E821" s="504">
        <f t="shared" si="12"/>
        <v>3674.8370370370367</v>
      </c>
    </row>
    <row r="822" spans="1:5" ht="30" x14ac:dyDescent="0.25">
      <c r="A822" s="10" t="s">
        <v>28793</v>
      </c>
      <c r="B822" s="439" t="s">
        <v>1072</v>
      </c>
      <c r="C822" s="10" t="s">
        <v>2</v>
      </c>
      <c r="D822" s="504">
        <v>1652.96</v>
      </c>
      <c r="E822" s="504">
        <f t="shared" si="12"/>
        <v>1224.4148148148147</v>
      </c>
    </row>
    <row r="823" spans="1:5" ht="30" x14ac:dyDescent="0.25">
      <c r="A823" s="10" t="s">
        <v>28794</v>
      </c>
      <c r="B823" s="439" t="s">
        <v>1073</v>
      </c>
      <c r="C823" s="10" t="s">
        <v>2</v>
      </c>
      <c r="D823" s="504">
        <v>204.58</v>
      </c>
      <c r="E823" s="504">
        <f t="shared" si="12"/>
        <v>151.54074074074074</v>
      </c>
    </row>
    <row r="824" spans="1:5" x14ac:dyDescent="0.25">
      <c r="A824" s="10" t="s">
        <v>28795</v>
      </c>
      <c r="B824" s="439" t="s">
        <v>1074</v>
      </c>
      <c r="C824" s="10" t="s">
        <v>2</v>
      </c>
      <c r="D824" s="504">
        <v>1836.33</v>
      </c>
      <c r="E824" s="504">
        <f t="shared" si="12"/>
        <v>1360.2444444444443</v>
      </c>
    </row>
    <row r="825" spans="1:5" x14ac:dyDescent="0.25">
      <c r="A825" s="10" t="s">
        <v>28796</v>
      </c>
      <c r="B825" s="439" t="s">
        <v>1075</v>
      </c>
      <c r="C825" s="10" t="s">
        <v>2</v>
      </c>
      <c r="D825" s="504">
        <v>898.62</v>
      </c>
      <c r="E825" s="504">
        <f t="shared" si="12"/>
        <v>665.64444444444439</v>
      </c>
    </row>
    <row r="826" spans="1:5" x14ac:dyDescent="0.25">
      <c r="A826" s="10" t="s">
        <v>28797</v>
      </c>
      <c r="B826" s="439" t="s">
        <v>1076</v>
      </c>
      <c r="C826" s="10" t="s">
        <v>2</v>
      </c>
      <c r="D826" s="504">
        <v>945.91</v>
      </c>
      <c r="E826" s="504">
        <f t="shared" si="12"/>
        <v>700.67407407407404</v>
      </c>
    </row>
    <row r="827" spans="1:5" x14ac:dyDescent="0.25">
      <c r="A827" s="10" t="s">
        <v>28798</v>
      </c>
      <c r="B827" s="439" t="s">
        <v>1077</v>
      </c>
      <c r="C827" s="10" t="s">
        <v>2</v>
      </c>
      <c r="D827" s="504">
        <v>730.01</v>
      </c>
      <c r="E827" s="504">
        <f t="shared" si="12"/>
        <v>540.74814814814806</v>
      </c>
    </row>
    <row r="828" spans="1:5" x14ac:dyDescent="0.25">
      <c r="A828" s="10" t="s">
        <v>28799</v>
      </c>
      <c r="B828" s="439" t="s">
        <v>930</v>
      </c>
      <c r="C828" s="10" t="s">
        <v>2</v>
      </c>
      <c r="D828" s="504">
        <v>27.53</v>
      </c>
      <c r="E828" s="504">
        <f t="shared" si="12"/>
        <v>20.392592592592592</v>
      </c>
    </row>
    <row r="829" spans="1:5" x14ac:dyDescent="0.25">
      <c r="A829" s="10" t="s">
        <v>28800</v>
      </c>
      <c r="B829" s="439" t="s">
        <v>770</v>
      </c>
      <c r="C829" s="10" t="s">
        <v>2</v>
      </c>
      <c r="D829" s="504">
        <v>209.72</v>
      </c>
      <c r="E829" s="504">
        <f t="shared" si="12"/>
        <v>155.34814814814814</v>
      </c>
    </row>
    <row r="830" spans="1:5" x14ac:dyDescent="0.25">
      <c r="A830" s="10" t="s">
        <v>28801</v>
      </c>
      <c r="B830" s="439" t="s">
        <v>1078</v>
      </c>
      <c r="C830" s="10" t="s">
        <v>2</v>
      </c>
      <c r="D830" s="504">
        <v>120.95</v>
      </c>
      <c r="E830" s="504">
        <f t="shared" si="12"/>
        <v>89.592592592592595</v>
      </c>
    </row>
    <row r="831" spans="1:5" x14ac:dyDescent="0.25">
      <c r="A831" s="10" t="s">
        <v>28802</v>
      </c>
      <c r="B831" s="439" t="s">
        <v>1079</v>
      </c>
      <c r="C831" s="10" t="s">
        <v>2</v>
      </c>
      <c r="D831" s="504">
        <v>154.22999999999999</v>
      </c>
      <c r="E831" s="504">
        <f t="shared" si="12"/>
        <v>114.24444444444443</v>
      </c>
    </row>
    <row r="832" spans="1:5" x14ac:dyDescent="0.25">
      <c r="A832" s="10" t="s">
        <v>28803</v>
      </c>
      <c r="B832" s="439" t="s">
        <v>1080</v>
      </c>
      <c r="C832" s="10" t="s">
        <v>3</v>
      </c>
      <c r="D832" s="504">
        <v>15167.04</v>
      </c>
      <c r="E832" s="504">
        <f t="shared" si="12"/>
        <v>11234.844444444445</v>
      </c>
    </row>
    <row r="833" spans="1:5" x14ac:dyDescent="0.25">
      <c r="A833" s="10" t="s">
        <v>28804</v>
      </c>
      <c r="B833" s="439" t="s">
        <v>1081</v>
      </c>
      <c r="C833" s="10" t="s">
        <v>3</v>
      </c>
      <c r="D833" s="504">
        <v>17657.189999999999</v>
      </c>
      <c r="E833" s="504">
        <f t="shared" si="12"/>
        <v>13079.399999999998</v>
      </c>
    </row>
    <row r="834" spans="1:5" x14ac:dyDescent="0.25">
      <c r="A834" s="10" t="s">
        <v>28805</v>
      </c>
      <c r="B834" s="439" t="s">
        <v>684</v>
      </c>
      <c r="C834" s="10" t="s">
        <v>40</v>
      </c>
      <c r="D834" s="504">
        <v>3.64</v>
      </c>
      <c r="E834" s="504">
        <f t="shared" si="12"/>
        <v>2.6962962962962962</v>
      </c>
    </row>
    <row r="835" spans="1:5" x14ac:dyDescent="0.25">
      <c r="A835" s="10" t="s">
        <v>28806</v>
      </c>
      <c r="B835" s="439" t="s">
        <v>1082</v>
      </c>
      <c r="C835" s="10" t="s">
        <v>41</v>
      </c>
      <c r="D835" s="504">
        <v>184.72</v>
      </c>
      <c r="E835" s="504">
        <f t="shared" si="12"/>
        <v>136.82962962962961</v>
      </c>
    </row>
    <row r="836" spans="1:5" x14ac:dyDescent="0.25">
      <c r="A836" s="10" t="s">
        <v>28807</v>
      </c>
      <c r="B836" s="439" t="s">
        <v>1083</v>
      </c>
      <c r="C836" s="10" t="s">
        <v>41</v>
      </c>
      <c r="D836" s="504">
        <v>525</v>
      </c>
      <c r="E836" s="504">
        <f t="shared" si="12"/>
        <v>388.88888888888886</v>
      </c>
    </row>
    <row r="837" spans="1:5" x14ac:dyDescent="0.25">
      <c r="A837" s="10" t="s">
        <v>28808</v>
      </c>
      <c r="B837" s="439" t="s">
        <v>681</v>
      </c>
      <c r="C837" s="10" t="s">
        <v>41</v>
      </c>
      <c r="D837" s="504">
        <v>731.55</v>
      </c>
      <c r="E837" s="504">
        <f t="shared" si="12"/>
        <v>541.8888888888888</v>
      </c>
    </row>
    <row r="838" spans="1:5" x14ac:dyDescent="0.25">
      <c r="A838" s="10" t="s">
        <v>28809</v>
      </c>
      <c r="B838" s="439" t="s">
        <v>712</v>
      </c>
      <c r="C838" s="10" t="s">
        <v>40</v>
      </c>
      <c r="D838" s="504">
        <v>367.81</v>
      </c>
      <c r="E838" s="504">
        <f t="shared" si="12"/>
        <v>272.45185185185181</v>
      </c>
    </row>
    <row r="839" spans="1:5" x14ac:dyDescent="0.25">
      <c r="A839" s="10" t="s">
        <v>28810</v>
      </c>
      <c r="B839" s="439" t="s">
        <v>713</v>
      </c>
      <c r="C839" s="10" t="s">
        <v>40</v>
      </c>
      <c r="D839" s="504">
        <v>554.97</v>
      </c>
      <c r="E839" s="504">
        <f t="shared" si="12"/>
        <v>411.0888888888889</v>
      </c>
    </row>
    <row r="840" spans="1:5" x14ac:dyDescent="0.25">
      <c r="A840" s="10" t="s">
        <v>28811</v>
      </c>
      <c r="B840" s="439" t="s">
        <v>714</v>
      </c>
      <c r="C840" s="10" t="s">
        <v>40</v>
      </c>
      <c r="D840" s="504">
        <v>234.34</v>
      </c>
      <c r="E840" s="504">
        <f t="shared" si="12"/>
        <v>173.58518518518517</v>
      </c>
    </row>
    <row r="841" spans="1:5" ht="30" x14ac:dyDescent="0.25">
      <c r="A841" s="10" t="s">
        <v>28812</v>
      </c>
      <c r="B841" s="439" t="s">
        <v>1084</v>
      </c>
      <c r="C841" s="10" t="s">
        <v>41</v>
      </c>
      <c r="D841" s="504">
        <v>197.4</v>
      </c>
      <c r="E841" s="504">
        <f t="shared" si="12"/>
        <v>146.22222222222223</v>
      </c>
    </row>
    <row r="842" spans="1:5" ht="30" x14ac:dyDescent="0.25">
      <c r="A842" s="10" t="s">
        <v>28813</v>
      </c>
      <c r="B842" s="439" t="s">
        <v>1085</v>
      </c>
      <c r="C842" s="10" t="s">
        <v>41</v>
      </c>
      <c r="D842" s="504">
        <v>660.69</v>
      </c>
      <c r="E842" s="504">
        <f t="shared" si="12"/>
        <v>489.40000000000003</v>
      </c>
    </row>
    <row r="843" spans="1:5" ht="30" x14ac:dyDescent="0.25">
      <c r="A843" s="10" t="s">
        <v>28814</v>
      </c>
      <c r="B843" s="439" t="s">
        <v>1086</v>
      </c>
      <c r="C843" s="10" t="s">
        <v>41</v>
      </c>
      <c r="D843" s="504">
        <v>140.11000000000001</v>
      </c>
      <c r="E843" s="504">
        <f t="shared" ref="E843:E906" si="13">D843/(1+$G$4)</f>
        <v>103.78518518518518</v>
      </c>
    </row>
    <row r="844" spans="1:5" x14ac:dyDescent="0.25">
      <c r="A844" s="10" t="s">
        <v>28815</v>
      </c>
      <c r="B844" s="439" t="s">
        <v>1087</v>
      </c>
      <c r="C844" s="10" t="s">
        <v>2468</v>
      </c>
      <c r="D844" s="504">
        <v>40.5</v>
      </c>
      <c r="E844" s="504">
        <f t="shared" si="13"/>
        <v>29.999999999999996</v>
      </c>
    </row>
    <row r="845" spans="1:5" x14ac:dyDescent="0.25">
      <c r="A845" s="10" t="s">
        <v>28816</v>
      </c>
      <c r="B845" s="439" t="s">
        <v>436</v>
      </c>
      <c r="C845" s="10" t="s">
        <v>40</v>
      </c>
      <c r="D845" s="504">
        <v>352.55</v>
      </c>
      <c r="E845" s="504">
        <f t="shared" si="13"/>
        <v>261.14814814814815</v>
      </c>
    </row>
    <row r="846" spans="1:5" x14ac:dyDescent="0.25">
      <c r="A846" s="10" t="s">
        <v>28817</v>
      </c>
      <c r="B846" s="439" t="s">
        <v>4</v>
      </c>
      <c r="C846" s="10" t="s">
        <v>40</v>
      </c>
      <c r="D846" s="504">
        <v>639.44000000000005</v>
      </c>
      <c r="E846" s="504">
        <f t="shared" si="13"/>
        <v>473.65925925925927</v>
      </c>
    </row>
    <row r="847" spans="1:5" x14ac:dyDescent="0.25">
      <c r="A847" s="10" t="s">
        <v>28818</v>
      </c>
      <c r="B847" s="439" t="s">
        <v>1088</v>
      </c>
      <c r="C847" s="10" t="s">
        <v>1089</v>
      </c>
      <c r="D847" s="504">
        <v>3.15</v>
      </c>
      <c r="E847" s="504">
        <f t="shared" si="13"/>
        <v>2.333333333333333</v>
      </c>
    </row>
    <row r="848" spans="1:5" x14ac:dyDescent="0.25">
      <c r="A848" s="10" t="s">
        <v>28819</v>
      </c>
      <c r="B848" s="439" t="s">
        <v>1090</v>
      </c>
      <c r="C848" s="10" t="s">
        <v>41</v>
      </c>
      <c r="D848" s="504">
        <v>23.79</v>
      </c>
      <c r="E848" s="504">
        <f t="shared" si="13"/>
        <v>17.62222222222222</v>
      </c>
    </row>
    <row r="849" spans="1:5" x14ac:dyDescent="0.25">
      <c r="A849" s="10" t="s">
        <v>28820</v>
      </c>
      <c r="B849" s="439" t="s">
        <v>1091</v>
      </c>
      <c r="C849" s="10" t="s">
        <v>41</v>
      </c>
      <c r="D849" s="504">
        <v>19.059999999999999</v>
      </c>
      <c r="E849" s="504">
        <f t="shared" si="13"/>
        <v>14.118518518518517</v>
      </c>
    </row>
    <row r="850" spans="1:5" x14ac:dyDescent="0.25">
      <c r="A850" s="10" t="s">
        <v>28821</v>
      </c>
      <c r="B850" s="439" t="s">
        <v>1092</v>
      </c>
      <c r="C850" s="10" t="s">
        <v>2</v>
      </c>
      <c r="D850" s="504">
        <v>70.599999999999994</v>
      </c>
      <c r="E850" s="504">
        <f t="shared" si="13"/>
        <v>52.296296296296291</v>
      </c>
    </row>
    <row r="851" spans="1:5" x14ac:dyDescent="0.25">
      <c r="A851" s="10" t="s">
        <v>28822</v>
      </c>
      <c r="B851" s="439" t="s">
        <v>1093</v>
      </c>
      <c r="C851" s="10" t="s">
        <v>41</v>
      </c>
      <c r="D851" s="504">
        <v>69.56</v>
      </c>
      <c r="E851" s="504">
        <f t="shared" si="13"/>
        <v>51.525925925925925</v>
      </c>
    </row>
    <row r="852" spans="1:5" x14ac:dyDescent="0.25">
      <c r="A852" s="10" t="s">
        <v>28823</v>
      </c>
      <c r="B852" s="439" t="s">
        <v>1094</v>
      </c>
      <c r="C852" s="10" t="s">
        <v>41</v>
      </c>
      <c r="D852" s="504">
        <v>8.35</v>
      </c>
      <c r="E852" s="504">
        <f t="shared" si="13"/>
        <v>6.1851851851851842</v>
      </c>
    </row>
    <row r="853" spans="1:5" x14ac:dyDescent="0.25">
      <c r="A853" s="10" t="s">
        <v>28824</v>
      </c>
      <c r="B853" s="439" t="s">
        <v>1095</v>
      </c>
      <c r="C853" s="10" t="s">
        <v>41</v>
      </c>
      <c r="D853" s="504">
        <v>11.59</v>
      </c>
      <c r="E853" s="504">
        <f t="shared" si="13"/>
        <v>8.5851851851851837</v>
      </c>
    </row>
    <row r="854" spans="1:5" x14ac:dyDescent="0.25">
      <c r="A854" s="10" t="s">
        <v>28825</v>
      </c>
      <c r="B854" s="439" t="s">
        <v>1096</v>
      </c>
      <c r="C854" s="10" t="s">
        <v>41</v>
      </c>
      <c r="D854" s="504">
        <v>10.02</v>
      </c>
      <c r="E854" s="504">
        <f t="shared" si="13"/>
        <v>7.4222222222222216</v>
      </c>
    </row>
    <row r="855" spans="1:5" x14ac:dyDescent="0.25">
      <c r="A855" s="10" t="s">
        <v>28826</v>
      </c>
      <c r="B855" s="439" t="s">
        <v>1097</v>
      </c>
      <c r="C855" s="10" t="s">
        <v>2</v>
      </c>
      <c r="D855" s="504">
        <v>9.1999999999999993</v>
      </c>
      <c r="E855" s="504">
        <f t="shared" si="13"/>
        <v>6.814814814814814</v>
      </c>
    </row>
    <row r="856" spans="1:5" x14ac:dyDescent="0.25">
      <c r="A856" s="10" t="s">
        <v>28827</v>
      </c>
      <c r="B856" s="439" t="s">
        <v>1098</v>
      </c>
      <c r="C856" s="10" t="s">
        <v>41</v>
      </c>
      <c r="D856" s="504">
        <v>12.61</v>
      </c>
      <c r="E856" s="504">
        <f t="shared" si="13"/>
        <v>9.3407407407407401</v>
      </c>
    </row>
    <row r="857" spans="1:5" x14ac:dyDescent="0.25">
      <c r="A857" s="10" t="s">
        <v>28828</v>
      </c>
      <c r="B857" s="439" t="s">
        <v>690</v>
      </c>
      <c r="C857" s="10" t="s">
        <v>40</v>
      </c>
      <c r="D857" s="504">
        <v>33.630000000000003</v>
      </c>
      <c r="E857" s="504">
        <f t="shared" si="13"/>
        <v>24.911111111111111</v>
      </c>
    </row>
    <row r="858" spans="1:5" x14ac:dyDescent="0.25">
      <c r="A858" s="10" t="s">
        <v>28829</v>
      </c>
      <c r="B858" s="439" t="s">
        <v>691</v>
      </c>
      <c r="C858" s="10" t="s">
        <v>40</v>
      </c>
      <c r="D858" s="504">
        <v>38.619999999999997</v>
      </c>
      <c r="E858" s="504">
        <f t="shared" si="13"/>
        <v>28.607407407407404</v>
      </c>
    </row>
    <row r="859" spans="1:5" x14ac:dyDescent="0.25">
      <c r="A859" s="10" t="s">
        <v>28830</v>
      </c>
      <c r="B859" s="439" t="s">
        <v>1099</v>
      </c>
      <c r="C859" s="10" t="s">
        <v>41</v>
      </c>
      <c r="D859" s="504">
        <v>89.69</v>
      </c>
      <c r="E859" s="504">
        <f t="shared" si="13"/>
        <v>66.43703703703703</v>
      </c>
    </row>
    <row r="860" spans="1:5" ht="30" x14ac:dyDescent="0.25">
      <c r="A860" s="10" t="s">
        <v>28831</v>
      </c>
      <c r="B860" s="439" t="s">
        <v>1100</v>
      </c>
      <c r="C860" s="10" t="s">
        <v>41</v>
      </c>
      <c r="D860" s="504">
        <v>75.73</v>
      </c>
      <c r="E860" s="504">
        <f t="shared" si="13"/>
        <v>56.096296296296295</v>
      </c>
    </row>
    <row r="861" spans="1:5" x14ac:dyDescent="0.25">
      <c r="A861" s="10" t="s">
        <v>28832</v>
      </c>
      <c r="B861" s="439" t="s">
        <v>1101</v>
      </c>
      <c r="C861" s="10" t="s">
        <v>3</v>
      </c>
      <c r="D861" s="504">
        <v>99.9</v>
      </c>
      <c r="E861" s="504">
        <f t="shared" si="13"/>
        <v>74</v>
      </c>
    </row>
    <row r="862" spans="1:5" x14ac:dyDescent="0.25">
      <c r="A862" s="10" t="s">
        <v>28833</v>
      </c>
      <c r="B862" s="439" t="s">
        <v>2406</v>
      </c>
      <c r="C862" s="10" t="s">
        <v>3</v>
      </c>
      <c r="D862" s="504">
        <v>39.99</v>
      </c>
      <c r="E862" s="504">
        <f t="shared" si="13"/>
        <v>29.62222222222222</v>
      </c>
    </row>
    <row r="863" spans="1:5" x14ac:dyDescent="0.25">
      <c r="A863" s="10" t="s">
        <v>28834</v>
      </c>
      <c r="B863" s="439" t="s">
        <v>1102</v>
      </c>
      <c r="C863" s="10" t="s">
        <v>3</v>
      </c>
      <c r="D863" s="504">
        <v>33.299999999999997</v>
      </c>
      <c r="E863" s="504">
        <f t="shared" si="13"/>
        <v>24.666666666666664</v>
      </c>
    </row>
    <row r="864" spans="1:5" x14ac:dyDescent="0.25">
      <c r="A864" s="10" t="s">
        <v>28835</v>
      </c>
      <c r="B864" s="439" t="s">
        <v>28836</v>
      </c>
      <c r="C864" s="10" t="s">
        <v>3</v>
      </c>
      <c r="D864" s="504">
        <v>17.11</v>
      </c>
      <c r="E864" s="504">
        <f t="shared" si="13"/>
        <v>12.674074074074072</v>
      </c>
    </row>
    <row r="865" spans="1:5" x14ac:dyDescent="0.25">
      <c r="A865" s="10" t="s">
        <v>28837</v>
      </c>
      <c r="B865" s="439" t="s">
        <v>1103</v>
      </c>
      <c r="C865" s="10" t="s">
        <v>3</v>
      </c>
      <c r="D865" s="504">
        <v>53.99</v>
      </c>
      <c r="E865" s="504">
        <f t="shared" si="13"/>
        <v>39.992592592592594</v>
      </c>
    </row>
    <row r="866" spans="1:5" x14ac:dyDescent="0.25">
      <c r="A866" s="10" t="s">
        <v>28838</v>
      </c>
      <c r="B866" s="439" t="s">
        <v>1104</v>
      </c>
      <c r="C866" s="10" t="s">
        <v>3</v>
      </c>
      <c r="D866" s="504">
        <v>85.25</v>
      </c>
      <c r="E866" s="504">
        <f t="shared" si="13"/>
        <v>63.148148148148145</v>
      </c>
    </row>
    <row r="867" spans="1:5" x14ac:dyDescent="0.25">
      <c r="A867" s="10" t="s">
        <v>28839</v>
      </c>
      <c r="B867" s="439" t="s">
        <v>1105</v>
      </c>
      <c r="C867" s="10" t="s">
        <v>3</v>
      </c>
      <c r="D867" s="504">
        <v>8.39</v>
      </c>
      <c r="E867" s="504">
        <f t="shared" si="13"/>
        <v>6.2148148148148152</v>
      </c>
    </row>
    <row r="868" spans="1:5" x14ac:dyDescent="0.25">
      <c r="A868" s="10" t="s">
        <v>28840</v>
      </c>
      <c r="B868" s="439" t="s">
        <v>1106</v>
      </c>
      <c r="C868" s="10" t="s">
        <v>3</v>
      </c>
      <c r="D868" s="504">
        <v>13.5</v>
      </c>
      <c r="E868" s="504">
        <f t="shared" si="13"/>
        <v>10</v>
      </c>
    </row>
    <row r="869" spans="1:5" x14ac:dyDescent="0.25">
      <c r="A869" s="10" t="s">
        <v>28841</v>
      </c>
      <c r="B869" s="439" t="s">
        <v>1107</v>
      </c>
      <c r="C869" s="10" t="s">
        <v>3</v>
      </c>
      <c r="D869" s="504">
        <v>215.97</v>
      </c>
      <c r="E869" s="504">
        <f t="shared" si="13"/>
        <v>159.97777777777776</v>
      </c>
    </row>
    <row r="870" spans="1:5" x14ac:dyDescent="0.25">
      <c r="A870" s="10" t="s">
        <v>28842</v>
      </c>
      <c r="B870" s="439" t="s">
        <v>1108</v>
      </c>
      <c r="C870" s="10" t="s">
        <v>41</v>
      </c>
      <c r="D870" s="504">
        <v>161.19</v>
      </c>
      <c r="E870" s="504">
        <f t="shared" si="13"/>
        <v>119.39999999999999</v>
      </c>
    </row>
    <row r="871" spans="1:5" x14ac:dyDescent="0.25">
      <c r="A871" s="10" t="s">
        <v>28843</v>
      </c>
      <c r="B871" s="439" t="s">
        <v>1041</v>
      </c>
      <c r="C871" s="10" t="s">
        <v>41</v>
      </c>
      <c r="D871" s="504">
        <v>189.91</v>
      </c>
      <c r="E871" s="504">
        <f t="shared" si="13"/>
        <v>140.67407407407407</v>
      </c>
    </row>
    <row r="872" spans="1:5" x14ac:dyDescent="0.25">
      <c r="A872" s="10" t="s">
        <v>28844</v>
      </c>
      <c r="B872" s="439" t="s">
        <v>1109</v>
      </c>
      <c r="C872" s="10" t="s">
        <v>41</v>
      </c>
      <c r="D872" s="504">
        <v>149.96</v>
      </c>
      <c r="E872" s="504">
        <f t="shared" si="13"/>
        <v>111.08148148148148</v>
      </c>
    </row>
    <row r="873" spans="1:5" x14ac:dyDescent="0.25">
      <c r="A873" s="10" t="s">
        <v>28845</v>
      </c>
      <c r="B873" s="439" t="s">
        <v>694</v>
      </c>
      <c r="C873" s="10" t="s">
        <v>6</v>
      </c>
      <c r="D873" s="504">
        <v>20.91</v>
      </c>
      <c r="E873" s="504">
        <f t="shared" si="13"/>
        <v>15.488888888888887</v>
      </c>
    </row>
    <row r="874" spans="1:5" x14ac:dyDescent="0.25">
      <c r="A874" s="10" t="s">
        <v>28846</v>
      </c>
      <c r="B874" s="439" t="s">
        <v>1110</v>
      </c>
      <c r="C874" s="10" t="s">
        <v>6</v>
      </c>
      <c r="D874" s="504">
        <v>17.62</v>
      </c>
      <c r="E874" s="504">
        <f t="shared" si="13"/>
        <v>13.051851851851852</v>
      </c>
    </row>
    <row r="875" spans="1:5" x14ac:dyDescent="0.25">
      <c r="A875" s="10" t="s">
        <v>28847</v>
      </c>
      <c r="B875" s="439" t="s">
        <v>696</v>
      </c>
      <c r="C875" s="10" t="s">
        <v>6</v>
      </c>
      <c r="D875" s="504">
        <v>21.69</v>
      </c>
      <c r="E875" s="504">
        <f t="shared" si="13"/>
        <v>16.066666666666666</v>
      </c>
    </row>
    <row r="876" spans="1:5" x14ac:dyDescent="0.25">
      <c r="A876" s="10" t="s">
        <v>28848</v>
      </c>
      <c r="B876" s="439" t="s">
        <v>880</v>
      </c>
      <c r="C876" s="10" t="s">
        <v>6</v>
      </c>
      <c r="D876" s="504">
        <v>39.090000000000003</v>
      </c>
      <c r="E876" s="504">
        <f t="shared" si="13"/>
        <v>28.955555555555556</v>
      </c>
    </row>
    <row r="877" spans="1:5" x14ac:dyDescent="0.25">
      <c r="A877" s="10" t="s">
        <v>28849</v>
      </c>
      <c r="B877" s="439" t="s">
        <v>697</v>
      </c>
      <c r="C877" s="10" t="s">
        <v>6</v>
      </c>
      <c r="D877" s="504">
        <v>18.920000000000002</v>
      </c>
      <c r="E877" s="504">
        <f t="shared" si="13"/>
        <v>14.014814814814816</v>
      </c>
    </row>
    <row r="878" spans="1:5" x14ac:dyDescent="0.25">
      <c r="A878" s="10" t="s">
        <v>28850</v>
      </c>
      <c r="B878" s="439" t="s">
        <v>1111</v>
      </c>
      <c r="C878" s="10" t="s">
        <v>6</v>
      </c>
      <c r="D878" s="504">
        <v>35.6</v>
      </c>
      <c r="E878" s="504">
        <f t="shared" si="13"/>
        <v>26.37037037037037</v>
      </c>
    </row>
    <row r="879" spans="1:5" x14ac:dyDescent="0.25">
      <c r="A879" s="10" t="s">
        <v>28851</v>
      </c>
      <c r="B879" s="439" t="s">
        <v>1112</v>
      </c>
      <c r="C879" s="10" t="s">
        <v>6</v>
      </c>
      <c r="D879" s="504">
        <v>14.97</v>
      </c>
      <c r="E879" s="504">
        <f t="shared" si="13"/>
        <v>11.088888888888889</v>
      </c>
    </row>
    <row r="880" spans="1:5" x14ac:dyDescent="0.25">
      <c r="A880" s="10" t="s">
        <v>28852</v>
      </c>
      <c r="B880" s="439" t="s">
        <v>1113</v>
      </c>
      <c r="C880" s="10" t="s">
        <v>6</v>
      </c>
      <c r="D880" s="504">
        <v>58.79</v>
      </c>
      <c r="E880" s="504">
        <f t="shared" si="13"/>
        <v>43.548148148148144</v>
      </c>
    </row>
    <row r="881" spans="1:5" x14ac:dyDescent="0.25">
      <c r="A881" s="10" t="s">
        <v>28853</v>
      </c>
      <c r="B881" s="439" t="s">
        <v>1114</v>
      </c>
      <c r="C881" s="10" t="s">
        <v>3</v>
      </c>
      <c r="D881" s="504">
        <v>42.59</v>
      </c>
      <c r="E881" s="504">
        <f t="shared" si="13"/>
        <v>31.548148148148147</v>
      </c>
    </row>
    <row r="882" spans="1:5" x14ac:dyDescent="0.25">
      <c r="A882" s="10" t="s">
        <v>28854</v>
      </c>
      <c r="B882" s="439" t="s">
        <v>1115</v>
      </c>
      <c r="C882" s="10" t="s">
        <v>3</v>
      </c>
      <c r="D882" s="504">
        <v>53.88</v>
      </c>
      <c r="E882" s="504">
        <f t="shared" si="13"/>
        <v>39.911111111111111</v>
      </c>
    </row>
    <row r="883" spans="1:5" x14ac:dyDescent="0.25">
      <c r="A883" s="10" t="s">
        <v>28855</v>
      </c>
      <c r="B883" s="439" t="s">
        <v>1116</v>
      </c>
      <c r="C883" s="10" t="s">
        <v>3</v>
      </c>
      <c r="D883" s="504">
        <v>78</v>
      </c>
      <c r="E883" s="504">
        <f t="shared" si="13"/>
        <v>57.777777777777771</v>
      </c>
    </row>
    <row r="884" spans="1:5" x14ac:dyDescent="0.25">
      <c r="A884" s="10" t="s">
        <v>28856</v>
      </c>
      <c r="B884" s="439" t="s">
        <v>1117</v>
      </c>
      <c r="C884" s="10" t="s">
        <v>3</v>
      </c>
      <c r="D884" s="504">
        <v>117.83</v>
      </c>
      <c r="E884" s="504">
        <f t="shared" si="13"/>
        <v>87.281481481481478</v>
      </c>
    </row>
    <row r="885" spans="1:5" x14ac:dyDescent="0.25">
      <c r="A885" s="10" t="s">
        <v>28857</v>
      </c>
      <c r="B885" s="439" t="s">
        <v>1118</v>
      </c>
      <c r="C885" s="10" t="s">
        <v>3</v>
      </c>
      <c r="D885" s="504">
        <v>26.83</v>
      </c>
      <c r="E885" s="504">
        <f t="shared" si="13"/>
        <v>19.87407407407407</v>
      </c>
    </row>
    <row r="886" spans="1:5" x14ac:dyDescent="0.25">
      <c r="A886" s="10" t="s">
        <v>28858</v>
      </c>
      <c r="B886" s="439" t="s">
        <v>1119</v>
      </c>
      <c r="C886" s="10" t="s">
        <v>3</v>
      </c>
      <c r="D886" s="504">
        <v>38.26</v>
      </c>
      <c r="E886" s="504">
        <f t="shared" si="13"/>
        <v>28.340740740740738</v>
      </c>
    </row>
    <row r="887" spans="1:5" x14ac:dyDescent="0.25">
      <c r="A887" s="10" t="s">
        <v>28859</v>
      </c>
      <c r="B887" s="439" t="s">
        <v>1120</v>
      </c>
      <c r="C887" s="10" t="s">
        <v>3</v>
      </c>
      <c r="D887" s="504">
        <v>53.55</v>
      </c>
      <c r="E887" s="504">
        <f t="shared" si="13"/>
        <v>39.666666666666664</v>
      </c>
    </row>
    <row r="888" spans="1:5" x14ac:dyDescent="0.25">
      <c r="A888" s="10" t="s">
        <v>28860</v>
      </c>
      <c r="B888" s="439" t="s">
        <v>1121</v>
      </c>
      <c r="C888" s="10" t="s">
        <v>3</v>
      </c>
      <c r="D888" s="504">
        <v>73.760000000000005</v>
      </c>
      <c r="E888" s="504">
        <f t="shared" si="13"/>
        <v>54.63703703703704</v>
      </c>
    </row>
    <row r="889" spans="1:5" x14ac:dyDescent="0.25">
      <c r="A889" s="10" t="s">
        <v>28861</v>
      </c>
      <c r="B889" s="439" t="s">
        <v>1122</v>
      </c>
      <c r="C889" s="10" t="s">
        <v>6</v>
      </c>
      <c r="D889" s="504">
        <v>118.09</v>
      </c>
      <c r="E889" s="504">
        <f t="shared" si="13"/>
        <v>87.474074074074068</v>
      </c>
    </row>
    <row r="890" spans="1:5" x14ac:dyDescent="0.25">
      <c r="A890" s="10" t="s">
        <v>28862</v>
      </c>
      <c r="B890" s="439" t="s">
        <v>1123</v>
      </c>
      <c r="C890" s="10" t="s">
        <v>3</v>
      </c>
      <c r="D890" s="504">
        <v>1017.68</v>
      </c>
      <c r="E890" s="504">
        <f t="shared" si="13"/>
        <v>753.83703703703691</v>
      </c>
    </row>
    <row r="891" spans="1:5" x14ac:dyDescent="0.25">
      <c r="A891" s="10" t="s">
        <v>28863</v>
      </c>
      <c r="B891" s="439" t="s">
        <v>1124</v>
      </c>
      <c r="C891" s="10" t="s">
        <v>3</v>
      </c>
      <c r="D891" s="504">
        <v>892.3</v>
      </c>
      <c r="E891" s="504">
        <f t="shared" si="13"/>
        <v>660.96296296296293</v>
      </c>
    </row>
    <row r="892" spans="1:5" x14ac:dyDescent="0.25">
      <c r="A892" s="10" t="s">
        <v>28864</v>
      </c>
      <c r="B892" s="439" t="s">
        <v>1125</v>
      </c>
      <c r="C892" s="10" t="s">
        <v>3</v>
      </c>
      <c r="D892" s="504">
        <v>746.54</v>
      </c>
      <c r="E892" s="504">
        <f t="shared" si="13"/>
        <v>552.99259259259247</v>
      </c>
    </row>
    <row r="893" spans="1:5" x14ac:dyDescent="0.25">
      <c r="A893" s="10" t="s">
        <v>28865</v>
      </c>
      <c r="B893" s="439" t="s">
        <v>1049</v>
      </c>
      <c r="C893" s="10" t="s">
        <v>3</v>
      </c>
      <c r="D893" s="504">
        <v>1220.4100000000001</v>
      </c>
      <c r="E893" s="504">
        <f t="shared" si="13"/>
        <v>904.00740740740741</v>
      </c>
    </row>
    <row r="894" spans="1:5" x14ac:dyDescent="0.25">
      <c r="A894" s="10" t="s">
        <v>28866</v>
      </c>
      <c r="B894" s="439" t="s">
        <v>885</v>
      </c>
      <c r="C894" s="10" t="s">
        <v>3</v>
      </c>
      <c r="D894" s="504">
        <v>2074.91</v>
      </c>
      <c r="E894" s="504">
        <f t="shared" si="13"/>
        <v>1536.9703703703701</v>
      </c>
    </row>
    <row r="895" spans="1:5" x14ac:dyDescent="0.25">
      <c r="A895" s="10" t="s">
        <v>28867</v>
      </c>
      <c r="B895" s="439" t="s">
        <v>886</v>
      </c>
      <c r="C895" s="10" t="s">
        <v>3</v>
      </c>
      <c r="D895" s="504">
        <v>4384.6000000000004</v>
      </c>
      <c r="E895" s="504">
        <f t="shared" si="13"/>
        <v>3247.8518518518517</v>
      </c>
    </row>
    <row r="896" spans="1:5" x14ac:dyDescent="0.25">
      <c r="A896" s="10" t="s">
        <v>28868</v>
      </c>
      <c r="B896" s="439" t="s">
        <v>887</v>
      </c>
      <c r="C896" s="10" t="s">
        <v>3</v>
      </c>
      <c r="D896" s="504">
        <v>5775.86</v>
      </c>
      <c r="E896" s="504">
        <f t="shared" si="13"/>
        <v>4278.4148148148142</v>
      </c>
    </row>
    <row r="897" spans="1:5" x14ac:dyDescent="0.25">
      <c r="A897" s="10" t="s">
        <v>28869</v>
      </c>
      <c r="B897" s="439" t="s">
        <v>1050</v>
      </c>
      <c r="C897" s="10" t="s">
        <v>3</v>
      </c>
      <c r="D897" s="504">
        <v>134.88999999999999</v>
      </c>
      <c r="E897" s="504">
        <f t="shared" si="13"/>
        <v>99.918518518518496</v>
      </c>
    </row>
    <row r="898" spans="1:5" x14ac:dyDescent="0.25">
      <c r="A898" s="10" t="s">
        <v>28870</v>
      </c>
      <c r="B898" s="439" t="s">
        <v>1051</v>
      </c>
      <c r="C898" s="10" t="s">
        <v>3</v>
      </c>
      <c r="D898" s="504">
        <v>184.9</v>
      </c>
      <c r="E898" s="504">
        <f t="shared" si="13"/>
        <v>136.96296296296296</v>
      </c>
    </row>
    <row r="899" spans="1:5" x14ac:dyDescent="0.25">
      <c r="A899" s="10" t="s">
        <v>28871</v>
      </c>
      <c r="B899" s="439" t="s">
        <v>891</v>
      </c>
      <c r="C899" s="10" t="s">
        <v>3</v>
      </c>
      <c r="D899" s="504">
        <v>380.39</v>
      </c>
      <c r="E899" s="504">
        <f t="shared" si="13"/>
        <v>281.77037037037036</v>
      </c>
    </row>
    <row r="900" spans="1:5" x14ac:dyDescent="0.25">
      <c r="A900" s="10" t="s">
        <v>28872</v>
      </c>
      <c r="B900" s="439" t="s">
        <v>892</v>
      </c>
      <c r="C900" s="10" t="s">
        <v>3</v>
      </c>
      <c r="D900" s="504">
        <v>1111.92</v>
      </c>
      <c r="E900" s="504">
        <f t="shared" si="13"/>
        <v>823.64444444444439</v>
      </c>
    </row>
    <row r="901" spans="1:5" x14ac:dyDescent="0.25">
      <c r="A901" s="10" t="s">
        <v>28873</v>
      </c>
      <c r="B901" s="439" t="s">
        <v>1126</v>
      </c>
      <c r="C901" s="10" t="s">
        <v>3</v>
      </c>
      <c r="D901" s="504">
        <v>3955.85</v>
      </c>
      <c r="E901" s="504">
        <f t="shared" si="13"/>
        <v>2930.2592592592591</v>
      </c>
    </row>
    <row r="902" spans="1:5" x14ac:dyDescent="0.25">
      <c r="A902" s="10" t="s">
        <v>28874</v>
      </c>
      <c r="B902" s="439" t="s">
        <v>894</v>
      </c>
      <c r="C902" s="10" t="s">
        <v>3</v>
      </c>
      <c r="D902" s="504">
        <v>5382.07</v>
      </c>
      <c r="E902" s="504">
        <f t="shared" si="13"/>
        <v>3986.7185185185181</v>
      </c>
    </row>
    <row r="903" spans="1:5" x14ac:dyDescent="0.25">
      <c r="A903" s="10" t="s">
        <v>28875</v>
      </c>
      <c r="B903" s="439" t="s">
        <v>1127</v>
      </c>
      <c r="C903" s="10" t="s">
        <v>3</v>
      </c>
      <c r="D903" s="504">
        <v>6369.22</v>
      </c>
      <c r="E903" s="504">
        <f t="shared" si="13"/>
        <v>4717.9407407407407</v>
      </c>
    </row>
    <row r="904" spans="1:5" x14ac:dyDescent="0.25">
      <c r="A904" s="10" t="s">
        <v>28876</v>
      </c>
      <c r="B904" s="439" t="s">
        <v>1128</v>
      </c>
      <c r="C904" s="10" t="s">
        <v>2468</v>
      </c>
      <c r="D904" s="504">
        <v>164.49</v>
      </c>
      <c r="E904" s="504">
        <f t="shared" si="13"/>
        <v>121.84444444444445</v>
      </c>
    </row>
    <row r="905" spans="1:5" x14ac:dyDescent="0.25">
      <c r="A905" s="10" t="s">
        <v>28877</v>
      </c>
      <c r="B905" s="439" t="s">
        <v>1056</v>
      </c>
      <c r="C905" s="10" t="s">
        <v>40</v>
      </c>
      <c r="D905" s="504">
        <v>714.99</v>
      </c>
      <c r="E905" s="504">
        <f t="shared" si="13"/>
        <v>529.62222222222215</v>
      </c>
    </row>
    <row r="906" spans="1:5" x14ac:dyDescent="0.25">
      <c r="A906" s="10" t="s">
        <v>28878</v>
      </c>
      <c r="B906" s="439" t="s">
        <v>1057</v>
      </c>
      <c r="C906" s="10" t="s">
        <v>40</v>
      </c>
      <c r="D906" s="504">
        <v>781.85</v>
      </c>
      <c r="E906" s="504">
        <f t="shared" si="13"/>
        <v>579.14814814814815</v>
      </c>
    </row>
    <row r="907" spans="1:5" x14ac:dyDescent="0.25">
      <c r="A907" s="10" t="s">
        <v>28879</v>
      </c>
      <c r="B907" s="439" t="s">
        <v>1058</v>
      </c>
      <c r="C907" s="10" t="s">
        <v>40</v>
      </c>
      <c r="D907" s="504">
        <v>800.35</v>
      </c>
      <c r="E907" s="504">
        <f t="shared" ref="E907:E970" si="14">D907/(1+$G$4)</f>
        <v>592.85185185185185</v>
      </c>
    </row>
    <row r="908" spans="1:5" x14ac:dyDescent="0.25">
      <c r="A908" s="10" t="s">
        <v>28880</v>
      </c>
      <c r="B908" s="439" t="s">
        <v>1129</v>
      </c>
      <c r="C908" s="10" t="s">
        <v>40</v>
      </c>
      <c r="D908" s="504">
        <v>830.73</v>
      </c>
      <c r="E908" s="504">
        <f t="shared" si="14"/>
        <v>615.3555555555555</v>
      </c>
    </row>
    <row r="909" spans="1:5" x14ac:dyDescent="0.25">
      <c r="A909" s="10" t="s">
        <v>28881</v>
      </c>
      <c r="B909" s="439" t="s">
        <v>1130</v>
      </c>
      <c r="C909" s="10" t="s">
        <v>40</v>
      </c>
      <c r="D909" s="504">
        <v>851.61</v>
      </c>
      <c r="E909" s="504">
        <f t="shared" si="14"/>
        <v>630.82222222222219</v>
      </c>
    </row>
    <row r="910" spans="1:5" x14ac:dyDescent="0.25">
      <c r="A910" s="10" t="s">
        <v>28882</v>
      </c>
      <c r="B910" s="439" t="s">
        <v>1059</v>
      </c>
      <c r="C910" s="10" t="s">
        <v>40</v>
      </c>
      <c r="D910" s="504">
        <v>878.45</v>
      </c>
      <c r="E910" s="504">
        <f t="shared" si="14"/>
        <v>650.7037037037037</v>
      </c>
    </row>
    <row r="911" spans="1:5" x14ac:dyDescent="0.25">
      <c r="A911" s="10" t="s">
        <v>28883</v>
      </c>
      <c r="B911" s="439" t="s">
        <v>704</v>
      </c>
      <c r="C911" s="10" t="s">
        <v>40</v>
      </c>
      <c r="D911" s="504">
        <v>718.61</v>
      </c>
      <c r="E911" s="504">
        <f t="shared" si="14"/>
        <v>532.30370370370372</v>
      </c>
    </row>
    <row r="912" spans="1:5" x14ac:dyDescent="0.25">
      <c r="A912" s="10" t="s">
        <v>28884</v>
      </c>
      <c r="B912" s="439" t="s">
        <v>1131</v>
      </c>
      <c r="C912" s="10" t="s">
        <v>40</v>
      </c>
      <c r="D912" s="504">
        <v>2600.37</v>
      </c>
      <c r="E912" s="504">
        <f t="shared" si="14"/>
        <v>1926.1999999999998</v>
      </c>
    </row>
    <row r="913" spans="1:5" x14ac:dyDescent="0.25">
      <c r="A913" s="10" t="s">
        <v>28885</v>
      </c>
      <c r="B913" s="439" t="s">
        <v>1132</v>
      </c>
      <c r="C913" s="10" t="s">
        <v>40</v>
      </c>
      <c r="D913" s="504">
        <v>106.56</v>
      </c>
      <c r="E913" s="504">
        <f t="shared" si="14"/>
        <v>78.933333333333323</v>
      </c>
    </row>
    <row r="914" spans="1:5" x14ac:dyDescent="0.25">
      <c r="A914" s="10" t="s">
        <v>28886</v>
      </c>
      <c r="B914" s="439" t="s">
        <v>1133</v>
      </c>
      <c r="C914" s="10" t="s">
        <v>2468</v>
      </c>
      <c r="D914" s="504">
        <v>19.54</v>
      </c>
      <c r="E914" s="504">
        <f t="shared" si="14"/>
        <v>14.474074074074073</v>
      </c>
    </row>
    <row r="915" spans="1:5" x14ac:dyDescent="0.25">
      <c r="A915" s="10" t="s">
        <v>28887</v>
      </c>
      <c r="B915" s="439" t="s">
        <v>1134</v>
      </c>
      <c r="C915" s="10" t="s">
        <v>40</v>
      </c>
      <c r="D915" s="504">
        <v>1340.22</v>
      </c>
      <c r="E915" s="504">
        <f t="shared" si="14"/>
        <v>992.75555555555547</v>
      </c>
    </row>
    <row r="916" spans="1:5" x14ac:dyDescent="0.25">
      <c r="A916" s="10" t="s">
        <v>28888</v>
      </c>
      <c r="B916" s="439" t="s">
        <v>1135</v>
      </c>
      <c r="C916" s="10" t="s">
        <v>40</v>
      </c>
      <c r="D916" s="504">
        <v>894.1</v>
      </c>
      <c r="E916" s="504">
        <f t="shared" si="14"/>
        <v>662.2962962962963</v>
      </c>
    </row>
    <row r="917" spans="1:5" x14ac:dyDescent="0.25">
      <c r="A917" s="10" t="s">
        <v>28889</v>
      </c>
      <c r="B917" s="439" t="s">
        <v>1136</v>
      </c>
      <c r="C917" s="10" t="s">
        <v>40</v>
      </c>
      <c r="D917" s="504">
        <v>943.84</v>
      </c>
      <c r="E917" s="504">
        <f t="shared" si="14"/>
        <v>699.14074074074074</v>
      </c>
    </row>
    <row r="918" spans="1:5" x14ac:dyDescent="0.25">
      <c r="A918" s="10" t="s">
        <v>28890</v>
      </c>
      <c r="B918" s="439" t="s">
        <v>708</v>
      </c>
      <c r="C918" s="10" t="s">
        <v>40</v>
      </c>
      <c r="D918" s="504">
        <v>1022.81</v>
      </c>
      <c r="E918" s="504">
        <f t="shared" si="14"/>
        <v>757.63703703703698</v>
      </c>
    </row>
    <row r="919" spans="1:5" x14ac:dyDescent="0.25">
      <c r="A919" s="10" t="s">
        <v>28891</v>
      </c>
      <c r="B919" s="439" t="s">
        <v>907</v>
      </c>
      <c r="C919" s="10" t="s">
        <v>40</v>
      </c>
      <c r="D919" s="504">
        <v>1064.4000000000001</v>
      </c>
      <c r="E919" s="504">
        <f t="shared" si="14"/>
        <v>788.44444444444446</v>
      </c>
    </row>
    <row r="920" spans="1:5" x14ac:dyDescent="0.25">
      <c r="A920" s="10" t="s">
        <v>28892</v>
      </c>
      <c r="B920" s="439" t="s">
        <v>1137</v>
      </c>
      <c r="C920" s="10" t="s">
        <v>2</v>
      </c>
      <c r="D920" s="504">
        <v>772.66</v>
      </c>
      <c r="E920" s="504">
        <f t="shared" si="14"/>
        <v>572.34074074074067</v>
      </c>
    </row>
    <row r="921" spans="1:5" x14ac:dyDescent="0.25">
      <c r="A921" s="10" t="s">
        <v>28893</v>
      </c>
      <c r="B921" s="439" t="s">
        <v>1138</v>
      </c>
      <c r="C921" s="10" t="s">
        <v>2</v>
      </c>
      <c r="D921" s="504">
        <v>1370.71</v>
      </c>
      <c r="E921" s="504">
        <f t="shared" si="14"/>
        <v>1015.3407407407407</v>
      </c>
    </row>
    <row r="922" spans="1:5" x14ac:dyDescent="0.25">
      <c r="A922" s="10" t="s">
        <v>28894</v>
      </c>
      <c r="B922" s="439" t="s">
        <v>1139</v>
      </c>
      <c r="C922" s="10" t="s">
        <v>2</v>
      </c>
      <c r="D922" s="504">
        <v>1397.71</v>
      </c>
      <c r="E922" s="504">
        <f t="shared" si="14"/>
        <v>1035.3407407407408</v>
      </c>
    </row>
    <row r="923" spans="1:5" x14ac:dyDescent="0.25">
      <c r="A923" s="10" t="s">
        <v>28895</v>
      </c>
      <c r="B923" s="439" t="s">
        <v>1140</v>
      </c>
      <c r="C923" s="10" t="s">
        <v>2</v>
      </c>
      <c r="D923" s="504">
        <v>453.56</v>
      </c>
      <c r="E923" s="504">
        <f t="shared" si="14"/>
        <v>335.97037037037035</v>
      </c>
    </row>
    <row r="924" spans="1:5" x14ac:dyDescent="0.25">
      <c r="A924" s="10" t="s">
        <v>28896</v>
      </c>
      <c r="B924" s="439" t="s">
        <v>1141</v>
      </c>
      <c r="C924" s="10" t="s">
        <v>2</v>
      </c>
      <c r="D924" s="504">
        <v>1338.58</v>
      </c>
      <c r="E924" s="504">
        <f t="shared" si="14"/>
        <v>991.5407407407406</v>
      </c>
    </row>
    <row r="925" spans="1:5" x14ac:dyDescent="0.25">
      <c r="A925" s="10" t="s">
        <v>28897</v>
      </c>
      <c r="B925" s="439" t="s">
        <v>28898</v>
      </c>
      <c r="C925" s="10" t="s">
        <v>2</v>
      </c>
      <c r="D925" s="504">
        <v>2435.27</v>
      </c>
      <c r="E925" s="504">
        <f t="shared" si="14"/>
        <v>1803.9037037037035</v>
      </c>
    </row>
    <row r="926" spans="1:5" x14ac:dyDescent="0.25">
      <c r="A926" s="10" t="s">
        <v>28899</v>
      </c>
      <c r="B926" s="439" t="s">
        <v>1142</v>
      </c>
      <c r="C926" s="10" t="s">
        <v>6</v>
      </c>
      <c r="D926" s="504">
        <v>440.23</v>
      </c>
      <c r="E926" s="504">
        <f t="shared" si="14"/>
        <v>326.09629629629632</v>
      </c>
    </row>
    <row r="927" spans="1:5" x14ac:dyDescent="0.25">
      <c r="A927" s="10" t="s">
        <v>28900</v>
      </c>
      <c r="B927" s="439" t="s">
        <v>1143</v>
      </c>
      <c r="C927" s="10" t="s">
        <v>6</v>
      </c>
      <c r="D927" s="504">
        <v>4.67</v>
      </c>
      <c r="E927" s="504">
        <f t="shared" si="14"/>
        <v>3.4592592592592588</v>
      </c>
    </row>
    <row r="928" spans="1:5" x14ac:dyDescent="0.25">
      <c r="A928" s="10" t="s">
        <v>28901</v>
      </c>
      <c r="B928" s="439" t="s">
        <v>1144</v>
      </c>
      <c r="C928" s="10" t="s">
        <v>6</v>
      </c>
      <c r="D928" s="504">
        <v>4.67</v>
      </c>
      <c r="E928" s="504">
        <f t="shared" si="14"/>
        <v>3.4592592592592588</v>
      </c>
    </row>
    <row r="929" spans="1:5" x14ac:dyDescent="0.25">
      <c r="A929" s="10" t="s">
        <v>28902</v>
      </c>
      <c r="B929" s="439" t="s">
        <v>1145</v>
      </c>
      <c r="C929" s="10" t="s">
        <v>2468</v>
      </c>
      <c r="D929" s="504">
        <v>10.82</v>
      </c>
      <c r="E929" s="504">
        <f t="shared" si="14"/>
        <v>8.0148148148148142</v>
      </c>
    </row>
    <row r="930" spans="1:5" x14ac:dyDescent="0.25">
      <c r="A930" s="10" t="s">
        <v>28903</v>
      </c>
      <c r="B930" s="439" t="s">
        <v>1146</v>
      </c>
      <c r="C930" s="10" t="s">
        <v>40</v>
      </c>
      <c r="D930" s="504">
        <v>2735.6</v>
      </c>
      <c r="E930" s="504">
        <f t="shared" si="14"/>
        <v>2026.3703703703702</v>
      </c>
    </row>
    <row r="931" spans="1:5" x14ac:dyDescent="0.25">
      <c r="A931" s="10" t="s">
        <v>28904</v>
      </c>
      <c r="B931" s="439" t="s">
        <v>2712</v>
      </c>
      <c r="C931" s="10" t="s">
        <v>41</v>
      </c>
      <c r="D931" s="504">
        <v>59.25</v>
      </c>
      <c r="E931" s="504">
        <f t="shared" si="14"/>
        <v>43.888888888888886</v>
      </c>
    </row>
    <row r="932" spans="1:5" x14ac:dyDescent="0.25">
      <c r="A932" s="10" t="s">
        <v>28905</v>
      </c>
      <c r="B932" s="439" t="s">
        <v>2407</v>
      </c>
      <c r="C932" s="10" t="s">
        <v>2</v>
      </c>
      <c r="D932" s="504">
        <v>45.26</v>
      </c>
      <c r="E932" s="504">
        <f t="shared" si="14"/>
        <v>33.525925925925925</v>
      </c>
    </row>
    <row r="933" spans="1:5" x14ac:dyDescent="0.25">
      <c r="A933" s="10" t="s">
        <v>28906</v>
      </c>
      <c r="B933" s="439" t="s">
        <v>930</v>
      </c>
      <c r="C933" s="10" t="s">
        <v>2</v>
      </c>
      <c r="D933" s="504">
        <v>27.53</v>
      </c>
      <c r="E933" s="504">
        <f t="shared" si="14"/>
        <v>20.392592592592592</v>
      </c>
    </row>
    <row r="934" spans="1:5" x14ac:dyDescent="0.25">
      <c r="A934" s="10" t="s">
        <v>28907</v>
      </c>
      <c r="B934" s="439" t="s">
        <v>770</v>
      </c>
      <c r="C934" s="10" t="s">
        <v>2</v>
      </c>
      <c r="D934" s="504">
        <v>209.72</v>
      </c>
      <c r="E934" s="504">
        <f t="shared" si="14"/>
        <v>155.34814814814814</v>
      </c>
    </row>
    <row r="935" spans="1:5" x14ac:dyDescent="0.25">
      <c r="A935" s="10" t="s">
        <v>28908</v>
      </c>
      <c r="B935" s="439" t="s">
        <v>771</v>
      </c>
      <c r="C935" s="10" t="s">
        <v>2</v>
      </c>
      <c r="D935" s="504">
        <v>120.95</v>
      </c>
      <c r="E935" s="504">
        <f t="shared" si="14"/>
        <v>89.592592592592595</v>
      </c>
    </row>
    <row r="936" spans="1:5" x14ac:dyDescent="0.25">
      <c r="A936" s="10" t="s">
        <v>28909</v>
      </c>
      <c r="B936" s="439" t="s">
        <v>772</v>
      </c>
      <c r="C936" s="10" t="s">
        <v>2</v>
      </c>
      <c r="D936" s="504">
        <v>154.22999999999999</v>
      </c>
      <c r="E936" s="504">
        <f t="shared" si="14"/>
        <v>114.24444444444443</v>
      </c>
    </row>
    <row r="937" spans="1:5" x14ac:dyDescent="0.25">
      <c r="A937" s="10" t="s">
        <v>28910</v>
      </c>
      <c r="B937" s="439" t="s">
        <v>1147</v>
      </c>
      <c r="C937" s="10" t="s">
        <v>6</v>
      </c>
      <c r="D937" s="504">
        <v>16.170000000000002</v>
      </c>
      <c r="E937" s="504">
        <f t="shared" si="14"/>
        <v>11.977777777777778</v>
      </c>
    </row>
    <row r="938" spans="1:5" x14ac:dyDescent="0.25">
      <c r="A938" s="10" t="s">
        <v>28911</v>
      </c>
      <c r="B938" s="439" t="s">
        <v>1148</v>
      </c>
      <c r="C938" s="10" t="s">
        <v>6</v>
      </c>
      <c r="D938" s="504">
        <v>8.6199999999999992</v>
      </c>
      <c r="E938" s="504">
        <f t="shared" si="14"/>
        <v>6.3851851851851844</v>
      </c>
    </row>
    <row r="939" spans="1:5" x14ac:dyDescent="0.25">
      <c r="A939" s="10" t="s">
        <v>28912</v>
      </c>
      <c r="B939" s="439" t="s">
        <v>1149</v>
      </c>
      <c r="C939" s="10" t="s">
        <v>6</v>
      </c>
      <c r="D939" s="504">
        <v>13.53</v>
      </c>
      <c r="E939" s="504">
        <f t="shared" si="14"/>
        <v>10.02222222222222</v>
      </c>
    </row>
    <row r="940" spans="1:5" x14ac:dyDescent="0.25">
      <c r="A940" s="10" t="s">
        <v>28913</v>
      </c>
      <c r="B940" s="439" t="s">
        <v>1150</v>
      </c>
      <c r="C940" s="10" t="s">
        <v>6</v>
      </c>
      <c r="D940" s="504">
        <v>9</v>
      </c>
      <c r="E940" s="504">
        <f t="shared" si="14"/>
        <v>6.6666666666666661</v>
      </c>
    </row>
    <row r="941" spans="1:5" x14ac:dyDescent="0.25">
      <c r="A941" s="10" t="s">
        <v>28914</v>
      </c>
      <c r="B941" s="439" t="s">
        <v>1151</v>
      </c>
      <c r="C941" s="10" t="s">
        <v>41</v>
      </c>
      <c r="D941" s="504">
        <v>15.55</v>
      </c>
      <c r="E941" s="504">
        <f t="shared" si="14"/>
        <v>11.518518518518519</v>
      </c>
    </row>
    <row r="942" spans="1:5" x14ac:dyDescent="0.25">
      <c r="A942" s="10" t="s">
        <v>28915</v>
      </c>
      <c r="B942" s="439" t="s">
        <v>1152</v>
      </c>
      <c r="C942" s="10" t="s">
        <v>41</v>
      </c>
      <c r="D942" s="504">
        <v>81</v>
      </c>
      <c r="E942" s="504">
        <f t="shared" si="14"/>
        <v>59.999999999999993</v>
      </c>
    </row>
    <row r="943" spans="1:5" x14ac:dyDescent="0.25">
      <c r="A943" s="10" t="s">
        <v>28916</v>
      </c>
      <c r="B943" s="439" t="s">
        <v>1153</v>
      </c>
      <c r="C943" s="10" t="s">
        <v>41</v>
      </c>
      <c r="D943" s="504">
        <v>87.02</v>
      </c>
      <c r="E943" s="504">
        <f t="shared" si="14"/>
        <v>64.459259259259255</v>
      </c>
    </row>
    <row r="944" spans="1:5" x14ac:dyDescent="0.25">
      <c r="A944" s="10" t="s">
        <v>28917</v>
      </c>
      <c r="B944" s="439" t="s">
        <v>1154</v>
      </c>
      <c r="C944" s="10" t="s">
        <v>41</v>
      </c>
      <c r="D944" s="504">
        <v>53.22</v>
      </c>
      <c r="E944" s="504">
        <f t="shared" si="14"/>
        <v>39.422222222222217</v>
      </c>
    </row>
    <row r="945" spans="1:5" ht="30" x14ac:dyDescent="0.25">
      <c r="A945" s="10" t="s">
        <v>28918</v>
      </c>
      <c r="B945" s="439" t="s">
        <v>1155</v>
      </c>
      <c r="C945" s="10" t="s">
        <v>41</v>
      </c>
      <c r="D945" s="504">
        <v>61.25</v>
      </c>
      <c r="E945" s="504">
        <f t="shared" si="14"/>
        <v>45.370370370370367</v>
      </c>
    </row>
    <row r="946" spans="1:5" ht="30" x14ac:dyDescent="0.25">
      <c r="A946" s="10" t="s">
        <v>28919</v>
      </c>
      <c r="B946" s="439" t="s">
        <v>1156</v>
      </c>
      <c r="C946" s="10" t="s">
        <v>41</v>
      </c>
      <c r="D946" s="504">
        <v>29.67</v>
      </c>
      <c r="E946" s="504">
        <f t="shared" si="14"/>
        <v>21.977777777777778</v>
      </c>
    </row>
    <row r="947" spans="1:5" x14ac:dyDescent="0.25">
      <c r="A947" s="10" t="s">
        <v>28920</v>
      </c>
      <c r="B947" s="439" t="s">
        <v>842</v>
      </c>
      <c r="C947" s="10" t="s">
        <v>40</v>
      </c>
      <c r="D947" s="504">
        <v>89.19</v>
      </c>
      <c r="E947" s="504">
        <f t="shared" si="14"/>
        <v>66.066666666666663</v>
      </c>
    </row>
    <row r="948" spans="1:5" x14ac:dyDescent="0.25">
      <c r="A948" s="10" t="s">
        <v>28921</v>
      </c>
      <c r="B948" s="439" t="s">
        <v>1157</v>
      </c>
      <c r="C948" s="10" t="s">
        <v>41</v>
      </c>
      <c r="D948" s="504">
        <v>1141.57</v>
      </c>
      <c r="E948" s="504">
        <f t="shared" si="14"/>
        <v>845.60740740740732</v>
      </c>
    </row>
    <row r="949" spans="1:5" x14ac:dyDescent="0.25">
      <c r="A949" s="10" t="s">
        <v>28922</v>
      </c>
      <c r="B949" s="439" t="s">
        <v>1158</v>
      </c>
      <c r="C949" s="10" t="s">
        <v>41</v>
      </c>
      <c r="D949" s="504">
        <v>1139.47</v>
      </c>
      <c r="E949" s="504">
        <f t="shared" si="14"/>
        <v>844.05185185185178</v>
      </c>
    </row>
    <row r="950" spans="1:5" x14ac:dyDescent="0.25">
      <c r="A950" s="10" t="s">
        <v>28923</v>
      </c>
      <c r="B950" s="439" t="s">
        <v>2408</v>
      </c>
      <c r="C950" s="10" t="s">
        <v>41</v>
      </c>
      <c r="D950" s="504">
        <v>1923.21</v>
      </c>
      <c r="E950" s="504">
        <f t="shared" si="14"/>
        <v>1424.6</v>
      </c>
    </row>
    <row r="951" spans="1:5" x14ac:dyDescent="0.25">
      <c r="A951" s="10" t="s">
        <v>28924</v>
      </c>
      <c r="B951" s="439" t="s">
        <v>1159</v>
      </c>
      <c r="C951" s="10" t="s">
        <v>41</v>
      </c>
      <c r="D951" s="504">
        <v>1610.2</v>
      </c>
      <c r="E951" s="504">
        <f t="shared" si="14"/>
        <v>1192.7407407407406</v>
      </c>
    </row>
    <row r="952" spans="1:5" x14ac:dyDescent="0.25">
      <c r="A952" s="10" t="s">
        <v>28925</v>
      </c>
      <c r="B952" s="439" t="s">
        <v>1160</v>
      </c>
      <c r="C952" s="10" t="s">
        <v>41</v>
      </c>
      <c r="D952" s="504">
        <v>94.52</v>
      </c>
      <c r="E952" s="504">
        <f t="shared" si="14"/>
        <v>70.014814814814812</v>
      </c>
    </row>
    <row r="953" spans="1:5" x14ac:dyDescent="0.25">
      <c r="A953" s="10" t="s">
        <v>28926</v>
      </c>
      <c r="B953" s="439" t="s">
        <v>1161</v>
      </c>
      <c r="C953" s="10" t="s">
        <v>41</v>
      </c>
      <c r="D953" s="504">
        <v>131.81</v>
      </c>
      <c r="E953" s="504">
        <f t="shared" si="14"/>
        <v>97.637037037037032</v>
      </c>
    </row>
    <row r="954" spans="1:5" x14ac:dyDescent="0.25">
      <c r="A954" s="10" t="s">
        <v>28927</v>
      </c>
      <c r="B954" s="439" t="s">
        <v>1162</v>
      </c>
      <c r="C954" s="10" t="s">
        <v>41</v>
      </c>
      <c r="D954" s="504">
        <v>105.45</v>
      </c>
      <c r="E954" s="504">
        <f t="shared" si="14"/>
        <v>78.111111111111114</v>
      </c>
    </row>
    <row r="955" spans="1:5" ht="30" x14ac:dyDescent="0.25">
      <c r="A955" s="10" t="s">
        <v>28928</v>
      </c>
      <c r="B955" s="439" t="s">
        <v>1163</v>
      </c>
      <c r="C955" s="10" t="s">
        <v>41</v>
      </c>
      <c r="D955" s="504">
        <v>799.25</v>
      </c>
      <c r="E955" s="504">
        <f t="shared" si="14"/>
        <v>592.03703703703695</v>
      </c>
    </row>
    <row r="956" spans="1:5" ht="30" x14ac:dyDescent="0.25">
      <c r="A956" s="10" t="s">
        <v>28929</v>
      </c>
      <c r="B956" s="439" t="s">
        <v>1164</v>
      </c>
      <c r="C956" s="10" t="s">
        <v>41</v>
      </c>
      <c r="D956" s="504">
        <v>657.79</v>
      </c>
      <c r="E956" s="504">
        <f t="shared" si="14"/>
        <v>487.25185185185177</v>
      </c>
    </row>
    <row r="957" spans="1:5" ht="30" x14ac:dyDescent="0.25">
      <c r="A957" s="10" t="s">
        <v>28930</v>
      </c>
      <c r="B957" s="439" t="s">
        <v>1165</v>
      </c>
      <c r="C957" s="10" t="s">
        <v>41</v>
      </c>
      <c r="D957" s="504">
        <v>734.74</v>
      </c>
      <c r="E957" s="504">
        <f t="shared" si="14"/>
        <v>544.25185185185182</v>
      </c>
    </row>
    <row r="958" spans="1:5" x14ac:dyDescent="0.25">
      <c r="A958" s="10" t="s">
        <v>28931</v>
      </c>
      <c r="B958" s="439" t="s">
        <v>1166</v>
      </c>
      <c r="C958" s="10" t="s">
        <v>3</v>
      </c>
      <c r="D958" s="504">
        <v>100496.08</v>
      </c>
      <c r="E958" s="504">
        <f t="shared" si="14"/>
        <v>74441.540740740733</v>
      </c>
    </row>
    <row r="959" spans="1:5" ht="30" x14ac:dyDescent="0.25">
      <c r="A959" s="10" t="s">
        <v>28932</v>
      </c>
      <c r="B959" s="439" t="s">
        <v>1167</v>
      </c>
      <c r="C959" s="10" t="s">
        <v>3</v>
      </c>
      <c r="D959" s="504">
        <v>108509.5</v>
      </c>
      <c r="E959" s="504">
        <f t="shared" si="14"/>
        <v>80377.407407407401</v>
      </c>
    </row>
    <row r="960" spans="1:5" ht="30" x14ac:dyDescent="0.25">
      <c r="A960" s="10" t="s">
        <v>28933</v>
      </c>
      <c r="B960" s="439" t="s">
        <v>1168</v>
      </c>
      <c r="C960" s="10" t="s">
        <v>3</v>
      </c>
      <c r="D960" s="504">
        <v>47581.26</v>
      </c>
      <c r="E960" s="504">
        <f t="shared" si="14"/>
        <v>35245.37777777778</v>
      </c>
    </row>
    <row r="961" spans="1:5" ht="30" x14ac:dyDescent="0.25">
      <c r="A961" s="10" t="s">
        <v>28934</v>
      </c>
      <c r="B961" s="439" t="s">
        <v>1169</v>
      </c>
      <c r="C961" s="10" t="s">
        <v>3</v>
      </c>
      <c r="D961" s="504">
        <v>55699.79</v>
      </c>
      <c r="E961" s="504">
        <f t="shared" si="14"/>
        <v>41259.103703703702</v>
      </c>
    </row>
    <row r="962" spans="1:5" ht="30" x14ac:dyDescent="0.25">
      <c r="A962" s="10" t="s">
        <v>28935</v>
      </c>
      <c r="B962" s="439" t="s">
        <v>1170</v>
      </c>
      <c r="C962" s="10" t="s">
        <v>3</v>
      </c>
      <c r="D962" s="504">
        <v>83941.64</v>
      </c>
      <c r="E962" s="504">
        <f t="shared" si="14"/>
        <v>62178.992592592585</v>
      </c>
    </row>
    <row r="963" spans="1:5" ht="30" x14ac:dyDescent="0.25">
      <c r="A963" s="10" t="s">
        <v>28936</v>
      </c>
      <c r="B963" s="439" t="s">
        <v>1171</v>
      </c>
      <c r="C963" s="10" t="s">
        <v>3</v>
      </c>
      <c r="D963" s="504">
        <v>102466.61</v>
      </c>
      <c r="E963" s="504">
        <f t="shared" si="14"/>
        <v>75901.19259259259</v>
      </c>
    </row>
    <row r="964" spans="1:5" ht="30" x14ac:dyDescent="0.25">
      <c r="A964" s="10" t="s">
        <v>28937</v>
      </c>
      <c r="B964" s="439" t="s">
        <v>1172</v>
      </c>
      <c r="C964" s="10" t="s">
        <v>3</v>
      </c>
      <c r="D964" s="504">
        <v>44927.64</v>
      </c>
      <c r="E964" s="504">
        <f t="shared" si="14"/>
        <v>33279.73333333333</v>
      </c>
    </row>
    <row r="965" spans="1:5" x14ac:dyDescent="0.25">
      <c r="A965" s="10" t="s">
        <v>28938</v>
      </c>
      <c r="B965" s="439" t="s">
        <v>1173</v>
      </c>
      <c r="C965" s="10" t="s">
        <v>41</v>
      </c>
      <c r="D965" s="504">
        <v>54.91</v>
      </c>
      <c r="E965" s="504">
        <f t="shared" si="14"/>
        <v>40.67407407407407</v>
      </c>
    </row>
    <row r="966" spans="1:5" x14ac:dyDescent="0.25">
      <c r="A966" s="10" t="s">
        <v>28939</v>
      </c>
      <c r="B966" s="439" t="s">
        <v>1174</v>
      </c>
      <c r="C966" s="10" t="s">
        <v>41</v>
      </c>
      <c r="D966" s="504">
        <v>95.24</v>
      </c>
      <c r="E966" s="504">
        <f t="shared" si="14"/>
        <v>70.548148148148144</v>
      </c>
    </row>
    <row r="967" spans="1:5" x14ac:dyDescent="0.25">
      <c r="A967" s="10" t="s">
        <v>28940</v>
      </c>
      <c r="B967" s="439" t="s">
        <v>1175</v>
      </c>
      <c r="C967" s="10" t="s">
        <v>41</v>
      </c>
      <c r="D967" s="504">
        <v>98.48</v>
      </c>
      <c r="E967" s="504">
        <f t="shared" si="14"/>
        <v>72.94814814814815</v>
      </c>
    </row>
    <row r="968" spans="1:5" x14ac:dyDescent="0.25">
      <c r="A968" s="10" t="s">
        <v>28941</v>
      </c>
      <c r="B968" s="439" t="s">
        <v>1176</v>
      </c>
      <c r="C968" s="10" t="s">
        <v>41</v>
      </c>
      <c r="D968" s="504">
        <v>122.35</v>
      </c>
      <c r="E968" s="504">
        <f t="shared" si="14"/>
        <v>90.629629629629619</v>
      </c>
    </row>
    <row r="969" spans="1:5" ht="30" x14ac:dyDescent="0.25">
      <c r="A969" s="10" t="s">
        <v>28942</v>
      </c>
      <c r="B969" s="439" t="s">
        <v>1177</v>
      </c>
      <c r="C969" s="10" t="s">
        <v>41</v>
      </c>
      <c r="D969" s="504">
        <v>285.8</v>
      </c>
      <c r="E969" s="504">
        <f t="shared" si="14"/>
        <v>211.7037037037037</v>
      </c>
    </row>
    <row r="970" spans="1:5" ht="30" x14ac:dyDescent="0.25">
      <c r="A970" s="10" t="s">
        <v>28943</v>
      </c>
      <c r="B970" s="439" t="s">
        <v>1178</v>
      </c>
      <c r="C970" s="10" t="s">
        <v>41</v>
      </c>
      <c r="D970" s="504">
        <v>204.66</v>
      </c>
      <c r="E970" s="504">
        <f t="shared" si="14"/>
        <v>151.6</v>
      </c>
    </row>
    <row r="971" spans="1:5" x14ac:dyDescent="0.25">
      <c r="A971" s="10" t="s">
        <v>28944</v>
      </c>
      <c r="B971" s="439" t="s">
        <v>1179</v>
      </c>
      <c r="C971" s="10" t="s">
        <v>41</v>
      </c>
      <c r="D971" s="504">
        <v>40.64</v>
      </c>
      <c r="E971" s="504">
        <f t="shared" ref="E971:E1034" si="15">D971/(1+$G$4)</f>
        <v>30.103703703703701</v>
      </c>
    </row>
    <row r="972" spans="1:5" x14ac:dyDescent="0.25">
      <c r="A972" s="10" t="s">
        <v>28945</v>
      </c>
      <c r="B972" s="439" t="s">
        <v>1180</v>
      </c>
      <c r="C972" s="10" t="s">
        <v>41</v>
      </c>
      <c r="D972" s="504">
        <v>40.96</v>
      </c>
      <c r="E972" s="504">
        <f t="shared" si="15"/>
        <v>30.340740740740738</v>
      </c>
    </row>
    <row r="973" spans="1:5" x14ac:dyDescent="0.25">
      <c r="A973" s="10" t="s">
        <v>28946</v>
      </c>
      <c r="B973" s="439" t="s">
        <v>1181</v>
      </c>
      <c r="C973" s="10" t="s">
        <v>41</v>
      </c>
      <c r="D973" s="504">
        <v>49.83</v>
      </c>
      <c r="E973" s="504">
        <f t="shared" si="15"/>
        <v>36.911111111111104</v>
      </c>
    </row>
    <row r="974" spans="1:5" ht="30" x14ac:dyDescent="0.25">
      <c r="A974" s="10" t="s">
        <v>28947</v>
      </c>
      <c r="B974" s="439" t="s">
        <v>1182</v>
      </c>
      <c r="C974" s="10" t="s">
        <v>41</v>
      </c>
      <c r="D974" s="504">
        <v>55.37</v>
      </c>
      <c r="E974" s="504">
        <f t="shared" si="15"/>
        <v>41.014814814814812</v>
      </c>
    </row>
    <row r="975" spans="1:5" ht="30" x14ac:dyDescent="0.25">
      <c r="A975" s="10" t="s">
        <v>28948</v>
      </c>
      <c r="B975" s="439" t="s">
        <v>1183</v>
      </c>
      <c r="C975" s="10" t="s">
        <v>41</v>
      </c>
      <c r="D975" s="504">
        <v>55.4</v>
      </c>
      <c r="E975" s="504">
        <f t="shared" si="15"/>
        <v>41.037037037037031</v>
      </c>
    </row>
    <row r="976" spans="1:5" ht="30" x14ac:dyDescent="0.25">
      <c r="A976" s="10" t="s">
        <v>28949</v>
      </c>
      <c r="B976" s="439" t="s">
        <v>1184</v>
      </c>
      <c r="C976" s="10" t="s">
        <v>3</v>
      </c>
      <c r="D976" s="504">
        <v>99.27</v>
      </c>
      <c r="E976" s="504">
        <f t="shared" si="15"/>
        <v>73.533333333333331</v>
      </c>
    </row>
    <row r="977" spans="1:5" x14ac:dyDescent="0.25">
      <c r="A977" s="10" t="s">
        <v>28950</v>
      </c>
      <c r="B977" s="439" t="s">
        <v>2409</v>
      </c>
      <c r="C977" s="10" t="s">
        <v>3</v>
      </c>
      <c r="D977" s="504">
        <v>47.71</v>
      </c>
      <c r="E977" s="504">
        <f t="shared" si="15"/>
        <v>35.340740740740742</v>
      </c>
    </row>
    <row r="978" spans="1:5" x14ac:dyDescent="0.25">
      <c r="A978" s="10" t="s">
        <v>28951</v>
      </c>
      <c r="B978" s="439" t="s">
        <v>2410</v>
      </c>
      <c r="C978" s="10" t="s">
        <v>3</v>
      </c>
      <c r="D978" s="504">
        <v>73.290000000000006</v>
      </c>
      <c r="E978" s="504">
        <f t="shared" si="15"/>
        <v>54.288888888888891</v>
      </c>
    </row>
    <row r="979" spans="1:5" x14ac:dyDescent="0.25">
      <c r="A979" s="10" t="s">
        <v>28952</v>
      </c>
      <c r="B979" s="439" t="s">
        <v>1185</v>
      </c>
      <c r="C979" s="10" t="s">
        <v>3</v>
      </c>
      <c r="D979" s="504">
        <v>61.29</v>
      </c>
      <c r="E979" s="504">
        <f t="shared" si="15"/>
        <v>45.4</v>
      </c>
    </row>
    <row r="980" spans="1:5" x14ac:dyDescent="0.25">
      <c r="A980" s="10" t="s">
        <v>28953</v>
      </c>
      <c r="B980" s="439" t="s">
        <v>1186</v>
      </c>
      <c r="C980" s="10" t="s">
        <v>3</v>
      </c>
      <c r="D980" s="504">
        <v>64.14</v>
      </c>
      <c r="E980" s="504">
        <f t="shared" si="15"/>
        <v>47.511111111111106</v>
      </c>
    </row>
    <row r="981" spans="1:5" x14ac:dyDescent="0.25">
      <c r="A981" s="10" t="s">
        <v>28954</v>
      </c>
      <c r="B981" s="439" t="s">
        <v>1187</v>
      </c>
      <c r="C981" s="10" t="s">
        <v>3</v>
      </c>
      <c r="D981" s="504">
        <v>91.22</v>
      </c>
      <c r="E981" s="504">
        <f t="shared" si="15"/>
        <v>67.57037037037037</v>
      </c>
    </row>
    <row r="982" spans="1:5" x14ac:dyDescent="0.25">
      <c r="A982" s="10" t="s">
        <v>28955</v>
      </c>
      <c r="B982" s="439" t="s">
        <v>1188</v>
      </c>
      <c r="C982" s="10" t="s">
        <v>3</v>
      </c>
      <c r="D982" s="504">
        <v>98.61</v>
      </c>
      <c r="E982" s="504">
        <f t="shared" si="15"/>
        <v>73.044444444444437</v>
      </c>
    </row>
    <row r="983" spans="1:5" x14ac:dyDescent="0.25">
      <c r="A983" s="10" t="s">
        <v>28956</v>
      </c>
      <c r="B983" s="439" t="s">
        <v>1189</v>
      </c>
      <c r="C983" s="10" t="s">
        <v>3</v>
      </c>
      <c r="D983" s="504">
        <v>29.47</v>
      </c>
      <c r="E983" s="504">
        <f t="shared" si="15"/>
        <v>21.829629629629629</v>
      </c>
    </row>
    <row r="984" spans="1:5" x14ac:dyDescent="0.25">
      <c r="A984" s="10" t="s">
        <v>28957</v>
      </c>
      <c r="B984" s="439" t="s">
        <v>1190</v>
      </c>
      <c r="C984" s="10" t="s">
        <v>3</v>
      </c>
      <c r="D984" s="504">
        <v>24.38</v>
      </c>
      <c r="E984" s="504">
        <f t="shared" si="15"/>
        <v>18.059259259259257</v>
      </c>
    </row>
    <row r="985" spans="1:5" ht="30" x14ac:dyDescent="0.25">
      <c r="A985" s="10" t="s">
        <v>28958</v>
      </c>
      <c r="B985" s="439" t="s">
        <v>1191</v>
      </c>
      <c r="C985" s="10" t="s">
        <v>3</v>
      </c>
      <c r="D985" s="504">
        <v>55.93</v>
      </c>
      <c r="E985" s="504">
        <f t="shared" si="15"/>
        <v>41.429629629629623</v>
      </c>
    </row>
    <row r="986" spans="1:5" ht="30" x14ac:dyDescent="0.25">
      <c r="A986" s="10" t="s">
        <v>28959</v>
      </c>
      <c r="B986" s="439" t="s">
        <v>1192</v>
      </c>
      <c r="C986" s="10" t="s">
        <v>41</v>
      </c>
      <c r="D986" s="504">
        <v>572</v>
      </c>
      <c r="E986" s="504">
        <f t="shared" si="15"/>
        <v>423.7037037037037</v>
      </c>
    </row>
    <row r="987" spans="1:5" ht="30" x14ac:dyDescent="0.25">
      <c r="A987" s="10" t="s">
        <v>28960</v>
      </c>
      <c r="B987" s="439" t="s">
        <v>2470</v>
      </c>
      <c r="C987" s="10" t="s">
        <v>3</v>
      </c>
      <c r="D987" s="504">
        <v>210.92</v>
      </c>
      <c r="E987" s="504">
        <f t="shared" si="15"/>
        <v>156.23703703703703</v>
      </c>
    </row>
    <row r="988" spans="1:5" x14ac:dyDescent="0.25">
      <c r="A988" s="10" t="s">
        <v>28961</v>
      </c>
      <c r="B988" s="439" t="s">
        <v>1193</v>
      </c>
      <c r="C988" s="10" t="s">
        <v>3</v>
      </c>
      <c r="D988" s="504">
        <v>173.56</v>
      </c>
      <c r="E988" s="504">
        <f t="shared" si="15"/>
        <v>128.56296296296296</v>
      </c>
    </row>
    <row r="989" spans="1:5" ht="30" x14ac:dyDescent="0.25">
      <c r="A989" s="10" t="s">
        <v>28962</v>
      </c>
      <c r="B989" s="439" t="s">
        <v>2411</v>
      </c>
      <c r="C989" s="10" t="s">
        <v>3</v>
      </c>
      <c r="D989" s="504">
        <v>304.2</v>
      </c>
      <c r="E989" s="504">
        <f t="shared" si="15"/>
        <v>225.33333333333331</v>
      </c>
    </row>
    <row r="990" spans="1:5" ht="30" x14ac:dyDescent="0.25">
      <c r="A990" s="10" t="s">
        <v>28963</v>
      </c>
      <c r="B990" s="439" t="s">
        <v>2471</v>
      </c>
      <c r="C990" s="10" t="s">
        <v>3</v>
      </c>
      <c r="D990" s="504">
        <v>211.92</v>
      </c>
      <c r="E990" s="504">
        <f t="shared" si="15"/>
        <v>156.97777777777776</v>
      </c>
    </row>
    <row r="991" spans="1:5" ht="30" x14ac:dyDescent="0.25">
      <c r="A991" s="10" t="s">
        <v>28964</v>
      </c>
      <c r="B991" s="439" t="s">
        <v>1194</v>
      </c>
      <c r="C991" s="10" t="s">
        <v>5</v>
      </c>
      <c r="D991" s="504">
        <v>30220.75</v>
      </c>
      <c r="E991" s="504">
        <f t="shared" si="15"/>
        <v>22385.740740740741</v>
      </c>
    </row>
    <row r="992" spans="1:5" ht="30" x14ac:dyDescent="0.25">
      <c r="A992" s="10" t="s">
        <v>28965</v>
      </c>
      <c r="B992" s="439" t="s">
        <v>1195</v>
      </c>
      <c r="C992" s="10" t="s">
        <v>5</v>
      </c>
      <c r="D992" s="504">
        <v>36673.730000000003</v>
      </c>
      <c r="E992" s="504">
        <f t="shared" si="15"/>
        <v>27165.725925925926</v>
      </c>
    </row>
    <row r="993" spans="1:5" ht="30" x14ac:dyDescent="0.25">
      <c r="A993" s="10" t="s">
        <v>28966</v>
      </c>
      <c r="B993" s="439" t="s">
        <v>1196</v>
      </c>
      <c r="C993" s="10" t="s">
        <v>5</v>
      </c>
      <c r="D993" s="504">
        <v>39191.480000000003</v>
      </c>
      <c r="E993" s="504">
        <f t="shared" si="15"/>
        <v>29030.725925925926</v>
      </c>
    </row>
    <row r="994" spans="1:5" ht="30" x14ac:dyDescent="0.25">
      <c r="A994" s="10" t="s">
        <v>28967</v>
      </c>
      <c r="B994" s="439" t="s">
        <v>1197</v>
      </c>
      <c r="C994" s="10" t="s">
        <v>5</v>
      </c>
      <c r="D994" s="504">
        <v>30477.25</v>
      </c>
      <c r="E994" s="504">
        <f t="shared" si="15"/>
        <v>22575.740740740741</v>
      </c>
    </row>
    <row r="995" spans="1:5" ht="30" x14ac:dyDescent="0.25">
      <c r="A995" s="10" t="s">
        <v>28968</v>
      </c>
      <c r="B995" s="439" t="s">
        <v>1198</v>
      </c>
      <c r="C995" s="10" t="s">
        <v>5</v>
      </c>
      <c r="D995" s="504">
        <v>46958.37</v>
      </c>
      <c r="E995" s="504">
        <f t="shared" si="15"/>
        <v>34783.977777777778</v>
      </c>
    </row>
    <row r="996" spans="1:5" ht="30" x14ac:dyDescent="0.25">
      <c r="A996" s="10" t="s">
        <v>28969</v>
      </c>
      <c r="B996" s="439" t="s">
        <v>1199</v>
      </c>
      <c r="C996" s="10" t="s">
        <v>5</v>
      </c>
      <c r="D996" s="504">
        <v>49084.62</v>
      </c>
      <c r="E996" s="504">
        <f t="shared" si="15"/>
        <v>36358.977777777778</v>
      </c>
    </row>
    <row r="997" spans="1:5" ht="30" x14ac:dyDescent="0.25">
      <c r="A997" s="10" t="s">
        <v>28970</v>
      </c>
      <c r="B997" s="439" t="s">
        <v>1200</v>
      </c>
      <c r="C997" s="10" t="s">
        <v>5</v>
      </c>
      <c r="D997" s="504">
        <v>7704</v>
      </c>
      <c r="E997" s="504">
        <f t="shared" si="15"/>
        <v>5706.6666666666661</v>
      </c>
    </row>
    <row r="998" spans="1:5" ht="30" x14ac:dyDescent="0.25">
      <c r="A998" s="10" t="s">
        <v>28971</v>
      </c>
      <c r="B998" s="439" t="s">
        <v>1201</v>
      </c>
      <c r="C998" s="10" t="s">
        <v>2</v>
      </c>
      <c r="D998" s="504">
        <v>2629.51</v>
      </c>
      <c r="E998" s="504">
        <f t="shared" si="15"/>
        <v>1947.7851851851851</v>
      </c>
    </row>
    <row r="999" spans="1:5" ht="30" x14ac:dyDescent="0.25">
      <c r="A999" s="10" t="s">
        <v>28972</v>
      </c>
      <c r="B999" s="439" t="s">
        <v>1202</v>
      </c>
      <c r="C999" s="10" t="s">
        <v>2</v>
      </c>
      <c r="D999" s="504">
        <v>3185.98</v>
      </c>
      <c r="E999" s="504">
        <f t="shared" si="15"/>
        <v>2359.9851851851849</v>
      </c>
    </row>
    <row r="1000" spans="1:5" ht="30" x14ac:dyDescent="0.25">
      <c r="A1000" s="10" t="s">
        <v>28973</v>
      </c>
      <c r="B1000" s="439" t="s">
        <v>1203</v>
      </c>
      <c r="C1000" s="10" t="s">
        <v>2</v>
      </c>
      <c r="D1000" s="504">
        <v>1943.06</v>
      </c>
      <c r="E1000" s="504">
        <f t="shared" si="15"/>
        <v>1439.3037037037036</v>
      </c>
    </row>
    <row r="1001" spans="1:5" ht="30" x14ac:dyDescent="0.25">
      <c r="A1001" s="10" t="s">
        <v>28974</v>
      </c>
      <c r="B1001" s="439" t="s">
        <v>1204</v>
      </c>
      <c r="C1001" s="10" t="s">
        <v>2</v>
      </c>
      <c r="D1001" s="504">
        <v>1750.47</v>
      </c>
      <c r="E1001" s="504">
        <f t="shared" si="15"/>
        <v>1296.6444444444444</v>
      </c>
    </row>
    <row r="1002" spans="1:5" ht="30" x14ac:dyDescent="0.25">
      <c r="A1002" s="10" t="s">
        <v>28975</v>
      </c>
      <c r="B1002" s="439" t="s">
        <v>1205</v>
      </c>
      <c r="C1002" s="10" t="s">
        <v>2</v>
      </c>
      <c r="D1002" s="504">
        <v>1573.85</v>
      </c>
      <c r="E1002" s="504">
        <f t="shared" si="15"/>
        <v>1165.8148148148148</v>
      </c>
    </row>
    <row r="1003" spans="1:5" ht="30" x14ac:dyDescent="0.25">
      <c r="A1003" s="10" t="s">
        <v>28976</v>
      </c>
      <c r="B1003" s="439" t="s">
        <v>1206</v>
      </c>
      <c r="C1003" s="10" t="s">
        <v>2</v>
      </c>
      <c r="D1003" s="504">
        <v>1482.98</v>
      </c>
      <c r="E1003" s="504">
        <f t="shared" si="15"/>
        <v>1098.5037037037036</v>
      </c>
    </row>
    <row r="1004" spans="1:5" ht="30" x14ac:dyDescent="0.25">
      <c r="A1004" s="10" t="s">
        <v>28977</v>
      </c>
      <c r="B1004" s="439" t="s">
        <v>2412</v>
      </c>
      <c r="C1004" s="10" t="s">
        <v>2</v>
      </c>
      <c r="D1004" s="504">
        <v>1887.35</v>
      </c>
      <c r="E1004" s="504">
        <f t="shared" si="15"/>
        <v>1398.037037037037</v>
      </c>
    </row>
    <row r="1005" spans="1:5" ht="30" x14ac:dyDescent="0.25">
      <c r="A1005" s="10" t="s">
        <v>28978</v>
      </c>
      <c r="B1005" s="439" t="s">
        <v>2413</v>
      </c>
      <c r="C1005" s="10" t="s">
        <v>2</v>
      </c>
      <c r="D1005" s="504">
        <v>2082.5100000000002</v>
      </c>
      <c r="E1005" s="504">
        <f t="shared" si="15"/>
        <v>1542.6000000000001</v>
      </c>
    </row>
    <row r="1006" spans="1:5" ht="30" x14ac:dyDescent="0.25">
      <c r="A1006" s="10" t="s">
        <v>28979</v>
      </c>
      <c r="B1006" s="439" t="s">
        <v>1207</v>
      </c>
      <c r="C1006" s="10" t="s">
        <v>2</v>
      </c>
      <c r="D1006" s="504">
        <v>2652.72</v>
      </c>
      <c r="E1006" s="504">
        <f t="shared" si="15"/>
        <v>1964.9777777777774</v>
      </c>
    </row>
    <row r="1007" spans="1:5" ht="30" x14ac:dyDescent="0.25">
      <c r="A1007" s="10" t="s">
        <v>28980</v>
      </c>
      <c r="B1007" s="439" t="s">
        <v>1208</v>
      </c>
      <c r="C1007" s="10" t="s">
        <v>2</v>
      </c>
      <c r="D1007" s="504">
        <v>3645.75</v>
      </c>
      <c r="E1007" s="504">
        <f t="shared" si="15"/>
        <v>2700.5555555555552</v>
      </c>
    </row>
    <row r="1008" spans="1:5" ht="30" x14ac:dyDescent="0.25">
      <c r="A1008" s="10" t="s">
        <v>28981</v>
      </c>
      <c r="B1008" s="439" t="s">
        <v>1209</v>
      </c>
      <c r="C1008" s="10" t="s">
        <v>5</v>
      </c>
      <c r="D1008" s="504">
        <v>9874.51</v>
      </c>
      <c r="E1008" s="504">
        <f t="shared" si="15"/>
        <v>7314.4518518518516</v>
      </c>
    </row>
    <row r="1009" spans="1:5" ht="30" x14ac:dyDescent="0.25">
      <c r="A1009" s="10" t="s">
        <v>28982</v>
      </c>
      <c r="B1009" s="439" t="s">
        <v>1210</v>
      </c>
      <c r="C1009" s="10" t="s">
        <v>5</v>
      </c>
      <c r="D1009" s="504">
        <v>13653.56</v>
      </c>
      <c r="E1009" s="504">
        <f t="shared" si="15"/>
        <v>10113.748148148146</v>
      </c>
    </row>
    <row r="1010" spans="1:5" x14ac:dyDescent="0.25">
      <c r="A1010" s="10" t="s">
        <v>28983</v>
      </c>
      <c r="B1010" s="439" t="s">
        <v>7</v>
      </c>
      <c r="C1010" s="10" t="s">
        <v>2</v>
      </c>
      <c r="D1010" s="504">
        <v>114.63</v>
      </c>
      <c r="E1010" s="504">
        <f t="shared" si="15"/>
        <v>84.911111111111097</v>
      </c>
    </row>
    <row r="1011" spans="1:5" x14ac:dyDescent="0.25">
      <c r="A1011" s="10" t="s">
        <v>28984</v>
      </c>
      <c r="B1011" s="439" t="s">
        <v>1211</v>
      </c>
      <c r="C1011" s="10" t="s">
        <v>2</v>
      </c>
      <c r="D1011" s="504">
        <v>15.64</v>
      </c>
      <c r="E1011" s="504">
        <f t="shared" si="15"/>
        <v>11.585185185185185</v>
      </c>
    </row>
    <row r="1012" spans="1:5" x14ac:dyDescent="0.25">
      <c r="A1012" s="10" t="s">
        <v>28985</v>
      </c>
      <c r="B1012" s="439" t="s">
        <v>1212</v>
      </c>
      <c r="C1012" s="10" t="s">
        <v>6</v>
      </c>
      <c r="D1012" s="504">
        <v>36.520000000000003</v>
      </c>
      <c r="E1012" s="504">
        <f t="shared" si="15"/>
        <v>27.051851851851854</v>
      </c>
    </row>
    <row r="1013" spans="1:5" x14ac:dyDescent="0.25">
      <c r="A1013" s="10" t="s">
        <v>28986</v>
      </c>
      <c r="B1013" s="439" t="s">
        <v>2713</v>
      </c>
      <c r="C1013" s="10" t="s">
        <v>2</v>
      </c>
      <c r="D1013" s="504">
        <v>244.27</v>
      </c>
      <c r="E1013" s="504">
        <f t="shared" si="15"/>
        <v>180.94074074074075</v>
      </c>
    </row>
    <row r="1014" spans="1:5" ht="30" x14ac:dyDescent="0.25">
      <c r="A1014" s="10" t="s">
        <v>28987</v>
      </c>
      <c r="B1014" s="439" t="s">
        <v>1213</v>
      </c>
      <c r="C1014" s="10" t="s">
        <v>2</v>
      </c>
      <c r="D1014" s="504">
        <v>493.93</v>
      </c>
      <c r="E1014" s="504">
        <f t="shared" si="15"/>
        <v>365.87407407407403</v>
      </c>
    </row>
    <row r="1015" spans="1:5" ht="30" x14ac:dyDescent="0.25">
      <c r="A1015" s="10" t="s">
        <v>28988</v>
      </c>
      <c r="B1015" s="439" t="s">
        <v>1214</v>
      </c>
      <c r="C1015" s="10" t="s">
        <v>2</v>
      </c>
      <c r="D1015" s="504">
        <v>637.58000000000004</v>
      </c>
      <c r="E1015" s="504">
        <f t="shared" si="15"/>
        <v>472.28148148148148</v>
      </c>
    </row>
    <row r="1016" spans="1:5" ht="30" x14ac:dyDescent="0.25">
      <c r="A1016" s="10" t="s">
        <v>20</v>
      </c>
      <c r="B1016" s="439" t="s">
        <v>1215</v>
      </c>
      <c r="C1016" s="10" t="s">
        <v>2</v>
      </c>
      <c r="D1016" s="504">
        <v>567.25</v>
      </c>
      <c r="E1016" s="504">
        <f t="shared" si="15"/>
        <v>420.18518518518516</v>
      </c>
    </row>
    <row r="1017" spans="1:5" ht="30" x14ac:dyDescent="0.25">
      <c r="A1017" s="10" t="s">
        <v>28989</v>
      </c>
      <c r="B1017" s="439" t="s">
        <v>1216</v>
      </c>
      <c r="C1017" s="10" t="s">
        <v>2</v>
      </c>
      <c r="D1017" s="504">
        <v>870.18</v>
      </c>
      <c r="E1017" s="504">
        <f t="shared" si="15"/>
        <v>644.57777777777767</v>
      </c>
    </row>
    <row r="1018" spans="1:5" ht="30" x14ac:dyDescent="0.25">
      <c r="A1018" s="10" t="s">
        <v>28990</v>
      </c>
      <c r="B1018" s="439" t="s">
        <v>1217</v>
      </c>
      <c r="C1018" s="10" t="s">
        <v>2</v>
      </c>
      <c r="D1018" s="504">
        <v>276.75</v>
      </c>
      <c r="E1018" s="504">
        <f t="shared" si="15"/>
        <v>205</v>
      </c>
    </row>
    <row r="1019" spans="1:5" ht="30" x14ac:dyDescent="0.25">
      <c r="A1019" s="10" t="s">
        <v>28991</v>
      </c>
      <c r="B1019" s="439" t="s">
        <v>1218</v>
      </c>
      <c r="C1019" s="10" t="s">
        <v>2</v>
      </c>
      <c r="D1019" s="504">
        <v>407.23</v>
      </c>
      <c r="E1019" s="504">
        <f t="shared" si="15"/>
        <v>301.65185185185186</v>
      </c>
    </row>
    <row r="1020" spans="1:5" ht="30" x14ac:dyDescent="0.25">
      <c r="A1020" s="10" t="s">
        <v>28992</v>
      </c>
      <c r="B1020" s="439" t="s">
        <v>1219</v>
      </c>
      <c r="C1020" s="10" t="s">
        <v>2</v>
      </c>
      <c r="D1020" s="504">
        <v>521.66</v>
      </c>
      <c r="E1020" s="504">
        <f t="shared" si="15"/>
        <v>386.41481481481475</v>
      </c>
    </row>
    <row r="1021" spans="1:5" ht="30" x14ac:dyDescent="0.25">
      <c r="A1021" s="10" t="s">
        <v>28993</v>
      </c>
      <c r="B1021" s="439" t="s">
        <v>1220</v>
      </c>
      <c r="C1021" s="10" t="s">
        <v>2</v>
      </c>
      <c r="D1021" s="504">
        <v>186.66</v>
      </c>
      <c r="E1021" s="504">
        <f t="shared" si="15"/>
        <v>138.26666666666665</v>
      </c>
    </row>
    <row r="1022" spans="1:5" x14ac:dyDescent="0.25">
      <c r="A1022" s="10" t="s">
        <v>28994</v>
      </c>
      <c r="B1022" s="439" t="s">
        <v>1221</v>
      </c>
      <c r="C1022" s="10" t="s">
        <v>2</v>
      </c>
      <c r="D1022" s="504">
        <v>158.4</v>
      </c>
      <c r="E1022" s="504">
        <f t="shared" si="15"/>
        <v>117.33333333333333</v>
      </c>
    </row>
    <row r="1023" spans="1:5" ht="30" x14ac:dyDescent="0.25">
      <c r="A1023" s="10" t="s">
        <v>28995</v>
      </c>
      <c r="B1023" s="439" t="s">
        <v>1222</v>
      </c>
      <c r="C1023" s="10" t="s">
        <v>41</v>
      </c>
      <c r="D1023" s="504">
        <v>326.75</v>
      </c>
      <c r="E1023" s="504">
        <f t="shared" si="15"/>
        <v>242.03703703703701</v>
      </c>
    </row>
    <row r="1024" spans="1:5" x14ac:dyDescent="0.25">
      <c r="A1024" s="10" t="s">
        <v>28996</v>
      </c>
      <c r="B1024" s="439" t="s">
        <v>1223</v>
      </c>
      <c r="C1024" s="10" t="s">
        <v>2472</v>
      </c>
      <c r="D1024" s="504">
        <v>64.64</v>
      </c>
      <c r="E1024" s="504">
        <f t="shared" si="15"/>
        <v>47.88148148148148</v>
      </c>
    </row>
    <row r="1025" spans="1:5" ht="30" x14ac:dyDescent="0.25">
      <c r="A1025" s="10" t="s">
        <v>28997</v>
      </c>
      <c r="B1025" s="439" t="s">
        <v>1224</v>
      </c>
      <c r="C1025" s="10" t="s">
        <v>3</v>
      </c>
      <c r="D1025" s="504">
        <v>33.96</v>
      </c>
      <c r="E1025" s="504">
        <f t="shared" si="15"/>
        <v>25.155555555555555</v>
      </c>
    </row>
    <row r="1026" spans="1:5" ht="30" x14ac:dyDescent="0.25">
      <c r="A1026" s="10" t="s">
        <v>28998</v>
      </c>
      <c r="B1026" s="439" t="s">
        <v>8</v>
      </c>
      <c r="C1026" s="10" t="s">
        <v>3</v>
      </c>
      <c r="D1026" s="504">
        <v>34.68</v>
      </c>
      <c r="E1026" s="504">
        <f t="shared" si="15"/>
        <v>25.688888888888886</v>
      </c>
    </row>
    <row r="1027" spans="1:5" ht="30" x14ac:dyDescent="0.25">
      <c r="A1027" s="10" t="s">
        <v>28999</v>
      </c>
      <c r="B1027" s="439" t="s">
        <v>1225</v>
      </c>
      <c r="C1027" s="10" t="s">
        <v>5</v>
      </c>
      <c r="D1027" s="504">
        <v>125721.2</v>
      </c>
      <c r="E1027" s="504">
        <f t="shared" si="15"/>
        <v>93126.814814814803</v>
      </c>
    </row>
    <row r="1028" spans="1:5" ht="30" x14ac:dyDescent="0.25">
      <c r="A1028" s="10" t="s">
        <v>29000</v>
      </c>
      <c r="B1028" s="439" t="s">
        <v>1226</v>
      </c>
      <c r="C1028" s="10" t="s">
        <v>5</v>
      </c>
      <c r="D1028" s="504">
        <v>127511.74</v>
      </c>
      <c r="E1028" s="504">
        <f t="shared" si="15"/>
        <v>94453.140740740739</v>
      </c>
    </row>
    <row r="1029" spans="1:5" ht="30" x14ac:dyDescent="0.25">
      <c r="A1029" s="10" t="s">
        <v>29001</v>
      </c>
      <c r="B1029" s="439" t="s">
        <v>1227</v>
      </c>
      <c r="C1029" s="10" t="s">
        <v>5</v>
      </c>
      <c r="D1029" s="504">
        <v>166872.68</v>
      </c>
      <c r="E1029" s="504">
        <f t="shared" si="15"/>
        <v>123609.39259259257</v>
      </c>
    </row>
    <row r="1030" spans="1:5" ht="30" x14ac:dyDescent="0.25">
      <c r="A1030" s="10" t="s">
        <v>29002</v>
      </c>
      <c r="B1030" s="439" t="s">
        <v>21</v>
      </c>
      <c r="C1030" s="10" t="s">
        <v>5</v>
      </c>
      <c r="D1030" s="504">
        <v>112379.93</v>
      </c>
      <c r="E1030" s="504">
        <f t="shared" si="15"/>
        <v>83244.392592592587</v>
      </c>
    </row>
    <row r="1031" spans="1:5" ht="30" x14ac:dyDescent="0.25">
      <c r="A1031" s="10" t="s">
        <v>29003</v>
      </c>
      <c r="B1031" s="439" t="s">
        <v>2414</v>
      </c>
      <c r="C1031" s="10" t="s">
        <v>5</v>
      </c>
      <c r="D1031" s="504">
        <v>112540.01</v>
      </c>
      <c r="E1031" s="504">
        <f t="shared" si="15"/>
        <v>83362.970370370356</v>
      </c>
    </row>
    <row r="1032" spans="1:5" ht="30" x14ac:dyDescent="0.25">
      <c r="A1032" s="10" t="s">
        <v>29004</v>
      </c>
      <c r="B1032" s="439" t="s">
        <v>1228</v>
      </c>
      <c r="C1032" s="10" t="s">
        <v>5</v>
      </c>
      <c r="D1032" s="504">
        <v>174376.42</v>
      </c>
      <c r="E1032" s="504">
        <f t="shared" si="15"/>
        <v>129167.71851851852</v>
      </c>
    </row>
    <row r="1033" spans="1:5" ht="30" x14ac:dyDescent="0.25">
      <c r="A1033" s="10" t="s">
        <v>29005</v>
      </c>
      <c r="B1033" s="439" t="s">
        <v>1229</v>
      </c>
      <c r="C1033" s="10" t="s">
        <v>5</v>
      </c>
      <c r="D1033" s="504">
        <v>224911.43</v>
      </c>
      <c r="E1033" s="504">
        <f t="shared" si="15"/>
        <v>166601.05925925923</v>
      </c>
    </row>
    <row r="1034" spans="1:5" ht="30" x14ac:dyDescent="0.25">
      <c r="A1034" s="10" t="s">
        <v>29006</v>
      </c>
      <c r="B1034" s="439" t="s">
        <v>2415</v>
      </c>
      <c r="C1034" s="10" t="s">
        <v>5</v>
      </c>
      <c r="D1034" s="504">
        <v>221225.16</v>
      </c>
      <c r="E1034" s="504">
        <f t="shared" si="15"/>
        <v>163870.48888888888</v>
      </c>
    </row>
    <row r="1035" spans="1:5" ht="30" x14ac:dyDescent="0.25">
      <c r="A1035" s="10" t="s">
        <v>29007</v>
      </c>
      <c r="B1035" s="439" t="s">
        <v>1230</v>
      </c>
      <c r="C1035" s="10" t="s">
        <v>5</v>
      </c>
      <c r="D1035" s="504">
        <v>202097.82</v>
      </c>
      <c r="E1035" s="504">
        <f t="shared" ref="E1035:E1098" si="16">D1035/(1+$G$4)</f>
        <v>149702.08888888889</v>
      </c>
    </row>
    <row r="1036" spans="1:5" ht="30" x14ac:dyDescent="0.25">
      <c r="A1036" s="10" t="s">
        <v>29008</v>
      </c>
      <c r="B1036" s="439" t="s">
        <v>1231</v>
      </c>
      <c r="C1036" s="10" t="s">
        <v>5</v>
      </c>
      <c r="D1036" s="504">
        <v>256402.99</v>
      </c>
      <c r="E1036" s="504">
        <f t="shared" si="16"/>
        <v>189928.14074074072</v>
      </c>
    </row>
    <row r="1037" spans="1:5" ht="30" x14ac:dyDescent="0.25">
      <c r="A1037" s="10" t="s">
        <v>29009</v>
      </c>
      <c r="B1037" s="439" t="s">
        <v>1232</v>
      </c>
      <c r="C1037" s="10" t="s">
        <v>5</v>
      </c>
      <c r="D1037" s="504">
        <v>165361.45000000001</v>
      </c>
      <c r="E1037" s="504">
        <f t="shared" si="16"/>
        <v>122489.96296296296</v>
      </c>
    </row>
    <row r="1038" spans="1:5" ht="30" x14ac:dyDescent="0.25">
      <c r="A1038" s="10" t="s">
        <v>29010</v>
      </c>
      <c r="B1038" s="439" t="s">
        <v>1233</v>
      </c>
      <c r="C1038" s="10" t="s">
        <v>5</v>
      </c>
      <c r="D1038" s="504">
        <v>213875.18</v>
      </c>
      <c r="E1038" s="504">
        <f t="shared" si="16"/>
        <v>158426.05925925923</v>
      </c>
    </row>
    <row r="1039" spans="1:5" ht="30" x14ac:dyDescent="0.25">
      <c r="A1039" s="10" t="s">
        <v>29011</v>
      </c>
      <c r="B1039" s="439" t="s">
        <v>1234</v>
      </c>
      <c r="C1039" s="10" t="s">
        <v>41</v>
      </c>
      <c r="D1039" s="504">
        <v>843.82</v>
      </c>
      <c r="E1039" s="504">
        <f t="shared" si="16"/>
        <v>625.05185185185189</v>
      </c>
    </row>
    <row r="1040" spans="1:5" x14ac:dyDescent="0.25">
      <c r="A1040" s="10" t="s">
        <v>1235</v>
      </c>
      <c r="B1040" s="439" t="s">
        <v>1236</v>
      </c>
      <c r="C1040" s="10" t="s">
        <v>41</v>
      </c>
      <c r="D1040" s="504">
        <v>15.25</v>
      </c>
      <c r="E1040" s="504">
        <f t="shared" si="16"/>
        <v>11.296296296296296</v>
      </c>
    </row>
    <row r="1041" spans="1:5" x14ac:dyDescent="0.25">
      <c r="A1041" s="10" t="s">
        <v>1237</v>
      </c>
      <c r="B1041" s="439" t="s">
        <v>1238</v>
      </c>
      <c r="C1041" s="10" t="s">
        <v>41</v>
      </c>
      <c r="D1041" s="504">
        <v>18.739999999999998</v>
      </c>
      <c r="E1041" s="504">
        <f t="shared" si="16"/>
        <v>13.88148148148148</v>
      </c>
    </row>
    <row r="1042" spans="1:5" x14ac:dyDescent="0.25">
      <c r="A1042" s="10" t="s">
        <v>1239</v>
      </c>
      <c r="B1042" s="439" t="s">
        <v>1240</v>
      </c>
      <c r="C1042" s="10" t="s">
        <v>41</v>
      </c>
      <c r="D1042" s="504">
        <v>18.37</v>
      </c>
      <c r="E1042" s="504">
        <f t="shared" si="16"/>
        <v>13.607407407407408</v>
      </c>
    </row>
    <row r="1043" spans="1:5" x14ac:dyDescent="0.25">
      <c r="A1043" s="10" t="s">
        <v>1241</v>
      </c>
      <c r="B1043" s="439" t="s">
        <v>1242</v>
      </c>
      <c r="C1043" s="10" t="s">
        <v>41</v>
      </c>
      <c r="D1043" s="504">
        <v>21.49</v>
      </c>
      <c r="E1043" s="504">
        <f t="shared" si="16"/>
        <v>15.918518518518516</v>
      </c>
    </row>
    <row r="1044" spans="1:5" x14ac:dyDescent="0.25">
      <c r="A1044" s="10" t="s">
        <v>1243</v>
      </c>
      <c r="B1044" s="439" t="s">
        <v>1244</v>
      </c>
      <c r="C1044" s="10" t="s">
        <v>41</v>
      </c>
      <c r="D1044" s="504">
        <v>1.54</v>
      </c>
      <c r="E1044" s="504">
        <f t="shared" si="16"/>
        <v>1.1407407407407406</v>
      </c>
    </row>
    <row r="1045" spans="1:5" x14ac:dyDescent="0.25">
      <c r="A1045" s="10" t="s">
        <v>1245</v>
      </c>
      <c r="B1045" s="439" t="s">
        <v>1246</v>
      </c>
      <c r="C1045" s="10" t="s">
        <v>41</v>
      </c>
      <c r="D1045" s="504">
        <v>3.02</v>
      </c>
      <c r="E1045" s="504">
        <f t="shared" si="16"/>
        <v>2.2370370370370369</v>
      </c>
    </row>
    <row r="1046" spans="1:5" x14ac:dyDescent="0.25">
      <c r="A1046" s="10" t="s">
        <v>1247</v>
      </c>
      <c r="B1046" s="439" t="s">
        <v>1248</v>
      </c>
      <c r="C1046" s="10" t="s">
        <v>41</v>
      </c>
      <c r="D1046" s="504">
        <v>12.26</v>
      </c>
      <c r="E1046" s="504">
        <f t="shared" si="16"/>
        <v>9.0814814814814806</v>
      </c>
    </row>
    <row r="1047" spans="1:5" x14ac:dyDescent="0.25">
      <c r="A1047" s="10" t="s">
        <v>1249</v>
      </c>
      <c r="B1047" s="439" t="s">
        <v>1250</v>
      </c>
      <c r="C1047" s="10" t="s">
        <v>41</v>
      </c>
      <c r="D1047" s="504">
        <v>0.46</v>
      </c>
      <c r="E1047" s="504">
        <f t="shared" si="16"/>
        <v>0.34074074074074073</v>
      </c>
    </row>
    <row r="1048" spans="1:5" x14ac:dyDescent="0.25">
      <c r="A1048" s="10" t="s">
        <v>1251</v>
      </c>
      <c r="B1048" s="439" t="s">
        <v>1252</v>
      </c>
      <c r="C1048" s="10" t="s">
        <v>41</v>
      </c>
      <c r="D1048" s="504">
        <v>33.69</v>
      </c>
      <c r="E1048" s="504">
        <f t="shared" si="16"/>
        <v>24.955555555555552</v>
      </c>
    </row>
    <row r="1049" spans="1:5" x14ac:dyDescent="0.25">
      <c r="A1049" s="10" t="s">
        <v>1253</v>
      </c>
      <c r="B1049" s="439" t="s">
        <v>1254</v>
      </c>
      <c r="C1049" s="10" t="s">
        <v>368</v>
      </c>
      <c r="D1049" s="504">
        <v>5846.86</v>
      </c>
      <c r="E1049" s="504">
        <f t="shared" si="16"/>
        <v>4331.0074074074073</v>
      </c>
    </row>
    <row r="1050" spans="1:5" x14ac:dyDescent="0.25">
      <c r="A1050" s="10" t="s">
        <v>1255</v>
      </c>
      <c r="B1050" s="439" t="s">
        <v>1256</v>
      </c>
      <c r="C1050" s="10" t="s">
        <v>368</v>
      </c>
      <c r="D1050" s="504">
        <v>2316.5100000000002</v>
      </c>
      <c r="E1050" s="504">
        <f t="shared" si="16"/>
        <v>1715.9333333333334</v>
      </c>
    </row>
    <row r="1051" spans="1:5" x14ac:dyDescent="0.25">
      <c r="A1051" s="10" t="s">
        <v>1257</v>
      </c>
      <c r="B1051" s="439" t="s">
        <v>1258</v>
      </c>
      <c r="C1051" s="10" t="s">
        <v>368</v>
      </c>
      <c r="D1051" s="504">
        <v>10441.33</v>
      </c>
      <c r="E1051" s="504">
        <f t="shared" si="16"/>
        <v>7734.3185185185175</v>
      </c>
    </row>
    <row r="1052" spans="1:5" x14ac:dyDescent="0.25">
      <c r="A1052" s="10" t="s">
        <v>1259</v>
      </c>
      <c r="B1052" s="439" t="s">
        <v>1260</v>
      </c>
      <c r="C1052" s="10" t="s">
        <v>3</v>
      </c>
      <c r="D1052" s="504">
        <v>22.48</v>
      </c>
      <c r="E1052" s="504">
        <f t="shared" si="16"/>
        <v>16.651851851851852</v>
      </c>
    </row>
    <row r="1053" spans="1:5" x14ac:dyDescent="0.25">
      <c r="A1053" s="10" t="s">
        <v>1261</v>
      </c>
      <c r="B1053" s="439" t="s">
        <v>1262</v>
      </c>
      <c r="C1053" s="10" t="s">
        <v>3</v>
      </c>
      <c r="D1053" s="504">
        <v>64.47</v>
      </c>
      <c r="E1053" s="504">
        <f t="shared" si="16"/>
        <v>47.755555555555553</v>
      </c>
    </row>
    <row r="1054" spans="1:5" x14ac:dyDescent="0.25">
      <c r="A1054" s="10" t="s">
        <v>1263</v>
      </c>
      <c r="B1054" s="439" t="s">
        <v>1264</v>
      </c>
      <c r="C1054" s="10" t="s">
        <v>41</v>
      </c>
      <c r="D1054" s="504">
        <v>11</v>
      </c>
      <c r="E1054" s="504">
        <f t="shared" si="16"/>
        <v>8.148148148148147</v>
      </c>
    </row>
    <row r="1055" spans="1:5" ht="30" x14ac:dyDescent="0.25">
      <c r="A1055" s="10" t="s">
        <v>1265</v>
      </c>
      <c r="B1055" s="439" t="s">
        <v>1266</v>
      </c>
      <c r="C1055" s="10" t="s">
        <v>368</v>
      </c>
      <c r="D1055" s="504">
        <v>23156.42</v>
      </c>
      <c r="E1055" s="504">
        <f t="shared" si="16"/>
        <v>17152.903703703701</v>
      </c>
    </row>
    <row r="1056" spans="1:5" ht="30" x14ac:dyDescent="0.25">
      <c r="A1056" s="10" t="s">
        <v>1267</v>
      </c>
      <c r="B1056" s="439" t="s">
        <v>1268</v>
      </c>
      <c r="C1056" s="10" t="s">
        <v>1269</v>
      </c>
      <c r="D1056" s="504">
        <v>757.64</v>
      </c>
      <c r="E1056" s="504">
        <f t="shared" si="16"/>
        <v>561.21481481481476</v>
      </c>
    </row>
    <row r="1057" spans="1:5" x14ac:dyDescent="0.25">
      <c r="A1057" s="10" t="s">
        <v>1270</v>
      </c>
      <c r="B1057" s="439" t="s">
        <v>1271</v>
      </c>
      <c r="C1057" s="10" t="s">
        <v>368</v>
      </c>
      <c r="D1057" s="504">
        <v>31759.18</v>
      </c>
      <c r="E1057" s="504">
        <f t="shared" si="16"/>
        <v>23525.318518518518</v>
      </c>
    </row>
    <row r="1058" spans="1:5" ht="30" x14ac:dyDescent="0.25">
      <c r="A1058" s="10" t="s">
        <v>29012</v>
      </c>
      <c r="B1058" s="439" t="s">
        <v>29013</v>
      </c>
      <c r="C1058" s="10" t="s">
        <v>368</v>
      </c>
      <c r="D1058" s="504">
        <v>30934.73</v>
      </c>
      <c r="E1058" s="504">
        <f t="shared" si="16"/>
        <v>22914.614814814813</v>
      </c>
    </row>
    <row r="1059" spans="1:5" ht="30" x14ac:dyDescent="0.25">
      <c r="A1059" s="10" t="s">
        <v>29014</v>
      </c>
      <c r="B1059" s="439" t="s">
        <v>29015</v>
      </c>
      <c r="C1059" s="10" t="s">
        <v>1269</v>
      </c>
      <c r="D1059" s="504">
        <v>759.86</v>
      </c>
      <c r="E1059" s="504">
        <f t="shared" si="16"/>
        <v>562.85925925925926</v>
      </c>
    </row>
    <row r="1060" spans="1:5" x14ac:dyDescent="0.25">
      <c r="A1060" s="10" t="s">
        <v>1272</v>
      </c>
      <c r="B1060" s="439" t="s">
        <v>1273</v>
      </c>
      <c r="C1060" s="10" t="s">
        <v>41</v>
      </c>
      <c r="D1060" s="504">
        <v>211.9</v>
      </c>
      <c r="E1060" s="504">
        <f t="shared" si="16"/>
        <v>156.96296296296296</v>
      </c>
    </row>
    <row r="1061" spans="1:5" x14ac:dyDescent="0.25">
      <c r="A1061" s="10" t="s">
        <v>1274</v>
      </c>
      <c r="B1061" s="439" t="s">
        <v>1275</v>
      </c>
      <c r="C1061" s="10" t="s">
        <v>2</v>
      </c>
      <c r="D1061" s="504">
        <v>13.95</v>
      </c>
      <c r="E1061" s="504">
        <f t="shared" si="16"/>
        <v>10.333333333333332</v>
      </c>
    </row>
    <row r="1062" spans="1:5" ht="30" x14ac:dyDescent="0.25">
      <c r="A1062" s="10" t="s">
        <v>1276</v>
      </c>
      <c r="B1062" s="439" t="s">
        <v>1277</v>
      </c>
      <c r="C1062" s="10" t="s">
        <v>41</v>
      </c>
      <c r="D1062" s="504">
        <v>183.75</v>
      </c>
      <c r="E1062" s="504">
        <f t="shared" si="16"/>
        <v>136.11111111111111</v>
      </c>
    </row>
    <row r="1063" spans="1:5" x14ac:dyDescent="0.25">
      <c r="A1063" s="10" t="s">
        <v>1278</v>
      </c>
      <c r="B1063" s="439" t="s">
        <v>1279</v>
      </c>
      <c r="C1063" s="10" t="s">
        <v>3</v>
      </c>
      <c r="D1063" s="504">
        <v>3073.37</v>
      </c>
      <c r="E1063" s="504">
        <f t="shared" si="16"/>
        <v>2276.5703703703703</v>
      </c>
    </row>
    <row r="1064" spans="1:5" x14ac:dyDescent="0.25">
      <c r="A1064" s="10" t="s">
        <v>1280</v>
      </c>
      <c r="B1064" s="439" t="s">
        <v>1281</v>
      </c>
      <c r="C1064" s="10" t="s">
        <v>2472</v>
      </c>
      <c r="D1064" s="504">
        <v>5.88</v>
      </c>
      <c r="E1064" s="504">
        <f t="shared" si="16"/>
        <v>4.3555555555555552</v>
      </c>
    </row>
    <row r="1065" spans="1:5" x14ac:dyDescent="0.25">
      <c r="A1065" s="10" t="s">
        <v>1282</v>
      </c>
      <c r="B1065" s="439" t="s">
        <v>1283</v>
      </c>
      <c r="C1065" s="10" t="s">
        <v>2472</v>
      </c>
      <c r="D1065" s="504">
        <v>5.88</v>
      </c>
      <c r="E1065" s="504">
        <f t="shared" si="16"/>
        <v>4.3555555555555552</v>
      </c>
    </row>
    <row r="1066" spans="1:5" x14ac:dyDescent="0.25">
      <c r="A1066" s="10" t="s">
        <v>1284</v>
      </c>
      <c r="B1066" s="439" t="s">
        <v>1285</v>
      </c>
      <c r="C1066" s="10" t="s">
        <v>2472</v>
      </c>
      <c r="D1066" s="504">
        <v>10.68</v>
      </c>
      <c r="E1066" s="504">
        <f t="shared" si="16"/>
        <v>7.9111111111111105</v>
      </c>
    </row>
    <row r="1067" spans="1:5" x14ac:dyDescent="0.25">
      <c r="A1067" s="10" t="s">
        <v>1286</v>
      </c>
      <c r="B1067" s="439" t="s">
        <v>1287</v>
      </c>
      <c r="C1067" s="10" t="s">
        <v>2472</v>
      </c>
      <c r="D1067" s="504">
        <v>2.61</v>
      </c>
      <c r="E1067" s="504">
        <f t="shared" si="16"/>
        <v>1.9333333333333331</v>
      </c>
    </row>
    <row r="1068" spans="1:5" x14ac:dyDescent="0.25">
      <c r="A1068" s="10" t="s">
        <v>1288</v>
      </c>
      <c r="B1068" s="439" t="s">
        <v>1289</v>
      </c>
      <c r="C1068" s="10" t="s">
        <v>2472</v>
      </c>
      <c r="D1068" s="504">
        <v>2.94</v>
      </c>
      <c r="E1068" s="504">
        <f t="shared" si="16"/>
        <v>2.1777777777777776</v>
      </c>
    </row>
    <row r="1069" spans="1:5" x14ac:dyDescent="0.25">
      <c r="A1069" s="10" t="s">
        <v>1290</v>
      </c>
      <c r="B1069" s="439" t="s">
        <v>1291</v>
      </c>
      <c r="C1069" s="10" t="s">
        <v>2472</v>
      </c>
      <c r="D1069" s="504">
        <v>2.94</v>
      </c>
      <c r="E1069" s="504">
        <f t="shared" si="16"/>
        <v>2.1777777777777776</v>
      </c>
    </row>
    <row r="1070" spans="1:5" x14ac:dyDescent="0.25">
      <c r="A1070" s="10" t="s">
        <v>1292</v>
      </c>
      <c r="B1070" s="439" t="s">
        <v>1293</v>
      </c>
      <c r="C1070" s="10" t="s">
        <v>2472</v>
      </c>
      <c r="D1070" s="504">
        <v>0.56000000000000005</v>
      </c>
      <c r="E1070" s="504">
        <f t="shared" si="16"/>
        <v>0.4148148148148148</v>
      </c>
    </row>
    <row r="1071" spans="1:5" x14ac:dyDescent="0.25">
      <c r="A1071" s="10" t="s">
        <v>1294</v>
      </c>
      <c r="B1071" s="439" t="s">
        <v>1295</v>
      </c>
      <c r="C1071" s="10" t="s">
        <v>2472</v>
      </c>
      <c r="D1071" s="504">
        <v>0.28000000000000003</v>
      </c>
      <c r="E1071" s="504">
        <f t="shared" si="16"/>
        <v>0.2074074074074074</v>
      </c>
    </row>
    <row r="1072" spans="1:5" x14ac:dyDescent="0.25">
      <c r="A1072" s="10" t="s">
        <v>1296</v>
      </c>
      <c r="B1072" s="439" t="s">
        <v>1297</v>
      </c>
      <c r="C1072" s="10" t="s">
        <v>2472</v>
      </c>
      <c r="D1072" s="504">
        <v>0.14000000000000001</v>
      </c>
      <c r="E1072" s="504">
        <f t="shared" si="16"/>
        <v>0.1037037037037037</v>
      </c>
    </row>
    <row r="1073" spans="1:5" x14ac:dyDescent="0.25">
      <c r="A1073" s="10" t="s">
        <v>1298</v>
      </c>
      <c r="B1073" s="439" t="s">
        <v>1299</v>
      </c>
      <c r="C1073" s="10" t="s">
        <v>2472</v>
      </c>
      <c r="D1073" s="504">
        <v>2.34</v>
      </c>
      <c r="E1073" s="504">
        <f t="shared" si="16"/>
        <v>1.7333333333333332</v>
      </c>
    </row>
    <row r="1074" spans="1:5" x14ac:dyDescent="0.25">
      <c r="A1074" s="10" t="s">
        <v>1300</v>
      </c>
      <c r="B1074" s="439" t="s">
        <v>1301</v>
      </c>
      <c r="C1074" s="10" t="s">
        <v>2472</v>
      </c>
      <c r="D1074" s="504">
        <v>1.84</v>
      </c>
      <c r="E1074" s="504">
        <f t="shared" si="16"/>
        <v>1.3629629629629629</v>
      </c>
    </row>
    <row r="1075" spans="1:5" x14ac:dyDescent="0.25">
      <c r="A1075" s="10" t="s">
        <v>1302</v>
      </c>
      <c r="B1075" s="439" t="s">
        <v>1303</v>
      </c>
      <c r="C1075" s="10" t="s">
        <v>2472</v>
      </c>
      <c r="D1075" s="504">
        <v>1.96</v>
      </c>
      <c r="E1075" s="504">
        <f t="shared" si="16"/>
        <v>1.4518518518518517</v>
      </c>
    </row>
    <row r="1076" spans="1:5" x14ac:dyDescent="0.25">
      <c r="A1076" s="10" t="s">
        <v>1304</v>
      </c>
      <c r="B1076" s="439" t="s">
        <v>1305</v>
      </c>
      <c r="C1076" s="10" t="s">
        <v>2472</v>
      </c>
      <c r="D1076" s="504">
        <v>1.71</v>
      </c>
      <c r="E1076" s="504">
        <f t="shared" si="16"/>
        <v>1.2666666666666666</v>
      </c>
    </row>
    <row r="1077" spans="1:5" x14ac:dyDescent="0.25">
      <c r="A1077" s="10" t="s">
        <v>1306</v>
      </c>
      <c r="B1077" s="439" t="s">
        <v>1307</v>
      </c>
      <c r="C1077" s="10" t="s">
        <v>1308</v>
      </c>
      <c r="D1077" s="504">
        <v>265.48</v>
      </c>
      <c r="E1077" s="504">
        <f t="shared" si="16"/>
        <v>196.65185185185186</v>
      </c>
    </row>
    <row r="1078" spans="1:5" x14ac:dyDescent="0.25">
      <c r="A1078" s="10" t="s">
        <v>1309</v>
      </c>
      <c r="B1078" s="439" t="s">
        <v>1310</v>
      </c>
      <c r="C1078" s="10" t="s">
        <v>1308</v>
      </c>
      <c r="D1078" s="504">
        <v>332.83</v>
      </c>
      <c r="E1078" s="504">
        <f t="shared" si="16"/>
        <v>246.54074074074072</v>
      </c>
    </row>
    <row r="1079" spans="1:5" x14ac:dyDescent="0.25">
      <c r="A1079" s="10" t="s">
        <v>1311</v>
      </c>
      <c r="B1079" s="439" t="s">
        <v>1312</v>
      </c>
      <c r="C1079" s="10" t="s">
        <v>1308</v>
      </c>
      <c r="D1079" s="504">
        <v>381.6</v>
      </c>
      <c r="E1079" s="504">
        <f t="shared" si="16"/>
        <v>282.66666666666669</v>
      </c>
    </row>
    <row r="1080" spans="1:5" x14ac:dyDescent="0.25">
      <c r="A1080" s="10" t="s">
        <v>1313</v>
      </c>
      <c r="B1080" s="439" t="s">
        <v>1314</v>
      </c>
      <c r="C1080" s="10" t="s">
        <v>1308</v>
      </c>
      <c r="D1080" s="504">
        <v>182.68</v>
      </c>
      <c r="E1080" s="504">
        <f t="shared" si="16"/>
        <v>135.31851851851852</v>
      </c>
    </row>
    <row r="1081" spans="1:5" x14ac:dyDescent="0.25">
      <c r="A1081" s="10" t="s">
        <v>1315</v>
      </c>
      <c r="B1081" s="439" t="s">
        <v>1316</v>
      </c>
      <c r="C1081" s="10" t="s">
        <v>1308</v>
      </c>
      <c r="D1081" s="504">
        <v>250.23</v>
      </c>
      <c r="E1081" s="504">
        <f t="shared" si="16"/>
        <v>185.35555555555553</v>
      </c>
    </row>
    <row r="1082" spans="1:5" x14ac:dyDescent="0.25">
      <c r="A1082" s="10" t="s">
        <v>1317</v>
      </c>
      <c r="B1082" s="439" t="s">
        <v>1318</v>
      </c>
      <c r="C1082" s="10" t="s">
        <v>1308</v>
      </c>
      <c r="D1082" s="504">
        <v>173.99</v>
      </c>
      <c r="E1082" s="504">
        <f t="shared" si="16"/>
        <v>128.88148148148147</v>
      </c>
    </row>
    <row r="1083" spans="1:5" x14ac:dyDescent="0.25">
      <c r="A1083" s="10" t="s">
        <v>1319</v>
      </c>
      <c r="B1083" s="439" t="s">
        <v>1320</v>
      </c>
      <c r="C1083" s="10" t="s">
        <v>1308</v>
      </c>
      <c r="D1083" s="504">
        <v>494.7</v>
      </c>
      <c r="E1083" s="504">
        <f t="shared" si="16"/>
        <v>366.4444444444444</v>
      </c>
    </row>
    <row r="1084" spans="1:5" x14ac:dyDescent="0.25">
      <c r="A1084" s="10" t="s">
        <v>1321</v>
      </c>
      <c r="B1084" s="439" t="s">
        <v>1322</v>
      </c>
      <c r="C1084" s="10" t="s">
        <v>1323</v>
      </c>
      <c r="D1084" s="504">
        <v>170.64</v>
      </c>
      <c r="E1084" s="504">
        <f t="shared" si="16"/>
        <v>126.39999999999998</v>
      </c>
    </row>
    <row r="1085" spans="1:5" x14ac:dyDescent="0.25">
      <c r="A1085" s="10" t="s">
        <v>1324</v>
      </c>
      <c r="B1085" s="439" t="s">
        <v>1325</v>
      </c>
      <c r="C1085" s="10" t="s">
        <v>1323</v>
      </c>
      <c r="D1085" s="504">
        <v>52.05</v>
      </c>
      <c r="E1085" s="504">
        <f t="shared" si="16"/>
        <v>38.55555555555555</v>
      </c>
    </row>
    <row r="1086" spans="1:5" x14ac:dyDescent="0.25">
      <c r="A1086" s="10" t="s">
        <v>1326</v>
      </c>
      <c r="B1086" s="439" t="s">
        <v>1327</v>
      </c>
      <c r="C1086" s="10" t="s">
        <v>1323</v>
      </c>
      <c r="D1086" s="504">
        <v>31.04</v>
      </c>
      <c r="E1086" s="504">
        <f t="shared" si="16"/>
        <v>22.99259259259259</v>
      </c>
    </row>
    <row r="1087" spans="1:5" x14ac:dyDescent="0.25">
      <c r="A1087" s="10" t="s">
        <v>1328</v>
      </c>
      <c r="B1087" s="439" t="s">
        <v>1329</v>
      </c>
      <c r="C1087" s="10" t="s">
        <v>1323</v>
      </c>
      <c r="D1087" s="504">
        <v>32.75</v>
      </c>
      <c r="E1087" s="504">
        <f t="shared" si="16"/>
        <v>24.259259259259256</v>
      </c>
    </row>
    <row r="1088" spans="1:5" x14ac:dyDescent="0.25">
      <c r="A1088" s="10" t="s">
        <v>1330</v>
      </c>
      <c r="B1088" s="439" t="s">
        <v>1331</v>
      </c>
      <c r="C1088" s="10" t="s">
        <v>1323</v>
      </c>
      <c r="D1088" s="504">
        <v>27.29</v>
      </c>
      <c r="E1088" s="504">
        <f t="shared" si="16"/>
        <v>20.214814814814812</v>
      </c>
    </row>
    <row r="1089" spans="1:5" x14ac:dyDescent="0.25">
      <c r="A1089" s="10" t="s">
        <v>1332</v>
      </c>
      <c r="B1089" s="439" t="s">
        <v>1333</v>
      </c>
      <c r="C1089" s="10" t="s">
        <v>1323</v>
      </c>
      <c r="D1089" s="504">
        <v>33.58</v>
      </c>
      <c r="E1089" s="504">
        <f t="shared" si="16"/>
        <v>24.87407407407407</v>
      </c>
    </row>
    <row r="1090" spans="1:5" x14ac:dyDescent="0.25">
      <c r="A1090" s="10" t="s">
        <v>1334</v>
      </c>
      <c r="B1090" s="439" t="s">
        <v>1335</v>
      </c>
      <c r="C1090" s="10" t="s">
        <v>3</v>
      </c>
      <c r="D1090" s="504">
        <v>7359.9</v>
      </c>
      <c r="E1090" s="504">
        <f t="shared" si="16"/>
        <v>5451.7777777777774</v>
      </c>
    </row>
    <row r="1091" spans="1:5" x14ac:dyDescent="0.25">
      <c r="A1091" s="10" t="s">
        <v>29016</v>
      </c>
      <c r="B1091" s="439" t="s">
        <v>29017</v>
      </c>
      <c r="C1091" s="10" t="s">
        <v>3</v>
      </c>
      <c r="D1091" s="504">
        <v>5152.32</v>
      </c>
      <c r="E1091" s="504">
        <f t="shared" si="16"/>
        <v>3816.5333333333328</v>
      </c>
    </row>
    <row r="1092" spans="1:5" ht="45" x14ac:dyDescent="0.25">
      <c r="A1092" s="10" t="s">
        <v>1336</v>
      </c>
      <c r="B1092" s="439" t="s">
        <v>1337</v>
      </c>
      <c r="C1092" s="10" t="s">
        <v>3</v>
      </c>
      <c r="D1092" s="504">
        <v>16524.060000000001</v>
      </c>
      <c r="E1092" s="504">
        <f t="shared" si="16"/>
        <v>12240.044444444444</v>
      </c>
    </row>
    <row r="1093" spans="1:5" ht="30" x14ac:dyDescent="0.25">
      <c r="A1093" s="10" t="s">
        <v>1338</v>
      </c>
      <c r="B1093" s="439" t="s">
        <v>1339</v>
      </c>
      <c r="C1093" s="10" t="s">
        <v>3</v>
      </c>
      <c r="D1093" s="504">
        <v>22960.18</v>
      </c>
      <c r="E1093" s="504">
        <f t="shared" si="16"/>
        <v>17007.54074074074</v>
      </c>
    </row>
    <row r="1094" spans="1:5" ht="30" x14ac:dyDescent="0.25">
      <c r="A1094" s="10" t="s">
        <v>1340</v>
      </c>
      <c r="B1094" s="439" t="s">
        <v>1341</v>
      </c>
      <c r="C1094" s="10" t="s">
        <v>3</v>
      </c>
      <c r="D1094" s="504">
        <v>29394.65</v>
      </c>
      <c r="E1094" s="504">
        <f t="shared" si="16"/>
        <v>21773.814814814814</v>
      </c>
    </row>
    <row r="1095" spans="1:5" ht="30" x14ac:dyDescent="0.25">
      <c r="A1095" s="10" t="s">
        <v>1342</v>
      </c>
      <c r="B1095" s="439" t="s">
        <v>1343</v>
      </c>
      <c r="C1095" s="10" t="s">
        <v>3</v>
      </c>
      <c r="D1095" s="504">
        <v>35830.769999999997</v>
      </c>
      <c r="E1095" s="504">
        <f t="shared" si="16"/>
        <v>26541.311111111107</v>
      </c>
    </row>
    <row r="1096" spans="1:5" ht="30" x14ac:dyDescent="0.25">
      <c r="A1096" s="10" t="s">
        <v>1344</v>
      </c>
      <c r="B1096" s="439" t="s">
        <v>1345</v>
      </c>
      <c r="C1096" s="10" t="s">
        <v>3</v>
      </c>
      <c r="D1096" s="504">
        <v>4802.9799999999996</v>
      </c>
      <c r="E1096" s="504">
        <f t="shared" si="16"/>
        <v>3557.7629629629623</v>
      </c>
    </row>
    <row r="1097" spans="1:5" x14ac:dyDescent="0.25">
      <c r="A1097" s="10" t="s">
        <v>1346</v>
      </c>
      <c r="B1097" s="439" t="s">
        <v>1347</v>
      </c>
      <c r="C1097" s="10" t="s">
        <v>3</v>
      </c>
      <c r="D1097" s="504">
        <v>596.28</v>
      </c>
      <c r="E1097" s="504">
        <f t="shared" si="16"/>
        <v>441.68888888888881</v>
      </c>
    </row>
    <row r="1098" spans="1:5" x14ac:dyDescent="0.25">
      <c r="A1098" s="10" t="s">
        <v>1348</v>
      </c>
      <c r="B1098" s="439" t="s">
        <v>1349</v>
      </c>
      <c r="C1098" s="10" t="s">
        <v>389</v>
      </c>
      <c r="D1098" s="504">
        <v>3295.07</v>
      </c>
      <c r="E1098" s="504">
        <f t="shared" si="16"/>
        <v>2440.7925925925924</v>
      </c>
    </row>
    <row r="1099" spans="1:5" x14ac:dyDescent="0.25">
      <c r="A1099" s="10" t="s">
        <v>1350</v>
      </c>
      <c r="B1099" s="439" t="s">
        <v>1351</v>
      </c>
      <c r="C1099" s="10" t="s">
        <v>389</v>
      </c>
      <c r="D1099" s="504">
        <v>1912.98</v>
      </c>
      <c r="E1099" s="504">
        <f t="shared" ref="E1099:E1162" si="17">D1099/(1+$G$4)</f>
        <v>1417.0222222222221</v>
      </c>
    </row>
    <row r="1100" spans="1:5" ht="30" x14ac:dyDescent="0.25">
      <c r="A1100" s="10" t="s">
        <v>1352</v>
      </c>
      <c r="B1100" s="439" t="s">
        <v>1353</v>
      </c>
      <c r="C1100" s="10" t="s">
        <v>1354</v>
      </c>
      <c r="D1100" s="504">
        <v>259.20999999999998</v>
      </c>
      <c r="E1100" s="504">
        <f t="shared" si="17"/>
        <v>192.00740740740738</v>
      </c>
    </row>
    <row r="1101" spans="1:5" x14ac:dyDescent="0.25">
      <c r="A1101" s="10" t="s">
        <v>1355</v>
      </c>
      <c r="B1101" s="439" t="s">
        <v>1356</v>
      </c>
      <c r="C1101" s="10" t="s">
        <v>1354</v>
      </c>
      <c r="D1101" s="504">
        <v>1110.47</v>
      </c>
      <c r="E1101" s="504">
        <f t="shared" si="17"/>
        <v>822.57037037037037</v>
      </c>
    </row>
    <row r="1102" spans="1:5" x14ac:dyDescent="0.25">
      <c r="A1102" s="10" t="s">
        <v>1357</v>
      </c>
      <c r="B1102" s="439" t="s">
        <v>1358</v>
      </c>
      <c r="C1102" s="10" t="s">
        <v>1323</v>
      </c>
      <c r="D1102" s="504">
        <v>94.72</v>
      </c>
      <c r="E1102" s="504">
        <f t="shared" si="17"/>
        <v>70.162962962962951</v>
      </c>
    </row>
    <row r="1103" spans="1:5" x14ac:dyDescent="0.25">
      <c r="A1103" s="10" t="s">
        <v>1359</v>
      </c>
      <c r="B1103" s="439" t="s">
        <v>1360</v>
      </c>
      <c r="C1103" s="10" t="s">
        <v>1323</v>
      </c>
      <c r="D1103" s="504">
        <v>125.23</v>
      </c>
      <c r="E1103" s="504">
        <f t="shared" si="17"/>
        <v>92.762962962962959</v>
      </c>
    </row>
    <row r="1104" spans="1:5" x14ac:dyDescent="0.25">
      <c r="A1104" s="10" t="s">
        <v>1361</v>
      </c>
      <c r="B1104" s="439" t="s">
        <v>1362</v>
      </c>
      <c r="C1104" s="10" t="s">
        <v>1323</v>
      </c>
      <c r="D1104" s="504">
        <v>212.08</v>
      </c>
      <c r="E1104" s="504">
        <f t="shared" si="17"/>
        <v>157.09629629629629</v>
      </c>
    </row>
    <row r="1105" spans="1:5" x14ac:dyDescent="0.25">
      <c r="A1105" s="10" t="s">
        <v>1363</v>
      </c>
      <c r="B1105" s="439" t="s">
        <v>1364</v>
      </c>
      <c r="C1105" s="10" t="s">
        <v>1323</v>
      </c>
      <c r="D1105" s="504">
        <v>120.51</v>
      </c>
      <c r="E1105" s="504">
        <f t="shared" si="17"/>
        <v>89.266666666666666</v>
      </c>
    </row>
    <row r="1106" spans="1:5" x14ac:dyDescent="0.25">
      <c r="A1106" s="10" t="s">
        <v>1365</v>
      </c>
      <c r="B1106" s="439" t="s">
        <v>1366</v>
      </c>
      <c r="C1106" s="10" t="s">
        <v>1323</v>
      </c>
      <c r="D1106" s="504">
        <v>129.66999999999999</v>
      </c>
      <c r="E1106" s="504">
        <f t="shared" si="17"/>
        <v>96.051851851851836</v>
      </c>
    </row>
    <row r="1107" spans="1:5" x14ac:dyDescent="0.25">
      <c r="A1107" s="10" t="s">
        <v>1367</v>
      </c>
      <c r="B1107" s="439" t="s">
        <v>1368</v>
      </c>
      <c r="C1107" s="10" t="s">
        <v>1323</v>
      </c>
      <c r="D1107" s="504">
        <v>190.49</v>
      </c>
      <c r="E1107" s="504">
        <f t="shared" si="17"/>
        <v>141.1037037037037</v>
      </c>
    </row>
    <row r="1108" spans="1:5" x14ac:dyDescent="0.25">
      <c r="A1108" s="10" t="s">
        <v>1369</v>
      </c>
      <c r="B1108" s="439" t="s">
        <v>1370</v>
      </c>
      <c r="C1108" s="10" t="s">
        <v>1323</v>
      </c>
      <c r="D1108" s="504">
        <v>167.14</v>
      </c>
      <c r="E1108" s="504">
        <f t="shared" si="17"/>
        <v>123.8074074074074</v>
      </c>
    </row>
    <row r="1109" spans="1:5" x14ac:dyDescent="0.25">
      <c r="A1109" s="10" t="s">
        <v>1371</v>
      </c>
      <c r="B1109" s="439" t="s">
        <v>1372</v>
      </c>
      <c r="C1109" s="10" t="s">
        <v>1323</v>
      </c>
      <c r="D1109" s="504">
        <v>194.55</v>
      </c>
      <c r="E1109" s="504">
        <f t="shared" si="17"/>
        <v>144.11111111111111</v>
      </c>
    </row>
    <row r="1110" spans="1:5" x14ac:dyDescent="0.25">
      <c r="A1110" s="10" t="s">
        <v>1373</v>
      </c>
      <c r="B1110" s="439" t="s">
        <v>1374</v>
      </c>
      <c r="C1110" s="10" t="s">
        <v>1323</v>
      </c>
      <c r="D1110" s="504">
        <v>258.32</v>
      </c>
      <c r="E1110" s="504">
        <f t="shared" si="17"/>
        <v>191.34814814814814</v>
      </c>
    </row>
    <row r="1111" spans="1:5" x14ac:dyDescent="0.25">
      <c r="A1111" s="10" t="s">
        <v>1375</v>
      </c>
      <c r="B1111" s="439" t="s">
        <v>1376</v>
      </c>
      <c r="C1111" s="10" t="s">
        <v>1323</v>
      </c>
      <c r="D1111" s="504">
        <v>38.590000000000003</v>
      </c>
      <c r="E1111" s="504">
        <f t="shared" si="17"/>
        <v>28.585185185185185</v>
      </c>
    </row>
    <row r="1112" spans="1:5" x14ac:dyDescent="0.25">
      <c r="A1112" s="10" t="s">
        <v>1377</v>
      </c>
      <c r="B1112" s="439" t="s">
        <v>1378</v>
      </c>
      <c r="C1112" s="10" t="s">
        <v>1323</v>
      </c>
      <c r="D1112" s="504">
        <v>34.82</v>
      </c>
      <c r="E1112" s="504">
        <f t="shared" si="17"/>
        <v>25.792592592592591</v>
      </c>
    </row>
    <row r="1113" spans="1:5" x14ac:dyDescent="0.25">
      <c r="A1113" s="10" t="s">
        <v>1379</v>
      </c>
      <c r="B1113" s="439" t="s">
        <v>1380</v>
      </c>
      <c r="C1113" s="10" t="s">
        <v>1323</v>
      </c>
      <c r="D1113" s="504">
        <v>39.49</v>
      </c>
      <c r="E1113" s="504">
        <f t="shared" si="17"/>
        <v>29.25185185185185</v>
      </c>
    </row>
    <row r="1114" spans="1:5" x14ac:dyDescent="0.25">
      <c r="A1114" s="10" t="s">
        <v>1381</v>
      </c>
      <c r="B1114" s="439" t="s">
        <v>1382</v>
      </c>
      <c r="C1114" s="10" t="s">
        <v>1323</v>
      </c>
      <c r="D1114" s="504">
        <v>47</v>
      </c>
      <c r="E1114" s="504">
        <f t="shared" si="17"/>
        <v>34.81481481481481</v>
      </c>
    </row>
    <row r="1115" spans="1:5" x14ac:dyDescent="0.25">
      <c r="A1115" s="10" t="s">
        <v>1383</v>
      </c>
      <c r="B1115" s="439" t="s">
        <v>1384</v>
      </c>
      <c r="C1115" s="10" t="s">
        <v>1323</v>
      </c>
      <c r="D1115" s="504">
        <v>118.98</v>
      </c>
      <c r="E1115" s="504">
        <f t="shared" si="17"/>
        <v>88.133333333333326</v>
      </c>
    </row>
    <row r="1116" spans="1:5" x14ac:dyDescent="0.25">
      <c r="A1116" s="10" t="s">
        <v>1385</v>
      </c>
      <c r="B1116" s="439" t="s">
        <v>1386</v>
      </c>
      <c r="C1116" s="10" t="s">
        <v>1323</v>
      </c>
      <c r="D1116" s="504">
        <v>457.28</v>
      </c>
      <c r="E1116" s="504">
        <f t="shared" si="17"/>
        <v>338.72592592592588</v>
      </c>
    </row>
    <row r="1117" spans="1:5" x14ac:dyDescent="0.25">
      <c r="A1117" s="10" t="s">
        <v>1387</v>
      </c>
      <c r="B1117" s="439" t="s">
        <v>1388</v>
      </c>
      <c r="C1117" s="10" t="s">
        <v>1323</v>
      </c>
      <c r="D1117" s="504">
        <v>845.89</v>
      </c>
      <c r="E1117" s="504">
        <f t="shared" si="17"/>
        <v>626.58518518518508</v>
      </c>
    </row>
    <row r="1118" spans="1:5" x14ac:dyDescent="0.25">
      <c r="A1118" s="10" t="s">
        <v>1389</v>
      </c>
      <c r="B1118" s="439" t="s">
        <v>1390</v>
      </c>
      <c r="C1118" s="10" t="s">
        <v>1323</v>
      </c>
      <c r="D1118" s="504">
        <v>352.54</v>
      </c>
      <c r="E1118" s="504">
        <f t="shared" si="17"/>
        <v>261.14074074074074</v>
      </c>
    </row>
    <row r="1119" spans="1:5" x14ac:dyDescent="0.25">
      <c r="A1119" s="10" t="s">
        <v>1391</v>
      </c>
      <c r="B1119" s="439" t="s">
        <v>1392</v>
      </c>
      <c r="C1119" s="10" t="s">
        <v>1323</v>
      </c>
      <c r="D1119" s="504">
        <v>67.3</v>
      </c>
      <c r="E1119" s="504">
        <f t="shared" si="17"/>
        <v>49.851851851851848</v>
      </c>
    </row>
    <row r="1120" spans="1:5" x14ac:dyDescent="0.25">
      <c r="A1120" s="10" t="s">
        <v>1393</v>
      </c>
      <c r="B1120" s="439" t="s">
        <v>1394</v>
      </c>
      <c r="C1120" s="10" t="s">
        <v>1323</v>
      </c>
      <c r="D1120" s="504">
        <v>61.87</v>
      </c>
      <c r="E1120" s="504">
        <f t="shared" si="17"/>
        <v>45.829629629629622</v>
      </c>
    </row>
    <row r="1121" spans="1:5" x14ac:dyDescent="0.25">
      <c r="A1121" s="10" t="s">
        <v>1395</v>
      </c>
      <c r="B1121" s="439" t="s">
        <v>1396</v>
      </c>
      <c r="C1121" s="10" t="s">
        <v>1323</v>
      </c>
      <c r="D1121" s="504">
        <v>65.180000000000007</v>
      </c>
      <c r="E1121" s="504">
        <f t="shared" si="17"/>
        <v>48.281481481481485</v>
      </c>
    </row>
    <row r="1122" spans="1:5" x14ac:dyDescent="0.25">
      <c r="A1122" s="10" t="s">
        <v>1397</v>
      </c>
      <c r="B1122" s="439" t="s">
        <v>1398</v>
      </c>
      <c r="C1122" s="10" t="s">
        <v>1323</v>
      </c>
      <c r="D1122" s="504">
        <v>77.64</v>
      </c>
      <c r="E1122" s="504">
        <f t="shared" si="17"/>
        <v>57.511111111111106</v>
      </c>
    </row>
    <row r="1123" spans="1:5" x14ac:dyDescent="0.25">
      <c r="A1123" s="10" t="s">
        <v>1399</v>
      </c>
      <c r="B1123" s="439" t="s">
        <v>1400</v>
      </c>
      <c r="C1123" s="10" t="s">
        <v>1323</v>
      </c>
      <c r="D1123" s="504">
        <v>28.87</v>
      </c>
      <c r="E1123" s="504">
        <f t="shared" si="17"/>
        <v>21.385185185185186</v>
      </c>
    </row>
    <row r="1124" spans="1:5" x14ac:dyDescent="0.25">
      <c r="A1124" s="10" t="s">
        <v>1401</v>
      </c>
      <c r="B1124" s="439" t="s">
        <v>1402</v>
      </c>
      <c r="C1124" s="10" t="s">
        <v>1323</v>
      </c>
      <c r="D1124" s="504">
        <v>141.04</v>
      </c>
      <c r="E1124" s="504">
        <f t="shared" si="17"/>
        <v>104.47407407407407</v>
      </c>
    </row>
    <row r="1125" spans="1:5" x14ac:dyDescent="0.25">
      <c r="A1125" s="10" t="s">
        <v>1403</v>
      </c>
      <c r="B1125" s="439" t="s">
        <v>1404</v>
      </c>
      <c r="C1125" s="10" t="s">
        <v>1323</v>
      </c>
      <c r="D1125" s="504">
        <v>186.5</v>
      </c>
      <c r="E1125" s="504">
        <f t="shared" si="17"/>
        <v>138.14814814814815</v>
      </c>
    </row>
    <row r="1126" spans="1:5" x14ac:dyDescent="0.25">
      <c r="A1126" s="10" t="s">
        <v>1405</v>
      </c>
      <c r="B1126" s="439" t="s">
        <v>1406</v>
      </c>
      <c r="C1126" s="10" t="s">
        <v>1323</v>
      </c>
      <c r="D1126" s="504">
        <v>235.57</v>
      </c>
      <c r="E1126" s="504">
        <f t="shared" si="17"/>
        <v>174.49629629629629</v>
      </c>
    </row>
    <row r="1127" spans="1:5" x14ac:dyDescent="0.25">
      <c r="A1127" s="10" t="s">
        <v>1407</v>
      </c>
      <c r="B1127" s="439" t="s">
        <v>1408</v>
      </c>
      <c r="C1127" s="10" t="s">
        <v>1323</v>
      </c>
      <c r="D1127" s="504">
        <v>181.23</v>
      </c>
      <c r="E1127" s="504">
        <f t="shared" si="17"/>
        <v>134.24444444444444</v>
      </c>
    </row>
    <row r="1128" spans="1:5" x14ac:dyDescent="0.25">
      <c r="A1128" s="10" t="s">
        <v>1409</v>
      </c>
      <c r="B1128" s="439" t="s">
        <v>1410</v>
      </c>
      <c r="C1128" s="10" t="s">
        <v>1323</v>
      </c>
      <c r="D1128" s="504">
        <v>203.11</v>
      </c>
      <c r="E1128" s="504">
        <f t="shared" si="17"/>
        <v>150.45185185185184</v>
      </c>
    </row>
    <row r="1129" spans="1:5" x14ac:dyDescent="0.25">
      <c r="A1129" s="10" t="s">
        <v>1411</v>
      </c>
      <c r="B1129" s="439" t="s">
        <v>1412</v>
      </c>
      <c r="C1129" s="10" t="s">
        <v>1323</v>
      </c>
      <c r="D1129" s="504">
        <v>205.25</v>
      </c>
      <c r="E1129" s="504">
        <f t="shared" si="17"/>
        <v>152.03703703703704</v>
      </c>
    </row>
    <row r="1130" spans="1:5" x14ac:dyDescent="0.25">
      <c r="A1130" s="10" t="s">
        <v>29018</v>
      </c>
      <c r="B1130" s="439" t="s">
        <v>29019</v>
      </c>
      <c r="C1130" s="10" t="s">
        <v>1323</v>
      </c>
      <c r="D1130" s="504">
        <v>94.12</v>
      </c>
      <c r="E1130" s="504">
        <f t="shared" si="17"/>
        <v>69.718518518518522</v>
      </c>
    </row>
    <row r="1131" spans="1:5" x14ac:dyDescent="0.25">
      <c r="A1131" s="10" t="s">
        <v>2416</v>
      </c>
      <c r="B1131" s="439" t="s">
        <v>2417</v>
      </c>
      <c r="C1131" s="10" t="s">
        <v>1323</v>
      </c>
      <c r="D1131" s="504">
        <v>154.88</v>
      </c>
      <c r="E1131" s="504">
        <f t="shared" si="17"/>
        <v>114.72592592592592</v>
      </c>
    </row>
    <row r="1132" spans="1:5" x14ac:dyDescent="0.25">
      <c r="A1132" s="10" t="s">
        <v>1413</v>
      </c>
      <c r="B1132" s="439" t="s">
        <v>1414</v>
      </c>
      <c r="C1132" s="10" t="s">
        <v>1323</v>
      </c>
      <c r="D1132" s="504">
        <v>70.88</v>
      </c>
      <c r="E1132" s="504">
        <f t="shared" si="17"/>
        <v>52.5037037037037</v>
      </c>
    </row>
    <row r="1133" spans="1:5" x14ac:dyDescent="0.25">
      <c r="A1133" s="10" t="s">
        <v>1415</v>
      </c>
      <c r="B1133" s="439" t="s">
        <v>1416</v>
      </c>
      <c r="C1133" s="10" t="s">
        <v>1323</v>
      </c>
      <c r="D1133" s="504">
        <v>129.75</v>
      </c>
      <c r="E1133" s="504">
        <f t="shared" si="17"/>
        <v>96.1111111111111</v>
      </c>
    </row>
    <row r="1134" spans="1:5" x14ac:dyDescent="0.25">
      <c r="A1134" s="10" t="s">
        <v>1417</v>
      </c>
      <c r="B1134" s="439" t="s">
        <v>1418</v>
      </c>
      <c r="C1134" s="10" t="s">
        <v>1323</v>
      </c>
      <c r="D1134" s="504">
        <v>167.86</v>
      </c>
      <c r="E1134" s="504">
        <f t="shared" si="17"/>
        <v>124.34074074074074</v>
      </c>
    </row>
    <row r="1135" spans="1:5" x14ac:dyDescent="0.25">
      <c r="A1135" s="10" t="s">
        <v>1419</v>
      </c>
      <c r="B1135" s="439" t="s">
        <v>1420</v>
      </c>
      <c r="C1135" s="10" t="s">
        <v>1323</v>
      </c>
      <c r="D1135" s="504">
        <v>226.87</v>
      </c>
      <c r="E1135" s="504">
        <f t="shared" si="17"/>
        <v>168.05185185185184</v>
      </c>
    </row>
    <row r="1136" spans="1:5" x14ac:dyDescent="0.25">
      <c r="A1136" s="10" t="s">
        <v>1421</v>
      </c>
      <c r="B1136" s="439" t="s">
        <v>1422</v>
      </c>
      <c r="C1136" s="10" t="s">
        <v>1323</v>
      </c>
      <c r="D1136" s="504">
        <v>73.66</v>
      </c>
      <c r="E1136" s="504">
        <f t="shared" si="17"/>
        <v>54.562962962962956</v>
      </c>
    </row>
    <row r="1137" spans="1:5" x14ac:dyDescent="0.25">
      <c r="A1137" s="10" t="s">
        <v>1423</v>
      </c>
      <c r="B1137" s="439" t="s">
        <v>1424</v>
      </c>
      <c r="C1137" s="10" t="s">
        <v>1323</v>
      </c>
      <c r="D1137" s="504">
        <v>41.44</v>
      </c>
      <c r="E1137" s="504">
        <f t="shared" si="17"/>
        <v>30.696296296296293</v>
      </c>
    </row>
    <row r="1138" spans="1:5" x14ac:dyDescent="0.25">
      <c r="A1138" s="10" t="s">
        <v>1425</v>
      </c>
      <c r="B1138" s="439" t="s">
        <v>1426</v>
      </c>
      <c r="C1138" s="10" t="s">
        <v>1323</v>
      </c>
      <c r="D1138" s="504">
        <v>54.24</v>
      </c>
      <c r="E1138" s="504">
        <f t="shared" si="17"/>
        <v>40.177777777777777</v>
      </c>
    </row>
    <row r="1139" spans="1:5" x14ac:dyDescent="0.25">
      <c r="A1139" s="10" t="s">
        <v>1427</v>
      </c>
      <c r="B1139" s="439" t="s">
        <v>1428</v>
      </c>
      <c r="C1139" s="10" t="s">
        <v>1323</v>
      </c>
      <c r="D1139" s="504">
        <v>47.26</v>
      </c>
      <c r="E1139" s="504">
        <f t="shared" si="17"/>
        <v>35.007407407407406</v>
      </c>
    </row>
    <row r="1140" spans="1:5" x14ac:dyDescent="0.25">
      <c r="A1140" s="10" t="s">
        <v>1429</v>
      </c>
      <c r="B1140" s="439" t="s">
        <v>1430</v>
      </c>
      <c r="C1140" s="10" t="s">
        <v>1323</v>
      </c>
      <c r="D1140" s="504">
        <v>63.35</v>
      </c>
      <c r="E1140" s="504">
        <f t="shared" si="17"/>
        <v>46.925925925925924</v>
      </c>
    </row>
    <row r="1141" spans="1:5" x14ac:dyDescent="0.25">
      <c r="A1141" s="10" t="s">
        <v>1431</v>
      </c>
      <c r="B1141" s="439" t="s">
        <v>1432</v>
      </c>
      <c r="C1141" s="10" t="s">
        <v>1323</v>
      </c>
      <c r="D1141" s="504">
        <v>97.51</v>
      </c>
      <c r="E1141" s="504">
        <f t="shared" si="17"/>
        <v>72.229629629629628</v>
      </c>
    </row>
    <row r="1142" spans="1:5" x14ac:dyDescent="0.25">
      <c r="A1142" s="10" t="s">
        <v>1433</v>
      </c>
      <c r="B1142" s="439" t="s">
        <v>1434</v>
      </c>
      <c r="C1142" s="10" t="s">
        <v>1323</v>
      </c>
      <c r="D1142" s="504">
        <v>125.63</v>
      </c>
      <c r="E1142" s="504">
        <f t="shared" si="17"/>
        <v>93.05925925925925</v>
      </c>
    </row>
    <row r="1143" spans="1:5" x14ac:dyDescent="0.25">
      <c r="A1143" s="10" t="s">
        <v>1435</v>
      </c>
      <c r="B1143" s="439" t="s">
        <v>1436</v>
      </c>
      <c r="C1143" s="10" t="s">
        <v>1323</v>
      </c>
      <c r="D1143" s="504">
        <v>76.69</v>
      </c>
      <c r="E1143" s="504">
        <f t="shared" si="17"/>
        <v>56.807407407407403</v>
      </c>
    </row>
    <row r="1144" spans="1:5" x14ac:dyDescent="0.25">
      <c r="A1144" s="10" t="s">
        <v>1437</v>
      </c>
      <c r="B1144" s="439" t="s">
        <v>1438</v>
      </c>
      <c r="C1144" s="10" t="s">
        <v>1323</v>
      </c>
      <c r="D1144" s="504">
        <v>155.22999999999999</v>
      </c>
      <c r="E1144" s="504">
        <f t="shared" si="17"/>
        <v>114.98518518518517</v>
      </c>
    </row>
    <row r="1145" spans="1:5" x14ac:dyDescent="0.25">
      <c r="A1145" s="10" t="s">
        <v>1439</v>
      </c>
      <c r="B1145" s="439" t="s">
        <v>1440</v>
      </c>
      <c r="C1145" s="10" t="s">
        <v>1323</v>
      </c>
      <c r="D1145" s="504">
        <v>156.54</v>
      </c>
      <c r="E1145" s="504">
        <f t="shared" si="17"/>
        <v>115.95555555555555</v>
      </c>
    </row>
    <row r="1146" spans="1:5" x14ac:dyDescent="0.25">
      <c r="A1146" s="10" t="s">
        <v>1441</v>
      </c>
      <c r="B1146" s="439" t="s">
        <v>1442</v>
      </c>
      <c r="C1146" s="10" t="s">
        <v>1323</v>
      </c>
      <c r="D1146" s="504">
        <v>106.6</v>
      </c>
      <c r="E1146" s="504">
        <f t="shared" si="17"/>
        <v>78.962962962962948</v>
      </c>
    </row>
    <row r="1147" spans="1:5" x14ac:dyDescent="0.25">
      <c r="A1147" s="10" t="s">
        <v>1443</v>
      </c>
      <c r="B1147" s="439" t="s">
        <v>1444</v>
      </c>
      <c r="C1147" s="10" t="s">
        <v>1323</v>
      </c>
      <c r="D1147" s="504">
        <v>96</v>
      </c>
      <c r="E1147" s="504">
        <f t="shared" si="17"/>
        <v>71.1111111111111</v>
      </c>
    </row>
    <row r="1148" spans="1:5" x14ac:dyDescent="0.25">
      <c r="A1148" s="10" t="s">
        <v>29020</v>
      </c>
      <c r="B1148" s="439" t="s">
        <v>29021</v>
      </c>
      <c r="C1148" s="10" t="s">
        <v>1323</v>
      </c>
      <c r="D1148" s="504">
        <v>112.92</v>
      </c>
      <c r="E1148" s="504">
        <f t="shared" si="17"/>
        <v>83.644444444444446</v>
      </c>
    </row>
    <row r="1149" spans="1:5" x14ac:dyDescent="0.25">
      <c r="A1149" s="10" t="s">
        <v>29022</v>
      </c>
      <c r="B1149" s="439" t="s">
        <v>29023</v>
      </c>
      <c r="C1149" s="10" t="s">
        <v>1323</v>
      </c>
      <c r="D1149" s="504">
        <v>189.12</v>
      </c>
      <c r="E1149" s="504">
        <f t="shared" si="17"/>
        <v>140.08888888888887</v>
      </c>
    </row>
    <row r="1150" spans="1:5" x14ac:dyDescent="0.25">
      <c r="A1150" s="10" t="s">
        <v>29024</v>
      </c>
      <c r="B1150" s="439" t="s">
        <v>29025</v>
      </c>
      <c r="C1150" s="10" t="s">
        <v>1323</v>
      </c>
      <c r="D1150" s="504">
        <v>215.14</v>
      </c>
      <c r="E1150" s="504">
        <f t="shared" si="17"/>
        <v>159.36296296296294</v>
      </c>
    </row>
    <row r="1151" spans="1:5" x14ac:dyDescent="0.25">
      <c r="A1151" s="10" t="s">
        <v>1445</v>
      </c>
      <c r="B1151" s="439" t="s">
        <v>1446</v>
      </c>
      <c r="C1151" s="10" t="s">
        <v>1323</v>
      </c>
      <c r="D1151" s="504">
        <v>166.41</v>
      </c>
      <c r="E1151" s="504">
        <f t="shared" si="17"/>
        <v>123.26666666666665</v>
      </c>
    </row>
    <row r="1152" spans="1:5" x14ac:dyDescent="0.25">
      <c r="A1152" s="10" t="s">
        <v>1447</v>
      </c>
      <c r="B1152" s="439" t="s">
        <v>1448</v>
      </c>
      <c r="C1152" s="10" t="s">
        <v>1323</v>
      </c>
      <c r="D1152" s="504">
        <v>100.94</v>
      </c>
      <c r="E1152" s="504">
        <f t="shared" si="17"/>
        <v>74.770370370370358</v>
      </c>
    </row>
    <row r="1153" spans="1:5" x14ac:dyDescent="0.25">
      <c r="A1153" s="10" t="s">
        <v>1449</v>
      </c>
      <c r="B1153" s="439" t="s">
        <v>1450</v>
      </c>
      <c r="C1153" s="10" t="s">
        <v>1323</v>
      </c>
      <c r="D1153" s="504">
        <v>50.97</v>
      </c>
      <c r="E1153" s="504">
        <f t="shared" si="17"/>
        <v>37.755555555555553</v>
      </c>
    </row>
    <row r="1154" spans="1:5" x14ac:dyDescent="0.25">
      <c r="A1154" s="10" t="s">
        <v>1451</v>
      </c>
      <c r="B1154" s="439" t="s">
        <v>1452</v>
      </c>
      <c r="C1154" s="10" t="s">
        <v>1323</v>
      </c>
      <c r="D1154" s="504">
        <v>70.13</v>
      </c>
      <c r="E1154" s="504">
        <f t="shared" si="17"/>
        <v>51.948148148148142</v>
      </c>
    </row>
    <row r="1155" spans="1:5" x14ac:dyDescent="0.25">
      <c r="A1155" s="10" t="s">
        <v>1453</v>
      </c>
      <c r="B1155" s="439" t="s">
        <v>1454</v>
      </c>
      <c r="C1155" s="10" t="s">
        <v>1323</v>
      </c>
      <c r="D1155" s="504">
        <v>97.47</v>
      </c>
      <c r="E1155" s="504">
        <f t="shared" si="17"/>
        <v>72.199999999999989</v>
      </c>
    </row>
    <row r="1156" spans="1:5" x14ac:dyDescent="0.25">
      <c r="A1156" s="10" t="s">
        <v>1455</v>
      </c>
      <c r="B1156" s="439" t="s">
        <v>1456</v>
      </c>
      <c r="C1156" s="10" t="s">
        <v>1323</v>
      </c>
      <c r="D1156" s="504">
        <v>45.34</v>
      </c>
      <c r="E1156" s="504">
        <f t="shared" si="17"/>
        <v>33.585185185185189</v>
      </c>
    </row>
    <row r="1157" spans="1:5" x14ac:dyDescent="0.25">
      <c r="A1157" s="10" t="s">
        <v>1457</v>
      </c>
      <c r="B1157" s="439" t="s">
        <v>1458</v>
      </c>
      <c r="C1157" s="10" t="s">
        <v>1323</v>
      </c>
      <c r="D1157" s="504">
        <v>59.94</v>
      </c>
      <c r="E1157" s="504">
        <f t="shared" si="17"/>
        <v>44.4</v>
      </c>
    </row>
    <row r="1158" spans="1:5" x14ac:dyDescent="0.25">
      <c r="A1158" s="10" t="s">
        <v>1459</v>
      </c>
      <c r="B1158" s="439" t="s">
        <v>1460</v>
      </c>
      <c r="C1158" s="10" t="s">
        <v>1323</v>
      </c>
      <c r="D1158" s="504">
        <v>101.52</v>
      </c>
      <c r="E1158" s="504">
        <f t="shared" si="17"/>
        <v>75.199999999999989</v>
      </c>
    </row>
    <row r="1159" spans="1:5" x14ac:dyDescent="0.25">
      <c r="A1159" s="10" t="s">
        <v>1461</v>
      </c>
      <c r="B1159" s="439" t="s">
        <v>1462</v>
      </c>
      <c r="C1159" s="10" t="s">
        <v>1323</v>
      </c>
      <c r="D1159" s="504">
        <v>57.69</v>
      </c>
      <c r="E1159" s="504">
        <f t="shared" si="17"/>
        <v>42.733333333333327</v>
      </c>
    </row>
    <row r="1160" spans="1:5" x14ac:dyDescent="0.25">
      <c r="A1160" s="10" t="s">
        <v>1463</v>
      </c>
      <c r="B1160" s="439" t="s">
        <v>1464</v>
      </c>
      <c r="C1160" s="10" t="s">
        <v>1323</v>
      </c>
      <c r="D1160" s="504">
        <v>62.07</v>
      </c>
      <c r="E1160" s="504">
        <f t="shared" si="17"/>
        <v>45.977777777777774</v>
      </c>
    </row>
    <row r="1161" spans="1:5" x14ac:dyDescent="0.25">
      <c r="A1161" s="10" t="s">
        <v>1465</v>
      </c>
      <c r="B1161" s="439" t="s">
        <v>1466</v>
      </c>
      <c r="C1161" s="10" t="s">
        <v>1323</v>
      </c>
      <c r="D1161" s="504">
        <v>91.19</v>
      </c>
      <c r="E1161" s="504">
        <f t="shared" si="17"/>
        <v>67.548148148148144</v>
      </c>
    </row>
    <row r="1162" spans="1:5" x14ac:dyDescent="0.25">
      <c r="A1162" s="10" t="s">
        <v>1467</v>
      </c>
      <c r="B1162" s="439" t="s">
        <v>1468</v>
      </c>
      <c r="C1162" s="10" t="s">
        <v>1323</v>
      </c>
      <c r="D1162" s="504">
        <v>80.010000000000005</v>
      </c>
      <c r="E1162" s="504">
        <f t="shared" si="17"/>
        <v>59.266666666666666</v>
      </c>
    </row>
    <row r="1163" spans="1:5" x14ac:dyDescent="0.25">
      <c r="A1163" s="10" t="s">
        <v>1469</v>
      </c>
      <c r="B1163" s="439" t="s">
        <v>1470</v>
      </c>
      <c r="C1163" s="10" t="s">
        <v>1323</v>
      </c>
      <c r="D1163" s="504">
        <v>93.13</v>
      </c>
      <c r="E1163" s="504">
        <f t="shared" ref="E1163:E1226" si="18">D1163/(1+$G$4)</f>
        <v>68.985185185185173</v>
      </c>
    </row>
    <row r="1164" spans="1:5" x14ac:dyDescent="0.25">
      <c r="A1164" s="10" t="s">
        <v>1471</v>
      </c>
      <c r="B1164" s="439" t="s">
        <v>1472</v>
      </c>
      <c r="C1164" s="10" t="s">
        <v>1323</v>
      </c>
      <c r="D1164" s="504">
        <v>123.66</v>
      </c>
      <c r="E1164" s="504">
        <f t="shared" si="18"/>
        <v>91.6</v>
      </c>
    </row>
    <row r="1165" spans="1:5" x14ac:dyDescent="0.25">
      <c r="A1165" s="10" t="s">
        <v>1473</v>
      </c>
      <c r="B1165" s="439" t="s">
        <v>1474</v>
      </c>
      <c r="C1165" s="10" t="s">
        <v>1323</v>
      </c>
      <c r="D1165" s="504">
        <v>18.47</v>
      </c>
      <c r="E1165" s="504">
        <f t="shared" si="18"/>
        <v>13.68148148148148</v>
      </c>
    </row>
    <row r="1166" spans="1:5" x14ac:dyDescent="0.25">
      <c r="A1166" s="10" t="s">
        <v>1475</v>
      </c>
      <c r="B1166" s="439" t="s">
        <v>1476</v>
      </c>
      <c r="C1166" s="10" t="s">
        <v>1323</v>
      </c>
      <c r="D1166" s="504">
        <v>16.670000000000002</v>
      </c>
      <c r="E1166" s="504">
        <f t="shared" si="18"/>
        <v>12.348148148148148</v>
      </c>
    </row>
    <row r="1167" spans="1:5" x14ac:dyDescent="0.25">
      <c r="A1167" s="10" t="s">
        <v>1477</v>
      </c>
      <c r="B1167" s="439" t="s">
        <v>1478</v>
      </c>
      <c r="C1167" s="10" t="s">
        <v>1323</v>
      </c>
      <c r="D1167" s="504">
        <v>18.899999999999999</v>
      </c>
      <c r="E1167" s="504">
        <f t="shared" si="18"/>
        <v>13.999999999999998</v>
      </c>
    </row>
    <row r="1168" spans="1:5" x14ac:dyDescent="0.25">
      <c r="A1168" s="10" t="s">
        <v>1479</v>
      </c>
      <c r="B1168" s="439" t="s">
        <v>1480</v>
      </c>
      <c r="C1168" s="10" t="s">
        <v>1323</v>
      </c>
      <c r="D1168" s="504">
        <v>22.5</v>
      </c>
      <c r="E1168" s="504">
        <f t="shared" si="18"/>
        <v>16.666666666666664</v>
      </c>
    </row>
    <row r="1169" spans="1:5" x14ac:dyDescent="0.25">
      <c r="A1169" s="10" t="s">
        <v>1481</v>
      </c>
      <c r="B1169" s="439" t="s">
        <v>1482</v>
      </c>
      <c r="C1169" s="10" t="s">
        <v>1323</v>
      </c>
      <c r="D1169" s="504">
        <v>56.96</v>
      </c>
      <c r="E1169" s="504">
        <f t="shared" si="18"/>
        <v>42.19259259259259</v>
      </c>
    </row>
    <row r="1170" spans="1:5" x14ac:dyDescent="0.25">
      <c r="A1170" s="10" t="s">
        <v>1483</v>
      </c>
      <c r="B1170" s="439" t="s">
        <v>1484</v>
      </c>
      <c r="C1170" s="10" t="s">
        <v>1323</v>
      </c>
      <c r="D1170" s="504">
        <v>218.89</v>
      </c>
      <c r="E1170" s="504">
        <f t="shared" si="18"/>
        <v>162.14074074074071</v>
      </c>
    </row>
    <row r="1171" spans="1:5" x14ac:dyDescent="0.25">
      <c r="A1171" s="10" t="s">
        <v>1485</v>
      </c>
      <c r="B1171" s="439" t="s">
        <v>1486</v>
      </c>
      <c r="C1171" s="10" t="s">
        <v>1323</v>
      </c>
      <c r="D1171" s="504">
        <v>404.92</v>
      </c>
      <c r="E1171" s="504">
        <f t="shared" si="18"/>
        <v>299.94074074074075</v>
      </c>
    </row>
    <row r="1172" spans="1:5" x14ac:dyDescent="0.25">
      <c r="A1172" s="10" t="s">
        <v>1487</v>
      </c>
      <c r="B1172" s="439" t="s">
        <v>1488</v>
      </c>
      <c r="C1172" s="10" t="s">
        <v>1323</v>
      </c>
      <c r="D1172" s="504">
        <v>168.76</v>
      </c>
      <c r="E1172" s="504">
        <f t="shared" si="18"/>
        <v>125.0074074074074</v>
      </c>
    </row>
    <row r="1173" spans="1:5" x14ac:dyDescent="0.25">
      <c r="A1173" s="10" t="s">
        <v>1489</v>
      </c>
      <c r="B1173" s="439" t="s">
        <v>1490</v>
      </c>
      <c r="C1173" s="10" t="s">
        <v>1323</v>
      </c>
      <c r="D1173" s="504">
        <v>29.62</v>
      </c>
      <c r="E1173" s="504">
        <f t="shared" si="18"/>
        <v>21.94074074074074</v>
      </c>
    </row>
    <row r="1174" spans="1:5" x14ac:dyDescent="0.25">
      <c r="A1174" s="10" t="s">
        <v>1491</v>
      </c>
      <c r="B1174" s="439" t="s">
        <v>1492</v>
      </c>
      <c r="C1174" s="10" t="s">
        <v>1323</v>
      </c>
      <c r="D1174" s="504">
        <v>31.2</v>
      </c>
      <c r="E1174" s="504">
        <f t="shared" si="18"/>
        <v>23.111111111111111</v>
      </c>
    </row>
    <row r="1175" spans="1:5" x14ac:dyDescent="0.25">
      <c r="A1175" s="10" t="s">
        <v>1493</v>
      </c>
      <c r="B1175" s="439" t="s">
        <v>1494</v>
      </c>
      <c r="C1175" s="10" t="s">
        <v>1323</v>
      </c>
      <c r="D1175" s="504">
        <v>37.159999999999997</v>
      </c>
      <c r="E1175" s="504">
        <f t="shared" si="18"/>
        <v>27.525925925925922</v>
      </c>
    </row>
    <row r="1176" spans="1:5" x14ac:dyDescent="0.25">
      <c r="A1176" s="10" t="s">
        <v>1495</v>
      </c>
      <c r="B1176" s="439" t="s">
        <v>1496</v>
      </c>
      <c r="C1176" s="10" t="s">
        <v>1323</v>
      </c>
      <c r="D1176" s="504">
        <v>13.82</v>
      </c>
      <c r="E1176" s="504">
        <f t="shared" si="18"/>
        <v>10.237037037037037</v>
      </c>
    </row>
    <row r="1177" spans="1:5" x14ac:dyDescent="0.25">
      <c r="A1177" s="10" t="s">
        <v>1497</v>
      </c>
      <c r="B1177" s="439" t="s">
        <v>1498</v>
      </c>
      <c r="C1177" s="10" t="s">
        <v>1323</v>
      </c>
      <c r="D1177" s="504">
        <v>67.510000000000005</v>
      </c>
      <c r="E1177" s="504">
        <f t="shared" si="18"/>
        <v>50.007407407407406</v>
      </c>
    </row>
    <row r="1178" spans="1:5" x14ac:dyDescent="0.25">
      <c r="A1178" s="10" t="s">
        <v>1499</v>
      </c>
      <c r="B1178" s="439" t="s">
        <v>1500</v>
      </c>
      <c r="C1178" s="10" t="s">
        <v>1323</v>
      </c>
      <c r="D1178" s="504">
        <v>89.28</v>
      </c>
      <c r="E1178" s="504">
        <f t="shared" si="18"/>
        <v>66.133333333333326</v>
      </c>
    </row>
    <row r="1179" spans="1:5" x14ac:dyDescent="0.25">
      <c r="A1179" s="10" t="s">
        <v>1501</v>
      </c>
      <c r="B1179" s="439" t="s">
        <v>1502</v>
      </c>
      <c r="C1179" s="10" t="s">
        <v>1323</v>
      </c>
      <c r="D1179" s="504">
        <v>112.76</v>
      </c>
      <c r="E1179" s="504">
        <f t="shared" si="18"/>
        <v>83.525925925925918</v>
      </c>
    </row>
    <row r="1180" spans="1:5" x14ac:dyDescent="0.25">
      <c r="A1180" s="10" t="s">
        <v>1503</v>
      </c>
      <c r="B1180" s="439" t="s">
        <v>1504</v>
      </c>
      <c r="C1180" s="10" t="s">
        <v>1323</v>
      </c>
      <c r="D1180" s="504">
        <v>86.75</v>
      </c>
      <c r="E1180" s="504">
        <f t="shared" si="18"/>
        <v>64.259259259259252</v>
      </c>
    </row>
    <row r="1181" spans="1:5" x14ac:dyDescent="0.25">
      <c r="A1181" s="10" t="s">
        <v>1505</v>
      </c>
      <c r="B1181" s="439" t="s">
        <v>1506</v>
      </c>
      <c r="C1181" s="10" t="s">
        <v>1323</v>
      </c>
      <c r="D1181" s="504">
        <v>97.23</v>
      </c>
      <c r="E1181" s="504">
        <f t="shared" si="18"/>
        <v>72.022222222222226</v>
      </c>
    </row>
    <row r="1182" spans="1:5" x14ac:dyDescent="0.25">
      <c r="A1182" s="10" t="s">
        <v>1507</v>
      </c>
      <c r="B1182" s="439" t="s">
        <v>1508</v>
      </c>
      <c r="C1182" s="10" t="s">
        <v>1323</v>
      </c>
      <c r="D1182" s="504">
        <v>98.25</v>
      </c>
      <c r="E1182" s="504">
        <f t="shared" si="18"/>
        <v>72.777777777777771</v>
      </c>
    </row>
    <row r="1183" spans="1:5" x14ac:dyDescent="0.25">
      <c r="A1183" s="10" t="s">
        <v>29026</v>
      </c>
      <c r="B1183" s="439" t="s">
        <v>29027</v>
      </c>
      <c r="C1183" s="10" t="s">
        <v>1323</v>
      </c>
      <c r="D1183" s="504">
        <v>45.06</v>
      </c>
      <c r="E1183" s="504">
        <f t="shared" si="18"/>
        <v>33.37777777777778</v>
      </c>
    </row>
    <row r="1184" spans="1:5" x14ac:dyDescent="0.25">
      <c r="A1184" s="10" t="s">
        <v>2418</v>
      </c>
      <c r="B1184" s="439" t="s">
        <v>2419</v>
      </c>
      <c r="C1184" s="10" t="s">
        <v>1323</v>
      </c>
      <c r="D1184" s="504">
        <v>74.14</v>
      </c>
      <c r="E1184" s="504">
        <f t="shared" si="18"/>
        <v>54.918518518518518</v>
      </c>
    </row>
    <row r="1185" spans="1:5" x14ac:dyDescent="0.25">
      <c r="A1185" s="10" t="s">
        <v>1509</v>
      </c>
      <c r="B1185" s="439" t="s">
        <v>1510</v>
      </c>
      <c r="C1185" s="10" t="s">
        <v>1323</v>
      </c>
      <c r="D1185" s="504">
        <v>33.93</v>
      </c>
      <c r="E1185" s="504">
        <f t="shared" si="18"/>
        <v>25.133333333333333</v>
      </c>
    </row>
    <row r="1186" spans="1:5" x14ac:dyDescent="0.25">
      <c r="A1186" s="10" t="s">
        <v>1511</v>
      </c>
      <c r="B1186" s="439" t="s">
        <v>1512</v>
      </c>
      <c r="C1186" s="10" t="s">
        <v>1323</v>
      </c>
      <c r="D1186" s="504">
        <v>62.11</v>
      </c>
      <c r="E1186" s="504">
        <f t="shared" si="18"/>
        <v>46.007407407407406</v>
      </c>
    </row>
    <row r="1187" spans="1:5" x14ac:dyDescent="0.25">
      <c r="A1187" s="10" t="s">
        <v>1513</v>
      </c>
      <c r="B1187" s="439" t="s">
        <v>1514</v>
      </c>
      <c r="C1187" s="10" t="s">
        <v>1323</v>
      </c>
      <c r="D1187" s="504">
        <v>80.349999999999994</v>
      </c>
      <c r="E1187" s="504">
        <f t="shared" si="18"/>
        <v>59.518518518518512</v>
      </c>
    </row>
    <row r="1188" spans="1:5" x14ac:dyDescent="0.25">
      <c r="A1188" s="10" t="s">
        <v>1515</v>
      </c>
      <c r="B1188" s="439" t="s">
        <v>1516</v>
      </c>
      <c r="C1188" s="10" t="s">
        <v>1323</v>
      </c>
      <c r="D1188" s="504">
        <v>108.6</v>
      </c>
      <c r="E1188" s="504">
        <f t="shared" si="18"/>
        <v>80.444444444444429</v>
      </c>
    </row>
    <row r="1189" spans="1:5" x14ac:dyDescent="0.25">
      <c r="A1189" s="10" t="s">
        <v>1517</v>
      </c>
      <c r="B1189" s="439" t="s">
        <v>1518</v>
      </c>
      <c r="C1189" s="10" t="s">
        <v>1323</v>
      </c>
      <c r="D1189" s="504">
        <v>35.26</v>
      </c>
      <c r="E1189" s="504">
        <f t="shared" si="18"/>
        <v>26.118518518518517</v>
      </c>
    </row>
    <row r="1190" spans="1:5" x14ac:dyDescent="0.25">
      <c r="A1190" s="10" t="s">
        <v>1519</v>
      </c>
      <c r="B1190" s="439" t="s">
        <v>1520</v>
      </c>
      <c r="C1190" s="10" t="s">
        <v>1323</v>
      </c>
      <c r="D1190" s="504">
        <v>19.84</v>
      </c>
      <c r="E1190" s="504">
        <f t="shared" si="18"/>
        <v>14.696296296296294</v>
      </c>
    </row>
    <row r="1191" spans="1:5" x14ac:dyDescent="0.25">
      <c r="A1191" s="10" t="s">
        <v>1521</v>
      </c>
      <c r="B1191" s="439" t="s">
        <v>1522</v>
      </c>
      <c r="C1191" s="10" t="s">
        <v>1323</v>
      </c>
      <c r="D1191" s="504">
        <v>25.97</v>
      </c>
      <c r="E1191" s="504">
        <f t="shared" si="18"/>
        <v>19.237037037037034</v>
      </c>
    </row>
    <row r="1192" spans="1:5" x14ac:dyDescent="0.25">
      <c r="A1192" s="10" t="s">
        <v>1523</v>
      </c>
      <c r="B1192" s="439" t="s">
        <v>1524</v>
      </c>
      <c r="C1192" s="10" t="s">
        <v>1323</v>
      </c>
      <c r="D1192" s="504">
        <v>22.62</v>
      </c>
      <c r="E1192" s="504">
        <f t="shared" si="18"/>
        <v>16.755555555555556</v>
      </c>
    </row>
    <row r="1193" spans="1:5" x14ac:dyDescent="0.25">
      <c r="A1193" s="10" t="s">
        <v>1525</v>
      </c>
      <c r="B1193" s="439" t="s">
        <v>1526</v>
      </c>
      <c r="C1193" s="10" t="s">
        <v>1323</v>
      </c>
      <c r="D1193" s="504">
        <v>30.32</v>
      </c>
      <c r="E1193" s="504">
        <f t="shared" si="18"/>
        <v>22.459259259259259</v>
      </c>
    </row>
    <row r="1194" spans="1:5" x14ac:dyDescent="0.25">
      <c r="A1194" s="10" t="s">
        <v>1527</v>
      </c>
      <c r="B1194" s="439" t="s">
        <v>1528</v>
      </c>
      <c r="C1194" s="10" t="s">
        <v>1323</v>
      </c>
      <c r="D1194" s="504">
        <v>46.68</v>
      </c>
      <c r="E1194" s="504">
        <f t="shared" si="18"/>
        <v>34.577777777777776</v>
      </c>
    </row>
    <row r="1195" spans="1:5" x14ac:dyDescent="0.25">
      <c r="A1195" s="10" t="s">
        <v>1529</v>
      </c>
      <c r="B1195" s="439" t="s">
        <v>1530</v>
      </c>
      <c r="C1195" s="10" t="s">
        <v>1323</v>
      </c>
      <c r="D1195" s="504">
        <v>60.14</v>
      </c>
      <c r="E1195" s="504">
        <f t="shared" si="18"/>
        <v>44.548148148148144</v>
      </c>
    </row>
    <row r="1196" spans="1:5" x14ac:dyDescent="0.25">
      <c r="A1196" s="10" t="s">
        <v>1531</v>
      </c>
      <c r="B1196" s="439" t="s">
        <v>1532</v>
      </c>
      <c r="C1196" s="10" t="s">
        <v>1323</v>
      </c>
      <c r="D1196" s="504">
        <v>36.71</v>
      </c>
      <c r="E1196" s="504">
        <f t="shared" si="18"/>
        <v>27.192592592592593</v>
      </c>
    </row>
    <row r="1197" spans="1:5" x14ac:dyDescent="0.25">
      <c r="A1197" s="10" t="s">
        <v>1533</v>
      </c>
      <c r="B1197" s="439" t="s">
        <v>1534</v>
      </c>
      <c r="C1197" s="10" t="s">
        <v>1323</v>
      </c>
      <c r="D1197" s="504">
        <v>74.31</v>
      </c>
      <c r="E1197" s="504">
        <f t="shared" si="18"/>
        <v>55.044444444444444</v>
      </c>
    </row>
    <row r="1198" spans="1:5" x14ac:dyDescent="0.25">
      <c r="A1198" s="10" t="s">
        <v>1535</v>
      </c>
      <c r="B1198" s="439" t="s">
        <v>1536</v>
      </c>
      <c r="C1198" s="10" t="s">
        <v>1323</v>
      </c>
      <c r="D1198" s="504">
        <v>74.930000000000007</v>
      </c>
      <c r="E1198" s="504">
        <f t="shared" si="18"/>
        <v>55.503703703703707</v>
      </c>
    </row>
    <row r="1199" spans="1:5" x14ac:dyDescent="0.25">
      <c r="A1199" s="10" t="s">
        <v>1537</v>
      </c>
      <c r="B1199" s="439" t="s">
        <v>1538</v>
      </c>
      <c r="C1199" s="10" t="s">
        <v>1323</v>
      </c>
      <c r="D1199" s="504">
        <v>38.28</v>
      </c>
      <c r="E1199" s="504">
        <f t="shared" si="18"/>
        <v>28.355555555555554</v>
      </c>
    </row>
    <row r="1200" spans="1:5" x14ac:dyDescent="0.25">
      <c r="A1200" s="10" t="s">
        <v>1539</v>
      </c>
      <c r="B1200" s="439" t="s">
        <v>1540</v>
      </c>
      <c r="C1200" s="10" t="s">
        <v>1323</v>
      </c>
      <c r="D1200" s="504">
        <v>51.03</v>
      </c>
      <c r="E1200" s="504">
        <f t="shared" si="18"/>
        <v>37.799999999999997</v>
      </c>
    </row>
    <row r="1201" spans="1:5" x14ac:dyDescent="0.25">
      <c r="A1201" s="10" t="s">
        <v>1541</v>
      </c>
      <c r="B1201" s="439" t="s">
        <v>1542</v>
      </c>
      <c r="C1201" s="10" t="s">
        <v>1323</v>
      </c>
      <c r="D1201" s="504">
        <v>45.95</v>
      </c>
      <c r="E1201" s="504">
        <f t="shared" si="18"/>
        <v>34.037037037037038</v>
      </c>
    </row>
    <row r="1202" spans="1:5" x14ac:dyDescent="0.25">
      <c r="A1202" s="10" t="s">
        <v>29028</v>
      </c>
      <c r="B1202" s="439" t="s">
        <v>1543</v>
      </c>
      <c r="C1202" s="10" t="s">
        <v>2</v>
      </c>
      <c r="D1202" s="504">
        <v>65.05</v>
      </c>
      <c r="E1202" s="504">
        <f t="shared" si="18"/>
        <v>48.185185185185183</v>
      </c>
    </row>
    <row r="1203" spans="1:5" x14ac:dyDescent="0.25">
      <c r="A1203" s="10" t="s">
        <v>29029</v>
      </c>
      <c r="B1203" s="439" t="s">
        <v>1544</v>
      </c>
      <c r="C1203" s="10" t="s">
        <v>2</v>
      </c>
      <c r="D1203" s="504">
        <v>51.53</v>
      </c>
      <c r="E1203" s="504">
        <f t="shared" si="18"/>
        <v>38.170370370370371</v>
      </c>
    </row>
    <row r="1204" spans="1:5" x14ac:dyDescent="0.25">
      <c r="A1204" s="10" t="s">
        <v>29030</v>
      </c>
      <c r="B1204" s="439" t="s">
        <v>1545</v>
      </c>
      <c r="C1204" s="10" t="s">
        <v>2</v>
      </c>
      <c r="D1204" s="504">
        <v>8.2899999999999991</v>
      </c>
      <c r="E1204" s="504">
        <f t="shared" si="18"/>
        <v>6.1407407407407399</v>
      </c>
    </row>
    <row r="1205" spans="1:5" x14ac:dyDescent="0.25">
      <c r="A1205" s="10" t="s">
        <v>29031</v>
      </c>
      <c r="B1205" s="439" t="s">
        <v>467</v>
      </c>
      <c r="C1205" s="10" t="s">
        <v>2</v>
      </c>
      <c r="D1205" s="504">
        <v>1.99</v>
      </c>
      <c r="E1205" s="504">
        <f t="shared" si="18"/>
        <v>1.4740740740740739</v>
      </c>
    </row>
    <row r="1206" spans="1:5" x14ac:dyDescent="0.25">
      <c r="A1206" s="10" t="s">
        <v>29032</v>
      </c>
      <c r="B1206" s="439" t="s">
        <v>475</v>
      </c>
      <c r="C1206" s="10" t="s">
        <v>2</v>
      </c>
      <c r="D1206" s="504">
        <v>2.39</v>
      </c>
      <c r="E1206" s="504">
        <f t="shared" si="18"/>
        <v>1.7703703703703704</v>
      </c>
    </row>
    <row r="1207" spans="1:5" x14ac:dyDescent="0.25">
      <c r="A1207" s="10" t="s">
        <v>29033</v>
      </c>
      <c r="B1207" s="439" t="s">
        <v>1546</v>
      </c>
      <c r="C1207" s="10" t="s">
        <v>2</v>
      </c>
      <c r="D1207" s="504">
        <v>71.08</v>
      </c>
      <c r="E1207" s="504">
        <f t="shared" si="18"/>
        <v>52.651851851851845</v>
      </c>
    </row>
    <row r="1208" spans="1:5" x14ac:dyDescent="0.25">
      <c r="A1208" s="10" t="s">
        <v>29034</v>
      </c>
      <c r="B1208" s="439" t="s">
        <v>1547</v>
      </c>
      <c r="C1208" s="10" t="s">
        <v>2</v>
      </c>
      <c r="D1208" s="504">
        <v>88.72</v>
      </c>
      <c r="E1208" s="504">
        <f t="shared" si="18"/>
        <v>65.718518518518508</v>
      </c>
    </row>
    <row r="1209" spans="1:5" x14ac:dyDescent="0.25">
      <c r="A1209" s="10" t="s">
        <v>29035</v>
      </c>
      <c r="B1209" s="439" t="s">
        <v>1548</v>
      </c>
      <c r="C1209" s="10" t="s">
        <v>2</v>
      </c>
      <c r="D1209" s="504">
        <v>92.32</v>
      </c>
      <c r="E1209" s="504">
        <f t="shared" si="18"/>
        <v>68.385185185185179</v>
      </c>
    </row>
    <row r="1210" spans="1:5" x14ac:dyDescent="0.25">
      <c r="A1210" s="10" t="s">
        <v>29036</v>
      </c>
      <c r="B1210" s="439" t="s">
        <v>1549</v>
      </c>
      <c r="C1210" s="10" t="s">
        <v>2</v>
      </c>
      <c r="D1210" s="504">
        <v>97.97</v>
      </c>
      <c r="E1210" s="504">
        <f t="shared" si="18"/>
        <v>72.57037037037037</v>
      </c>
    </row>
    <row r="1211" spans="1:5" x14ac:dyDescent="0.25">
      <c r="A1211" s="10" t="s">
        <v>29037</v>
      </c>
      <c r="B1211" s="439" t="s">
        <v>1550</v>
      </c>
      <c r="C1211" s="10" t="s">
        <v>2</v>
      </c>
      <c r="D1211" s="504">
        <v>103.23</v>
      </c>
      <c r="E1211" s="504">
        <f t="shared" si="18"/>
        <v>76.466666666666669</v>
      </c>
    </row>
    <row r="1212" spans="1:5" x14ac:dyDescent="0.25">
      <c r="A1212" s="10" t="s">
        <v>29038</v>
      </c>
      <c r="B1212" s="439" t="s">
        <v>472</v>
      </c>
      <c r="C1212" s="10" t="s">
        <v>2</v>
      </c>
      <c r="D1212" s="504">
        <v>89.86</v>
      </c>
      <c r="E1212" s="504">
        <f t="shared" si="18"/>
        <v>66.562962962962956</v>
      </c>
    </row>
    <row r="1213" spans="1:5" x14ac:dyDescent="0.25">
      <c r="A1213" s="10" t="s">
        <v>29039</v>
      </c>
      <c r="B1213" s="439" t="s">
        <v>1551</v>
      </c>
      <c r="C1213" s="10" t="s">
        <v>40</v>
      </c>
      <c r="D1213" s="504">
        <v>1784.53</v>
      </c>
      <c r="E1213" s="504">
        <f t="shared" si="18"/>
        <v>1321.8740740740739</v>
      </c>
    </row>
    <row r="1214" spans="1:5" x14ac:dyDescent="0.25">
      <c r="A1214" s="10" t="s">
        <v>29040</v>
      </c>
      <c r="B1214" s="439" t="s">
        <v>1552</v>
      </c>
      <c r="C1214" s="10" t="s">
        <v>40</v>
      </c>
      <c r="D1214" s="504">
        <v>352.55</v>
      </c>
      <c r="E1214" s="504">
        <f t="shared" si="18"/>
        <v>261.14814814814815</v>
      </c>
    </row>
    <row r="1215" spans="1:5" x14ac:dyDescent="0.25">
      <c r="A1215" s="10" t="s">
        <v>29041</v>
      </c>
      <c r="B1215" s="439" t="s">
        <v>1553</v>
      </c>
      <c r="C1215" s="10" t="s">
        <v>40</v>
      </c>
      <c r="D1215" s="504">
        <v>639.44000000000005</v>
      </c>
      <c r="E1215" s="504">
        <f t="shared" si="18"/>
        <v>473.65925925925927</v>
      </c>
    </row>
    <row r="1216" spans="1:5" x14ac:dyDescent="0.25">
      <c r="A1216" s="10" t="s">
        <v>29042</v>
      </c>
      <c r="B1216" s="439" t="s">
        <v>473</v>
      </c>
      <c r="C1216" s="10" t="s">
        <v>40</v>
      </c>
      <c r="D1216" s="504">
        <v>529.65</v>
      </c>
      <c r="E1216" s="504">
        <f t="shared" si="18"/>
        <v>392.33333333333331</v>
      </c>
    </row>
    <row r="1217" spans="1:5" x14ac:dyDescent="0.25">
      <c r="A1217" s="10" t="s">
        <v>29043</v>
      </c>
      <c r="B1217" s="439" t="s">
        <v>1554</v>
      </c>
      <c r="C1217" s="10" t="s">
        <v>41</v>
      </c>
      <c r="D1217" s="504">
        <v>15.86</v>
      </c>
      <c r="E1217" s="504">
        <f t="shared" si="18"/>
        <v>11.748148148148147</v>
      </c>
    </row>
    <row r="1218" spans="1:5" x14ac:dyDescent="0.25">
      <c r="A1218" s="10" t="s">
        <v>29044</v>
      </c>
      <c r="B1218" s="439" t="s">
        <v>29045</v>
      </c>
      <c r="C1218" s="10" t="s">
        <v>41</v>
      </c>
      <c r="D1218" s="504">
        <v>8.35</v>
      </c>
      <c r="E1218" s="504">
        <f t="shared" si="18"/>
        <v>6.1851851851851842</v>
      </c>
    </row>
    <row r="1219" spans="1:5" x14ac:dyDescent="0.25">
      <c r="A1219" s="10" t="s">
        <v>29046</v>
      </c>
      <c r="B1219" s="439" t="s">
        <v>1555</v>
      </c>
      <c r="C1219" s="10" t="s">
        <v>3</v>
      </c>
      <c r="D1219" s="504">
        <v>4.05</v>
      </c>
      <c r="E1219" s="504">
        <f t="shared" si="18"/>
        <v>2.9999999999999996</v>
      </c>
    </row>
    <row r="1220" spans="1:5" x14ac:dyDescent="0.25">
      <c r="A1220" s="10" t="s">
        <v>29047</v>
      </c>
      <c r="B1220" s="439" t="s">
        <v>1556</v>
      </c>
      <c r="C1220" s="10" t="s">
        <v>41</v>
      </c>
      <c r="D1220" s="504">
        <v>28.6</v>
      </c>
      <c r="E1220" s="504">
        <f t="shared" si="18"/>
        <v>21.185185185185183</v>
      </c>
    </row>
    <row r="1221" spans="1:5" x14ac:dyDescent="0.25">
      <c r="A1221" s="10" t="s">
        <v>29048</v>
      </c>
      <c r="B1221" s="439" t="s">
        <v>1557</v>
      </c>
      <c r="C1221" s="10" t="s">
        <v>41</v>
      </c>
      <c r="D1221" s="504">
        <v>13.52</v>
      </c>
      <c r="E1221" s="504">
        <f t="shared" si="18"/>
        <v>10.014814814814814</v>
      </c>
    </row>
    <row r="1222" spans="1:5" x14ac:dyDescent="0.25">
      <c r="A1222" s="10" t="s">
        <v>29049</v>
      </c>
      <c r="B1222" s="439" t="s">
        <v>1558</v>
      </c>
      <c r="C1222" s="10" t="s">
        <v>40</v>
      </c>
      <c r="D1222" s="504">
        <v>1511.7</v>
      </c>
      <c r="E1222" s="504">
        <f t="shared" si="18"/>
        <v>1119.7777777777778</v>
      </c>
    </row>
    <row r="1223" spans="1:5" x14ac:dyDescent="0.25">
      <c r="A1223" s="10" t="s">
        <v>29050</v>
      </c>
      <c r="B1223" s="439" t="s">
        <v>1559</v>
      </c>
      <c r="C1223" s="10" t="s">
        <v>1560</v>
      </c>
      <c r="D1223" s="504">
        <v>153.44999999999999</v>
      </c>
      <c r="E1223" s="504">
        <f t="shared" si="18"/>
        <v>113.66666666666666</v>
      </c>
    </row>
    <row r="1224" spans="1:5" x14ac:dyDescent="0.25">
      <c r="A1224" s="10" t="s">
        <v>29051</v>
      </c>
      <c r="B1224" s="439" t="s">
        <v>1561</v>
      </c>
      <c r="C1224" s="10" t="s">
        <v>1562</v>
      </c>
      <c r="D1224" s="504">
        <v>2483.3200000000002</v>
      </c>
      <c r="E1224" s="504">
        <f t="shared" si="18"/>
        <v>1839.4962962962964</v>
      </c>
    </row>
    <row r="1225" spans="1:5" x14ac:dyDescent="0.25">
      <c r="A1225" s="10" t="s">
        <v>29052</v>
      </c>
      <c r="B1225" s="439" t="s">
        <v>1563</v>
      </c>
      <c r="C1225" s="10" t="s">
        <v>361</v>
      </c>
      <c r="D1225" s="504">
        <v>2.41</v>
      </c>
      <c r="E1225" s="504">
        <f t="shared" si="18"/>
        <v>1.7851851851851852</v>
      </c>
    </row>
    <row r="1226" spans="1:5" x14ac:dyDescent="0.25">
      <c r="A1226" s="10" t="s">
        <v>29053</v>
      </c>
      <c r="B1226" s="439" t="s">
        <v>1564</v>
      </c>
      <c r="C1226" s="10" t="s">
        <v>41</v>
      </c>
      <c r="D1226" s="504">
        <v>44.67</v>
      </c>
      <c r="E1226" s="504">
        <f t="shared" si="18"/>
        <v>33.088888888888889</v>
      </c>
    </row>
    <row r="1227" spans="1:5" x14ac:dyDescent="0.25">
      <c r="A1227" s="10" t="s">
        <v>29054</v>
      </c>
      <c r="B1227" s="439" t="s">
        <v>1565</v>
      </c>
      <c r="C1227" s="10" t="s">
        <v>40</v>
      </c>
      <c r="D1227" s="504">
        <v>163.72</v>
      </c>
      <c r="E1227" s="504">
        <f t="shared" ref="E1227:E1290" si="19">D1227/(1+$G$4)</f>
        <v>121.27407407407406</v>
      </c>
    </row>
    <row r="1228" spans="1:5" x14ac:dyDescent="0.25">
      <c r="A1228" s="10" t="s">
        <v>29055</v>
      </c>
      <c r="B1228" s="439" t="s">
        <v>1566</v>
      </c>
      <c r="C1228" s="10" t="s">
        <v>40</v>
      </c>
      <c r="D1228" s="504">
        <v>163.72</v>
      </c>
      <c r="E1228" s="504">
        <f t="shared" si="19"/>
        <v>121.27407407407406</v>
      </c>
    </row>
    <row r="1229" spans="1:5" x14ac:dyDescent="0.25">
      <c r="A1229" s="10" t="s">
        <v>29056</v>
      </c>
      <c r="B1229" s="439" t="s">
        <v>1567</v>
      </c>
      <c r="C1229" s="10" t="s">
        <v>361</v>
      </c>
      <c r="D1229" s="504">
        <v>770.71</v>
      </c>
      <c r="E1229" s="504">
        <f t="shared" si="19"/>
        <v>570.89629629629633</v>
      </c>
    </row>
    <row r="1230" spans="1:5" x14ac:dyDescent="0.25">
      <c r="A1230" s="10" t="s">
        <v>29057</v>
      </c>
      <c r="B1230" s="439" t="s">
        <v>1568</v>
      </c>
      <c r="C1230" s="10" t="s">
        <v>361</v>
      </c>
      <c r="D1230" s="504">
        <v>269.58999999999997</v>
      </c>
      <c r="E1230" s="504">
        <f t="shared" si="19"/>
        <v>199.69629629629625</v>
      </c>
    </row>
    <row r="1231" spans="1:5" x14ac:dyDescent="0.25">
      <c r="A1231" s="10" t="s">
        <v>29058</v>
      </c>
      <c r="B1231" s="439" t="s">
        <v>1569</v>
      </c>
      <c r="C1231" s="10" t="s">
        <v>40</v>
      </c>
      <c r="D1231" s="504">
        <v>128.80000000000001</v>
      </c>
      <c r="E1231" s="504">
        <f t="shared" si="19"/>
        <v>95.407407407407405</v>
      </c>
    </row>
    <row r="1232" spans="1:5" x14ac:dyDescent="0.25">
      <c r="A1232" s="10" t="s">
        <v>29059</v>
      </c>
      <c r="B1232" s="439" t="s">
        <v>1570</v>
      </c>
      <c r="C1232" s="10" t="s">
        <v>40</v>
      </c>
      <c r="D1232" s="504">
        <v>43.46</v>
      </c>
      <c r="E1232" s="504">
        <f t="shared" si="19"/>
        <v>32.19259259259259</v>
      </c>
    </row>
    <row r="1233" spans="1:5" x14ac:dyDescent="0.25">
      <c r="A1233" s="10" t="s">
        <v>29060</v>
      </c>
      <c r="B1233" s="439" t="s">
        <v>1571</v>
      </c>
      <c r="C1233" s="10" t="s">
        <v>40</v>
      </c>
      <c r="D1233" s="504">
        <v>83.1</v>
      </c>
      <c r="E1233" s="504">
        <f t="shared" si="19"/>
        <v>61.55555555555555</v>
      </c>
    </row>
    <row r="1234" spans="1:5" x14ac:dyDescent="0.25">
      <c r="A1234" s="10" t="s">
        <v>29061</v>
      </c>
      <c r="B1234" s="439" t="s">
        <v>1572</v>
      </c>
      <c r="C1234" s="10" t="s">
        <v>40</v>
      </c>
      <c r="D1234" s="504">
        <v>54.36</v>
      </c>
      <c r="E1234" s="504">
        <f t="shared" si="19"/>
        <v>40.266666666666666</v>
      </c>
    </row>
    <row r="1235" spans="1:5" x14ac:dyDescent="0.25">
      <c r="A1235" s="10" t="s">
        <v>29062</v>
      </c>
      <c r="B1235" s="439" t="s">
        <v>504</v>
      </c>
      <c r="C1235" s="10" t="s">
        <v>40</v>
      </c>
      <c r="D1235" s="504">
        <v>251.48</v>
      </c>
      <c r="E1235" s="504">
        <f t="shared" si="19"/>
        <v>186.28148148148145</v>
      </c>
    </row>
    <row r="1236" spans="1:5" x14ac:dyDescent="0.25">
      <c r="A1236" s="10" t="s">
        <v>29063</v>
      </c>
      <c r="B1236" s="439" t="s">
        <v>1573</v>
      </c>
      <c r="C1236" s="10" t="s">
        <v>40</v>
      </c>
      <c r="D1236" s="504">
        <v>107.63</v>
      </c>
      <c r="E1236" s="504">
        <f t="shared" si="19"/>
        <v>79.725925925925921</v>
      </c>
    </row>
    <row r="1237" spans="1:5" x14ac:dyDescent="0.25">
      <c r="A1237" s="10" t="s">
        <v>29064</v>
      </c>
      <c r="B1237" s="439" t="s">
        <v>480</v>
      </c>
      <c r="C1237" s="10" t="s">
        <v>3</v>
      </c>
      <c r="D1237" s="504">
        <v>37.840000000000003</v>
      </c>
      <c r="E1237" s="504">
        <f t="shared" si="19"/>
        <v>28.029629629629632</v>
      </c>
    </row>
    <row r="1238" spans="1:5" x14ac:dyDescent="0.25">
      <c r="A1238" s="10" t="s">
        <v>29065</v>
      </c>
      <c r="B1238" s="439" t="s">
        <v>1574</v>
      </c>
      <c r="C1238" s="10" t="s">
        <v>41</v>
      </c>
      <c r="D1238" s="504">
        <v>1.24</v>
      </c>
      <c r="E1238" s="504">
        <f t="shared" si="19"/>
        <v>0.9185185185185184</v>
      </c>
    </row>
    <row r="1239" spans="1:5" x14ac:dyDescent="0.25">
      <c r="A1239" s="10" t="s">
        <v>29066</v>
      </c>
      <c r="B1239" s="439" t="s">
        <v>1575</v>
      </c>
      <c r="C1239" s="10" t="s">
        <v>41</v>
      </c>
      <c r="D1239" s="504">
        <v>0.66</v>
      </c>
      <c r="E1239" s="504">
        <f t="shared" si="19"/>
        <v>0.48888888888888887</v>
      </c>
    </row>
    <row r="1240" spans="1:5" x14ac:dyDescent="0.25">
      <c r="A1240" s="10" t="s">
        <v>29067</v>
      </c>
      <c r="B1240" s="439" t="s">
        <v>482</v>
      </c>
      <c r="C1240" s="10" t="s">
        <v>40</v>
      </c>
      <c r="D1240" s="504">
        <v>12.28</v>
      </c>
      <c r="E1240" s="504">
        <f t="shared" si="19"/>
        <v>9.0962962962962948</v>
      </c>
    </row>
    <row r="1241" spans="1:5" x14ac:dyDescent="0.25">
      <c r="A1241" s="10" t="s">
        <v>29068</v>
      </c>
      <c r="B1241" s="439" t="s">
        <v>1576</v>
      </c>
      <c r="C1241" s="10" t="s">
        <v>40</v>
      </c>
      <c r="D1241" s="504">
        <v>41.16</v>
      </c>
      <c r="E1241" s="504">
        <f t="shared" si="19"/>
        <v>30.488888888888884</v>
      </c>
    </row>
    <row r="1242" spans="1:5" x14ac:dyDescent="0.25">
      <c r="A1242" s="10" t="s">
        <v>29069</v>
      </c>
      <c r="B1242" s="439" t="s">
        <v>1577</v>
      </c>
      <c r="C1242" s="10" t="s">
        <v>40</v>
      </c>
      <c r="D1242" s="504">
        <v>65.62</v>
      </c>
      <c r="E1242" s="504">
        <f t="shared" si="19"/>
        <v>48.607407407407408</v>
      </c>
    </row>
    <row r="1243" spans="1:5" x14ac:dyDescent="0.25">
      <c r="A1243" s="10" t="s">
        <v>29070</v>
      </c>
      <c r="B1243" s="439" t="s">
        <v>1578</v>
      </c>
      <c r="C1243" s="10" t="s">
        <v>40</v>
      </c>
      <c r="D1243" s="504">
        <v>7</v>
      </c>
      <c r="E1243" s="504">
        <f t="shared" si="19"/>
        <v>5.1851851851851851</v>
      </c>
    </row>
    <row r="1244" spans="1:5" x14ac:dyDescent="0.25">
      <c r="A1244" s="10" t="s">
        <v>29071</v>
      </c>
      <c r="B1244" s="439" t="s">
        <v>1579</v>
      </c>
      <c r="C1244" s="10" t="s">
        <v>2467</v>
      </c>
      <c r="D1244" s="504">
        <v>9.86</v>
      </c>
      <c r="E1244" s="504">
        <f t="shared" si="19"/>
        <v>7.3037037037037029</v>
      </c>
    </row>
    <row r="1245" spans="1:5" x14ac:dyDescent="0.25">
      <c r="A1245" s="10" t="s">
        <v>29072</v>
      </c>
      <c r="B1245" s="439" t="s">
        <v>1580</v>
      </c>
      <c r="C1245" s="10" t="s">
        <v>2467</v>
      </c>
      <c r="D1245" s="504">
        <v>5.8</v>
      </c>
      <c r="E1245" s="504">
        <f t="shared" si="19"/>
        <v>4.2962962962962958</v>
      </c>
    </row>
    <row r="1246" spans="1:5" x14ac:dyDescent="0.25">
      <c r="A1246" s="10" t="s">
        <v>29073</v>
      </c>
      <c r="B1246" s="439" t="s">
        <v>1581</v>
      </c>
      <c r="C1246" s="10" t="s">
        <v>2467</v>
      </c>
      <c r="D1246" s="504">
        <v>4.51</v>
      </c>
      <c r="E1246" s="504">
        <f t="shared" si="19"/>
        <v>3.3407407407407406</v>
      </c>
    </row>
    <row r="1247" spans="1:5" x14ac:dyDescent="0.25">
      <c r="A1247" s="10" t="s">
        <v>29074</v>
      </c>
      <c r="B1247" s="439" t="s">
        <v>1582</v>
      </c>
      <c r="C1247" s="10" t="s">
        <v>2467</v>
      </c>
      <c r="D1247" s="504">
        <v>3.77</v>
      </c>
      <c r="E1247" s="504">
        <f t="shared" si="19"/>
        <v>2.7925925925925923</v>
      </c>
    </row>
    <row r="1248" spans="1:5" x14ac:dyDescent="0.25">
      <c r="A1248" s="10" t="s">
        <v>29075</v>
      </c>
      <c r="B1248" s="439" t="s">
        <v>1583</v>
      </c>
      <c r="C1248" s="10" t="s">
        <v>2467</v>
      </c>
      <c r="D1248" s="504">
        <v>3.32</v>
      </c>
      <c r="E1248" s="504">
        <f t="shared" si="19"/>
        <v>2.4592592592592588</v>
      </c>
    </row>
    <row r="1249" spans="1:5" x14ac:dyDescent="0.25">
      <c r="A1249" s="10" t="s">
        <v>29076</v>
      </c>
      <c r="B1249" s="439" t="s">
        <v>1584</v>
      </c>
      <c r="C1249" s="10" t="s">
        <v>2467</v>
      </c>
      <c r="D1249" s="504">
        <v>2.62</v>
      </c>
      <c r="E1249" s="504">
        <f t="shared" si="19"/>
        <v>1.9407407407407407</v>
      </c>
    </row>
    <row r="1250" spans="1:5" x14ac:dyDescent="0.25">
      <c r="A1250" s="10" t="s">
        <v>29077</v>
      </c>
      <c r="B1250" s="439" t="s">
        <v>1585</v>
      </c>
      <c r="C1250" s="10" t="s">
        <v>40</v>
      </c>
      <c r="D1250" s="504">
        <v>163.72</v>
      </c>
      <c r="E1250" s="504">
        <f t="shared" si="19"/>
        <v>121.27407407407406</v>
      </c>
    </row>
    <row r="1251" spans="1:5" x14ac:dyDescent="0.25">
      <c r="A1251" s="10" t="s">
        <v>29078</v>
      </c>
      <c r="B1251" s="439" t="s">
        <v>1586</v>
      </c>
      <c r="C1251" s="10" t="s">
        <v>40</v>
      </c>
      <c r="D1251" s="504">
        <v>3190.9</v>
      </c>
      <c r="E1251" s="504">
        <f t="shared" si="19"/>
        <v>2363.6296296296296</v>
      </c>
    </row>
    <row r="1252" spans="1:5" x14ac:dyDescent="0.25">
      <c r="A1252" s="10" t="s">
        <v>29079</v>
      </c>
      <c r="B1252" s="439" t="s">
        <v>1587</v>
      </c>
      <c r="C1252" s="10" t="s">
        <v>40</v>
      </c>
      <c r="D1252" s="504">
        <v>2869.05</v>
      </c>
      <c r="E1252" s="504">
        <f t="shared" si="19"/>
        <v>2125.2222222222222</v>
      </c>
    </row>
    <row r="1253" spans="1:5" x14ac:dyDescent="0.25">
      <c r="A1253" s="10" t="s">
        <v>29080</v>
      </c>
      <c r="B1253" s="439" t="s">
        <v>1588</v>
      </c>
      <c r="C1253" s="10" t="s">
        <v>40</v>
      </c>
      <c r="D1253" s="504">
        <v>2120.2399999999998</v>
      </c>
      <c r="E1253" s="504">
        <f t="shared" si="19"/>
        <v>1570.5481481481479</v>
      </c>
    </row>
    <row r="1254" spans="1:5" ht="30" x14ac:dyDescent="0.25">
      <c r="A1254" s="10" t="s">
        <v>29081</v>
      </c>
      <c r="B1254" s="439" t="s">
        <v>1589</v>
      </c>
      <c r="C1254" s="10" t="s">
        <v>40</v>
      </c>
      <c r="D1254" s="504">
        <v>2603.96</v>
      </c>
      <c r="E1254" s="504">
        <f t="shared" si="19"/>
        <v>1928.8592592592593</v>
      </c>
    </row>
    <row r="1255" spans="1:5" x14ac:dyDescent="0.25">
      <c r="A1255" s="10" t="s">
        <v>29082</v>
      </c>
      <c r="B1255" s="439" t="s">
        <v>1590</v>
      </c>
      <c r="C1255" s="10" t="s">
        <v>40</v>
      </c>
      <c r="D1255" s="504">
        <v>676.24</v>
      </c>
      <c r="E1255" s="504">
        <f t="shared" si="19"/>
        <v>500.91851851851851</v>
      </c>
    </row>
    <row r="1256" spans="1:5" x14ac:dyDescent="0.25">
      <c r="A1256" s="10" t="s">
        <v>29083</v>
      </c>
      <c r="B1256" s="439" t="s">
        <v>29084</v>
      </c>
      <c r="C1256" s="10" t="s">
        <v>1591</v>
      </c>
      <c r="D1256" s="504">
        <v>46.41</v>
      </c>
      <c r="E1256" s="504">
        <f t="shared" si="19"/>
        <v>34.377777777777773</v>
      </c>
    </row>
    <row r="1257" spans="1:5" x14ac:dyDescent="0.25">
      <c r="A1257" s="10" t="s">
        <v>29085</v>
      </c>
      <c r="B1257" s="439" t="s">
        <v>1592</v>
      </c>
      <c r="C1257" s="10" t="s">
        <v>1591</v>
      </c>
      <c r="D1257" s="504">
        <v>46.41</v>
      </c>
      <c r="E1257" s="504">
        <f t="shared" si="19"/>
        <v>34.377777777777773</v>
      </c>
    </row>
    <row r="1258" spans="1:5" x14ac:dyDescent="0.25">
      <c r="A1258" s="10" t="s">
        <v>29086</v>
      </c>
      <c r="B1258" s="439" t="s">
        <v>1593</v>
      </c>
      <c r="C1258" s="10" t="s">
        <v>40</v>
      </c>
      <c r="D1258" s="504">
        <v>864.36</v>
      </c>
      <c r="E1258" s="504">
        <f t="shared" si="19"/>
        <v>640.26666666666665</v>
      </c>
    </row>
    <row r="1259" spans="1:5" x14ac:dyDescent="0.25">
      <c r="A1259" s="10" t="s">
        <v>29087</v>
      </c>
      <c r="B1259" s="439" t="s">
        <v>1594</v>
      </c>
      <c r="C1259" s="10" t="s">
        <v>40</v>
      </c>
      <c r="D1259" s="504">
        <v>12.83</v>
      </c>
      <c r="E1259" s="504">
        <f t="shared" si="19"/>
        <v>9.5037037037037031</v>
      </c>
    </row>
    <row r="1260" spans="1:5" x14ac:dyDescent="0.25">
      <c r="A1260" s="10" t="s">
        <v>29088</v>
      </c>
      <c r="B1260" s="439" t="s">
        <v>1595</v>
      </c>
      <c r="C1260" s="10" t="s">
        <v>40</v>
      </c>
      <c r="D1260" s="504">
        <v>11.98</v>
      </c>
      <c r="E1260" s="504">
        <f t="shared" si="19"/>
        <v>8.8740740740740733</v>
      </c>
    </row>
    <row r="1261" spans="1:5" x14ac:dyDescent="0.25">
      <c r="A1261" s="10" t="s">
        <v>29089</v>
      </c>
      <c r="B1261" s="439" t="s">
        <v>1596</v>
      </c>
      <c r="C1261" s="10" t="s">
        <v>41</v>
      </c>
      <c r="D1261" s="504">
        <v>2.96</v>
      </c>
      <c r="E1261" s="504">
        <f t="shared" si="19"/>
        <v>2.1925925925925922</v>
      </c>
    </row>
    <row r="1262" spans="1:5" x14ac:dyDescent="0.25">
      <c r="A1262" s="10" t="s">
        <v>29090</v>
      </c>
      <c r="B1262" s="439" t="s">
        <v>1597</v>
      </c>
      <c r="C1262" s="10" t="s">
        <v>40</v>
      </c>
      <c r="D1262" s="504">
        <v>296.33</v>
      </c>
      <c r="E1262" s="504">
        <f t="shared" si="19"/>
        <v>219.50370370370368</v>
      </c>
    </row>
    <row r="1263" spans="1:5" x14ac:dyDescent="0.25">
      <c r="A1263" s="10" t="s">
        <v>29091</v>
      </c>
      <c r="B1263" s="439" t="s">
        <v>1598</v>
      </c>
      <c r="C1263" s="10" t="s">
        <v>41</v>
      </c>
      <c r="D1263" s="504">
        <v>13.28</v>
      </c>
      <c r="E1263" s="504">
        <f t="shared" si="19"/>
        <v>9.8370370370370352</v>
      </c>
    </row>
    <row r="1264" spans="1:5" x14ac:dyDescent="0.25">
      <c r="A1264" s="10" t="s">
        <v>29092</v>
      </c>
      <c r="B1264" s="439" t="s">
        <v>1599</v>
      </c>
      <c r="C1264" s="10" t="s">
        <v>41</v>
      </c>
      <c r="D1264" s="504">
        <v>14.47</v>
      </c>
      <c r="E1264" s="504">
        <f t="shared" si="19"/>
        <v>10.718518518518518</v>
      </c>
    </row>
    <row r="1265" spans="1:5" x14ac:dyDescent="0.25">
      <c r="A1265" s="10" t="s">
        <v>29093</v>
      </c>
      <c r="B1265" s="439" t="s">
        <v>1600</v>
      </c>
      <c r="C1265" s="10" t="s">
        <v>41</v>
      </c>
      <c r="D1265" s="504">
        <v>18.239999999999998</v>
      </c>
      <c r="E1265" s="504">
        <f t="shared" si="19"/>
        <v>13.511111111111109</v>
      </c>
    </row>
    <row r="1266" spans="1:5" x14ac:dyDescent="0.25">
      <c r="A1266" s="10" t="s">
        <v>29094</v>
      </c>
      <c r="B1266" s="439" t="s">
        <v>1601</v>
      </c>
      <c r="C1266" s="10" t="s">
        <v>40</v>
      </c>
      <c r="D1266" s="504">
        <v>1923.19</v>
      </c>
      <c r="E1266" s="504">
        <f t="shared" si="19"/>
        <v>1424.5851851851851</v>
      </c>
    </row>
    <row r="1267" spans="1:5" x14ac:dyDescent="0.25">
      <c r="A1267" s="10" t="s">
        <v>29095</v>
      </c>
      <c r="B1267" s="439" t="s">
        <v>1602</v>
      </c>
      <c r="C1267" s="10" t="s">
        <v>40</v>
      </c>
      <c r="D1267" s="504">
        <v>1347.95</v>
      </c>
      <c r="E1267" s="504">
        <f t="shared" si="19"/>
        <v>998.48148148148141</v>
      </c>
    </row>
    <row r="1268" spans="1:5" x14ac:dyDescent="0.25">
      <c r="A1268" s="10" t="s">
        <v>29096</v>
      </c>
      <c r="B1268" s="439" t="s">
        <v>1603</v>
      </c>
      <c r="C1268" s="10" t="s">
        <v>41</v>
      </c>
      <c r="D1268" s="504">
        <v>8.81</v>
      </c>
      <c r="E1268" s="504">
        <f t="shared" si="19"/>
        <v>6.5259259259259261</v>
      </c>
    </row>
    <row r="1269" spans="1:5" x14ac:dyDescent="0.25">
      <c r="A1269" s="10" t="s">
        <v>29097</v>
      </c>
      <c r="B1269" s="439" t="s">
        <v>1604</v>
      </c>
      <c r="C1269" s="10" t="s">
        <v>40</v>
      </c>
      <c r="D1269" s="504">
        <v>373.55</v>
      </c>
      <c r="E1269" s="504">
        <f t="shared" si="19"/>
        <v>276.7037037037037</v>
      </c>
    </row>
    <row r="1270" spans="1:5" x14ac:dyDescent="0.25">
      <c r="A1270" s="10" t="s">
        <v>29098</v>
      </c>
      <c r="B1270" s="439" t="s">
        <v>613</v>
      </c>
      <c r="C1270" s="10" t="s">
        <v>41</v>
      </c>
      <c r="D1270" s="504">
        <v>2.71</v>
      </c>
      <c r="E1270" s="504">
        <f t="shared" si="19"/>
        <v>2.0074074074074071</v>
      </c>
    </row>
    <row r="1271" spans="1:5" x14ac:dyDescent="0.25">
      <c r="A1271" s="10" t="s">
        <v>29099</v>
      </c>
      <c r="B1271" s="439" t="s">
        <v>1605</v>
      </c>
      <c r="C1271" s="10" t="s">
        <v>40</v>
      </c>
      <c r="D1271" s="504">
        <v>72.709999999999994</v>
      </c>
      <c r="E1271" s="504">
        <f t="shared" si="19"/>
        <v>53.859259259259254</v>
      </c>
    </row>
    <row r="1272" spans="1:5" x14ac:dyDescent="0.25">
      <c r="A1272" s="10" t="s">
        <v>29100</v>
      </c>
      <c r="B1272" s="439" t="s">
        <v>616</v>
      </c>
      <c r="C1272" s="10" t="s">
        <v>40</v>
      </c>
      <c r="D1272" s="504">
        <v>1084.05</v>
      </c>
      <c r="E1272" s="504">
        <f t="shared" si="19"/>
        <v>802.99999999999989</v>
      </c>
    </row>
    <row r="1273" spans="1:5" x14ac:dyDescent="0.25">
      <c r="A1273" s="10" t="s">
        <v>29101</v>
      </c>
      <c r="B1273" s="439" t="s">
        <v>617</v>
      </c>
      <c r="C1273" s="10" t="s">
        <v>40</v>
      </c>
      <c r="D1273" s="504">
        <v>1382.25</v>
      </c>
      <c r="E1273" s="504">
        <f t="shared" si="19"/>
        <v>1023.8888888888888</v>
      </c>
    </row>
    <row r="1274" spans="1:5" x14ac:dyDescent="0.25">
      <c r="A1274" s="10" t="s">
        <v>29102</v>
      </c>
      <c r="B1274" s="439" t="s">
        <v>1606</v>
      </c>
      <c r="C1274" s="10" t="s">
        <v>2467</v>
      </c>
      <c r="D1274" s="504">
        <v>5.86</v>
      </c>
      <c r="E1274" s="504">
        <f t="shared" si="19"/>
        <v>4.340740740740741</v>
      </c>
    </row>
    <row r="1275" spans="1:5" x14ac:dyDescent="0.25">
      <c r="A1275" s="10" t="s">
        <v>29103</v>
      </c>
      <c r="B1275" s="439" t="s">
        <v>1607</v>
      </c>
      <c r="C1275" s="10" t="s">
        <v>40</v>
      </c>
      <c r="D1275" s="504">
        <v>161.24</v>
      </c>
      <c r="E1275" s="504">
        <f t="shared" si="19"/>
        <v>119.43703703703703</v>
      </c>
    </row>
    <row r="1276" spans="1:5" x14ac:dyDescent="0.25">
      <c r="A1276" s="10" t="s">
        <v>29104</v>
      </c>
      <c r="B1276" s="439" t="s">
        <v>1608</v>
      </c>
      <c r="C1276" s="10" t="s">
        <v>40</v>
      </c>
      <c r="D1276" s="504">
        <v>207.45</v>
      </c>
      <c r="E1276" s="504">
        <f t="shared" si="19"/>
        <v>153.66666666666666</v>
      </c>
    </row>
    <row r="1277" spans="1:5" x14ac:dyDescent="0.25">
      <c r="A1277" s="10" t="s">
        <v>29105</v>
      </c>
      <c r="B1277" s="439" t="s">
        <v>1609</v>
      </c>
      <c r="C1277" s="10" t="s">
        <v>40</v>
      </c>
      <c r="D1277" s="504">
        <v>578.9</v>
      </c>
      <c r="E1277" s="504">
        <f t="shared" si="19"/>
        <v>428.81481481481478</v>
      </c>
    </row>
    <row r="1278" spans="1:5" x14ac:dyDescent="0.25">
      <c r="A1278" s="10" t="s">
        <v>29106</v>
      </c>
      <c r="B1278" s="439" t="s">
        <v>1610</v>
      </c>
      <c r="C1278" s="10" t="s">
        <v>2</v>
      </c>
      <c r="D1278" s="504">
        <v>311.35000000000002</v>
      </c>
      <c r="E1278" s="504">
        <f t="shared" si="19"/>
        <v>230.62962962962962</v>
      </c>
    </row>
    <row r="1279" spans="1:5" x14ac:dyDescent="0.25">
      <c r="A1279" s="10" t="s">
        <v>29107</v>
      </c>
      <c r="B1279" s="439" t="s">
        <v>819</v>
      </c>
      <c r="C1279" s="10" t="s">
        <v>40</v>
      </c>
      <c r="D1279" s="504">
        <v>1354.31</v>
      </c>
      <c r="E1279" s="504">
        <f t="shared" si="19"/>
        <v>1003.1925925925925</v>
      </c>
    </row>
    <row r="1280" spans="1:5" x14ac:dyDescent="0.25">
      <c r="A1280" s="10" t="s">
        <v>29108</v>
      </c>
      <c r="B1280" s="439" t="s">
        <v>818</v>
      </c>
      <c r="C1280" s="10" t="s">
        <v>40</v>
      </c>
      <c r="D1280" s="504">
        <v>1085.53</v>
      </c>
      <c r="E1280" s="504">
        <f t="shared" si="19"/>
        <v>804.09629629629626</v>
      </c>
    </row>
    <row r="1281" spans="1:5" x14ac:dyDescent="0.25">
      <c r="A1281" s="10" t="s">
        <v>29109</v>
      </c>
      <c r="B1281" s="439" t="s">
        <v>1611</v>
      </c>
      <c r="C1281" s="10" t="s">
        <v>40</v>
      </c>
      <c r="D1281" s="504">
        <v>97.33</v>
      </c>
      <c r="E1281" s="504">
        <f t="shared" si="19"/>
        <v>72.096296296296288</v>
      </c>
    </row>
    <row r="1282" spans="1:5" x14ac:dyDescent="0.25">
      <c r="A1282" s="10" t="s">
        <v>29110</v>
      </c>
      <c r="B1282" s="439" t="s">
        <v>1612</v>
      </c>
      <c r="C1282" s="10" t="s">
        <v>40</v>
      </c>
      <c r="D1282" s="504">
        <v>108.79</v>
      </c>
      <c r="E1282" s="504">
        <f t="shared" si="19"/>
        <v>80.585185185185182</v>
      </c>
    </row>
    <row r="1283" spans="1:5" x14ac:dyDescent="0.25">
      <c r="A1283" s="10" t="s">
        <v>29111</v>
      </c>
      <c r="B1283" s="439" t="s">
        <v>1613</v>
      </c>
      <c r="C1283" s="10" t="s">
        <v>40</v>
      </c>
      <c r="D1283" s="504">
        <v>22.15</v>
      </c>
      <c r="E1283" s="504">
        <f t="shared" si="19"/>
        <v>16.407407407407405</v>
      </c>
    </row>
    <row r="1284" spans="1:5" x14ac:dyDescent="0.25">
      <c r="A1284" s="10" t="s">
        <v>29112</v>
      </c>
      <c r="B1284" s="439" t="s">
        <v>1614</v>
      </c>
      <c r="C1284" s="10" t="s">
        <v>40</v>
      </c>
      <c r="D1284" s="504">
        <v>376.43</v>
      </c>
      <c r="E1284" s="504">
        <f t="shared" si="19"/>
        <v>278.83703703703702</v>
      </c>
    </row>
    <row r="1285" spans="1:5" x14ac:dyDescent="0.25">
      <c r="A1285" s="10" t="s">
        <v>29113</v>
      </c>
      <c r="B1285" s="439" t="s">
        <v>2714</v>
      </c>
      <c r="C1285" s="10" t="s">
        <v>40</v>
      </c>
      <c r="D1285" s="504">
        <v>34.049999999999997</v>
      </c>
      <c r="E1285" s="504">
        <f t="shared" si="19"/>
        <v>25.222222222222218</v>
      </c>
    </row>
    <row r="1286" spans="1:5" x14ac:dyDescent="0.25">
      <c r="A1286" s="10" t="s">
        <v>29114</v>
      </c>
      <c r="B1286" s="439" t="s">
        <v>1615</v>
      </c>
      <c r="C1286" s="10" t="s">
        <v>40</v>
      </c>
      <c r="D1286" s="504">
        <v>44.08</v>
      </c>
      <c r="E1286" s="504">
        <f t="shared" si="19"/>
        <v>32.651851851851852</v>
      </c>
    </row>
    <row r="1287" spans="1:5" x14ac:dyDescent="0.25">
      <c r="A1287" s="10" t="s">
        <v>29115</v>
      </c>
      <c r="B1287" s="439" t="s">
        <v>1616</v>
      </c>
      <c r="C1287" s="10" t="s">
        <v>41</v>
      </c>
      <c r="D1287" s="504">
        <v>161.19</v>
      </c>
      <c r="E1287" s="504">
        <f t="shared" si="19"/>
        <v>119.39999999999999</v>
      </c>
    </row>
    <row r="1288" spans="1:5" x14ac:dyDescent="0.25">
      <c r="A1288" s="10" t="s">
        <v>29116</v>
      </c>
      <c r="B1288" s="439" t="s">
        <v>693</v>
      </c>
      <c r="C1288" s="10" t="s">
        <v>41</v>
      </c>
      <c r="D1288" s="504">
        <v>189.91</v>
      </c>
      <c r="E1288" s="504">
        <f t="shared" si="19"/>
        <v>140.67407407407407</v>
      </c>
    </row>
    <row r="1289" spans="1:5" x14ac:dyDescent="0.25">
      <c r="A1289" s="10" t="s">
        <v>29117</v>
      </c>
      <c r="B1289" s="439" t="s">
        <v>1044</v>
      </c>
      <c r="C1289" s="10" t="s">
        <v>41</v>
      </c>
      <c r="D1289" s="504">
        <v>212.49</v>
      </c>
      <c r="E1289" s="504">
        <f t="shared" si="19"/>
        <v>157.4</v>
      </c>
    </row>
    <row r="1290" spans="1:5" x14ac:dyDescent="0.25">
      <c r="A1290" s="10" t="s">
        <v>29118</v>
      </c>
      <c r="B1290" s="439" t="s">
        <v>1045</v>
      </c>
      <c r="C1290" s="10" t="s">
        <v>41</v>
      </c>
      <c r="D1290" s="504">
        <v>226.14</v>
      </c>
      <c r="E1290" s="504">
        <f t="shared" si="19"/>
        <v>167.51111111111109</v>
      </c>
    </row>
    <row r="1291" spans="1:5" x14ac:dyDescent="0.25">
      <c r="A1291" s="10" t="s">
        <v>29119</v>
      </c>
      <c r="B1291" s="439" t="s">
        <v>694</v>
      </c>
      <c r="C1291" s="10" t="s">
        <v>6</v>
      </c>
      <c r="D1291" s="504">
        <v>20.91</v>
      </c>
      <c r="E1291" s="504">
        <f t="shared" ref="E1291:E1354" si="20">D1291/(1+$G$4)</f>
        <v>15.488888888888887</v>
      </c>
    </row>
    <row r="1292" spans="1:5" x14ac:dyDescent="0.25">
      <c r="A1292" s="10" t="s">
        <v>29120</v>
      </c>
      <c r="B1292" s="439" t="s">
        <v>695</v>
      </c>
      <c r="C1292" s="10" t="s">
        <v>6</v>
      </c>
      <c r="D1292" s="504">
        <v>17.62</v>
      </c>
      <c r="E1292" s="504">
        <f t="shared" si="20"/>
        <v>13.051851851851852</v>
      </c>
    </row>
    <row r="1293" spans="1:5" x14ac:dyDescent="0.25">
      <c r="A1293" s="10" t="s">
        <v>29121</v>
      </c>
      <c r="B1293" s="439" t="s">
        <v>696</v>
      </c>
      <c r="C1293" s="10" t="s">
        <v>6</v>
      </c>
      <c r="D1293" s="504">
        <v>21.69</v>
      </c>
      <c r="E1293" s="504">
        <f t="shared" si="20"/>
        <v>16.066666666666666</v>
      </c>
    </row>
    <row r="1294" spans="1:5" x14ac:dyDescent="0.25">
      <c r="A1294" s="10" t="s">
        <v>29122</v>
      </c>
      <c r="B1294" s="439" t="s">
        <v>1056</v>
      </c>
      <c r="C1294" s="10" t="s">
        <v>40</v>
      </c>
      <c r="D1294" s="504">
        <v>714.99</v>
      </c>
      <c r="E1294" s="504">
        <f t="shared" si="20"/>
        <v>529.62222222222215</v>
      </c>
    </row>
    <row r="1295" spans="1:5" x14ac:dyDescent="0.25">
      <c r="A1295" s="10" t="s">
        <v>29123</v>
      </c>
      <c r="B1295" s="439" t="s">
        <v>1057</v>
      </c>
      <c r="C1295" s="10" t="s">
        <v>40</v>
      </c>
      <c r="D1295" s="504">
        <v>781.85</v>
      </c>
      <c r="E1295" s="504">
        <f t="shared" si="20"/>
        <v>579.14814814814815</v>
      </c>
    </row>
    <row r="1296" spans="1:5" x14ac:dyDescent="0.25">
      <c r="A1296" s="10" t="s">
        <v>29124</v>
      </c>
      <c r="B1296" s="439" t="s">
        <v>1058</v>
      </c>
      <c r="C1296" s="10" t="s">
        <v>40</v>
      </c>
      <c r="D1296" s="504">
        <v>800.35</v>
      </c>
      <c r="E1296" s="504">
        <f t="shared" si="20"/>
        <v>592.85185185185185</v>
      </c>
    </row>
    <row r="1297" spans="1:5" x14ac:dyDescent="0.25">
      <c r="A1297" s="10" t="s">
        <v>29125</v>
      </c>
      <c r="B1297" s="439" t="s">
        <v>1129</v>
      </c>
      <c r="C1297" s="10" t="s">
        <v>40</v>
      </c>
      <c r="D1297" s="504">
        <v>830.73</v>
      </c>
      <c r="E1297" s="504">
        <f t="shared" si="20"/>
        <v>615.3555555555555</v>
      </c>
    </row>
    <row r="1298" spans="1:5" x14ac:dyDescent="0.25">
      <c r="A1298" s="10" t="s">
        <v>29126</v>
      </c>
      <c r="B1298" s="439" t="s">
        <v>1130</v>
      </c>
      <c r="C1298" s="10" t="s">
        <v>40</v>
      </c>
      <c r="D1298" s="504">
        <v>851.61</v>
      </c>
      <c r="E1298" s="504">
        <f t="shared" si="20"/>
        <v>630.82222222222219</v>
      </c>
    </row>
    <row r="1299" spans="1:5" x14ac:dyDescent="0.25">
      <c r="A1299" s="10" t="s">
        <v>29127</v>
      </c>
      <c r="B1299" s="439" t="s">
        <v>1059</v>
      </c>
      <c r="C1299" s="10" t="s">
        <v>40</v>
      </c>
      <c r="D1299" s="504">
        <v>878.45</v>
      </c>
      <c r="E1299" s="504">
        <f t="shared" si="20"/>
        <v>650.7037037037037</v>
      </c>
    </row>
    <row r="1300" spans="1:5" x14ac:dyDescent="0.25">
      <c r="A1300" s="10" t="s">
        <v>29128</v>
      </c>
      <c r="B1300" s="439" t="s">
        <v>1135</v>
      </c>
      <c r="C1300" s="10" t="s">
        <v>40</v>
      </c>
      <c r="D1300" s="504">
        <v>894.1</v>
      </c>
      <c r="E1300" s="504">
        <f t="shared" si="20"/>
        <v>662.2962962962963</v>
      </c>
    </row>
    <row r="1301" spans="1:5" x14ac:dyDescent="0.25">
      <c r="A1301" s="10" t="s">
        <v>29129</v>
      </c>
      <c r="B1301" s="439" t="s">
        <v>1136</v>
      </c>
      <c r="C1301" s="10" t="s">
        <v>40</v>
      </c>
      <c r="D1301" s="504">
        <v>943.84</v>
      </c>
      <c r="E1301" s="504">
        <f t="shared" si="20"/>
        <v>699.14074074074074</v>
      </c>
    </row>
    <row r="1302" spans="1:5" x14ac:dyDescent="0.25">
      <c r="A1302" s="10" t="s">
        <v>29130</v>
      </c>
      <c r="B1302" s="439" t="s">
        <v>704</v>
      </c>
      <c r="C1302" s="10" t="s">
        <v>40</v>
      </c>
      <c r="D1302" s="504">
        <v>718.61</v>
      </c>
      <c r="E1302" s="504">
        <f t="shared" si="20"/>
        <v>532.30370370370372</v>
      </c>
    </row>
    <row r="1303" spans="1:5" x14ac:dyDescent="0.25">
      <c r="A1303" s="10" t="s">
        <v>29131</v>
      </c>
      <c r="B1303" s="439" t="s">
        <v>1617</v>
      </c>
      <c r="C1303" s="10" t="s">
        <v>40</v>
      </c>
      <c r="D1303" s="504">
        <v>106.56</v>
      </c>
      <c r="E1303" s="504">
        <f t="shared" si="20"/>
        <v>78.933333333333323</v>
      </c>
    </row>
    <row r="1304" spans="1:5" x14ac:dyDescent="0.25">
      <c r="A1304" s="10" t="s">
        <v>29132</v>
      </c>
      <c r="B1304" s="439" t="s">
        <v>712</v>
      </c>
      <c r="C1304" s="10" t="s">
        <v>40</v>
      </c>
      <c r="D1304" s="504">
        <v>367.81</v>
      </c>
      <c r="E1304" s="504">
        <f t="shared" si="20"/>
        <v>272.45185185185181</v>
      </c>
    </row>
    <row r="1305" spans="1:5" x14ac:dyDescent="0.25">
      <c r="A1305" s="10" t="s">
        <v>29133</v>
      </c>
      <c r="B1305" s="439" t="s">
        <v>713</v>
      </c>
      <c r="C1305" s="10" t="s">
        <v>40</v>
      </c>
      <c r="D1305" s="504">
        <v>554.97</v>
      </c>
      <c r="E1305" s="504">
        <f t="shared" si="20"/>
        <v>411.0888888888889</v>
      </c>
    </row>
    <row r="1306" spans="1:5" x14ac:dyDescent="0.25">
      <c r="A1306" s="10" t="s">
        <v>29134</v>
      </c>
      <c r="B1306" s="439" t="s">
        <v>714</v>
      </c>
      <c r="C1306" s="10" t="s">
        <v>40</v>
      </c>
      <c r="D1306" s="504">
        <v>234.34</v>
      </c>
      <c r="E1306" s="504">
        <f t="shared" si="20"/>
        <v>173.58518518518517</v>
      </c>
    </row>
    <row r="1307" spans="1:5" x14ac:dyDescent="0.25">
      <c r="A1307" s="10" t="s">
        <v>29135</v>
      </c>
      <c r="B1307" s="439" t="s">
        <v>1618</v>
      </c>
      <c r="C1307" s="10" t="s">
        <v>2</v>
      </c>
      <c r="D1307" s="504">
        <v>149.27000000000001</v>
      </c>
      <c r="E1307" s="504">
        <f t="shared" si="20"/>
        <v>110.57037037037037</v>
      </c>
    </row>
    <row r="1308" spans="1:5" x14ac:dyDescent="0.25">
      <c r="A1308" s="10" t="s">
        <v>29136</v>
      </c>
      <c r="B1308" s="439" t="s">
        <v>1619</v>
      </c>
      <c r="C1308" s="10" t="s">
        <v>2</v>
      </c>
      <c r="D1308" s="504">
        <v>135.24</v>
      </c>
      <c r="E1308" s="504">
        <f t="shared" si="20"/>
        <v>100.17777777777778</v>
      </c>
    </row>
    <row r="1309" spans="1:5" x14ac:dyDescent="0.25">
      <c r="A1309" s="10" t="s">
        <v>29137</v>
      </c>
      <c r="B1309" s="439" t="s">
        <v>1620</v>
      </c>
      <c r="C1309" s="10" t="s">
        <v>2</v>
      </c>
      <c r="D1309" s="504">
        <v>256.77</v>
      </c>
      <c r="E1309" s="504">
        <f t="shared" si="20"/>
        <v>190.19999999999996</v>
      </c>
    </row>
    <row r="1310" spans="1:5" x14ac:dyDescent="0.25">
      <c r="A1310" s="10" t="s">
        <v>29138</v>
      </c>
      <c r="B1310" s="439" t="s">
        <v>1621</v>
      </c>
      <c r="C1310" s="10" t="s">
        <v>2</v>
      </c>
      <c r="D1310" s="504">
        <v>250.47</v>
      </c>
      <c r="E1310" s="504">
        <f t="shared" si="20"/>
        <v>185.53333333333333</v>
      </c>
    </row>
    <row r="1311" spans="1:5" x14ac:dyDescent="0.25">
      <c r="A1311" s="10" t="s">
        <v>29139</v>
      </c>
      <c r="B1311" s="439" t="s">
        <v>1622</v>
      </c>
      <c r="C1311" s="10" t="s">
        <v>2</v>
      </c>
      <c r="D1311" s="504">
        <v>227.89</v>
      </c>
      <c r="E1311" s="504">
        <f t="shared" si="20"/>
        <v>168.8074074074074</v>
      </c>
    </row>
    <row r="1312" spans="1:5" x14ac:dyDescent="0.25">
      <c r="A1312" s="10" t="s">
        <v>29140</v>
      </c>
      <c r="B1312" s="439" t="s">
        <v>1623</v>
      </c>
      <c r="C1312" s="10" t="s">
        <v>2</v>
      </c>
      <c r="D1312" s="504">
        <v>336.42</v>
      </c>
      <c r="E1312" s="504">
        <f t="shared" si="20"/>
        <v>249.2</v>
      </c>
    </row>
    <row r="1313" spans="1:5" x14ac:dyDescent="0.25">
      <c r="A1313" s="10" t="s">
        <v>29141</v>
      </c>
      <c r="B1313" s="439" t="s">
        <v>1624</v>
      </c>
      <c r="C1313" s="10" t="s">
        <v>2</v>
      </c>
      <c r="D1313" s="504">
        <v>330.16</v>
      </c>
      <c r="E1313" s="504">
        <f t="shared" si="20"/>
        <v>244.56296296296296</v>
      </c>
    </row>
    <row r="1314" spans="1:5" x14ac:dyDescent="0.25">
      <c r="A1314" s="10" t="s">
        <v>29142</v>
      </c>
      <c r="B1314" s="439" t="s">
        <v>1625</v>
      </c>
      <c r="C1314" s="10" t="s">
        <v>2</v>
      </c>
      <c r="D1314" s="504">
        <v>452.18</v>
      </c>
      <c r="E1314" s="504">
        <f t="shared" si="20"/>
        <v>334.94814814814811</v>
      </c>
    </row>
    <row r="1315" spans="1:5" x14ac:dyDescent="0.25">
      <c r="A1315" s="10" t="s">
        <v>29143</v>
      </c>
      <c r="B1315" s="439" t="s">
        <v>1626</v>
      </c>
      <c r="C1315" s="10" t="s">
        <v>2</v>
      </c>
      <c r="D1315" s="504">
        <v>468.25</v>
      </c>
      <c r="E1315" s="504">
        <f t="shared" si="20"/>
        <v>346.85185185185185</v>
      </c>
    </row>
    <row r="1316" spans="1:5" x14ac:dyDescent="0.25">
      <c r="A1316" s="10" t="s">
        <v>29144</v>
      </c>
      <c r="B1316" s="439" t="s">
        <v>1627</v>
      </c>
      <c r="C1316" s="10" t="s">
        <v>2</v>
      </c>
      <c r="D1316" s="504">
        <v>585.73</v>
      </c>
      <c r="E1316" s="504">
        <f t="shared" si="20"/>
        <v>433.87407407407403</v>
      </c>
    </row>
    <row r="1317" spans="1:5" x14ac:dyDescent="0.25">
      <c r="A1317" s="10" t="s">
        <v>29145</v>
      </c>
      <c r="B1317" s="439" t="s">
        <v>1628</v>
      </c>
      <c r="C1317" s="10" t="s">
        <v>2</v>
      </c>
      <c r="D1317" s="504">
        <v>586.91999999999996</v>
      </c>
      <c r="E1317" s="504">
        <f t="shared" si="20"/>
        <v>434.75555555555547</v>
      </c>
    </row>
    <row r="1318" spans="1:5" x14ac:dyDescent="0.25">
      <c r="A1318" s="10" t="s">
        <v>29146</v>
      </c>
      <c r="B1318" s="439" t="s">
        <v>1629</v>
      </c>
      <c r="C1318" s="10" t="s">
        <v>2</v>
      </c>
      <c r="D1318" s="504">
        <v>592.64</v>
      </c>
      <c r="E1318" s="504">
        <f t="shared" si="20"/>
        <v>438.99259259259253</v>
      </c>
    </row>
    <row r="1319" spans="1:5" x14ac:dyDescent="0.25">
      <c r="A1319" s="10" t="s">
        <v>29147</v>
      </c>
      <c r="B1319" s="439" t="s">
        <v>1630</v>
      </c>
      <c r="C1319" s="10" t="s">
        <v>2</v>
      </c>
      <c r="D1319" s="504">
        <v>876.29</v>
      </c>
      <c r="E1319" s="504">
        <f t="shared" si="20"/>
        <v>649.10370370370367</v>
      </c>
    </row>
    <row r="1320" spans="1:5" x14ac:dyDescent="0.25">
      <c r="A1320" s="10" t="s">
        <v>29148</v>
      </c>
      <c r="B1320" s="439" t="s">
        <v>1631</v>
      </c>
      <c r="C1320" s="10" t="s">
        <v>2</v>
      </c>
      <c r="D1320" s="504">
        <v>1219.3</v>
      </c>
      <c r="E1320" s="504">
        <f t="shared" si="20"/>
        <v>903.18518518518511</v>
      </c>
    </row>
    <row r="1321" spans="1:5" x14ac:dyDescent="0.25">
      <c r="A1321" s="10" t="s">
        <v>29149</v>
      </c>
      <c r="B1321" s="439" t="s">
        <v>1632</v>
      </c>
      <c r="C1321" s="10" t="s">
        <v>2</v>
      </c>
      <c r="D1321" s="504">
        <v>108.06</v>
      </c>
      <c r="E1321" s="504">
        <f t="shared" si="20"/>
        <v>80.044444444444437</v>
      </c>
    </row>
    <row r="1322" spans="1:5" x14ac:dyDescent="0.25">
      <c r="A1322" s="10" t="s">
        <v>29150</v>
      </c>
      <c r="B1322" s="439" t="s">
        <v>1633</v>
      </c>
      <c r="C1322" s="10" t="s">
        <v>2</v>
      </c>
      <c r="D1322" s="504">
        <v>126.6</v>
      </c>
      <c r="E1322" s="504">
        <f t="shared" si="20"/>
        <v>93.777777777777771</v>
      </c>
    </row>
    <row r="1323" spans="1:5" x14ac:dyDescent="0.25">
      <c r="A1323" s="10" t="s">
        <v>29151</v>
      </c>
      <c r="B1323" s="439" t="s">
        <v>1634</v>
      </c>
      <c r="C1323" s="10" t="s">
        <v>2</v>
      </c>
      <c r="D1323" s="504">
        <v>143.03</v>
      </c>
      <c r="E1323" s="504">
        <f t="shared" si="20"/>
        <v>105.94814814814814</v>
      </c>
    </row>
    <row r="1324" spans="1:5" x14ac:dyDescent="0.25">
      <c r="A1324" s="10" t="s">
        <v>29152</v>
      </c>
      <c r="B1324" s="439" t="s">
        <v>1635</v>
      </c>
      <c r="C1324" s="10" t="s">
        <v>2</v>
      </c>
      <c r="D1324" s="504">
        <v>196.46</v>
      </c>
      <c r="E1324" s="504">
        <f t="shared" si="20"/>
        <v>145.52592592592592</v>
      </c>
    </row>
    <row r="1325" spans="1:5" x14ac:dyDescent="0.25">
      <c r="A1325" s="10" t="s">
        <v>29153</v>
      </c>
      <c r="B1325" s="439" t="s">
        <v>1636</v>
      </c>
      <c r="C1325" s="10" t="s">
        <v>2</v>
      </c>
      <c r="D1325" s="504">
        <v>241.56</v>
      </c>
      <c r="E1325" s="504">
        <f t="shared" si="20"/>
        <v>178.93333333333334</v>
      </c>
    </row>
    <row r="1326" spans="1:5" x14ac:dyDescent="0.25">
      <c r="A1326" s="10" t="s">
        <v>29154</v>
      </c>
      <c r="B1326" s="439" t="s">
        <v>1637</v>
      </c>
      <c r="C1326" s="10" t="s">
        <v>2</v>
      </c>
      <c r="D1326" s="504">
        <v>403.75</v>
      </c>
      <c r="E1326" s="504">
        <f t="shared" si="20"/>
        <v>299.07407407407408</v>
      </c>
    </row>
    <row r="1327" spans="1:5" x14ac:dyDescent="0.25">
      <c r="A1327" s="10" t="s">
        <v>29155</v>
      </c>
      <c r="B1327" s="439" t="s">
        <v>1638</v>
      </c>
      <c r="C1327" s="10" t="s">
        <v>2</v>
      </c>
      <c r="D1327" s="504">
        <v>616.36</v>
      </c>
      <c r="E1327" s="504">
        <f t="shared" si="20"/>
        <v>456.56296296296296</v>
      </c>
    </row>
    <row r="1328" spans="1:5" x14ac:dyDescent="0.25">
      <c r="A1328" s="10" t="s">
        <v>29156</v>
      </c>
      <c r="B1328" s="439" t="s">
        <v>2420</v>
      </c>
      <c r="C1328" s="10" t="s">
        <v>40</v>
      </c>
      <c r="D1328" s="504">
        <v>1053.53</v>
      </c>
      <c r="E1328" s="504">
        <f t="shared" si="20"/>
        <v>780.39259259259256</v>
      </c>
    </row>
    <row r="1329" spans="1:5" x14ac:dyDescent="0.25">
      <c r="A1329" s="10" t="s">
        <v>29157</v>
      </c>
      <c r="B1329" s="439" t="s">
        <v>729</v>
      </c>
      <c r="C1329" s="10" t="s">
        <v>40</v>
      </c>
      <c r="D1329" s="504">
        <v>200.82</v>
      </c>
      <c r="E1329" s="504">
        <f t="shared" si="20"/>
        <v>148.75555555555553</v>
      </c>
    </row>
    <row r="1330" spans="1:5" x14ac:dyDescent="0.25">
      <c r="A1330" s="10" t="s">
        <v>29158</v>
      </c>
      <c r="B1330" s="439" t="s">
        <v>814</v>
      </c>
      <c r="C1330" s="10" t="s">
        <v>2</v>
      </c>
      <c r="D1330" s="504">
        <v>79.25</v>
      </c>
      <c r="E1330" s="504">
        <f t="shared" si="20"/>
        <v>58.703703703703702</v>
      </c>
    </row>
    <row r="1331" spans="1:5" x14ac:dyDescent="0.25">
      <c r="A1331" s="10" t="s">
        <v>29159</v>
      </c>
      <c r="B1331" s="439" t="s">
        <v>815</v>
      </c>
      <c r="C1331" s="10" t="s">
        <v>2</v>
      </c>
      <c r="D1331" s="504">
        <v>129.93</v>
      </c>
      <c r="E1331" s="504">
        <f t="shared" si="20"/>
        <v>96.24444444444444</v>
      </c>
    </row>
    <row r="1332" spans="1:5" x14ac:dyDescent="0.25">
      <c r="A1332" s="10" t="s">
        <v>29160</v>
      </c>
      <c r="B1332" s="439" t="s">
        <v>816</v>
      </c>
      <c r="C1332" s="10" t="s">
        <v>2</v>
      </c>
      <c r="D1332" s="504">
        <v>214.39</v>
      </c>
      <c r="E1332" s="504">
        <f t="shared" si="20"/>
        <v>158.8074074074074</v>
      </c>
    </row>
    <row r="1333" spans="1:5" x14ac:dyDescent="0.25">
      <c r="A1333" s="10" t="s">
        <v>29161</v>
      </c>
      <c r="B1333" s="439" t="s">
        <v>1639</v>
      </c>
      <c r="C1333" s="10" t="s">
        <v>2</v>
      </c>
      <c r="D1333" s="504">
        <v>27.53</v>
      </c>
      <c r="E1333" s="504">
        <f t="shared" si="20"/>
        <v>20.392592592592592</v>
      </c>
    </row>
    <row r="1334" spans="1:5" x14ac:dyDescent="0.25">
      <c r="A1334" s="10" t="s">
        <v>29162</v>
      </c>
      <c r="B1334" s="439" t="s">
        <v>1640</v>
      </c>
      <c r="C1334" s="10" t="s">
        <v>2</v>
      </c>
      <c r="D1334" s="504">
        <v>120.95</v>
      </c>
      <c r="E1334" s="504">
        <f t="shared" si="20"/>
        <v>89.592592592592595</v>
      </c>
    </row>
    <row r="1335" spans="1:5" x14ac:dyDescent="0.25">
      <c r="A1335" s="10" t="s">
        <v>29163</v>
      </c>
      <c r="B1335" s="439" t="s">
        <v>1641</v>
      </c>
      <c r="C1335" s="10" t="s">
        <v>2</v>
      </c>
      <c r="D1335" s="504">
        <v>154.22999999999999</v>
      </c>
      <c r="E1335" s="504">
        <f t="shared" si="20"/>
        <v>114.24444444444443</v>
      </c>
    </row>
    <row r="1336" spans="1:5" x14ac:dyDescent="0.25">
      <c r="A1336" s="10" t="s">
        <v>29164</v>
      </c>
      <c r="B1336" s="439" t="s">
        <v>1642</v>
      </c>
      <c r="C1336" s="10" t="s">
        <v>6</v>
      </c>
      <c r="D1336" s="504">
        <v>45.57</v>
      </c>
      <c r="E1336" s="504">
        <f t="shared" si="20"/>
        <v>33.755555555555553</v>
      </c>
    </row>
    <row r="1337" spans="1:5" ht="30" x14ac:dyDescent="0.25">
      <c r="A1337" s="10" t="s">
        <v>29165</v>
      </c>
      <c r="B1337" s="439" t="s">
        <v>1643</v>
      </c>
      <c r="C1337" s="10" t="s">
        <v>41</v>
      </c>
      <c r="D1337" s="504">
        <v>8.99</v>
      </c>
      <c r="E1337" s="504">
        <f t="shared" si="20"/>
        <v>6.659259259259259</v>
      </c>
    </row>
    <row r="1338" spans="1:5" ht="30" x14ac:dyDescent="0.25">
      <c r="A1338" s="10" t="s">
        <v>29166</v>
      </c>
      <c r="B1338" s="439" t="s">
        <v>1644</v>
      </c>
      <c r="C1338" s="10" t="s">
        <v>41</v>
      </c>
      <c r="D1338" s="504">
        <v>9.66</v>
      </c>
      <c r="E1338" s="504">
        <f t="shared" si="20"/>
        <v>7.155555555555555</v>
      </c>
    </row>
    <row r="1339" spans="1:5" ht="30" x14ac:dyDescent="0.25">
      <c r="A1339" s="10" t="s">
        <v>29167</v>
      </c>
      <c r="B1339" s="439" t="s">
        <v>1645</v>
      </c>
      <c r="C1339" s="10" t="s">
        <v>41</v>
      </c>
      <c r="D1339" s="504">
        <v>11.2</v>
      </c>
      <c r="E1339" s="504">
        <f t="shared" si="20"/>
        <v>8.2962962962962958</v>
      </c>
    </row>
    <row r="1340" spans="1:5" ht="30" x14ac:dyDescent="0.25">
      <c r="A1340" s="10" t="s">
        <v>29168</v>
      </c>
      <c r="B1340" s="439" t="s">
        <v>755</v>
      </c>
      <c r="C1340" s="10" t="s">
        <v>41</v>
      </c>
      <c r="D1340" s="504">
        <v>12.29</v>
      </c>
      <c r="E1340" s="504">
        <f t="shared" si="20"/>
        <v>9.1037037037037027</v>
      </c>
    </row>
    <row r="1341" spans="1:5" ht="30" x14ac:dyDescent="0.25">
      <c r="A1341" s="10" t="s">
        <v>29169</v>
      </c>
      <c r="B1341" s="439" t="s">
        <v>756</v>
      </c>
      <c r="C1341" s="10" t="s">
        <v>41</v>
      </c>
      <c r="D1341" s="504">
        <v>14.94</v>
      </c>
      <c r="E1341" s="504">
        <f t="shared" si="20"/>
        <v>11.066666666666666</v>
      </c>
    </row>
    <row r="1342" spans="1:5" ht="30" x14ac:dyDescent="0.25">
      <c r="A1342" s="10" t="s">
        <v>29170</v>
      </c>
      <c r="B1342" s="439" t="s">
        <v>757</v>
      </c>
      <c r="C1342" s="10" t="s">
        <v>41</v>
      </c>
      <c r="D1342" s="504">
        <v>17.57</v>
      </c>
      <c r="E1342" s="504">
        <f t="shared" si="20"/>
        <v>13.014814814814814</v>
      </c>
    </row>
    <row r="1343" spans="1:5" ht="30" x14ac:dyDescent="0.25">
      <c r="A1343" s="10" t="s">
        <v>29171</v>
      </c>
      <c r="B1343" s="439" t="s">
        <v>758</v>
      </c>
      <c r="C1343" s="10" t="s">
        <v>41</v>
      </c>
      <c r="D1343" s="504">
        <v>22.84</v>
      </c>
      <c r="E1343" s="504">
        <f t="shared" si="20"/>
        <v>16.918518518518518</v>
      </c>
    </row>
    <row r="1344" spans="1:5" ht="30" x14ac:dyDescent="0.25">
      <c r="A1344" s="10" t="s">
        <v>29172</v>
      </c>
      <c r="B1344" s="439" t="s">
        <v>759</v>
      </c>
      <c r="C1344" s="10" t="s">
        <v>41</v>
      </c>
      <c r="D1344" s="504">
        <v>28.09</v>
      </c>
      <c r="E1344" s="504">
        <f t="shared" si="20"/>
        <v>20.807407407407407</v>
      </c>
    </row>
    <row r="1345" spans="1:5" ht="30" x14ac:dyDescent="0.25">
      <c r="A1345" s="10" t="s">
        <v>29173</v>
      </c>
      <c r="B1345" s="439" t="s">
        <v>760</v>
      </c>
      <c r="C1345" s="10" t="s">
        <v>41</v>
      </c>
      <c r="D1345" s="504">
        <v>33.369999999999997</v>
      </c>
      <c r="E1345" s="504">
        <f t="shared" si="20"/>
        <v>24.718518518518515</v>
      </c>
    </row>
    <row r="1346" spans="1:5" x14ac:dyDescent="0.25">
      <c r="A1346" s="10" t="s">
        <v>29174</v>
      </c>
      <c r="B1346" s="439" t="s">
        <v>1646</v>
      </c>
      <c r="C1346" s="10" t="s">
        <v>41</v>
      </c>
      <c r="D1346" s="504">
        <v>12.66</v>
      </c>
      <c r="E1346" s="504">
        <f t="shared" si="20"/>
        <v>9.3777777777777764</v>
      </c>
    </row>
    <row r="1347" spans="1:5" x14ac:dyDescent="0.25">
      <c r="A1347" s="10" t="s">
        <v>29175</v>
      </c>
      <c r="B1347" s="439" t="s">
        <v>1647</v>
      </c>
      <c r="C1347" s="10" t="s">
        <v>41</v>
      </c>
      <c r="D1347" s="504">
        <v>19.940000000000001</v>
      </c>
      <c r="E1347" s="504">
        <f t="shared" si="20"/>
        <v>14.770370370370371</v>
      </c>
    </row>
    <row r="1348" spans="1:5" x14ac:dyDescent="0.25">
      <c r="A1348" s="10" t="s">
        <v>29176</v>
      </c>
      <c r="B1348" s="439" t="s">
        <v>764</v>
      </c>
      <c r="C1348" s="10" t="s">
        <v>6</v>
      </c>
      <c r="D1348" s="504">
        <v>82.86</v>
      </c>
      <c r="E1348" s="504">
        <f t="shared" si="20"/>
        <v>61.377777777777773</v>
      </c>
    </row>
    <row r="1349" spans="1:5" x14ac:dyDescent="0.25">
      <c r="A1349" s="10" t="s">
        <v>29177</v>
      </c>
      <c r="B1349" s="439" t="s">
        <v>1648</v>
      </c>
      <c r="C1349" s="10" t="s">
        <v>40</v>
      </c>
      <c r="D1349" s="504">
        <v>246.51</v>
      </c>
      <c r="E1349" s="504">
        <f t="shared" si="20"/>
        <v>182.6</v>
      </c>
    </row>
    <row r="1350" spans="1:5" x14ac:dyDescent="0.25">
      <c r="A1350" s="10" t="s">
        <v>29178</v>
      </c>
      <c r="B1350" s="439" t="s">
        <v>738</v>
      </c>
      <c r="C1350" s="10" t="s">
        <v>40</v>
      </c>
      <c r="D1350" s="504">
        <v>174.58</v>
      </c>
      <c r="E1350" s="504">
        <f t="shared" si="20"/>
        <v>129.31851851851852</v>
      </c>
    </row>
    <row r="1351" spans="1:5" x14ac:dyDescent="0.25">
      <c r="A1351" s="10" t="s">
        <v>29179</v>
      </c>
      <c r="B1351" s="439" t="s">
        <v>1649</v>
      </c>
      <c r="C1351" s="10" t="s">
        <v>40</v>
      </c>
      <c r="D1351" s="504">
        <v>148.19999999999999</v>
      </c>
      <c r="E1351" s="504">
        <f t="shared" si="20"/>
        <v>109.77777777777776</v>
      </c>
    </row>
    <row r="1352" spans="1:5" x14ac:dyDescent="0.25">
      <c r="A1352" s="10" t="s">
        <v>29180</v>
      </c>
      <c r="B1352" s="439" t="s">
        <v>1650</v>
      </c>
      <c r="C1352" s="10" t="s">
        <v>6</v>
      </c>
      <c r="D1352" s="504">
        <v>83.71</v>
      </c>
      <c r="E1352" s="504">
        <f t="shared" si="20"/>
        <v>62.007407407407399</v>
      </c>
    </row>
    <row r="1353" spans="1:5" x14ac:dyDescent="0.25">
      <c r="A1353" s="10" t="s">
        <v>29181</v>
      </c>
      <c r="B1353" s="439" t="s">
        <v>824</v>
      </c>
      <c r="C1353" s="10" t="s">
        <v>6</v>
      </c>
      <c r="D1353" s="504">
        <v>85.31</v>
      </c>
      <c r="E1353" s="504">
        <f t="shared" si="20"/>
        <v>63.19259259259259</v>
      </c>
    </row>
    <row r="1354" spans="1:5" x14ac:dyDescent="0.25">
      <c r="A1354" s="10" t="s">
        <v>29182</v>
      </c>
      <c r="B1354" s="439" t="s">
        <v>825</v>
      </c>
      <c r="C1354" s="10" t="s">
        <v>6</v>
      </c>
      <c r="D1354" s="504">
        <v>53.67</v>
      </c>
      <c r="E1354" s="504">
        <f t="shared" si="20"/>
        <v>39.755555555555553</v>
      </c>
    </row>
    <row r="1355" spans="1:5" x14ac:dyDescent="0.25">
      <c r="A1355" s="10" t="s">
        <v>29183</v>
      </c>
      <c r="B1355" s="439" t="s">
        <v>1651</v>
      </c>
      <c r="C1355" s="10" t="s">
        <v>6</v>
      </c>
      <c r="D1355" s="504">
        <v>54.23</v>
      </c>
      <c r="E1355" s="504">
        <f t="shared" ref="E1355:E1418" si="21">D1355/(1+$G$4)</f>
        <v>40.170370370370364</v>
      </c>
    </row>
    <row r="1356" spans="1:5" x14ac:dyDescent="0.25">
      <c r="A1356" s="10" t="s">
        <v>29184</v>
      </c>
      <c r="B1356" s="439" t="s">
        <v>7</v>
      </c>
      <c r="C1356" s="10" t="s">
        <v>2</v>
      </c>
      <c r="D1356" s="504">
        <v>114.63</v>
      </c>
      <c r="E1356" s="504">
        <f t="shared" si="21"/>
        <v>84.911111111111097</v>
      </c>
    </row>
    <row r="1357" spans="1:5" x14ac:dyDescent="0.25">
      <c r="A1357" s="10" t="s">
        <v>29185</v>
      </c>
      <c r="B1357" s="439" t="s">
        <v>1652</v>
      </c>
      <c r="C1357" s="10" t="s">
        <v>6</v>
      </c>
      <c r="D1357" s="504">
        <v>36.520000000000003</v>
      </c>
      <c r="E1357" s="504">
        <f t="shared" si="21"/>
        <v>27.051851851851854</v>
      </c>
    </row>
    <row r="1358" spans="1:5" x14ac:dyDescent="0.25">
      <c r="A1358" s="10" t="s">
        <v>29186</v>
      </c>
      <c r="B1358" s="439" t="s">
        <v>1653</v>
      </c>
      <c r="C1358" s="10" t="s">
        <v>2</v>
      </c>
      <c r="D1358" s="504">
        <v>244.27</v>
      </c>
      <c r="E1358" s="504">
        <f t="shared" si="21"/>
        <v>180.94074074074075</v>
      </c>
    </row>
    <row r="1359" spans="1:5" x14ac:dyDescent="0.25">
      <c r="A1359" s="10" t="s">
        <v>29187</v>
      </c>
      <c r="B1359" s="439" t="s">
        <v>1654</v>
      </c>
      <c r="C1359" s="10" t="s">
        <v>2</v>
      </c>
      <c r="D1359" s="504">
        <v>115.31</v>
      </c>
      <c r="E1359" s="504">
        <f t="shared" si="21"/>
        <v>85.414814814814804</v>
      </c>
    </row>
    <row r="1360" spans="1:5" ht="30" x14ac:dyDescent="0.25">
      <c r="A1360" s="10" t="s">
        <v>29188</v>
      </c>
      <c r="B1360" s="439" t="s">
        <v>1655</v>
      </c>
      <c r="C1360" s="10" t="s">
        <v>3</v>
      </c>
      <c r="D1360" s="504">
        <v>55.93</v>
      </c>
      <c r="E1360" s="504">
        <f t="shared" si="21"/>
        <v>41.429629629629623</v>
      </c>
    </row>
    <row r="1361" spans="1:5" ht="30" x14ac:dyDescent="0.25">
      <c r="A1361" s="10" t="s">
        <v>29189</v>
      </c>
      <c r="B1361" s="439" t="s">
        <v>1656</v>
      </c>
      <c r="C1361" s="10" t="s">
        <v>3</v>
      </c>
      <c r="D1361" s="504">
        <v>99.27</v>
      </c>
      <c r="E1361" s="504">
        <f t="shared" si="21"/>
        <v>73.533333333333331</v>
      </c>
    </row>
    <row r="1362" spans="1:5" x14ac:dyDescent="0.25">
      <c r="A1362" s="10" t="s">
        <v>29190</v>
      </c>
      <c r="B1362" s="439" t="s">
        <v>1187</v>
      </c>
      <c r="C1362" s="10" t="s">
        <v>3</v>
      </c>
      <c r="D1362" s="504">
        <v>91.22</v>
      </c>
      <c r="E1362" s="504">
        <f t="shared" si="21"/>
        <v>67.57037037037037</v>
      </c>
    </row>
    <row r="1363" spans="1:5" x14ac:dyDescent="0.25">
      <c r="A1363" s="10" t="s">
        <v>29191</v>
      </c>
      <c r="B1363" s="439" t="s">
        <v>1657</v>
      </c>
      <c r="C1363" s="10" t="s">
        <v>3</v>
      </c>
      <c r="D1363" s="504">
        <v>61.3</v>
      </c>
      <c r="E1363" s="504">
        <f t="shared" si="21"/>
        <v>45.407407407407405</v>
      </c>
    </row>
    <row r="1364" spans="1:5" x14ac:dyDescent="0.25">
      <c r="A1364" s="10" t="s">
        <v>29192</v>
      </c>
      <c r="B1364" s="439" t="s">
        <v>1658</v>
      </c>
      <c r="C1364" s="10" t="s">
        <v>3</v>
      </c>
      <c r="D1364" s="504">
        <v>64.14</v>
      </c>
      <c r="E1364" s="504">
        <f t="shared" si="21"/>
        <v>47.511111111111106</v>
      </c>
    </row>
    <row r="1365" spans="1:5" x14ac:dyDescent="0.25">
      <c r="A1365" s="10" t="s">
        <v>29193</v>
      </c>
      <c r="B1365" s="439" t="s">
        <v>1659</v>
      </c>
      <c r="C1365" s="10" t="s">
        <v>41</v>
      </c>
      <c r="D1365" s="504">
        <v>40.96</v>
      </c>
      <c r="E1365" s="504">
        <f t="shared" si="21"/>
        <v>30.340740740740738</v>
      </c>
    </row>
    <row r="1366" spans="1:5" x14ac:dyDescent="0.25">
      <c r="A1366" s="10" t="s">
        <v>29194</v>
      </c>
      <c r="B1366" s="439" t="s">
        <v>1179</v>
      </c>
      <c r="C1366" s="10" t="s">
        <v>41</v>
      </c>
      <c r="D1366" s="504">
        <v>40.64</v>
      </c>
      <c r="E1366" s="504">
        <f t="shared" si="21"/>
        <v>30.103703703703701</v>
      </c>
    </row>
    <row r="1367" spans="1:5" x14ac:dyDescent="0.25">
      <c r="A1367" s="10" t="s">
        <v>29195</v>
      </c>
      <c r="B1367" s="439" t="s">
        <v>1660</v>
      </c>
      <c r="C1367" s="10" t="s">
        <v>41</v>
      </c>
      <c r="D1367" s="504">
        <v>50.49</v>
      </c>
      <c r="E1367" s="504">
        <f t="shared" si="21"/>
        <v>37.4</v>
      </c>
    </row>
    <row r="1368" spans="1:5" x14ac:dyDescent="0.25">
      <c r="A1368" s="10" t="s">
        <v>29196</v>
      </c>
      <c r="B1368" s="439" t="s">
        <v>1661</v>
      </c>
      <c r="C1368" s="10" t="s">
        <v>41</v>
      </c>
      <c r="D1368" s="504">
        <v>89.89</v>
      </c>
      <c r="E1368" s="504">
        <f t="shared" si="21"/>
        <v>66.585185185185182</v>
      </c>
    </row>
    <row r="1369" spans="1:5" x14ac:dyDescent="0.25">
      <c r="A1369" s="10" t="s">
        <v>29197</v>
      </c>
      <c r="B1369" s="439" t="s">
        <v>1662</v>
      </c>
      <c r="C1369" s="10" t="s">
        <v>41</v>
      </c>
      <c r="D1369" s="504">
        <v>105.57</v>
      </c>
      <c r="E1369" s="504">
        <f t="shared" si="21"/>
        <v>78.199999999999989</v>
      </c>
    </row>
    <row r="1370" spans="1:5" ht="30" x14ac:dyDescent="0.25">
      <c r="A1370" s="10" t="s">
        <v>29198</v>
      </c>
      <c r="B1370" s="439" t="s">
        <v>2421</v>
      </c>
      <c r="C1370" s="10" t="s">
        <v>41</v>
      </c>
      <c r="D1370" s="504">
        <v>185.11</v>
      </c>
      <c r="E1370" s="504">
        <f t="shared" si="21"/>
        <v>137.11851851851853</v>
      </c>
    </row>
    <row r="1371" spans="1:5" x14ac:dyDescent="0.25">
      <c r="A1371" s="10" t="s">
        <v>29199</v>
      </c>
      <c r="B1371" s="439" t="s">
        <v>1663</v>
      </c>
      <c r="C1371" s="10" t="s">
        <v>41</v>
      </c>
      <c r="D1371" s="504">
        <v>49.83</v>
      </c>
      <c r="E1371" s="504">
        <f t="shared" si="21"/>
        <v>36.911111111111104</v>
      </c>
    </row>
    <row r="1372" spans="1:5" ht="30" x14ac:dyDescent="0.25">
      <c r="A1372" s="10" t="s">
        <v>29200</v>
      </c>
      <c r="B1372" s="439" t="s">
        <v>2422</v>
      </c>
      <c r="C1372" s="10" t="s">
        <v>41</v>
      </c>
      <c r="D1372" s="504">
        <v>81.010000000000005</v>
      </c>
      <c r="E1372" s="504">
        <f t="shared" si="21"/>
        <v>60.007407407407406</v>
      </c>
    </row>
    <row r="1373" spans="1:5" x14ac:dyDescent="0.25">
      <c r="A1373" s="10" t="s">
        <v>29201</v>
      </c>
      <c r="B1373" s="439" t="s">
        <v>1162</v>
      </c>
      <c r="C1373" s="10" t="s">
        <v>41</v>
      </c>
      <c r="D1373" s="504">
        <v>105.45</v>
      </c>
      <c r="E1373" s="504">
        <f t="shared" si="21"/>
        <v>78.111111111111114</v>
      </c>
    </row>
    <row r="1374" spans="1:5" ht="30" x14ac:dyDescent="0.25">
      <c r="A1374" s="10" t="s">
        <v>29202</v>
      </c>
      <c r="B1374" s="439" t="s">
        <v>1664</v>
      </c>
      <c r="C1374" s="10" t="s">
        <v>41</v>
      </c>
      <c r="D1374" s="504">
        <v>94.52</v>
      </c>
      <c r="E1374" s="504">
        <f t="shared" si="21"/>
        <v>70.014814814814812</v>
      </c>
    </row>
    <row r="1375" spans="1:5" x14ac:dyDescent="0.25">
      <c r="A1375" s="10" t="s">
        <v>29203</v>
      </c>
      <c r="B1375" s="439" t="s">
        <v>1665</v>
      </c>
      <c r="C1375" s="10" t="s">
        <v>41</v>
      </c>
      <c r="D1375" s="504">
        <v>131.81</v>
      </c>
      <c r="E1375" s="504">
        <f t="shared" si="21"/>
        <v>97.637037037037032</v>
      </c>
    </row>
    <row r="1376" spans="1:5" x14ac:dyDescent="0.25">
      <c r="A1376" s="10" t="s">
        <v>29204</v>
      </c>
      <c r="B1376" s="439" t="s">
        <v>1666</v>
      </c>
      <c r="C1376" s="10" t="s">
        <v>41</v>
      </c>
      <c r="D1376" s="504">
        <v>1141.57</v>
      </c>
      <c r="E1376" s="504">
        <f t="shared" si="21"/>
        <v>845.60740740740732</v>
      </c>
    </row>
    <row r="1377" spans="1:5" ht="30" x14ac:dyDescent="0.25">
      <c r="A1377" s="10" t="s">
        <v>29205</v>
      </c>
      <c r="B1377" s="439" t="s">
        <v>1667</v>
      </c>
      <c r="C1377" s="10" t="s">
        <v>41</v>
      </c>
      <c r="D1377" s="504">
        <v>1923.21</v>
      </c>
      <c r="E1377" s="504">
        <f t="shared" si="21"/>
        <v>1424.6</v>
      </c>
    </row>
    <row r="1378" spans="1:5" x14ac:dyDescent="0.25">
      <c r="A1378" s="10" t="s">
        <v>29206</v>
      </c>
      <c r="B1378" s="439" t="s">
        <v>1668</v>
      </c>
      <c r="C1378" s="10" t="s">
        <v>41</v>
      </c>
      <c r="D1378" s="504">
        <v>1610.2</v>
      </c>
      <c r="E1378" s="504">
        <f t="shared" si="21"/>
        <v>1192.7407407407406</v>
      </c>
    </row>
    <row r="1379" spans="1:5" x14ac:dyDescent="0.25">
      <c r="A1379" s="10" t="s">
        <v>29207</v>
      </c>
      <c r="B1379" s="439" t="s">
        <v>1669</v>
      </c>
      <c r="C1379" s="10" t="s">
        <v>3</v>
      </c>
      <c r="D1379" s="504">
        <v>777.6</v>
      </c>
      <c r="E1379" s="504">
        <f t="shared" si="21"/>
        <v>576</v>
      </c>
    </row>
    <row r="1380" spans="1:5" x14ac:dyDescent="0.25">
      <c r="A1380" s="10" t="s">
        <v>29208</v>
      </c>
      <c r="B1380" s="439" t="s">
        <v>1670</v>
      </c>
      <c r="C1380" s="10" t="s">
        <v>3</v>
      </c>
      <c r="D1380" s="504">
        <v>561.29999999999995</v>
      </c>
      <c r="E1380" s="504">
        <f t="shared" si="21"/>
        <v>415.77777777777771</v>
      </c>
    </row>
    <row r="1381" spans="1:5" x14ac:dyDescent="0.25">
      <c r="A1381" s="10" t="s">
        <v>29209</v>
      </c>
      <c r="B1381" s="439" t="s">
        <v>1671</v>
      </c>
      <c r="C1381" s="10" t="s">
        <v>3</v>
      </c>
      <c r="D1381" s="504">
        <v>561.29999999999995</v>
      </c>
      <c r="E1381" s="504">
        <f t="shared" si="21"/>
        <v>415.77777777777771</v>
      </c>
    </row>
    <row r="1382" spans="1:5" x14ac:dyDescent="0.25">
      <c r="A1382" s="10" t="s">
        <v>29210</v>
      </c>
      <c r="B1382" s="439" t="s">
        <v>1672</v>
      </c>
      <c r="C1382" s="10" t="s">
        <v>3</v>
      </c>
      <c r="D1382" s="504">
        <v>2067.33</v>
      </c>
      <c r="E1382" s="504">
        <f t="shared" si="21"/>
        <v>1531.3555555555554</v>
      </c>
    </row>
    <row r="1383" spans="1:5" x14ac:dyDescent="0.25">
      <c r="A1383" s="10" t="s">
        <v>29211</v>
      </c>
      <c r="B1383" s="439" t="s">
        <v>1673</v>
      </c>
      <c r="C1383" s="10" t="s">
        <v>2</v>
      </c>
      <c r="D1383" s="504">
        <v>373.2</v>
      </c>
      <c r="E1383" s="504">
        <f t="shared" si="21"/>
        <v>276.4444444444444</v>
      </c>
    </row>
    <row r="1384" spans="1:5" x14ac:dyDescent="0.25">
      <c r="A1384" s="10" t="s">
        <v>29212</v>
      </c>
      <c r="B1384" s="439" t="s">
        <v>1674</v>
      </c>
      <c r="C1384" s="10" t="s">
        <v>3</v>
      </c>
      <c r="D1384" s="504">
        <v>176.5</v>
      </c>
      <c r="E1384" s="504">
        <f t="shared" si="21"/>
        <v>130.74074074074073</v>
      </c>
    </row>
    <row r="1385" spans="1:5" x14ac:dyDescent="0.25">
      <c r="A1385" s="10" t="s">
        <v>29213</v>
      </c>
      <c r="B1385" s="439" t="s">
        <v>1236</v>
      </c>
      <c r="C1385" s="10" t="s">
        <v>41</v>
      </c>
      <c r="D1385" s="504">
        <v>15.25</v>
      </c>
      <c r="E1385" s="504">
        <f t="shared" si="21"/>
        <v>11.296296296296296</v>
      </c>
    </row>
    <row r="1386" spans="1:5" x14ac:dyDescent="0.25">
      <c r="A1386" s="10" t="s">
        <v>29214</v>
      </c>
      <c r="B1386" s="439" t="s">
        <v>1675</v>
      </c>
      <c r="C1386" s="10" t="s">
        <v>41</v>
      </c>
      <c r="D1386" s="504">
        <v>18.739999999999998</v>
      </c>
      <c r="E1386" s="504">
        <f t="shared" si="21"/>
        <v>13.88148148148148</v>
      </c>
    </row>
    <row r="1387" spans="1:5" x14ac:dyDescent="0.25">
      <c r="A1387" s="10" t="s">
        <v>29215</v>
      </c>
      <c r="B1387" s="439" t="s">
        <v>1254</v>
      </c>
      <c r="C1387" s="10" t="s">
        <v>368</v>
      </c>
      <c r="D1387" s="504">
        <v>5846.86</v>
      </c>
      <c r="E1387" s="504">
        <f t="shared" si="21"/>
        <v>4331.0074074074073</v>
      </c>
    </row>
    <row r="1388" spans="1:5" x14ac:dyDescent="0.25">
      <c r="A1388" s="10" t="s">
        <v>29216</v>
      </c>
      <c r="B1388" s="439" t="s">
        <v>1676</v>
      </c>
      <c r="C1388" s="10" t="s">
        <v>368</v>
      </c>
      <c r="D1388" s="504">
        <v>2316.5100000000002</v>
      </c>
      <c r="E1388" s="504">
        <f t="shared" si="21"/>
        <v>1715.9333333333334</v>
      </c>
    </row>
    <row r="1389" spans="1:5" x14ac:dyDescent="0.25">
      <c r="A1389" s="10" t="s">
        <v>29217</v>
      </c>
      <c r="B1389" s="439" t="s">
        <v>1677</v>
      </c>
      <c r="C1389" s="10" t="s">
        <v>368</v>
      </c>
      <c r="D1389" s="504">
        <v>10441.33</v>
      </c>
      <c r="E1389" s="504">
        <f t="shared" si="21"/>
        <v>7734.3185185185175</v>
      </c>
    </row>
    <row r="1390" spans="1:5" x14ac:dyDescent="0.25">
      <c r="A1390" s="10" t="s">
        <v>29218</v>
      </c>
      <c r="B1390" s="439" t="s">
        <v>1678</v>
      </c>
      <c r="C1390" s="10" t="s">
        <v>41</v>
      </c>
      <c r="D1390" s="504">
        <v>0.81</v>
      </c>
      <c r="E1390" s="504">
        <f t="shared" si="21"/>
        <v>0.6</v>
      </c>
    </row>
    <row r="1391" spans="1:5" x14ac:dyDescent="0.25">
      <c r="A1391" s="10" t="s">
        <v>29219</v>
      </c>
      <c r="B1391" s="439" t="s">
        <v>1679</v>
      </c>
      <c r="C1391" s="10" t="s">
        <v>368</v>
      </c>
      <c r="D1391" s="504">
        <v>11591.49</v>
      </c>
      <c r="E1391" s="504">
        <f t="shared" si="21"/>
        <v>8586.2888888888883</v>
      </c>
    </row>
    <row r="1392" spans="1:5" x14ac:dyDescent="0.25">
      <c r="A1392" s="10" t="s">
        <v>29220</v>
      </c>
      <c r="B1392" s="439" t="s">
        <v>1680</v>
      </c>
      <c r="C1392" s="10" t="s">
        <v>368</v>
      </c>
      <c r="D1392" s="504">
        <v>2643.24</v>
      </c>
      <c r="E1392" s="504">
        <f t="shared" si="21"/>
        <v>1957.9555555555553</v>
      </c>
    </row>
    <row r="1393" spans="1:5" x14ac:dyDescent="0.25">
      <c r="A1393" s="10" t="s">
        <v>29221</v>
      </c>
      <c r="B1393" s="439" t="s">
        <v>1681</v>
      </c>
      <c r="C1393" s="10" t="s">
        <v>1560</v>
      </c>
      <c r="D1393" s="504">
        <v>521.08000000000004</v>
      </c>
      <c r="E1393" s="504">
        <f t="shared" si="21"/>
        <v>385.98518518518517</v>
      </c>
    </row>
    <row r="1394" spans="1:5" x14ac:dyDescent="0.25">
      <c r="A1394" s="10" t="s">
        <v>29222</v>
      </c>
      <c r="B1394" s="439" t="s">
        <v>715</v>
      </c>
      <c r="C1394" s="10" t="s">
        <v>40</v>
      </c>
      <c r="D1394" s="504">
        <v>727.23</v>
      </c>
      <c r="E1394" s="504">
        <f t="shared" si="21"/>
        <v>538.68888888888887</v>
      </c>
    </row>
    <row r="1395" spans="1:5" ht="30" x14ac:dyDescent="0.25">
      <c r="A1395" s="10" t="s">
        <v>29223</v>
      </c>
      <c r="B1395" s="439" t="s">
        <v>716</v>
      </c>
      <c r="C1395" s="10" t="s">
        <v>40</v>
      </c>
      <c r="D1395" s="504">
        <v>835.86</v>
      </c>
      <c r="E1395" s="504">
        <f t="shared" si="21"/>
        <v>619.15555555555557</v>
      </c>
    </row>
    <row r="1396" spans="1:5" ht="30" x14ac:dyDescent="0.25">
      <c r="A1396" s="10" t="s">
        <v>29224</v>
      </c>
      <c r="B1396" s="439" t="s">
        <v>717</v>
      </c>
      <c r="C1396" s="10" t="s">
        <v>40</v>
      </c>
      <c r="D1396" s="504">
        <v>1079.06</v>
      </c>
      <c r="E1396" s="504">
        <f t="shared" si="21"/>
        <v>799.3037037037036</v>
      </c>
    </row>
    <row r="1397" spans="1:5" x14ac:dyDescent="0.25">
      <c r="A1397" s="10" t="s">
        <v>29225</v>
      </c>
      <c r="B1397" s="439" t="s">
        <v>720</v>
      </c>
      <c r="C1397" s="10" t="s">
        <v>40</v>
      </c>
      <c r="D1397" s="504">
        <v>614.1</v>
      </c>
      <c r="E1397" s="504">
        <f t="shared" si="21"/>
        <v>454.88888888888886</v>
      </c>
    </row>
    <row r="1398" spans="1:5" ht="30" x14ac:dyDescent="0.25">
      <c r="A1398" s="10" t="s">
        <v>29226</v>
      </c>
      <c r="B1398" s="439" t="s">
        <v>718</v>
      </c>
      <c r="C1398" s="10" t="s">
        <v>40</v>
      </c>
      <c r="D1398" s="504">
        <v>676.39</v>
      </c>
      <c r="E1398" s="504">
        <f t="shared" si="21"/>
        <v>501.0296296296296</v>
      </c>
    </row>
    <row r="1399" spans="1:5" ht="30" x14ac:dyDescent="0.25">
      <c r="A1399" s="10" t="s">
        <v>29227</v>
      </c>
      <c r="B1399" s="439" t="s">
        <v>719</v>
      </c>
      <c r="C1399" s="10" t="s">
        <v>40</v>
      </c>
      <c r="D1399" s="504">
        <v>848.49</v>
      </c>
      <c r="E1399" s="504">
        <f t="shared" si="21"/>
        <v>628.51111111111106</v>
      </c>
    </row>
    <row r="1400" spans="1:5" ht="30" x14ac:dyDescent="0.25">
      <c r="A1400" s="10" t="s">
        <v>29228</v>
      </c>
      <c r="B1400" s="439" t="s">
        <v>721</v>
      </c>
      <c r="C1400" s="10" t="s">
        <v>41</v>
      </c>
      <c r="D1400" s="504">
        <v>515.95000000000005</v>
      </c>
      <c r="E1400" s="504">
        <f t="shared" si="21"/>
        <v>382.18518518518522</v>
      </c>
    </row>
    <row r="1401" spans="1:5" ht="30" x14ac:dyDescent="0.25">
      <c r="A1401" s="10" t="s">
        <v>29229</v>
      </c>
      <c r="B1401" s="439" t="s">
        <v>722</v>
      </c>
      <c r="C1401" s="10" t="s">
        <v>41</v>
      </c>
      <c r="D1401" s="504">
        <v>449.13</v>
      </c>
      <c r="E1401" s="504">
        <f t="shared" si="21"/>
        <v>332.68888888888887</v>
      </c>
    </row>
    <row r="1402" spans="1:5" ht="30" x14ac:dyDescent="0.25">
      <c r="A1402" s="10" t="s">
        <v>29230</v>
      </c>
      <c r="B1402" s="439" t="s">
        <v>723</v>
      </c>
      <c r="C1402" s="10" t="s">
        <v>41</v>
      </c>
      <c r="D1402" s="504">
        <v>535.66999999999996</v>
      </c>
      <c r="E1402" s="504">
        <f t="shared" si="21"/>
        <v>396.79259259259254</v>
      </c>
    </row>
    <row r="1403" spans="1:5" ht="30" x14ac:dyDescent="0.25">
      <c r="A1403" s="10" t="s">
        <v>29231</v>
      </c>
      <c r="B1403" s="439" t="s">
        <v>724</v>
      </c>
      <c r="C1403" s="10" t="s">
        <v>41</v>
      </c>
      <c r="D1403" s="504">
        <v>460.57</v>
      </c>
      <c r="E1403" s="504">
        <f t="shared" si="21"/>
        <v>341.16296296296292</v>
      </c>
    </row>
    <row r="1404" spans="1:5" ht="30" x14ac:dyDescent="0.25">
      <c r="A1404" s="10" t="s">
        <v>29232</v>
      </c>
      <c r="B1404" s="439" t="s">
        <v>725</v>
      </c>
      <c r="C1404" s="10" t="s">
        <v>41</v>
      </c>
      <c r="D1404" s="504">
        <v>555.4</v>
      </c>
      <c r="E1404" s="504">
        <f t="shared" si="21"/>
        <v>411.40740740740739</v>
      </c>
    </row>
    <row r="1405" spans="1:5" ht="30" x14ac:dyDescent="0.25">
      <c r="A1405" s="10" t="s">
        <v>29233</v>
      </c>
      <c r="B1405" s="439" t="s">
        <v>726</v>
      </c>
      <c r="C1405" s="10" t="s">
        <v>41</v>
      </c>
      <c r="D1405" s="504">
        <v>475.57</v>
      </c>
      <c r="E1405" s="504">
        <f t="shared" si="21"/>
        <v>352.27407407407406</v>
      </c>
    </row>
    <row r="1406" spans="1:5" ht="30" x14ac:dyDescent="0.25">
      <c r="A1406" s="10" t="s">
        <v>29234</v>
      </c>
      <c r="B1406" s="439" t="s">
        <v>727</v>
      </c>
      <c r="C1406" s="10" t="s">
        <v>40</v>
      </c>
      <c r="D1406" s="504">
        <v>885.95</v>
      </c>
      <c r="E1406" s="504">
        <f t="shared" si="21"/>
        <v>656.25925925925924</v>
      </c>
    </row>
    <row r="1407" spans="1:5" ht="30" x14ac:dyDescent="0.25">
      <c r="A1407" s="10" t="s">
        <v>29235</v>
      </c>
      <c r="B1407" s="439" t="s">
        <v>728</v>
      </c>
      <c r="C1407" s="10" t="s">
        <v>40</v>
      </c>
      <c r="D1407" s="504">
        <v>703.25</v>
      </c>
      <c r="E1407" s="504">
        <f t="shared" si="21"/>
        <v>520.92592592592587</v>
      </c>
    </row>
    <row r="1408" spans="1:5" ht="30" x14ac:dyDescent="0.25">
      <c r="A1408" s="10" t="s">
        <v>29236</v>
      </c>
      <c r="B1408" s="439" t="s">
        <v>1222</v>
      </c>
      <c r="C1408" s="10" t="s">
        <v>41</v>
      </c>
      <c r="D1408" s="504">
        <v>326.75</v>
      </c>
      <c r="E1408" s="504">
        <f t="shared" si="21"/>
        <v>242.03703703703701</v>
      </c>
    </row>
    <row r="1409" spans="1:5" x14ac:dyDescent="0.25">
      <c r="A1409" s="10" t="s">
        <v>29237</v>
      </c>
      <c r="B1409" s="439" t="s">
        <v>1223</v>
      </c>
      <c r="C1409" s="10" t="s">
        <v>2472</v>
      </c>
      <c r="D1409" s="504">
        <v>64.64</v>
      </c>
      <c r="E1409" s="504">
        <f t="shared" si="21"/>
        <v>47.88148148148148</v>
      </c>
    </row>
    <row r="1410" spans="1:5" ht="30" x14ac:dyDescent="0.25">
      <c r="A1410" s="10" t="s">
        <v>29238</v>
      </c>
      <c r="B1410" s="439" t="s">
        <v>2423</v>
      </c>
      <c r="C1410" s="10" t="s">
        <v>3</v>
      </c>
      <c r="D1410" s="504">
        <v>33.96</v>
      </c>
      <c r="E1410" s="504">
        <f t="shared" si="21"/>
        <v>25.155555555555555</v>
      </c>
    </row>
    <row r="1411" spans="1:5" ht="30" x14ac:dyDescent="0.25">
      <c r="A1411" s="10" t="s">
        <v>29239</v>
      </c>
      <c r="B1411" s="439" t="s">
        <v>2424</v>
      </c>
      <c r="C1411" s="10" t="s">
        <v>3</v>
      </c>
      <c r="D1411" s="504">
        <v>34.68</v>
      </c>
      <c r="E1411" s="504">
        <f t="shared" si="21"/>
        <v>25.688888888888886</v>
      </c>
    </row>
    <row r="1412" spans="1:5" x14ac:dyDescent="0.25">
      <c r="A1412" s="10" t="s">
        <v>29240</v>
      </c>
      <c r="B1412" s="439" t="s">
        <v>1682</v>
      </c>
      <c r="C1412" s="10" t="s">
        <v>1323</v>
      </c>
      <c r="D1412" s="504">
        <v>51.98</v>
      </c>
      <c r="E1412" s="504">
        <f t="shared" si="21"/>
        <v>38.5037037037037</v>
      </c>
    </row>
    <row r="1413" spans="1:5" x14ac:dyDescent="0.25">
      <c r="A1413" s="10" t="s">
        <v>29241</v>
      </c>
      <c r="B1413" s="439" t="s">
        <v>1683</v>
      </c>
      <c r="C1413" s="10" t="s">
        <v>1323</v>
      </c>
      <c r="D1413" s="504">
        <v>7.47</v>
      </c>
      <c r="E1413" s="504">
        <f t="shared" si="21"/>
        <v>5.5333333333333332</v>
      </c>
    </row>
    <row r="1414" spans="1:5" x14ac:dyDescent="0.25">
      <c r="A1414" s="10" t="s">
        <v>29242</v>
      </c>
      <c r="B1414" s="439" t="s">
        <v>1684</v>
      </c>
      <c r="C1414" s="10" t="s">
        <v>1323</v>
      </c>
      <c r="D1414" s="504">
        <v>43.76</v>
      </c>
      <c r="E1414" s="504">
        <f t="shared" si="21"/>
        <v>32.414814814814811</v>
      </c>
    </row>
    <row r="1415" spans="1:5" x14ac:dyDescent="0.25">
      <c r="A1415" s="10" t="s">
        <v>29243</v>
      </c>
      <c r="B1415" s="439" t="s">
        <v>1685</v>
      </c>
      <c r="C1415" s="10" t="s">
        <v>1323</v>
      </c>
      <c r="D1415" s="504">
        <v>91.6</v>
      </c>
      <c r="E1415" s="504">
        <f t="shared" si="21"/>
        <v>67.851851851851848</v>
      </c>
    </row>
    <row r="1416" spans="1:5" x14ac:dyDescent="0.25">
      <c r="A1416" s="10" t="s">
        <v>29244</v>
      </c>
      <c r="B1416" s="439" t="s">
        <v>1686</v>
      </c>
      <c r="C1416" s="10" t="s">
        <v>1323</v>
      </c>
      <c r="D1416" s="504">
        <v>49.52</v>
      </c>
      <c r="E1416" s="504">
        <f t="shared" si="21"/>
        <v>36.681481481481484</v>
      </c>
    </row>
    <row r="1417" spans="1:5" x14ac:dyDescent="0.25">
      <c r="A1417" s="10" t="s">
        <v>29245</v>
      </c>
      <c r="B1417" s="439" t="s">
        <v>1687</v>
      </c>
      <c r="C1417" s="10" t="s">
        <v>1323</v>
      </c>
      <c r="D1417" s="504">
        <v>3.33</v>
      </c>
      <c r="E1417" s="504">
        <f t="shared" si="21"/>
        <v>2.4666666666666663</v>
      </c>
    </row>
    <row r="1418" spans="1:5" x14ac:dyDescent="0.25">
      <c r="A1418" s="10" t="s">
        <v>29246</v>
      </c>
      <c r="B1418" s="439" t="s">
        <v>1688</v>
      </c>
      <c r="C1418" s="10" t="s">
        <v>1323</v>
      </c>
      <c r="D1418" s="504">
        <v>8.83</v>
      </c>
      <c r="E1418" s="504">
        <f t="shared" si="21"/>
        <v>6.5407407407407403</v>
      </c>
    </row>
    <row r="1419" spans="1:5" x14ac:dyDescent="0.25">
      <c r="A1419" s="10" t="s">
        <v>29247</v>
      </c>
      <c r="B1419" s="439" t="s">
        <v>1689</v>
      </c>
      <c r="C1419" s="10" t="s">
        <v>1323</v>
      </c>
      <c r="D1419" s="504">
        <v>56.66</v>
      </c>
      <c r="E1419" s="504">
        <f t="shared" ref="E1419:E1482" si="22">D1419/(1+$G$4)</f>
        <v>41.970370370370368</v>
      </c>
    </row>
    <row r="1420" spans="1:5" x14ac:dyDescent="0.25">
      <c r="A1420" s="10" t="s">
        <v>29248</v>
      </c>
      <c r="B1420" s="439" t="s">
        <v>1691</v>
      </c>
      <c r="C1420" s="10" t="s">
        <v>1323</v>
      </c>
      <c r="D1420" s="504">
        <v>50.63</v>
      </c>
      <c r="E1420" s="504">
        <f t="shared" si="22"/>
        <v>37.503703703703707</v>
      </c>
    </row>
    <row r="1421" spans="1:5" x14ac:dyDescent="0.25">
      <c r="A1421" s="10" t="s">
        <v>29249</v>
      </c>
      <c r="B1421" s="439" t="s">
        <v>1692</v>
      </c>
      <c r="C1421" s="10" t="s">
        <v>1323</v>
      </c>
      <c r="D1421" s="504">
        <v>12.55</v>
      </c>
      <c r="E1421" s="504">
        <f t="shared" si="22"/>
        <v>9.2962962962962958</v>
      </c>
    </row>
    <row r="1422" spans="1:5" x14ac:dyDescent="0.25">
      <c r="A1422" s="10" t="s">
        <v>29250</v>
      </c>
      <c r="B1422" s="439" t="s">
        <v>1693</v>
      </c>
      <c r="C1422" s="10" t="s">
        <v>1323</v>
      </c>
      <c r="D1422" s="504">
        <v>64.63</v>
      </c>
      <c r="E1422" s="504">
        <f t="shared" si="22"/>
        <v>47.874074074074066</v>
      </c>
    </row>
    <row r="1423" spans="1:5" x14ac:dyDescent="0.25">
      <c r="A1423" s="10" t="s">
        <v>29251</v>
      </c>
      <c r="B1423" s="439" t="s">
        <v>1694</v>
      </c>
      <c r="C1423" s="10" t="s">
        <v>1323</v>
      </c>
      <c r="D1423" s="504">
        <v>108.45</v>
      </c>
      <c r="E1423" s="504">
        <f t="shared" si="22"/>
        <v>80.333333333333329</v>
      </c>
    </row>
    <row r="1424" spans="1:5" x14ac:dyDescent="0.25">
      <c r="A1424" s="10" t="s">
        <v>29252</v>
      </c>
      <c r="B1424" s="439" t="s">
        <v>1695</v>
      </c>
      <c r="C1424" s="10" t="s">
        <v>361</v>
      </c>
      <c r="D1424" s="504">
        <v>1.1200000000000001</v>
      </c>
      <c r="E1424" s="504">
        <f t="shared" si="22"/>
        <v>0.82962962962962961</v>
      </c>
    </row>
    <row r="1425" spans="1:5" x14ac:dyDescent="0.25">
      <c r="A1425" s="10" t="s">
        <v>29253</v>
      </c>
      <c r="B1425" s="439" t="s">
        <v>1696</v>
      </c>
      <c r="C1425" s="10" t="s">
        <v>1690</v>
      </c>
      <c r="D1425" s="504">
        <v>6014.54</v>
      </c>
      <c r="E1425" s="504">
        <f t="shared" si="22"/>
        <v>4455.2148148148144</v>
      </c>
    </row>
    <row r="1426" spans="1:5" x14ac:dyDescent="0.25">
      <c r="A1426" s="10" t="s">
        <v>29254</v>
      </c>
      <c r="B1426" s="439" t="s">
        <v>1697</v>
      </c>
      <c r="C1426" s="10" t="s">
        <v>1323</v>
      </c>
      <c r="D1426" s="504">
        <v>62.39</v>
      </c>
      <c r="E1426" s="504">
        <f t="shared" si="22"/>
        <v>46.214814814814815</v>
      </c>
    </row>
    <row r="1427" spans="1:5" x14ac:dyDescent="0.25">
      <c r="A1427" s="10" t="s">
        <v>29255</v>
      </c>
      <c r="B1427" s="439" t="s">
        <v>1698</v>
      </c>
      <c r="C1427" s="10" t="s">
        <v>1323</v>
      </c>
      <c r="D1427" s="504">
        <v>33.54</v>
      </c>
      <c r="E1427" s="504">
        <f t="shared" si="22"/>
        <v>24.844444444444441</v>
      </c>
    </row>
    <row r="1428" spans="1:5" x14ac:dyDescent="0.25">
      <c r="A1428" s="10" t="s">
        <v>29256</v>
      </c>
      <c r="B1428" s="439" t="s">
        <v>1699</v>
      </c>
      <c r="C1428" s="10" t="s">
        <v>1323</v>
      </c>
      <c r="D1428" s="504">
        <v>169.63</v>
      </c>
      <c r="E1428" s="504">
        <f t="shared" si="22"/>
        <v>125.65185185185184</v>
      </c>
    </row>
    <row r="1429" spans="1:5" x14ac:dyDescent="0.25">
      <c r="A1429" s="10" t="s">
        <v>29257</v>
      </c>
      <c r="B1429" s="439" t="s">
        <v>1700</v>
      </c>
      <c r="C1429" s="10" t="s">
        <v>1323</v>
      </c>
      <c r="D1429" s="504">
        <v>213.45</v>
      </c>
      <c r="E1429" s="504">
        <f t="shared" si="22"/>
        <v>158.11111111111109</v>
      </c>
    </row>
    <row r="1430" spans="1:5" x14ac:dyDescent="0.25">
      <c r="A1430" s="10" t="s">
        <v>29258</v>
      </c>
      <c r="B1430" s="439" t="s">
        <v>1701</v>
      </c>
      <c r="C1430" s="10" t="s">
        <v>361</v>
      </c>
      <c r="D1430" s="504">
        <v>2.6</v>
      </c>
      <c r="E1430" s="504">
        <f t="shared" si="22"/>
        <v>1.9259259259259258</v>
      </c>
    </row>
    <row r="1431" spans="1:5" x14ac:dyDescent="0.25">
      <c r="A1431" s="10" t="s">
        <v>29259</v>
      </c>
      <c r="B1431" s="439" t="s">
        <v>1702</v>
      </c>
      <c r="C1431" s="10" t="s">
        <v>1690</v>
      </c>
      <c r="D1431" s="504">
        <v>12308.37</v>
      </c>
      <c r="E1431" s="504">
        <f t="shared" si="22"/>
        <v>9117.3111111111102</v>
      </c>
    </row>
    <row r="1432" spans="1:5" x14ac:dyDescent="0.25">
      <c r="A1432" s="10" t="s">
        <v>29260</v>
      </c>
      <c r="B1432" s="439" t="s">
        <v>1703</v>
      </c>
      <c r="C1432" s="10" t="s">
        <v>1323</v>
      </c>
      <c r="D1432" s="504">
        <v>77.58</v>
      </c>
      <c r="E1432" s="504">
        <f t="shared" si="22"/>
        <v>57.466666666666661</v>
      </c>
    </row>
    <row r="1433" spans="1:5" x14ac:dyDescent="0.25">
      <c r="A1433" s="10" t="s">
        <v>29261</v>
      </c>
      <c r="B1433" s="439" t="s">
        <v>1704</v>
      </c>
      <c r="C1433" s="10" t="s">
        <v>1323</v>
      </c>
      <c r="D1433" s="504">
        <v>17.89</v>
      </c>
      <c r="E1433" s="504">
        <f t="shared" si="22"/>
        <v>13.251851851851852</v>
      </c>
    </row>
    <row r="1434" spans="1:5" x14ac:dyDescent="0.25">
      <c r="A1434" s="10" t="s">
        <v>29262</v>
      </c>
      <c r="B1434" s="439" t="s">
        <v>1705</v>
      </c>
      <c r="C1434" s="10" t="s">
        <v>1323</v>
      </c>
      <c r="D1434" s="504">
        <v>71.14</v>
      </c>
      <c r="E1434" s="504">
        <f t="shared" si="22"/>
        <v>52.696296296296296</v>
      </c>
    </row>
    <row r="1435" spans="1:5" x14ac:dyDescent="0.25">
      <c r="A1435" s="10" t="s">
        <v>29263</v>
      </c>
      <c r="B1435" s="439" t="s">
        <v>1706</v>
      </c>
      <c r="C1435" s="10" t="s">
        <v>1323</v>
      </c>
      <c r="D1435" s="504">
        <v>140.01</v>
      </c>
      <c r="E1435" s="504">
        <f t="shared" si="22"/>
        <v>103.71111111111109</v>
      </c>
    </row>
    <row r="1436" spans="1:5" ht="30" x14ac:dyDescent="0.25">
      <c r="A1436" s="10" t="s">
        <v>29264</v>
      </c>
      <c r="B1436" s="439" t="s">
        <v>1707</v>
      </c>
      <c r="C1436" s="10" t="s">
        <v>1323</v>
      </c>
      <c r="D1436" s="504">
        <v>51.97</v>
      </c>
      <c r="E1436" s="504">
        <f t="shared" si="22"/>
        <v>38.496296296296293</v>
      </c>
    </row>
    <row r="1437" spans="1:5" ht="30" x14ac:dyDescent="0.25">
      <c r="A1437" s="10" t="s">
        <v>29265</v>
      </c>
      <c r="B1437" s="439" t="s">
        <v>1708</v>
      </c>
      <c r="C1437" s="10" t="s">
        <v>1323</v>
      </c>
      <c r="D1437" s="504">
        <v>15.72</v>
      </c>
      <c r="E1437" s="504">
        <f t="shared" si="22"/>
        <v>11.644444444444444</v>
      </c>
    </row>
    <row r="1438" spans="1:5" ht="30" x14ac:dyDescent="0.25">
      <c r="A1438" s="10" t="s">
        <v>29266</v>
      </c>
      <c r="B1438" s="439" t="s">
        <v>1709</v>
      </c>
      <c r="C1438" s="10" t="s">
        <v>1323</v>
      </c>
      <c r="D1438" s="504">
        <v>78.209999999999994</v>
      </c>
      <c r="E1438" s="504">
        <f t="shared" si="22"/>
        <v>57.933333333333323</v>
      </c>
    </row>
    <row r="1439" spans="1:5" ht="30" x14ac:dyDescent="0.25">
      <c r="A1439" s="10" t="s">
        <v>29267</v>
      </c>
      <c r="B1439" s="439" t="s">
        <v>1710</v>
      </c>
      <c r="C1439" s="10" t="s">
        <v>1323</v>
      </c>
      <c r="D1439" s="504">
        <v>122.03</v>
      </c>
      <c r="E1439" s="504">
        <f t="shared" si="22"/>
        <v>90.392592592592592</v>
      </c>
    </row>
    <row r="1440" spans="1:5" ht="30" x14ac:dyDescent="0.25">
      <c r="A1440" s="10" t="s">
        <v>29268</v>
      </c>
      <c r="B1440" s="439" t="s">
        <v>1711</v>
      </c>
      <c r="C1440" s="10" t="s">
        <v>361</v>
      </c>
      <c r="D1440" s="504">
        <v>1.1000000000000001</v>
      </c>
      <c r="E1440" s="504">
        <f t="shared" si="22"/>
        <v>0.81481481481481488</v>
      </c>
    </row>
    <row r="1441" spans="1:5" ht="30" x14ac:dyDescent="0.25">
      <c r="A1441" s="10" t="s">
        <v>29269</v>
      </c>
      <c r="B1441" s="439" t="s">
        <v>1712</v>
      </c>
      <c r="C1441" s="10" t="s">
        <v>1690</v>
      </c>
      <c r="D1441" s="504">
        <v>5817.08</v>
      </c>
      <c r="E1441" s="504">
        <f t="shared" si="22"/>
        <v>4308.948148148148</v>
      </c>
    </row>
    <row r="1442" spans="1:5" ht="30" x14ac:dyDescent="0.25">
      <c r="A1442" s="10" t="s">
        <v>29270</v>
      </c>
      <c r="B1442" s="439" t="s">
        <v>1713</v>
      </c>
      <c r="C1442" s="10" t="s">
        <v>1323</v>
      </c>
      <c r="D1442" s="504">
        <v>70.39</v>
      </c>
      <c r="E1442" s="504">
        <f t="shared" si="22"/>
        <v>52.140740740740739</v>
      </c>
    </row>
    <row r="1443" spans="1:5" ht="30" x14ac:dyDescent="0.25">
      <c r="A1443" s="10" t="s">
        <v>29271</v>
      </c>
      <c r="B1443" s="439" t="s">
        <v>1714</v>
      </c>
      <c r="C1443" s="10" t="s">
        <v>1323</v>
      </c>
      <c r="D1443" s="504">
        <v>54.59</v>
      </c>
      <c r="E1443" s="504">
        <f t="shared" si="22"/>
        <v>40.437037037037037</v>
      </c>
    </row>
    <row r="1444" spans="1:5" ht="30" x14ac:dyDescent="0.25">
      <c r="A1444" s="10" t="s">
        <v>29272</v>
      </c>
      <c r="B1444" s="439" t="s">
        <v>1715</v>
      </c>
      <c r="C1444" s="10" t="s">
        <v>1323</v>
      </c>
      <c r="D1444" s="504">
        <v>100.87</v>
      </c>
      <c r="E1444" s="504">
        <f t="shared" si="22"/>
        <v>74.718518518518522</v>
      </c>
    </row>
    <row r="1445" spans="1:5" x14ac:dyDescent="0.25">
      <c r="A1445" s="10" t="s">
        <v>29273</v>
      </c>
      <c r="B1445" s="439" t="s">
        <v>1716</v>
      </c>
      <c r="C1445" s="10" t="s">
        <v>1323</v>
      </c>
      <c r="D1445" s="504">
        <v>144.69</v>
      </c>
      <c r="E1445" s="504">
        <f t="shared" si="22"/>
        <v>107.17777777777776</v>
      </c>
    </row>
    <row r="1446" spans="1:5" ht="30" x14ac:dyDescent="0.25">
      <c r="A1446" s="10" t="s">
        <v>29274</v>
      </c>
      <c r="B1446" s="439" t="s">
        <v>1717</v>
      </c>
      <c r="C1446" s="10" t="s">
        <v>361</v>
      </c>
      <c r="D1446" s="504">
        <v>2.63</v>
      </c>
      <c r="E1446" s="504">
        <f t="shared" si="22"/>
        <v>1.948148148148148</v>
      </c>
    </row>
    <row r="1447" spans="1:5" ht="30" x14ac:dyDescent="0.25">
      <c r="A1447" s="10" t="s">
        <v>29275</v>
      </c>
      <c r="B1447" s="439" t="s">
        <v>1718</v>
      </c>
      <c r="C1447" s="10" t="s">
        <v>1690</v>
      </c>
      <c r="D1447" s="504">
        <v>16029.2</v>
      </c>
      <c r="E1447" s="504">
        <f t="shared" si="22"/>
        <v>11873.481481481482</v>
      </c>
    </row>
    <row r="1448" spans="1:5" x14ac:dyDescent="0.25">
      <c r="A1448" s="10" t="s">
        <v>29276</v>
      </c>
      <c r="B1448" s="439" t="s">
        <v>1719</v>
      </c>
      <c r="C1448" s="10" t="s">
        <v>1323</v>
      </c>
      <c r="D1448" s="504">
        <v>62.24</v>
      </c>
      <c r="E1448" s="504">
        <f t="shared" si="22"/>
        <v>46.103703703703701</v>
      </c>
    </row>
    <row r="1449" spans="1:5" x14ac:dyDescent="0.25">
      <c r="A1449" s="10" t="s">
        <v>29277</v>
      </c>
      <c r="B1449" s="439" t="s">
        <v>1720</v>
      </c>
      <c r="C1449" s="10" t="s">
        <v>1323</v>
      </c>
      <c r="D1449" s="504">
        <v>33.26</v>
      </c>
      <c r="E1449" s="504">
        <f t="shared" si="22"/>
        <v>24.637037037037032</v>
      </c>
    </row>
    <row r="1450" spans="1:5" x14ac:dyDescent="0.25">
      <c r="A1450" s="10" t="s">
        <v>29278</v>
      </c>
      <c r="B1450" s="439" t="s">
        <v>1721</v>
      </c>
      <c r="C1450" s="10" t="s">
        <v>1323</v>
      </c>
      <c r="D1450" s="504">
        <v>169.35</v>
      </c>
      <c r="E1450" s="504">
        <f t="shared" si="22"/>
        <v>125.44444444444443</v>
      </c>
    </row>
    <row r="1451" spans="1:5" ht="30" x14ac:dyDescent="0.25">
      <c r="A1451" s="10" t="s">
        <v>29279</v>
      </c>
      <c r="B1451" s="439" t="s">
        <v>1722</v>
      </c>
      <c r="C1451" s="10" t="s">
        <v>1323</v>
      </c>
      <c r="D1451" s="504">
        <v>213.17</v>
      </c>
      <c r="E1451" s="504">
        <f t="shared" si="22"/>
        <v>157.90370370370368</v>
      </c>
    </row>
    <row r="1452" spans="1:5" x14ac:dyDescent="0.25">
      <c r="A1452" s="10" t="s">
        <v>29280</v>
      </c>
      <c r="B1452" s="439" t="s">
        <v>1723</v>
      </c>
      <c r="C1452" s="10" t="s">
        <v>361</v>
      </c>
      <c r="D1452" s="504">
        <v>1.64</v>
      </c>
      <c r="E1452" s="504">
        <f t="shared" si="22"/>
        <v>1.2148148148148146</v>
      </c>
    </row>
    <row r="1453" spans="1:5" x14ac:dyDescent="0.25">
      <c r="A1453" s="10" t="s">
        <v>29281</v>
      </c>
      <c r="B1453" s="439" t="s">
        <v>1724</v>
      </c>
      <c r="C1453" s="10" t="s">
        <v>1690</v>
      </c>
      <c r="D1453" s="504">
        <v>13076.56</v>
      </c>
      <c r="E1453" s="504">
        <f t="shared" si="22"/>
        <v>9686.3407407407394</v>
      </c>
    </row>
    <row r="1454" spans="1:5" x14ac:dyDescent="0.25">
      <c r="A1454" s="10" t="s">
        <v>29282</v>
      </c>
      <c r="B1454" s="439" t="s">
        <v>2715</v>
      </c>
      <c r="C1454" s="10" t="s">
        <v>1323</v>
      </c>
      <c r="D1454" s="504">
        <v>51.17</v>
      </c>
      <c r="E1454" s="504">
        <f t="shared" si="22"/>
        <v>37.903703703703705</v>
      </c>
    </row>
    <row r="1455" spans="1:5" x14ac:dyDescent="0.25">
      <c r="A1455" s="10" t="s">
        <v>29283</v>
      </c>
      <c r="B1455" s="439" t="s">
        <v>2716</v>
      </c>
      <c r="C1455" s="10" t="s">
        <v>1323</v>
      </c>
      <c r="D1455" s="504">
        <v>15.1</v>
      </c>
      <c r="E1455" s="504">
        <f t="shared" si="22"/>
        <v>11.185185185185183</v>
      </c>
    </row>
    <row r="1456" spans="1:5" x14ac:dyDescent="0.25">
      <c r="A1456" s="10" t="s">
        <v>29284</v>
      </c>
      <c r="B1456" s="439" t="s">
        <v>2717</v>
      </c>
      <c r="C1456" s="10" t="s">
        <v>1323</v>
      </c>
      <c r="D1456" s="504">
        <v>65.709999999999994</v>
      </c>
      <c r="E1456" s="504">
        <f t="shared" si="22"/>
        <v>48.674074074074063</v>
      </c>
    </row>
    <row r="1457" spans="1:5" x14ac:dyDescent="0.25">
      <c r="A1457" s="10" t="s">
        <v>29285</v>
      </c>
      <c r="B1457" s="439" t="s">
        <v>2718</v>
      </c>
      <c r="C1457" s="10" t="s">
        <v>1323</v>
      </c>
      <c r="D1457" s="504">
        <v>109.53</v>
      </c>
      <c r="E1457" s="504">
        <f t="shared" si="22"/>
        <v>81.133333333333326</v>
      </c>
    </row>
    <row r="1458" spans="1:5" x14ac:dyDescent="0.25">
      <c r="A1458" s="10" t="s">
        <v>29286</v>
      </c>
      <c r="B1458" s="439" t="s">
        <v>2719</v>
      </c>
      <c r="C1458" s="10" t="s">
        <v>361</v>
      </c>
      <c r="D1458" s="504">
        <v>1.06</v>
      </c>
      <c r="E1458" s="504">
        <f t="shared" si="22"/>
        <v>0.78518518518518521</v>
      </c>
    </row>
    <row r="1459" spans="1:5" x14ac:dyDescent="0.25">
      <c r="A1459" s="10" t="s">
        <v>29287</v>
      </c>
      <c r="B1459" s="439" t="s">
        <v>2720</v>
      </c>
      <c r="C1459" s="10" t="s">
        <v>1690</v>
      </c>
      <c r="D1459" s="504">
        <v>5366.88</v>
      </c>
      <c r="E1459" s="504">
        <f t="shared" si="22"/>
        <v>3975.4666666666667</v>
      </c>
    </row>
    <row r="1460" spans="1:5" x14ac:dyDescent="0.25">
      <c r="A1460" s="10" t="s">
        <v>29288</v>
      </c>
      <c r="B1460" s="439" t="s">
        <v>2721</v>
      </c>
      <c r="C1460" s="10" t="s">
        <v>1323</v>
      </c>
      <c r="D1460" s="504">
        <v>51.6</v>
      </c>
      <c r="E1460" s="504">
        <f t="shared" si="22"/>
        <v>38.222222222222221</v>
      </c>
    </row>
    <row r="1461" spans="1:5" x14ac:dyDescent="0.25">
      <c r="A1461" s="10" t="s">
        <v>29289</v>
      </c>
      <c r="B1461" s="439" t="s">
        <v>2722</v>
      </c>
      <c r="C1461" s="10" t="s">
        <v>1323</v>
      </c>
      <c r="D1461" s="504">
        <v>15.97</v>
      </c>
      <c r="E1461" s="504">
        <f t="shared" si="22"/>
        <v>11.829629629629629</v>
      </c>
    </row>
    <row r="1462" spans="1:5" x14ac:dyDescent="0.25">
      <c r="A1462" s="10" t="s">
        <v>29290</v>
      </c>
      <c r="B1462" s="439" t="s">
        <v>2723</v>
      </c>
      <c r="C1462" s="10" t="s">
        <v>1323</v>
      </c>
      <c r="D1462" s="504">
        <v>68.05</v>
      </c>
      <c r="E1462" s="504">
        <f t="shared" si="22"/>
        <v>50.407407407407405</v>
      </c>
    </row>
    <row r="1463" spans="1:5" x14ac:dyDescent="0.25">
      <c r="A1463" s="10" t="s">
        <v>29291</v>
      </c>
      <c r="B1463" s="439" t="s">
        <v>2724</v>
      </c>
      <c r="C1463" s="10" t="s">
        <v>1323</v>
      </c>
      <c r="D1463" s="504">
        <v>111.87</v>
      </c>
      <c r="E1463" s="504">
        <f t="shared" si="22"/>
        <v>82.86666666666666</v>
      </c>
    </row>
    <row r="1464" spans="1:5" x14ac:dyDescent="0.25">
      <c r="A1464" s="10" t="s">
        <v>29292</v>
      </c>
      <c r="B1464" s="439" t="s">
        <v>2725</v>
      </c>
      <c r="C1464" s="10" t="s">
        <v>361</v>
      </c>
      <c r="D1464" s="504">
        <v>1.0900000000000001</v>
      </c>
      <c r="E1464" s="504">
        <f t="shared" si="22"/>
        <v>0.80740740740740746</v>
      </c>
    </row>
    <row r="1465" spans="1:5" x14ac:dyDescent="0.25">
      <c r="A1465" s="10" t="s">
        <v>29293</v>
      </c>
      <c r="B1465" s="439" t="s">
        <v>2726</v>
      </c>
      <c r="C1465" s="10" t="s">
        <v>1690</v>
      </c>
      <c r="D1465" s="504">
        <v>5437.34</v>
      </c>
      <c r="E1465" s="504">
        <f t="shared" si="22"/>
        <v>4027.6592592592592</v>
      </c>
    </row>
    <row r="1466" spans="1:5" x14ac:dyDescent="0.25">
      <c r="A1466" s="10" t="s">
        <v>29294</v>
      </c>
      <c r="B1466" s="439" t="s">
        <v>1725</v>
      </c>
      <c r="C1466" s="10" t="s">
        <v>1323</v>
      </c>
      <c r="D1466" s="504">
        <v>86.04</v>
      </c>
      <c r="E1466" s="504">
        <f t="shared" si="22"/>
        <v>63.733333333333334</v>
      </c>
    </row>
    <row r="1467" spans="1:5" x14ac:dyDescent="0.25">
      <c r="A1467" s="10" t="s">
        <v>29295</v>
      </c>
      <c r="B1467" s="439" t="s">
        <v>1726</v>
      </c>
      <c r="C1467" s="10" t="s">
        <v>1323</v>
      </c>
      <c r="D1467" s="504">
        <v>27.55</v>
      </c>
      <c r="E1467" s="504">
        <f t="shared" si="22"/>
        <v>20.407407407407408</v>
      </c>
    </row>
    <row r="1468" spans="1:5" x14ac:dyDescent="0.25">
      <c r="A1468" s="10" t="s">
        <v>29296</v>
      </c>
      <c r="B1468" s="439" t="s">
        <v>1727</v>
      </c>
      <c r="C1468" s="10" t="s">
        <v>1323</v>
      </c>
      <c r="D1468" s="504">
        <v>187.84</v>
      </c>
      <c r="E1468" s="504">
        <f t="shared" si="22"/>
        <v>139.14074074074074</v>
      </c>
    </row>
    <row r="1469" spans="1:5" x14ac:dyDescent="0.25">
      <c r="A1469" s="10" t="s">
        <v>29297</v>
      </c>
      <c r="B1469" s="439" t="s">
        <v>1728</v>
      </c>
      <c r="C1469" s="10" t="s">
        <v>1323</v>
      </c>
      <c r="D1469" s="504">
        <v>256.70999999999998</v>
      </c>
      <c r="E1469" s="504">
        <f t="shared" si="22"/>
        <v>190.15555555555554</v>
      </c>
    </row>
    <row r="1470" spans="1:5" x14ac:dyDescent="0.25">
      <c r="A1470" s="10" t="s">
        <v>29298</v>
      </c>
      <c r="B1470" s="439" t="s">
        <v>1729</v>
      </c>
      <c r="C1470" s="10" t="s">
        <v>1323</v>
      </c>
      <c r="D1470" s="504">
        <v>94.77</v>
      </c>
      <c r="E1470" s="504">
        <f t="shared" si="22"/>
        <v>70.199999999999989</v>
      </c>
    </row>
    <row r="1471" spans="1:5" x14ac:dyDescent="0.25">
      <c r="A1471" s="10" t="s">
        <v>29299</v>
      </c>
      <c r="B1471" s="439" t="s">
        <v>1730</v>
      </c>
      <c r="C1471" s="10" t="s">
        <v>1323</v>
      </c>
      <c r="D1471" s="504">
        <v>41.55</v>
      </c>
      <c r="E1471" s="504">
        <f t="shared" si="22"/>
        <v>30.777777777777775</v>
      </c>
    </row>
    <row r="1472" spans="1:5" x14ac:dyDescent="0.25">
      <c r="A1472" s="10" t="s">
        <v>29300</v>
      </c>
      <c r="B1472" s="439" t="s">
        <v>1731</v>
      </c>
      <c r="C1472" s="10" t="s">
        <v>1323</v>
      </c>
      <c r="D1472" s="504">
        <v>104.42</v>
      </c>
      <c r="E1472" s="504">
        <f t="shared" si="22"/>
        <v>77.348148148148141</v>
      </c>
    </row>
    <row r="1473" spans="1:5" x14ac:dyDescent="0.25">
      <c r="A1473" s="10" t="s">
        <v>29301</v>
      </c>
      <c r="B1473" s="439" t="s">
        <v>1732</v>
      </c>
      <c r="C1473" s="10" t="s">
        <v>1323</v>
      </c>
      <c r="D1473" s="504">
        <v>173.29</v>
      </c>
      <c r="E1473" s="504">
        <f t="shared" si="22"/>
        <v>128.36296296296294</v>
      </c>
    </row>
    <row r="1474" spans="1:5" x14ac:dyDescent="0.25">
      <c r="A1474" s="10" t="s">
        <v>29302</v>
      </c>
      <c r="B1474" s="439" t="s">
        <v>1733</v>
      </c>
      <c r="C1474" s="10" t="s">
        <v>1323</v>
      </c>
      <c r="D1474" s="504">
        <v>27.64</v>
      </c>
      <c r="E1474" s="504">
        <f t="shared" si="22"/>
        <v>20.474074074074075</v>
      </c>
    </row>
    <row r="1475" spans="1:5" x14ac:dyDescent="0.25">
      <c r="A1475" s="10" t="s">
        <v>29303</v>
      </c>
      <c r="B1475" s="439" t="s">
        <v>1734</v>
      </c>
      <c r="C1475" s="10" t="s">
        <v>1323</v>
      </c>
      <c r="D1475" s="504">
        <v>1.79</v>
      </c>
      <c r="E1475" s="504">
        <f t="shared" si="22"/>
        <v>1.325925925925926</v>
      </c>
    </row>
    <row r="1476" spans="1:5" x14ac:dyDescent="0.25">
      <c r="A1476" s="10" t="s">
        <v>29304</v>
      </c>
      <c r="B1476" s="439" t="s">
        <v>1735</v>
      </c>
      <c r="C1476" s="10" t="s">
        <v>1323</v>
      </c>
      <c r="D1476" s="504">
        <v>5.4</v>
      </c>
      <c r="E1476" s="504">
        <f t="shared" si="22"/>
        <v>4</v>
      </c>
    </row>
    <row r="1477" spans="1:5" x14ac:dyDescent="0.25">
      <c r="A1477" s="10" t="s">
        <v>29305</v>
      </c>
      <c r="B1477" s="439" t="s">
        <v>1736</v>
      </c>
      <c r="C1477" s="10" t="s">
        <v>1323</v>
      </c>
      <c r="D1477" s="504">
        <v>32.14</v>
      </c>
      <c r="E1477" s="504">
        <f t="shared" si="22"/>
        <v>23.807407407407407</v>
      </c>
    </row>
    <row r="1478" spans="1:5" x14ac:dyDescent="0.25">
      <c r="A1478" s="10" t="s">
        <v>29306</v>
      </c>
      <c r="B1478" s="439" t="s">
        <v>1737</v>
      </c>
      <c r="C1478" s="10" t="s">
        <v>1323</v>
      </c>
      <c r="D1478" s="504">
        <v>28.2</v>
      </c>
      <c r="E1478" s="504">
        <f t="shared" si="22"/>
        <v>20.888888888888886</v>
      </c>
    </row>
    <row r="1479" spans="1:5" x14ac:dyDescent="0.25">
      <c r="A1479" s="10" t="s">
        <v>29307</v>
      </c>
      <c r="B1479" s="439" t="s">
        <v>1738</v>
      </c>
      <c r="C1479" s="10" t="s">
        <v>1323</v>
      </c>
      <c r="D1479" s="504">
        <v>2.9</v>
      </c>
      <c r="E1479" s="504">
        <f t="shared" si="22"/>
        <v>2.1481481481481479</v>
      </c>
    </row>
    <row r="1480" spans="1:5" x14ac:dyDescent="0.25">
      <c r="A1480" s="10" t="s">
        <v>29308</v>
      </c>
      <c r="B1480" s="439" t="s">
        <v>1739</v>
      </c>
      <c r="C1480" s="10" t="s">
        <v>1323</v>
      </c>
      <c r="D1480" s="504">
        <v>8.1</v>
      </c>
      <c r="E1480" s="504">
        <f t="shared" si="22"/>
        <v>5.9999999999999991</v>
      </c>
    </row>
    <row r="1481" spans="1:5" x14ac:dyDescent="0.25">
      <c r="A1481" s="10" t="s">
        <v>29309</v>
      </c>
      <c r="B1481" s="439" t="s">
        <v>1740</v>
      </c>
      <c r="C1481" s="10" t="s">
        <v>1323</v>
      </c>
      <c r="D1481" s="504">
        <v>34.840000000000003</v>
      </c>
      <c r="E1481" s="504">
        <f t="shared" si="22"/>
        <v>25.807407407407407</v>
      </c>
    </row>
    <row r="1482" spans="1:5" x14ac:dyDescent="0.25">
      <c r="A1482" s="10" t="s">
        <v>29310</v>
      </c>
      <c r="B1482" s="439" t="s">
        <v>1741</v>
      </c>
      <c r="C1482" s="10" t="s">
        <v>1323</v>
      </c>
      <c r="D1482" s="504">
        <v>32.35</v>
      </c>
      <c r="E1482" s="504">
        <f t="shared" si="22"/>
        <v>23.962962962962962</v>
      </c>
    </row>
    <row r="1483" spans="1:5" x14ac:dyDescent="0.25">
      <c r="A1483" s="10" t="s">
        <v>29311</v>
      </c>
      <c r="B1483" s="439" t="s">
        <v>1742</v>
      </c>
      <c r="C1483" s="10" t="s">
        <v>1323</v>
      </c>
      <c r="D1483" s="504">
        <v>11.18</v>
      </c>
      <c r="E1483" s="504">
        <f t="shared" ref="E1483:E1546" si="23">D1483/(1+$G$4)</f>
        <v>8.2814814814814799</v>
      </c>
    </row>
    <row r="1484" spans="1:5" x14ac:dyDescent="0.25">
      <c r="A1484" s="10" t="s">
        <v>29312</v>
      </c>
      <c r="B1484" s="439" t="s">
        <v>1743</v>
      </c>
      <c r="C1484" s="10" t="s">
        <v>1323</v>
      </c>
      <c r="D1484" s="504">
        <v>20.79</v>
      </c>
      <c r="E1484" s="504">
        <f t="shared" si="23"/>
        <v>15.399999999999999</v>
      </c>
    </row>
    <row r="1485" spans="1:5" x14ac:dyDescent="0.25">
      <c r="A1485" s="10" t="s">
        <v>29313</v>
      </c>
      <c r="B1485" s="439" t="s">
        <v>1744</v>
      </c>
      <c r="C1485" s="10" t="s">
        <v>1323</v>
      </c>
      <c r="D1485" s="504">
        <v>47.54</v>
      </c>
      <c r="E1485" s="504">
        <f t="shared" si="23"/>
        <v>35.214814814814815</v>
      </c>
    </row>
    <row r="1486" spans="1:5" x14ac:dyDescent="0.25">
      <c r="A1486" s="10" t="s">
        <v>29314</v>
      </c>
      <c r="B1486" s="439" t="s">
        <v>1745</v>
      </c>
      <c r="C1486" s="10" t="s">
        <v>1323</v>
      </c>
      <c r="D1486" s="504">
        <v>32.32</v>
      </c>
      <c r="E1486" s="504">
        <f t="shared" si="23"/>
        <v>23.94074074074074</v>
      </c>
    </row>
    <row r="1487" spans="1:5" x14ac:dyDescent="0.25">
      <c r="A1487" s="10" t="s">
        <v>29315</v>
      </c>
      <c r="B1487" s="439" t="s">
        <v>1746</v>
      </c>
      <c r="C1487" s="10" t="s">
        <v>1323</v>
      </c>
      <c r="D1487" s="504">
        <v>11.12</v>
      </c>
      <c r="E1487" s="504">
        <f t="shared" si="23"/>
        <v>8.2370370370370356</v>
      </c>
    </row>
    <row r="1488" spans="1:5" x14ac:dyDescent="0.25">
      <c r="A1488" s="10" t="s">
        <v>29316</v>
      </c>
      <c r="B1488" s="439" t="s">
        <v>1747</v>
      </c>
      <c r="C1488" s="10" t="s">
        <v>1323</v>
      </c>
      <c r="D1488" s="504">
        <v>18.52</v>
      </c>
      <c r="E1488" s="504">
        <f t="shared" si="23"/>
        <v>13.718518518518517</v>
      </c>
    </row>
    <row r="1489" spans="1:5" x14ac:dyDescent="0.25">
      <c r="A1489" s="10" t="s">
        <v>29317</v>
      </c>
      <c r="B1489" s="439" t="s">
        <v>1748</v>
      </c>
      <c r="C1489" s="10" t="s">
        <v>1323</v>
      </c>
      <c r="D1489" s="504">
        <v>45.27</v>
      </c>
      <c r="E1489" s="504">
        <f t="shared" si="23"/>
        <v>33.533333333333331</v>
      </c>
    </row>
    <row r="1490" spans="1:5" x14ac:dyDescent="0.25">
      <c r="A1490" s="10" t="s">
        <v>29318</v>
      </c>
      <c r="B1490" s="439" t="s">
        <v>1749</v>
      </c>
      <c r="C1490" s="10" t="s">
        <v>1323</v>
      </c>
      <c r="D1490" s="504">
        <v>27.84</v>
      </c>
      <c r="E1490" s="504">
        <f t="shared" si="23"/>
        <v>20.62222222222222</v>
      </c>
    </row>
    <row r="1491" spans="1:5" x14ac:dyDescent="0.25">
      <c r="A1491" s="10" t="s">
        <v>29319</v>
      </c>
      <c r="B1491" s="439" t="s">
        <v>1750</v>
      </c>
      <c r="C1491" s="10" t="s">
        <v>1323</v>
      </c>
      <c r="D1491" s="504">
        <v>1.82</v>
      </c>
      <c r="E1491" s="504">
        <f t="shared" si="23"/>
        <v>1.3481481481481481</v>
      </c>
    </row>
    <row r="1492" spans="1:5" x14ac:dyDescent="0.25">
      <c r="A1492" s="10" t="s">
        <v>29320</v>
      </c>
      <c r="B1492" s="439" t="s">
        <v>1751</v>
      </c>
      <c r="C1492" s="10" t="s">
        <v>1323</v>
      </c>
      <c r="D1492" s="504">
        <v>24.19</v>
      </c>
      <c r="E1492" s="504">
        <f t="shared" si="23"/>
        <v>17.918518518518518</v>
      </c>
    </row>
    <row r="1493" spans="1:5" x14ac:dyDescent="0.25">
      <c r="A1493" s="10" t="s">
        <v>29321</v>
      </c>
      <c r="B1493" s="439" t="s">
        <v>1752</v>
      </c>
      <c r="C1493" s="10" t="s">
        <v>1323</v>
      </c>
      <c r="D1493" s="504">
        <v>50.93</v>
      </c>
      <c r="E1493" s="504">
        <f t="shared" si="23"/>
        <v>37.725925925925921</v>
      </c>
    </row>
    <row r="1494" spans="1:5" x14ac:dyDescent="0.25">
      <c r="A1494" s="10" t="s">
        <v>29322</v>
      </c>
      <c r="B1494" s="439" t="s">
        <v>1753</v>
      </c>
      <c r="C1494" s="10" t="s">
        <v>1323</v>
      </c>
      <c r="D1494" s="504">
        <v>28.9</v>
      </c>
      <c r="E1494" s="504">
        <f t="shared" si="23"/>
        <v>21.407407407407405</v>
      </c>
    </row>
    <row r="1495" spans="1:5" x14ac:dyDescent="0.25">
      <c r="A1495" s="10" t="s">
        <v>29323</v>
      </c>
      <c r="B1495" s="439" t="s">
        <v>1754</v>
      </c>
      <c r="C1495" s="10" t="s">
        <v>1323</v>
      </c>
      <c r="D1495" s="504">
        <v>3.59</v>
      </c>
      <c r="E1495" s="504">
        <f t="shared" si="23"/>
        <v>2.659259259259259</v>
      </c>
    </row>
    <row r="1496" spans="1:5" x14ac:dyDescent="0.25">
      <c r="A1496" s="10" t="s">
        <v>29324</v>
      </c>
      <c r="B1496" s="439" t="s">
        <v>1755</v>
      </c>
      <c r="C1496" s="10" t="s">
        <v>1323</v>
      </c>
      <c r="D1496" s="504">
        <v>22.35</v>
      </c>
      <c r="E1496" s="504">
        <f t="shared" si="23"/>
        <v>16.555555555555557</v>
      </c>
    </row>
    <row r="1497" spans="1:5" x14ac:dyDescent="0.25">
      <c r="A1497" s="10" t="s">
        <v>29325</v>
      </c>
      <c r="B1497" s="439" t="s">
        <v>1756</v>
      </c>
      <c r="C1497" s="10" t="s">
        <v>1323</v>
      </c>
      <c r="D1497" s="504">
        <v>49.09</v>
      </c>
      <c r="E1497" s="504">
        <f t="shared" si="23"/>
        <v>36.36296296296296</v>
      </c>
    </row>
    <row r="1498" spans="1:5" x14ac:dyDescent="0.25">
      <c r="A1498" s="10" t="s">
        <v>29326</v>
      </c>
      <c r="B1498" s="439" t="s">
        <v>1757</v>
      </c>
      <c r="C1498" s="10" t="s">
        <v>1323</v>
      </c>
      <c r="D1498" s="504">
        <v>31.04</v>
      </c>
      <c r="E1498" s="504">
        <f t="shared" si="23"/>
        <v>22.99259259259259</v>
      </c>
    </row>
    <row r="1499" spans="1:5" x14ac:dyDescent="0.25">
      <c r="A1499" s="10" t="s">
        <v>29327</v>
      </c>
      <c r="B1499" s="439" t="s">
        <v>1758</v>
      </c>
      <c r="C1499" s="10" t="s">
        <v>1323</v>
      </c>
      <c r="D1499" s="504">
        <v>7.15</v>
      </c>
      <c r="E1499" s="504">
        <f t="shared" si="23"/>
        <v>5.2962962962962958</v>
      </c>
    </row>
    <row r="1500" spans="1:5" x14ac:dyDescent="0.25">
      <c r="A1500" s="10" t="s">
        <v>29328</v>
      </c>
      <c r="B1500" s="439" t="s">
        <v>1759</v>
      </c>
      <c r="C1500" s="10" t="s">
        <v>1323</v>
      </c>
      <c r="D1500" s="504">
        <v>29.51</v>
      </c>
      <c r="E1500" s="504">
        <f t="shared" si="23"/>
        <v>21.859259259259257</v>
      </c>
    </row>
    <row r="1501" spans="1:5" x14ac:dyDescent="0.25">
      <c r="A1501" s="10" t="s">
        <v>29329</v>
      </c>
      <c r="B1501" s="439" t="s">
        <v>1760</v>
      </c>
      <c r="C1501" s="10" t="s">
        <v>1323</v>
      </c>
      <c r="D1501" s="504">
        <v>56.25</v>
      </c>
      <c r="E1501" s="504">
        <f t="shared" si="23"/>
        <v>41.666666666666664</v>
      </c>
    </row>
    <row r="1502" spans="1:5" x14ac:dyDescent="0.25">
      <c r="A1502" s="10" t="s">
        <v>29330</v>
      </c>
      <c r="B1502" s="439" t="s">
        <v>1761</v>
      </c>
      <c r="C1502" s="10" t="s">
        <v>1323</v>
      </c>
      <c r="D1502" s="504">
        <v>34.25</v>
      </c>
      <c r="E1502" s="504">
        <f t="shared" si="23"/>
        <v>25.37037037037037</v>
      </c>
    </row>
    <row r="1503" spans="1:5" x14ac:dyDescent="0.25">
      <c r="A1503" s="10" t="s">
        <v>29331</v>
      </c>
      <c r="B1503" s="439" t="s">
        <v>1762</v>
      </c>
      <c r="C1503" s="10" t="s">
        <v>1323</v>
      </c>
      <c r="D1503" s="504">
        <v>12.48</v>
      </c>
      <c r="E1503" s="504">
        <f t="shared" si="23"/>
        <v>9.2444444444444436</v>
      </c>
    </row>
    <row r="1504" spans="1:5" x14ac:dyDescent="0.25">
      <c r="A1504" s="10" t="s">
        <v>29332</v>
      </c>
      <c r="B1504" s="439" t="s">
        <v>1763</v>
      </c>
      <c r="C1504" s="10" t="s">
        <v>1323</v>
      </c>
      <c r="D1504" s="504">
        <v>38.450000000000003</v>
      </c>
      <c r="E1504" s="504">
        <f t="shared" si="23"/>
        <v>28.481481481481481</v>
      </c>
    </row>
    <row r="1505" spans="1:5" x14ac:dyDescent="0.25">
      <c r="A1505" s="10" t="s">
        <v>29333</v>
      </c>
      <c r="B1505" s="439" t="s">
        <v>1764</v>
      </c>
      <c r="C1505" s="10" t="s">
        <v>1323</v>
      </c>
      <c r="D1505" s="504">
        <v>65.2</v>
      </c>
      <c r="E1505" s="504">
        <f t="shared" si="23"/>
        <v>48.296296296296298</v>
      </c>
    </row>
    <row r="1506" spans="1:5" x14ac:dyDescent="0.25">
      <c r="A1506" s="10" t="s">
        <v>29334</v>
      </c>
      <c r="B1506" s="439" t="s">
        <v>1765</v>
      </c>
      <c r="C1506" s="10" t="s">
        <v>1323</v>
      </c>
      <c r="D1506" s="504">
        <v>27.49</v>
      </c>
      <c r="E1506" s="504">
        <f t="shared" si="23"/>
        <v>20.36296296296296</v>
      </c>
    </row>
    <row r="1507" spans="1:5" x14ac:dyDescent="0.25">
      <c r="A1507" s="10" t="s">
        <v>29335</v>
      </c>
      <c r="B1507" s="439" t="s">
        <v>1766</v>
      </c>
      <c r="C1507" s="10" t="s">
        <v>1323</v>
      </c>
      <c r="D1507" s="504">
        <v>1.24</v>
      </c>
      <c r="E1507" s="504">
        <f t="shared" si="23"/>
        <v>0.9185185185185184</v>
      </c>
    </row>
    <row r="1508" spans="1:5" x14ac:dyDescent="0.25">
      <c r="A1508" s="10" t="s">
        <v>29336</v>
      </c>
      <c r="B1508" s="439" t="s">
        <v>1767</v>
      </c>
      <c r="C1508" s="10" t="s">
        <v>1323</v>
      </c>
      <c r="D1508" s="504">
        <v>9.65</v>
      </c>
      <c r="E1508" s="504">
        <f t="shared" si="23"/>
        <v>7.1481481481481479</v>
      </c>
    </row>
    <row r="1509" spans="1:5" x14ac:dyDescent="0.25">
      <c r="A1509" s="10" t="s">
        <v>29337</v>
      </c>
      <c r="B1509" s="439" t="s">
        <v>1768</v>
      </c>
      <c r="C1509" s="10" t="s">
        <v>1323</v>
      </c>
      <c r="D1509" s="504">
        <v>36.4</v>
      </c>
      <c r="E1509" s="504">
        <f t="shared" si="23"/>
        <v>26.962962962962962</v>
      </c>
    </row>
    <row r="1510" spans="1:5" x14ac:dyDescent="0.25">
      <c r="A1510" s="10" t="s">
        <v>29338</v>
      </c>
      <c r="B1510" s="439" t="s">
        <v>1769</v>
      </c>
      <c r="C1510" s="10" t="s">
        <v>1323</v>
      </c>
      <c r="D1510" s="504">
        <v>77.87</v>
      </c>
      <c r="E1510" s="504">
        <f t="shared" si="23"/>
        <v>57.681481481481484</v>
      </c>
    </row>
    <row r="1511" spans="1:5" x14ac:dyDescent="0.25">
      <c r="A1511" s="10" t="s">
        <v>29339</v>
      </c>
      <c r="B1511" s="439" t="s">
        <v>1770</v>
      </c>
      <c r="C1511" s="10" t="s">
        <v>1323</v>
      </c>
      <c r="D1511" s="504">
        <v>57.99</v>
      </c>
      <c r="E1511" s="504">
        <f t="shared" si="23"/>
        <v>42.955555555555556</v>
      </c>
    </row>
    <row r="1512" spans="1:5" x14ac:dyDescent="0.25">
      <c r="A1512" s="10" t="s">
        <v>29340</v>
      </c>
      <c r="B1512" s="439" t="s">
        <v>1771</v>
      </c>
      <c r="C1512" s="10" t="s">
        <v>1323</v>
      </c>
      <c r="D1512" s="504">
        <v>165.91</v>
      </c>
      <c r="E1512" s="504">
        <f t="shared" si="23"/>
        <v>122.89629629629628</v>
      </c>
    </row>
    <row r="1513" spans="1:5" x14ac:dyDescent="0.25">
      <c r="A1513" s="10" t="s">
        <v>29341</v>
      </c>
      <c r="B1513" s="439" t="s">
        <v>1772</v>
      </c>
      <c r="C1513" s="10" t="s">
        <v>1323</v>
      </c>
      <c r="D1513" s="504">
        <v>213.74</v>
      </c>
      <c r="E1513" s="504">
        <f t="shared" si="23"/>
        <v>158.32592592592593</v>
      </c>
    </row>
    <row r="1514" spans="1:5" x14ac:dyDescent="0.25">
      <c r="A1514" s="10" t="s">
        <v>29342</v>
      </c>
      <c r="B1514" s="439" t="s">
        <v>1773</v>
      </c>
      <c r="C1514" s="10" t="s">
        <v>1323</v>
      </c>
      <c r="D1514" s="504">
        <v>77.87</v>
      </c>
      <c r="E1514" s="504">
        <f t="shared" si="23"/>
        <v>57.681481481481484</v>
      </c>
    </row>
    <row r="1515" spans="1:5" x14ac:dyDescent="0.25">
      <c r="A1515" s="10" t="s">
        <v>29343</v>
      </c>
      <c r="B1515" s="439" t="s">
        <v>1774</v>
      </c>
      <c r="C1515" s="10" t="s">
        <v>1323</v>
      </c>
      <c r="D1515" s="504">
        <v>57.99</v>
      </c>
      <c r="E1515" s="504">
        <f t="shared" si="23"/>
        <v>42.955555555555556</v>
      </c>
    </row>
    <row r="1516" spans="1:5" x14ac:dyDescent="0.25">
      <c r="A1516" s="10" t="s">
        <v>29344</v>
      </c>
      <c r="B1516" s="439" t="s">
        <v>1775</v>
      </c>
      <c r="C1516" s="10" t="s">
        <v>1323</v>
      </c>
      <c r="D1516" s="504">
        <v>106.77</v>
      </c>
      <c r="E1516" s="504">
        <f t="shared" si="23"/>
        <v>79.088888888888874</v>
      </c>
    </row>
    <row r="1517" spans="1:5" x14ac:dyDescent="0.25">
      <c r="A1517" s="10" t="s">
        <v>29345</v>
      </c>
      <c r="B1517" s="439" t="s">
        <v>1776</v>
      </c>
      <c r="C1517" s="10" t="s">
        <v>1323</v>
      </c>
      <c r="D1517" s="504">
        <v>154.6</v>
      </c>
      <c r="E1517" s="504">
        <f t="shared" si="23"/>
        <v>114.5185185185185</v>
      </c>
    </row>
    <row r="1518" spans="1:5" x14ac:dyDescent="0.25">
      <c r="A1518" s="10" t="s">
        <v>29346</v>
      </c>
      <c r="B1518" s="439" t="s">
        <v>1777</v>
      </c>
      <c r="C1518" s="10" t="s">
        <v>1323</v>
      </c>
      <c r="D1518" s="504">
        <v>113.9</v>
      </c>
      <c r="E1518" s="504">
        <f t="shared" si="23"/>
        <v>84.370370370370367</v>
      </c>
    </row>
    <row r="1519" spans="1:5" x14ac:dyDescent="0.25">
      <c r="A1519" s="10" t="s">
        <v>29347</v>
      </c>
      <c r="B1519" s="439" t="s">
        <v>1778</v>
      </c>
      <c r="C1519" s="10" t="s">
        <v>1323</v>
      </c>
      <c r="D1519" s="504">
        <v>127.56</v>
      </c>
      <c r="E1519" s="504">
        <f t="shared" si="23"/>
        <v>94.48888888888888</v>
      </c>
    </row>
    <row r="1520" spans="1:5" x14ac:dyDescent="0.25">
      <c r="A1520" s="10" t="s">
        <v>29348</v>
      </c>
      <c r="B1520" s="439" t="s">
        <v>1779</v>
      </c>
      <c r="C1520" s="10" t="s">
        <v>1323</v>
      </c>
      <c r="D1520" s="504">
        <v>371.89</v>
      </c>
      <c r="E1520" s="504">
        <f t="shared" si="23"/>
        <v>275.47407407407405</v>
      </c>
    </row>
    <row r="1521" spans="1:5" x14ac:dyDescent="0.25">
      <c r="A1521" s="10" t="s">
        <v>29349</v>
      </c>
      <c r="B1521" s="439" t="s">
        <v>1780</v>
      </c>
      <c r="C1521" s="10" t="s">
        <v>1323</v>
      </c>
      <c r="D1521" s="504">
        <v>419.73</v>
      </c>
      <c r="E1521" s="504">
        <f t="shared" si="23"/>
        <v>310.9111111111111</v>
      </c>
    </row>
    <row r="1522" spans="1:5" x14ac:dyDescent="0.25">
      <c r="A1522" s="10" t="s">
        <v>29350</v>
      </c>
      <c r="B1522" s="439" t="s">
        <v>1781</v>
      </c>
      <c r="C1522" s="10" t="s">
        <v>1323</v>
      </c>
      <c r="D1522" s="504">
        <v>79.23</v>
      </c>
      <c r="E1522" s="504">
        <f t="shared" si="23"/>
        <v>58.68888888888889</v>
      </c>
    </row>
    <row r="1523" spans="1:5" x14ac:dyDescent="0.25">
      <c r="A1523" s="10" t="s">
        <v>29351</v>
      </c>
      <c r="B1523" s="439" t="s">
        <v>1782</v>
      </c>
      <c r="C1523" s="10" t="s">
        <v>1323</v>
      </c>
      <c r="D1523" s="504">
        <v>60.63</v>
      </c>
      <c r="E1523" s="504">
        <f t="shared" si="23"/>
        <v>44.911111111111111</v>
      </c>
    </row>
    <row r="1524" spans="1:5" x14ac:dyDescent="0.25">
      <c r="A1524" s="10" t="s">
        <v>29352</v>
      </c>
      <c r="B1524" s="439" t="s">
        <v>1783</v>
      </c>
      <c r="C1524" s="10" t="s">
        <v>1323</v>
      </c>
      <c r="D1524" s="504">
        <v>304.63</v>
      </c>
      <c r="E1524" s="504">
        <f t="shared" si="23"/>
        <v>225.65185185185183</v>
      </c>
    </row>
    <row r="1525" spans="1:5" x14ac:dyDescent="0.25">
      <c r="A1525" s="10" t="s">
        <v>29353</v>
      </c>
      <c r="B1525" s="439" t="s">
        <v>1784</v>
      </c>
      <c r="C1525" s="10" t="s">
        <v>1323</v>
      </c>
      <c r="D1525" s="504">
        <v>352.47</v>
      </c>
      <c r="E1525" s="504">
        <f t="shared" si="23"/>
        <v>261.0888888888889</v>
      </c>
    </row>
    <row r="1526" spans="1:5" x14ac:dyDescent="0.25">
      <c r="A1526" s="10" t="s">
        <v>29354</v>
      </c>
      <c r="B1526" s="439" t="s">
        <v>1785</v>
      </c>
      <c r="C1526" s="10" t="s">
        <v>1323</v>
      </c>
      <c r="D1526" s="504">
        <v>62.06</v>
      </c>
      <c r="E1526" s="504">
        <f t="shared" si="23"/>
        <v>45.970370370370368</v>
      </c>
    </row>
    <row r="1527" spans="1:5" x14ac:dyDescent="0.25">
      <c r="A1527" s="10" t="s">
        <v>29355</v>
      </c>
      <c r="B1527" s="439" t="s">
        <v>1786</v>
      </c>
      <c r="C1527" s="10" t="s">
        <v>1323</v>
      </c>
      <c r="D1527" s="504">
        <v>27.46</v>
      </c>
      <c r="E1527" s="504">
        <f t="shared" si="23"/>
        <v>20.340740740740738</v>
      </c>
    </row>
    <row r="1528" spans="1:5" x14ac:dyDescent="0.25">
      <c r="A1528" s="10" t="s">
        <v>29356</v>
      </c>
      <c r="B1528" s="439" t="s">
        <v>1787</v>
      </c>
      <c r="C1528" s="10" t="s">
        <v>1323</v>
      </c>
      <c r="D1528" s="504">
        <v>744.22</v>
      </c>
      <c r="E1528" s="504">
        <f t="shared" si="23"/>
        <v>551.27407407407406</v>
      </c>
    </row>
    <row r="1529" spans="1:5" x14ac:dyDescent="0.25">
      <c r="A1529" s="10" t="s">
        <v>29357</v>
      </c>
      <c r="B1529" s="439" t="s">
        <v>1788</v>
      </c>
      <c r="C1529" s="10" t="s">
        <v>1323</v>
      </c>
      <c r="D1529" s="504">
        <v>792.06</v>
      </c>
      <c r="E1529" s="504">
        <f t="shared" si="23"/>
        <v>586.71111111111099</v>
      </c>
    </row>
    <row r="1530" spans="1:5" x14ac:dyDescent="0.25">
      <c r="A1530" s="10" t="s">
        <v>29358</v>
      </c>
      <c r="B1530" s="439" t="s">
        <v>1789</v>
      </c>
      <c r="C1530" s="10" t="s">
        <v>1323</v>
      </c>
      <c r="D1530" s="504">
        <v>55.73</v>
      </c>
      <c r="E1530" s="504">
        <f t="shared" si="23"/>
        <v>41.281481481481478</v>
      </c>
    </row>
    <row r="1531" spans="1:5" x14ac:dyDescent="0.25">
      <c r="A1531" s="10" t="s">
        <v>29359</v>
      </c>
      <c r="B1531" s="439" t="s">
        <v>1790</v>
      </c>
      <c r="C1531" s="10" t="s">
        <v>1323</v>
      </c>
      <c r="D1531" s="504">
        <v>17.07</v>
      </c>
      <c r="E1531" s="504">
        <f t="shared" si="23"/>
        <v>12.644444444444444</v>
      </c>
    </row>
    <row r="1532" spans="1:5" x14ac:dyDescent="0.25">
      <c r="A1532" s="10" t="s">
        <v>29360</v>
      </c>
      <c r="B1532" s="439" t="s">
        <v>1791</v>
      </c>
      <c r="C1532" s="10" t="s">
        <v>1323</v>
      </c>
      <c r="D1532" s="504">
        <v>18.22</v>
      </c>
      <c r="E1532" s="504">
        <f t="shared" si="23"/>
        <v>13.496296296296295</v>
      </c>
    </row>
    <row r="1533" spans="1:5" x14ac:dyDescent="0.25">
      <c r="A1533" s="10" t="s">
        <v>29361</v>
      </c>
      <c r="B1533" s="439" t="s">
        <v>1792</v>
      </c>
      <c r="C1533" s="10" t="s">
        <v>1323</v>
      </c>
      <c r="D1533" s="504">
        <v>66.06</v>
      </c>
      <c r="E1533" s="504">
        <f t="shared" si="23"/>
        <v>48.93333333333333</v>
      </c>
    </row>
    <row r="1534" spans="1:5" x14ac:dyDescent="0.25">
      <c r="A1534" s="10" t="s">
        <v>29362</v>
      </c>
      <c r="B1534" s="439" t="s">
        <v>29363</v>
      </c>
      <c r="C1534" s="10" t="s">
        <v>1323</v>
      </c>
      <c r="D1534" s="504">
        <v>1.88</v>
      </c>
      <c r="E1534" s="504">
        <f t="shared" si="23"/>
        <v>1.3925925925925924</v>
      </c>
    </row>
    <row r="1535" spans="1:5" x14ac:dyDescent="0.25">
      <c r="A1535" s="10" t="s">
        <v>29364</v>
      </c>
      <c r="B1535" s="439" t="s">
        <v>29365</v>
      </c>
      <c r="C1535" s="10" t="s">
        <v>1323</v>
      </c>
      <c r="D1535" s="504">
        <v>4.07</v>
      </c>
      <c r="E1535" s="504">
        <f t="shared" si="23"/>
        <v>3.0148148148148146</v>
      </c>
    </row>
    <row r="1536" spans="1:5" x14ac:dyDescent="0.25">
      <c r="A1536" s="10" t="s">
        <v>29366</v>
      </c>
      <c r="B1536" s="439" t="s">
        <v>29367</v>
      </c>
      <c r="C1536" s="10" t="s">
        <v>1323</v>
      </c>
      <c r="D1536" s="504">
        <v>4.07</v>
      </c>
      <c r="E1536" s="504">
        <f t="shared" si="23"/>
        <v>3.0148148148148146</v>
      </c>
    </row>
    <row r="1537" spans="1:5" x14ac:dyDescent="0.25">
      <c r="A1537" s="10" t="s">
        <v>29368</v>
      </c>
      <c r="B1537" s="439" t="s">
        <v>29369</v>
      </c>
      <c r="C1537" s="10" t="s">
        <v>1323</v>
      </c>
      <c r="D1537" s="504">
        <v>4.07</v>
      </c>
      <c r="E1537" s="504">
        <f t="shared" si="23"/>
        <v>3.0148148148148146</v>
      </c>
    </row>
    <row r="1538" spans="1:5" x14ac:dyDescent="0.25">
      <c r="A1538" s="10" t="s">
        <v>29370</v>
      </c>
      <c r="B1538" s="439" t="s">
        <v>1793</v>
      </c>
      <c r="C1538" s="10" t="s">
        <v>1323</v>
      </c>
      <c r="D1538" s="504">
        <v>2.0499999999999998</v>
      </c>
      <c r="E1538" s="504">
        <f t="shared" si="23"/>
        <v>1.5185185185185184</v>
      </c>
    </row>
    <row r="1539" spans="1:5" x14ac:dyDescent="0.25">
      <c r="A1539" s="10" t="s">
        <v>29371</v>
      </c>
      <c r="B1539" s="439" t="s">
        <v>1794</v>
      </c>
      <c r="C1539" s="10" t="s">
        <v>1323</v>
      </c>
      <c r="D1539" s="504">
        <v>4.43</v>
      </c>
      <c r="E1539" s="504">
        <f t="shared" si="23"/>
        <v>3.2814814814814812</v>
      </c>
    </row>
    <row r="1540" spans="1:5" x14ac:dyDescent="0.25">
      <c r="A1540" s="10" t="s">
        <v>29372</v>
      </c>
      <c r="B1540" s="439" t="s">
        <v>1795</v>
      </c>
      <c r="C1540" s="10" t="s">
        <v>1323</v>
      </c>
      <c r="D1540" s="504">
        <v>4.43</v>
      </c>
      <c r="E1540" s="504">
        <f t="shared" si="23"/>
        <v>3.2814814814814812</v>
      </c>
    </row>
    <row r="1541" spans="1:5" x14ac:dyDescent="0.25">
      <c r="A1541" s="10" t="s">
        <v>29373</v>
      </c>
      <c r="B1541" s="439" t="s">
        <v>1796</v>
      </c>
      <c r="C1541" s="10" t="s">
        <v>1323</v>
      </c>
      <c r="D1541" s="504">
        <v>4.43</v>
      </c>
      <c r="E1541" s="504">
        <f t="shared" si="23"/>
        <v>3.2814814814814812</v>
      </c>
    </row>
    <row r="1542" spans="1:5" x14ac:dyDescent="0.25">
      <c r="A1542" s="10" t="s">
        <v>29374</v>
      </c>
      <c r="B1542" s="439" t="s">
        <v>1797</v>
      </c>
      <c r="C1542" s="10" t="s">
        <v>1323</v>
      </c>
      <c r="D1542" s="504">
        <v>2.34</v>
      </c>
      <c r="E1542" s="504">
        <f t="shared" si="23"/>
        <v>1.7333333333333332</v>
      </c>
    </row>
    <row r="1543" spans="1:5" x14ac:dyDescent="0.25">
      <c r="A1543" s="10" t="s">
        <v>29375</v>
      </c>
      <c r="B1543" s="439" t="s">
        <v>1798</v>
      </c>
      <c r="C1543" s="10" t="s">
        <v>1323</v>
      </c>
      <c r="D1543" s="504">
        <v>5.07</v>
      </c>
      <c r="E1543" s="504">
        <f t="shared" si="23"/>
        <v>3.7555555555555555</v>
      </c>
    </row>
    <row r="1544" spans="1:5" x14ac:dyDescent="0.25">
      <c r="A1544" s="10" t="s">
        <v>29376</v>
      </c>
      <c r="B1544" s="439" t="s">
        <v>1799</v>
      </c>
      <c r="C1544" s="10" t="s">
        <v>1323</v>
      </c>
      <c r="D1544" s="504">
        <v>5.07</v>
      </c>
      <c r="E1544" s="504">
        <f t="shared" si="23"/>
        <v>3.7555555555555555</v>
      </c>
    </row>
    <row r="1545" spans="1:5" x14ac:dyDescent="0.25">
      <c r="A1545" s="10" t="s">
        <v>29377</v>
      </c>
      <c r="B1545" s="439" t="s">
        <v>1800</v>
      </c>
      <c r="C1545" s="10" t="s">
        <v>1323</v>
      </c>
      <c r="D1545" s="504">
        <v>5.07</v>
      </c>
      <c r="E1545" s="504">
        <f t="shared" si="23"/>
        <v>3.7555555555555555</v>
      </c>
    </row>
    <row r="1546" spans="1:5" x14ac:dyDescent="0.25">
      <c r="A1546" s="10" t="s">
        <v>29378</v>
      </c>
      <c r="B1546" s="439" t="s">
        <v>1801</v>
      </c>
      <c r="C1546" s="10" t="s">
        <v>1323</v>
      </c>
      <c r="D1546" s="504">
        <v>78.92</v>
      </c>
      <c r="E1546" s="504">
        <f t="shared" si="23"/>
        <v>58.459259259259255</v>
      </c>
    </row>
    <row r="1547" spans="1:5" x14ac:dyDescent="0.25">
      <c r="A1547" s="10" t="s">
        <v>29379</v>
      </c>
      <c r="B1547" s="439" t="s">
        <v>1802</v>
      </c>
      <c r="C1547" s="10" t="s">
        <v>1323</v>
      </c>
      <c r="D1547" s="504">
        <v>77.599999999999994</v>
      </c>
      <c r="E1547" s="504">
        <f t="shared" ref="E1547:E1610" si="24">D1547/(1+$G$4)</f>
        <v>57.481481481481474</v>
      </c>
    </row>
    <row r="1548" spans="1:5" x14ac:dyDescent="0.25">
      <c r="A1548" s="10" t="s">
        <v>29380</v>
      </c>
      <c r="B1548" s="439" t="s">
        <v>1803</v>
      </c>
      <c r="C1548" s="10" t="s">
        <v>1323</v>
      </c>
      <c r="D1548" s="504">
        <v>259.77999999999997</v>
      </c>
      <c r="E1548" s="504">
        <f t="shared" si="24"/>
        <v>192.4296296296296</v>
      </c>
    </row>
    <row r="1549" spans="1:5" x14ac:dyDescent="0.25">
      <c r="A1549" s="10" t="s">
        <v>29381</v>
      </c>
      <c r="B1549" s="439" t="s">
        <v>1804</v>
      </c>
      <c r="C1549" s="10" t="s">
        <v>1323</v>
      </c>
      <c r="D1549" s="504">
        <v>300.93</v>
      </c>
      <c r="E1549" s="504">
        <f t="shared" si="24"/>
        <v>222.9111111111111</v>
      </c>
    </row>
    <row r="1550" spans="1:5" x14ac:dyDescent="0.25">
      <c r="A1550" s="10" t="s">
        <v>29382</v>
      </c>
      <c r="B1550" s="439" t="s">
        <v>1805</v>
      </c>
      <c r="C1550" s="10" t="s">
        <v>361</v>
      </c>
      <c r="D1550" s="504">
        <v>5.66</v>
      </c>
      <c r="E1550" s="504">
        <f t="shared" si="24"/>
        <v>4.1925925925925922</v>
      </c>
    </row>
    <row r="1551" spans="1:5" x14ac:dyDescent="0.25">
      <c r="A1551" s="10" t="s">
        <v>29383</v>
      </c>
      <c r="B1551" s="439" t="s">
        <v>1806</v>
      </c>
      <c r="C1551" s="10" t="s">
        <v>1323</v>
      </c>
      <c r="D1551" s="504">
        <v>88.91</v>
      </c>
      <c r="E1551" s="504">
        <f t="shared" si="24"/>
        <v>65.859259259259247</v>
      </c>
    </row>
    <row r="1552" spans="1:5" x14ac:dyDescent="0.25">
      <c r="A1552" s="10" t="s">
        <v>29384</v>
      </c>
      <c r="B1552" s="439" t="s">
        <v>1807</v>
      </c>
      <c r="C1552" s="10" t="s">
        <v>1323</v>
      </c>
      <c r="D1552" s="504">
        <v>98.12</v>
      </c>
      <c r="E1552" s="504">
        <f t="shared" si="24"/>
        <v>72.681481481481484</v>
      </c>
    </row>
    <row r="1553" spans="1:5" x14ac:dyDescent="0.25">
      <c r="A1553" s="10" t="s">
        <v>29385</v>
      </c>
      <c r="B1553" s="439" t="s">
        <v>1808</v>
      </c>
      <c r="C1553" s="10" t="s">
        <v>1323</v>
      </c>
      <c r="D1553" s="504">
        <v>292.39999999999998</v>
      </c>
      <c r="E1553" s="504">
        <f t="shared" si="24"/>
        <v>216.59259259259255</v>
      </c>
    </row>
    <row r="1554" spans="1:5" x14ac:dyDescent="0.25">
      <c r="A1554" s="10" t="s">
        <v>29386</v>
      </c>
      <c r="B1554" s="439" t="s">
        <v>1809</v>
      </c>
      <c r="C1554" s="10" t="s">
        <v>1323</v>
      </c>
      <c r="D1554" s="504">
        <v>333.55</v>
      </c>
      <c r="E1554" s="504">
        <f t="shared" si="24"/>
        <v>247.07407407407408</v>
      </c>
    </row>
    <row r="1555" spans="1:5" x14ac:dyDescent="0.25">
      <c r="A1555" s="10" t="s">
        <v>29387</v>
      </c>
      <c r="B1555" s="439" t="s">
        <v>1810</v>
      </c>
      <c r="C1555" s="10" t="s">
        <v>361</v>
      </c>
      <c r="D1555" s="504">
        <v>6.27</v>
      </c>
      <c r="E1555" s="504">
        <f t="shared" si="24"/>
        <v>4.6444444444444439</v>
      </c>
    </row>
    <row r="1556" spans="1:5" x14ac:dyDescent="0.25">
      <c r="A1556" s="10" t="s">
        <v>29388</v>
      </c>
      <c r="B1556" s="439" t="s">
        <v>1811</v>
      </c>
      <c r="C1556" s="10" t="s">
        <v>1323</v>
      </c>
      <c r="D1556" s="504">
        <v>77.56</v>
      </c>
      <c r="E1556" s="504">
        <f t="shared" si="24"/>
        <v>57.451851851851849</v>
      </c>
    </row>
    <row r="1557" spans="1:5" x14ac:dyDescent="0.25">
      <c r="A1557" s="10" t="s">
        <v>29389</v>
      </c>
      <c r="B1557" s="439" t="s">
        <v>1812</v>
      </c>
      <c r="C1557" s="10" t="s">
        <v>1323</v>
      </c>
      <c r="D1557" s="504">
        <v>70.959999999999994</v>
      </c>
      <c r="E1557" s="504">
        <f t="shared" si="24"/>
        <v>52.562962962962956</v>
      </c>
    </row>
    <row r="1558" spans="1:5" x14ac:dyDescent="0.25">
      <c r="A1558" s="10" t="s">
        <v>29390</v>
      </c>
      <c r="B1558" s="439" t="s">
        <v>1813</v>
      </c>
      <c r="C1558" s="10" t="s">
        <v>1323</v>
      </c>
      <c r="D1558" s="504">
        <v>244.97</v>
      </c>
      <c r="E1558" s="504">
        <f t="shared" si="24"/>
        <v>181.45925925925926</v>
      </c>
    </row>
    <row r="1559" spans="1:5" x14ac:dyDescent="0.25">
      <c r="A1559" s="10" t="s">
        <v>29391</v>
      </c>
      <c r="B1559" s="439" t="s">
        <v>1814</v>
      </c>
      <c r="C1559" s="10" t="s">
        <v>1323</v>
      </c>
      <c r="D1559" s="504">
        <v>286.12</v>
      </c>
      <c r="E1559" s="504">
        <f t="shared" si="24"/>
        <v>211.94074074074072</v>
      </c>
    </row>
    <row r="1560" spans="1:5" x14ac:dyDescent="0.25">
      <c r="A1560" s="10" t="s">
        <v>29392</v>
      </c>
      <c r="B1560" s="439" t="s">
        <v>1815</v>
      </c>
      <c r="C1560" s="10" t="s">
        <v>361</v>
      </c>
      <c r="D1560" s="504">
        <v>5.38</v>
      </c>
      <c r="E1560" s="504">
        <f t="shared" si="24"/>
        <v>3.9851851851851849</v>
      </c>
    </row>
    <row r="1561" spans="1:5" x14ac:dyDescent="0.25">
      <c r="A1561" s="10" t="s">
        <v>29393</v>
      </c>
      <c r="B1561" s="439" t="s">
        <v>1816</v>
      </c>
      <c r="C1561" s="10" t="s">
        <v>1323</v>
      </c>
      <c r="D1561" s="504">
        <v>84.75</v>
      </c>
      <c r="E1561" s="504">
        <f t="shared" si="24"/>
        <v>62.777777777777771</v>
      </c>
    </row>
    <row r="1562" spans="1:5" x14ac:dyDescent="0.25">
      <c r="A1562" s="10" t="s">
        <v>29394</v>
      </c>
      <c r="B1562" s="439" t="s">
        <v>1817</v>
      </c>
      <c r="C1562" s="10" t="s">
        <v>1323</v>
      </c>
      <c r="D1562" s="504">
        <v>84.98</v>
      </c>
      <c r="E1562" s="504">
        <f t="shared" si="24"/>
        <v>62.94814814814815</v>
      </c>
    </row>
    <row r="1563" spans="1:5" x14ac:dyDescent="0.25">
      <c r="A1563" s="10" t="s">
        <v>29395</v>
      </c>
      <c r="B1563" s="439" t="s">
        <v>1818</v>
      </c>
      <c r="C1563" s="10" t="s">
        <v>1323</v>
      </c>
      <c r="D1563" s="504">
        <v>328.27</v>
      </c>
      <c r="E1563" s="504">
        <f t="shared" si="24"/>
        <v>243.16296296296292</v>
      </c>
    </row>
    <row r="1564" spans="1:5" x14ac:dyDescent="0.25">
      <c r="A1564" s="10" t="s">
        <v>29396</v>
      </c>
      <c r="B1564" s="439" t="s">
        <v>1819</v>
      </c>
      <c r="C1564" s="10" t="s">
        <v>1323</v>
      </c>
      <c r="D1564" s="504">
        <v>369.42</v>
      </c>
      <c r="E1564" s="504">
        <f t="shared" si="24"/>
        <v>273.64444444444445</v>
      </c>
    </row>
    <row r="1565" spans="1:5" x14ac:dyDescent="0.25">
      <c r="A1565" s="10" t="s">
        <v>29397</v>
      </c>
      <c r="B1565" s="439" t="s">
        <v>1820</v>
      </c>
      <c r="C1565" s="10" t="s">
        <v>361</v>
      </c>
      <c r="D1565" s="504">
        <v>6.95</v>
      </c>
      <c r="E1565" s="504">
        <f t="shared" si="24"/>
        <v>5.1481481481481479</v>
      </c>
    </row>
    <row r="1566" spans="1:5" x14ac:dyDescent="0.25">
      <c r="A1566" s="10" t="s">
        <v>29398</v>
      </c>
      <c r="B1566" s="439" t="s">
        <v>1821</v>
      </c>
      <c r="C1566" s="10" t="s">
        <v>1323</v>
      </c>
      <c r="D1566" s="504">
        <v>65.819999999999993</v>
      </c>
      <c r="E1566" s="504">
        <f t="shared" si="24"/>
        <v>48.755555555555546</v>
      </c>
    </row>
    <row r="1567" spans="1:5" x14ac:dyDescent="0.25">
      <c r="A1567" s="10" t="s">
        <v>29399</v>
      </c>
      <c r="B1567" s="439" t="s">
        <v>1822</v>
      </c>
      <c r="C1567" s="10" t="s">
        <v>1323</v>
      </c>
      <c r="D1567" s="504">
        <v>48.09</v>
      </c>
      <c r="E1567" s="504">
        <f t="shared" si="24"/>
        <v>35.62222222222222</v>
      </c>
    </row>
    <row r="1568" spans="1:5" x14ac:dyDescent="0.25">
      <c r="A1568" s="10" t="s">
        <v>29400</v>
      </c>
      <c r="B1568" s="439" t="s">
        <v>1823</v>
      </c>
      <c r="C1568" s="10" t="s">
        <v>1323</v>
      </c>
      <c r="D1568" s="504">
        <v>291.38</v>
      </c>
      <c r="E1568" s="504">
        <f t="shared" si="24"/>
        <v>215.83703703703702</v>
      </c>
    </row>
    <row r="1569" spans="1:5" x14ac:dyDescent="0.25">
      <c r="A1569" s="10" t="s">
        <v>29401</v>
      </c>
      <c r="B1569" s="439" t="s">
        <v>1824</v>
      </c>
      <c r="C1569" s="10" t="s">
        <v>1323</v>
      </c>
      <c r="D1569" s="504">
        <v>332.53</v>
      </c>
      <c r="E1569" s="504">
        <f t="shared" si="24"/>
        <v>246.31851851851849</v>
      </c>
    </row>
    <row r="1570" spans="1:5" x14ac:dyDescent="0.25">
      <c r="A1570" s="10" t="s">
        <v>29402</v>
      </c>
      <c r="B1570" s="439" t="s">
        <v>1825</v>
      </c>
      <c r="C1570" s="10" t="s">
        <v>361</v>
      </c>
      <c r="D1570" s="504">
        <v>6.25</v>
      </c>
      <c r="E1570" s="504">
        <f t="shared" si="24"/>
        <v>4.6296296296296298</v>
      </c>
    </row>
    <row r="1571" spans="1:5" x14ac:dyDescent="0.25">
      <c r="A1571" s="10" t="s">
        <v>29403</v>
      </c>
      <c r="B1571" s="439" t="s">
        <v>1826</v>
      </c>
      <c r="C1571" s="10" t="s">
        <v>1323</v>
      </c>
      <c r="D1571" s="504">
        <v>167.24</v>
      </c>
      <c r="E1571" s="504">
        <f t="shared" si="24"/>
        <v>123.88148148148149</v>
      </c>
    </row>
    <row r="1572" spans="1:5" x14ac:dyDescent="0.25">
      <c r="A1572" s="10" t="s">
        <v>29404</v>
      </c>
      <c r="B1572" s="439" t="s">
        <v>1827</v>
      </c>
      <c r="C1572" s="10" t="s">
        <v>1323</v>
      </c>
      <c r="D1572" s="504">
        <v>212.08</v>
      </c>
      <c r="E1572" s="504">
        <f t="shared" si="24"/>
        <v>157.09629629629629</v>
      </c>
    </row>
    <row r="1573" spans="1:5" x14ac:dyDescent="0.25">
      <c r="A1573" s="10" t="s">
        <v>29405</v>
      </c>
      <c r="B1573" s="439" t="s">
        <v>1828</v>
      </c>
      <c r="C1573" s="10" t="s">
        <v>1323</v>
      </c>
      <c r="D1573" s="504">
        <v>604.6</v>
      </c>
      <c r="E1573" s="504">
        <f t="shared" si="24"/>
        <v>447.85185185185185</v>
      </c>
    </row>
    <row r="1574" spans="1:5" x14ac:dyDescent="0.25">
      <c r="A1574" s="10" t="s">
        <v>29406</v>
      </c>
      <c r="B1574" s="439" t="s">
        <v>1829</v>
      </c>
      <c r="C1574" s="10" t="s">
        <v>1323</v>
      </c>
      <c r="D1574" s="504">
        <v>654.4</v>
      </c>
      <c r="E1574" s="504">
        <f t="shared" si="24"/>
        <v>484.7407407407407</v>
      </c>
    </row>
    <row r="1575" spans="1:5" x14ac:dyDescent="0.25">
      <c r="A1575" s="10" t="s">
        <v>29407</v>
      </c>
      <c r="B1575" s="439" t="s">
        <v>1830</v>
      </c>
      <c r="C1575" s="10" t="s">
        <v>361</v>
      </c>
      <c r="D1575" s="504">
        <v>12.3</v>
      </c>
      <c r="E1575" s="504">
        <f t="shared" si="24"/>
        <v>9.1111111111111107</v>
      </c>
    </row>
    <row r="1576" spans="1:5" x14ac:dyDescent="0.25">
      <c r="A1576" s="10" t="s">
        <v>29408</v>
      </c>
      <c r="B1576" s="439" t="s">
        <v>1831</v>
      </c>
      <c r="C1576" s="10" t="s">
        <v>1323</v>
      </c>
      <c r="D1576" s="504">
        <v>102.95</v>
      </c>
      <c r="E1576" s="504">
        <f t="shared" si="24"/>
        <v>76.259259259259252</v>
      </c>
    </row>
    <row r="1577" spans="1:5" x14ac:dyDescent="0.25">
      <c r="A1577" s="10" t="s">
        <v>29409</v>
      </c>
      <c r="B1577" s="439" t="s">
        <v>1832</v>
      </c>
      <c r="C1577" s="10" t="s">
        <v>1323</v>
      </c>
      <c r="D1577" s="504">
        <v>120.46</v>
      </c>
      <c r="E1577" s="504">
        <f t="shared" si="24"/>
        <v>89.229629629629613</v>
      </c>
    </row>
    <row r="1578" spans="1:5" x14ac:dyDescent="0.25">
      <c r="A1578" s="10" t="s">
        <v>29410</v>
      </c>
      <c r="B1578" s="439" t="s">
        <v>1833</v>
      </c>
      <c r="C1578" s="10" t="s">
        <v>1323</v>
      </c>
      <c r="D1578" s="504">
        <v>394.21</v>
      </c>
      <c r="E1578" s="504">
        <f t="shared" si="24"/>
        <v>292.00740740740736</v>
      </c>
    </row>
    <row r="1579" spans="1:5" x14ac:dyDescent="0.25">
      <c r="A1579" s="10" t="s">
        <v>29411</v>
      </c>
      <c r="B1579" s="439" t="s">
        <v>1834</v>
      </c>
      <c r="C1579" s="10" t="s">
        <v>1323</v>
      </c>
      <c r="D1579" s="504">
        <v>435.36</v>
      </c>
      <c r="E1579" s="504">
        <f t="shared" si="24"/>
        <v>322.48888888888888</v>
      </c>
    </row>
    <row r="1580" spans="1:5" x14ac:dyDescent="0.25">
      <c r="A1580" s="10" t="s">
        <v>29412</v>
      </c>
      <c r="B1580" s="439" t="s">
        <v>1835</v>
      </c>
      <c r="C1580" s="10" t="s">
        <v>361</v>
      </c>
      <c r="D1580" s="504">
        <v>8.18</v>
      </c>
      <c r="E1580" s="504">
        <f t="shared" si="24"/>
        <v>6.0592592592592585</v>
      </c>
    </row>
    <row r="1581" spans="1:5" x14ac:dyDescent="0.25">
      <c r="A1581" s="10" t="s">
        <v>29413</v>
      </c>
      <c r="B1581" s="439" t="s">
        <v>1836</v>
      </c>
      <c r="C1581" s="10" t="s">
        <v>1323</v>
      </c>
      <c r="D1581" s="504">
        <v>103.22</v>
      </c>
      <c r="E1581" s="504">
        <f t="shared" si="24"/>
        <v>76.459259259259255</v>
      </c>
    </row>
    <row r="1582" spans="1:5" x14ac:dyDescent="0.25">
      <c r="A1582" s="10" t="s">
        <v>29414</v>
      </c>
      <c r="B1582" s="439" t="s">
        <v>1837</v>
      </c>
      <c r="C1582" s="10" t="s">
        <v>1323</v>
      </c>
      <c r="D1582" s="504">
        <v>120.99</v>
      </c>
      <c r="E1582" s="504">
        <f t="shared" si="24"/>
        <v>89.622222222222206</v>
      </c>
    </row>
    <row r="1583" spans="1:5" x14ac:dyDescent="0.25">
      <c r="A1583" s="10" t="s">
        <v>29415</v>
      </c>
      <c r="B1583" s="439" t="s">
        <v>1838</v>
      </c>
      <c r="C1583" s="10" t="s">
        <v>1323</v>
      </c>
      <c r="D1583" s="504">
        <v>403.09</v>
      </c>
      <c r="E1583" s="504">
        <f t="shared" si="24"/>
        <v>298.58518518518514</v>
      </c>
    </row>
    <row r="1584" spans="1:5" x14ac:dyDescent="0.25">
      <c r="A1584" s="10" t="s">
        <v>29416</v>
      </c>
      <c r="B1584" s="439" t="s">
        <v>1839</v>
      </c>
      <c r="C1584" s="10" t="s">
        <v>1323</v>
      </c>
      <c r="D1584" s="504">
        <v>444.24</v>
      </c>
      <c r="E1584" s="504">
        <f t="shared" si="24"/>
        <v>329.06666666666666</v>
      </c>
    </row>
    <row r="1585" spans="1:5" x14ac:dyDescent="0.25">
      <c r="A1585" s="10" t="s">
        <v>29417</v>
      </c>
      <c r="B1585" s="439" t="s">
        <v>1840</v>
      </c>
      <c r="C1585" s="10" t="s">
        <v>361</v>
      </c>
      <c r="D1585" s="504">
        <v>8.35</v>
      </c>
      <c r="E1585" s="504">
        <f t="shared" si="24"/>
        <v>6.1851851851851842</v>
      </c>
    </row>
    <row r="1586" spans="1:5" x14ac:dyDescent="0.25">
      <c r="A1586" s="10" t="s">
        <v>29418</v>
      </c>
      <c r="B1586" s="439" t="s">
        <v>1841</v>
      </c>
      <c r="C1586" s="10" t="s">
        <v>1323</v>
      </c>
      <c r="D1586" s="504">
        <v>175.17</v>
      </c>
      <c r="E1586" s="504">
        <f t="shared" si="24"/>
        <v>129.75555555555553</v>
      </c>
    </row>
    <row r="1587" spans="1:5" x14ac:dyDescent="0.25">
      <c r="A1587" s="10" t="s">
        <v>29419</v>
      </c>
      <c r="B1587" s="439" t="s">
        <v>1842</v>
      </c>
      <c r="C1587" s="10" t="s">
        <v>1323</v>
      </c>
      <c r="D1587" s="504">
        <v>275.37</v>
      </c>
      <c r="E1587" s="504">
        <f t="shared" si="24"/>
        <v>203.97777777777776</v>
      </c>
    </row>
    <row r="1588" spans="1:5" x14ac:dyDescent="0.25">
      <c r="A1588" s="10" t="s">
        <v>29420</v>
      </c>
      <c r="B1588" s="439" t="s">
        <v>1843</v>
      </c>
      <c r="C1588" s="10" t="s">
        <v>1323</v>
      </c>
      <c r="D1588" s="504">
        <v>549.13</v>
      </c>
      <c r="E1588" s="504">
        <f t="shared" si="24"/>
        <v>406.76296296296294</v>
      </c>
    </row>
    <row r="1589" spans="1:5" x14ac:dyDescent="0.25">
      <c r="A1589" s="10" t="s">
        <v>29421</v>
      </c>
      <c r="B1589" s="439" t="s">
        <v>1844</v>
      </c>
      <c r="C1589" s="10" t="s">
        <v>1323</v>
      </c>
      <c r="D1589" s="504">
        <v>590.28</v>
      </c>
      <c r="E1589" s="504">
        <f t="shared" si="24"/>
        <v>437.24444444444441</v>
      </c>
    </row>
    <row r="1590" spans="1:5" x14ac:dyDescent="0.25">
      <c r="A1590" s="10" t="s">
        <v>29422</v>
      </c>
      <c r="B1590" s="439" t="s">
        <v>1845</v>
      </c>
      <c r="C1590" s="10" t="s">
        <v>361</v>
      </c>
      <c r="D1590" s="504">
        <v>11.1</v>
      </c>
      <c r="E1590" s="504">
        <f t="shared" si="24"/>
        <v>8.2222222222222214</v>
      </c>
    </row>
    <row r="1591" spans="1:5" x14ac:dyDescent="0.25">
      <c r="A1591" s="10" t="s">
        <v>29423</v>
      </c>
      <c r="B1591" s="439" t="s">
        <v>1846</v>
      </c>
      <c r="C1591" s="10" t="s">
        <v>1323</v>
      </c>
      <c r="D1591" s="504">
        <v>70.47</v>
      </c>
      <c r="E1591" s="504">
        <f t="shared" si="24"/>
        <v>52.199999999999996</v>
      </c>
    </row>
    <row r="1592" spans="1:5" x14ac:dyDescent="0.25">
      <c r="A1592" s="10" t="s">
        <v>29424</v>
      </c>
      <c r="B1592" s="439" t="s">
        <v>1847</v>
      </c>
      <c r="C1592" s="10" t="s">
        <v>1323</v>
      </c>
      <c r="D1592" s="504">
        <v>60.25</v>
      </c>
      <c r="E1592" s="504">
        <f t="shared" si="24"/>
        <v>44.629629629629626</v>
      </c>
    </row>
    <row r="1593" spans="1:5" x14ac:dyDescent="0.25">
      <c r="A1593" s="10" t="s">
        <v>29425</v>
      </c>
      <c r="B1593" s="439" t="s">
        <v>1848</v>
      </c>
      <c r="C1593" s="10" t="s">
        <v>1323</v>
      </c>
      <c r="D1593" s="504">
        <v>216.75</v>
      </c>
      <c r="E1593" s="504">
        <f t="shared" si="24"/>
        <v>160.55555555555554</v>
      </c>
    </row>
    <row r="1594" spans="1:5" x14ac:dyDescent="0.25">
      <c r="A1594" s="10" t="s">
        <v>29426</v>
      </c>
      <c r="B1594" s="439" t="s">
        <v>1849</v>
      </c>
      <c r="C1594" s="10" t="s">
        <v>1323</v>
      </c>
      <c r="D1594" s="504">
        <v>257.89999999999998</v>
      </c>
      <c r="E1594" s="504">
        <f t="shared" si="24"/>
        <v>191.03703703703701</v>
      </c>
    </row>
    <row r="1595" spans="1:5" x14ac:dyDescent="0.25">
      <c r="A1595" s="10" t="s">
        <v>29427</v>
      </c>
      <c r="B1595" s="439" t="s">
        <v>1850</v>
      </c>
      <c r="C1595" s="10" t="s">
        <v>361</v>
      </c>
      <c r="D1595" s="504">
        <v>4.8499999999999996</v>
      </c>
      <c r="E1595" s="504">
        <f t="shared" si="24"/>
        <v>3.5925925925925921</v>
      </c>
    </row>
    <row r="1596" spans="1:5" x14ac:dyDescent="0.25">
      <c r="A1596" s="10" t="s">
        <v>29428</v>
      </c>
      <c r="B1596" s="439" t="s">
        <v>1851</v>
      </c>
      <c r="C1596" s="10" t="s">
        <v>1323</v>
      </c>
      <c r="D1596" s="504">
        <v>80.739999999999995</v>
      </c>
      <c r="E1596" s="504">
        <f t="shared" si="24"/>
        <v>59.807407407407396</v>
      </c>
    </row>
    <row r="1597" spans="1:5" x14ac:dyDescent="0.25">
      <c r="A1597" s="10" t="s">
        <v>29429</v>
      </c>
      <c r="B1597" s="439" t="s">
        <v>1852</v>
      </c>
      <c r="C1597" s="10" t="s">
        <v>1323</v>
      </c>
      <c r="D1597" s="504">
        <v>81.349999999999994</v>
      </c>
      <c r="E1597" s="504">
        <f t="shared" si="24"/>
        <v>60.259259259259252</v>
      </c>
    </row>
    <row r="1598" spans="1:5" x14ac:dyDescent="0.25">
      <c r="A1598" s="10" t="s">
        <v>29430</v>
      </c>
      <c r="B1598" s="439" t="s">
        <v>1853</v>
      </c>
      <c r="C1598" s="10" t="s">
        <v>1323</v>
      </c>
      <c r="D1598" s="504">
        <v>269.33999999999997</v>
      </c>
      <c r="E1598" s="504">
        <f t="shared" si="24"/>
        <v>199.51111111111109</v>
      </c>
    </row>
    <row r="1599" spans="1:5" x14ac:dyDescent="0.25">
      <c r="A1599" s="10" t="s">
        <v>29431</v>
      </c>
      <c r="B1599" s="439" t="s">
        <v>1854</v>
      </c>
      <c r="C1599" s="10" t="s">
        <v>1323</v>
      </c>
      <c r="D1599" s="504">
        <v>310.49</v>
      </c>
      <c r="E1599" s="504">
        <f t="shared" si="24"/>
        <v>229.99259259259259</v>
      </c>
    </row>
    <row r="1600" spans="1:5" x14ac:dyDescent="0.25">
      <c r="A1600" s="10" t="s">
        <v>29432</v>
      </c>
      <c r="B1600" s="439" t="s">
        <v>1855</v>
      </c>
      <c r="C1600" s="10" t="s">
        <v>361</v>
      </c>
      <c r="D1600" s="504">
        <v>5.84</v>
      </c>
      <c r="E1600" s="504">
        <f t="shared" si="24"/>
        <v>4.325925925925926</v>
      </c>
    </row>
    <row r="1601" spans="1:5" x14ac:dyDescent="0.25">
      <c r="A1601" s="10" t="s">
        <v>29433</v>
      </c>
      <c r="B1601" s="439" t="s">
        <v>1856</v>
      </c>
      <c r="C1601" s="10" t="s">
        <v>1323</v>
      </c>
      <c r="D1601" s="504">
        <v>85.85</v>
      </c>
      <c r="E1601" s="504">
        <f t="shared" si="24"/>
        <v>63.592592592592581</v>
      </c>
    </row>
    <row r="1602" spans="1:5" x14ac:dyDescent="0.25">
      <c r="A1602" s="10" t="s">
        <v>29434</v>
      </c>
      <c r="B1602" s="439" t="s">
        <v>1857</v>
      </c>
      <c r="C1602" s="10" t="s">
        <v>1323</v>
      </c>
      <c r="D1602" s="504">
        <v>91.85</v>
      </c>
      <c r="E1602" s="504">
        <f t="shared" si="24"/>
        <v>68.037037037037024</v>
      </c>
    </row>
    <row r="1603" spans="1:5" x14ac:dyDescent="0.25">
      <c r="A1603" s="10" t="s">
        <v>29435</v>
      </c>
      <c r="B1603" s="439" t="s">
        <v>1858</v>
      </c>
      <c r="C1603" s="10" t="s">
        <v>1323</v>
      </c>
      <c r="D1603" s="504">
        <v>324.93</v>
      </c>
      <c r="E1603" s="504">
        <f t="shared" si="24"/>
        <v>240.68888888888887</v>
      </c>
    </row>
    <row r="1604" spans="1:5" x14ac:dyDescent="0.25">
      <c r="A1604" s="10" t="s">
        <v>29436</v>
      </c>
      <c r="B1604" s="439" t="s">
        <v>1859</v>
      </c>
      <c r="C1604" s="10" t="s">
        <v>1323</v>
      </c>
      <c r="D1604" s="504">
        <v>366.08</v>
      </c>
      <c r="E1604" s="504">
        <f t="shared" si="24"/>
        <v>271.17037037037034</v>
      </c>
    </row>
    <row r="1605" spans="1:5" x14ac:dyDescent="0.25">
      <c r="A1605" s="10" t="s">
        <v>29437</v>
      </c>
      <c r="B1605" s="439" t="s">
        <v>1860</v>
      </c>
      <c r="C1605" s="10" t="s">
        <v>361</v>
      </c>
      <c r="D1605" s="504">
        <v>6.88</v>
      </c>
      <c r="E1605" s="504">
        <f t="shared" si="24"/>
        <v>5.0962962962962957</v>
      </c>
    </row>
    <row r="1606" spans="1:5" x14ac:dyDescent="0.25">
      <c r="A1606" s="10" t="s">
        <v>29438</v>
      </c>
      <c r="B1606" s="439" t="s">
        <v>1861</v>
      </c>
      <c r="C1606" s="10" t="s">
        <v>1323</v>
      </c>
      <c r="D1606" s="504">
        <v>147.94999999999999</v>
      </c>
      <c r="E1606" s="504">
        <f t="shared" si="24"/>
        <v>109.59259259259258</v>
      </c>
    </row>
    <row r="1607" spans="1:5" x14ac:dyDescent="0.25">
      <c r="A1607" s="10" t="s">
        <v>29439</v>
      </c>
      <c r="B1607" s="439" t="s">
        <v>1862</v>
      </c>
      <c r="C1607" s="10" t="s">
        <v>1323</v>
      </c>
      <c r="D1607" s="504">
        <v>105.53</v>
      </c>
      <c r="E1607" s="504">
        <f t="shared" si="24"/>
        <v>78.170370370370364</v>
      </c>
    </row>
    <row r="1608" spans="1:5" x14ac:dyDescent="0.25">
      <c r="A1608" s="10" t="s">
        <v>29440</v>
      </c>
      <c r="B1608" s="439" t="s">
        <v>1863</v>
      </c>
      <c r="C1608" s="10" t="s">
        <v>1323</v>
      </c>
      <c r="D1608" s="504">
        <v>261.86</v>
      </c>
      <c r="E1608" s="504">
        <f t="shared" si="24"/>
        <v>193.97037037037038</v>
      </c>
    </row>
    <row r="1609" spans="1:5" x14ac:dyDescent="0.25">
      <c r="A1609" s="10" t="s">
        <v>29441</v>
      </c>
      <c r="B1609" s="439" t="s">
        <v>1864</v>
      </c>
      <c r="C1609" s="10" t="s">
        <v>1323</v>
      </c>
      <c r="D1609" s="504">
        <v>358.44</v>
      </c>
      <c r="E1609" s="504">
        <f t="shared" si="24"/>
        <v>265.51111111111112</v>
      </c>
    </row>
    <row r="1610" spans="1:5" x14ac:dyDescent="0.25">
      <c r="A1610" s="10" t="s">
        <v>29442</v>
      </c>
      <c r="B1610" s="439" t="s">
        <v>1865</v>
      </c>
      <c r="C1610" s="10" t="s">
        <v>361</v>
      </c>
      <c r="D1610" s="504">
        <v>6.52</v>
      </c>
      <c r="E1610" s="504">
        <f t="shared" si="24"/>
        <v>4.8296296296296291</v>
      </c>
    </row>
    <row r="1611" spans="1:5" x14ac:dyDescent="0.25">
      <c r="A1611" s="10" t="s">
        <v>29443</v>
      </c>
      <c r="B1611" s="439" t="s">
        <v>1866</v>
      </c>
      <c r="C1611" s="10" t="s">
        <v>1323</v>
      </c>
      <c r="D1611" s="504">
        <v>160.54</v>
      </c>
      <c r="E1611" s="504">
        <f t="shared" ref="E1611:E1674" si="25">D1611/(1+$G$4)</f>
        <v>118.91851851851851</v>
      </c>
    </row>
    <row r="1612" spans="1:5" x14ac:dyDescent="0.25">
      <c r="A1612" s="10" t="s">
        <v>29444</v>
      </c>
      <c r="B1612" s="439" t="s">
        <v>1867</v>
      </c>
      <c r="C1612" s="10" t="s">
        <v>1323</v>
      </c>
      <c r="D1612" s="504">
        <v>131.4</v>
      </c>
      <c r="E1612" s="504">
        <f t="shared" si="25"/>
        <v>97.333333333333329</v>
      </c>
    </row>
    <row r="1613" spans="1:5" x14ac:dyDescent="0.25">
      <c r="A1613" s="10" t="s">
        <v>29445</v>
      </c>
      <c r="B1613" s="439" t="s">
        <v>1868</v>
      </c>
      <c r="C1613" s="10" t="s">
        <v>1323</v>
      </c>
      <c r="D1613" s="504">
        <v>317.51</v>
      </c>
      <c r="E1613" s="504">
        <f t="shared" si="25"/>
        <v>235.19259259259258</v>
      </c>
    </row>
    <row r="1614" spans="1:5" x14ac:dyDescent="0.25">
      <c r="A1614" s="10" t="s">
        <v>29446</v>
      </c>
      <c r="B1614" s="439" t="s">
        <v>1869</v>
      </c>
      <c r="C1614" s="10" t="s">
        <v>1323</v>
      </c>
      <c r="D1614" s="504">
        <v>414.09</v>
      </c>
      <c r="E1614" s="504">
        <f t="shared" si="25"/>
        <v>306.73333333333329</v>
      </c>
    </row>
    <row r="1615" spans="1:5" x14ac:dyDescent="0.25">
      <c r="A1615" s="10" t="s">
        <v>29447</v>
      </c>
      <c r="B1615" s="439" t="s">
        <v>1870</v>
      </c>
      <c r="C1615" s="10" t="s">
        <v>361</v>
      </c>
      <c r="D1615" s="504">
        <v>7.54</v>
      </c>
      <c r="E1615" s="504">
        <f t="shared" si="25"/>
        <v>5.5851851851851846</v>
      </c>
    </row>
    <row r="1616" spans="1:5" x14ac:dyDescent="0.25">
      <c r="A1616" s="10" t="s">
        <v>29448</v>
      </c>
      <c r="B1616" s="439" t="s">
        <v>1871</v>
      </c>
      <c r="C1616" s="10" t="s">
        <v>1323</v>
      </c>
      <c r="D1616" s="504">
        <v>120.01</v>
      </c>
      <c r="E1616" s="504">
        <f t="shared" si="25"/>
        <v>88.896296296296299</v>
      </c>
    </row>
    <row r="1617" spans="1:5" x14ac:dyDescent="0.25">
      <c r="A1617" s="10" t="s">
        <v>29449</v>
      </c>
      <c r="B1617" s="439" t="s">
        <v>1872</v>
      </c>
      <c r="C1617" s="10" t="s">
        <v>1323</v>
      </c>
      <c r="D1617" s="504">
        <v>105.08</v>
      </c>
      <c r="E1617" s="504">
        <f t="shared" si="25"/>
        <v>77.837037037037035</v>
      </c>
    </row>
    <row r="1618" spans="1:5" x14ac:dyDescent="0.25">
      <c r="A1618" s="10" t="s">
        <v>29450</v>
      </c>
      <c r="B1618" s="439" t="s">
        <v>1873</v>
      </c>
      <c r="C1618" s="10" t="s">
        <v>1323</v>
      </c>
      <c r="D1618" s="504">
        <v>378.83</v>
      </c>
      <c r="E1618" s="504">
        <f t="shared" si="25"/>
        <v>280.61481481481479</v>
      </c>
    </row>
    <row r="1619" spans="1:5" x14ac:dyDescent="0.25">
      <c r="A1619" s="10" t="s">
        <v>29451</v>
      </c>
      <c r="B1619" s="439" t="s">
        <v>1874</v>
      </c>
      <c r="C1619" s="10" t="s">
        <v>1323</v>
      </c>
      <c r="D1619" s="504">
        <v>447.7</v>
      </c>
      <c r="E1619" s="504">
        <f t="shared" si="25"/>
        <v>331.62962962962962</v>
      </c>
    </row>
    <row r="1620" spans="1:5" x14ac:dyDescent="0.25">
      <c r="A1620" s="10" t="s">
        <v>29452</v>
      </c>
      <c r="B1620" s="439" t="s">
        <v>1875</v>
      </c>
      <c r="C1620" s="10" t="s">
        <v>361</v>
      </c>
      <c r="D1620" s="504">
        <v>8.15</v>
      </c>
      <c r="E1620" s="504">
        <f t="shared" si="25"/>
        <v>6.0370370370370372</v>
      </c>
    </row>
    <row r="1621" spans="1:5" x14ac:dyDescent="0.25">
      <c r="A1621" s="10" t="s">
        <v>29453</v>
      </c>
      <c r="B1621" s="439" t="s">
        <v>1876</v>
      </c>
      <c r="C1621" s="10" t="s">
        <v>1323</v>
      </c>
      <c r="D1621" s="504">
        <v>113.72</v>
      </c>
      <c r="E1621" s="504">
        <f t="shared" si="25"/>
        <v>84.237037037037027</v>
      </c>
    </row>
    <row r="1622" spans="1:5" x14ac:dyDescent="0.25">
      <c r="A1622" s="10" t="s">
        <v>29454</v>
      </c>
      <c r="B1622" s="439" t="s">
        <v>1877</v>
      </c>
      <c r="C1622" s="10" t="s">
        <v>1323</v>
      </c>
      <c r="D1622" s="504">
        <v>92.16</v>
      </c>
      <c r="E1622" s="504">
        <f t="shared" si="25"/>
        <v>68.266666666666666</v>
      </c>
    </row>
    <row r="1623" spans="1:5" x14ac:dyDescent="0.25">
      <c r="A1623" s="10" t="s">
        <v>29455</v>
      </c>
      <c r="B1623" s="439" t="s">
        <v>1878</v>
      </c>
      <c r="C1623" s="10" t="s">
        <v>1323</v>
      </c>
      <c r="D1623" s="504">
        <v>278.08999999999997</v>
      </c>
      <c r="E1623" s="504">
        <f t="shared" si="25"/>
        <v>205.99259259259256</v>
      </c>
    </row>
    <row r="1624" spans="1:5" x14ac:dyDescent="0.25">
      <c r="A1624" s="10" t="s">
        <v>29456</v>
      </c>
      <c r="B1624" s="439" t="s">
        <v>1879</v>
      </c>
      <c r="C1624" s="10" t="s">
        <v>1323</v>
      </c>
      <c r="D1624" s="504">
        <v>346.96</v>
      </c>
      <c r="E1624" s="504">
        <f t="shared" si="25"/>
        <v>257.00740740740736</v>
      </c>
    </row>
    <row r="1625" spans="1:5" x14ac:dyDescent="0.25">
      <c r="A1625" s="10" t="s">
        <v>29457</v>
      </c>
      <c r="B1625" s="439" t="s">
        <v>1880</v>
      </c>
      <c r="C1625" s="10" t="s">
        <v>1323</v>
      </c>
      <c r="D1625" s="504">
        <v>98.48</v>
      </c>
      <c r="E1625" s="504">
        <f t="shared" si="25"/>
        <v>72.94814814814815</v>
      </c>
    </row>
    <row r="1626" spans="1:5" x14ac:dyDescent="0.25">
      <c r="A1626" s="10" t="s">
        <v>29458</v>
      </c>
      <c r="B1626" s="439" t="s">
        <v>1881</v>
      </c>
      <c r="C1626" s="10" t="s">
        <v>1323</v>
      </c>
      <c r="D1626" s="504">
        <v>117.79</v>
      </c>
      <c r="E1626" s="504">
        <f t="shared" si="25"/>
        <v>87.251851851851853</v>
      </c>
    </row>
    <row r="1627" spans="1:5" x14ac:dyDescent="0.25">
      <c r="A1627" s="10" t="s">
        <v>29459</v>
      </c>
      <c r="B1627" s="439" t="s">
        <v>1882</v>
      </c>
      <c r="C1627" s="10" t="s">
        <v>1323</v>
      </c>
      <c r="D1627" s="504">
        <v>299.98</v>
      </c>
      <c r="E1627" s="504">
        <f t="shared" si="25"/>
        <v>222.2074074074074</v>
      </c>
    </row>
    <row r="1628" spans="1:5" x14ac:dyDescent="0.25">
      <c r="A1628" s="10" t="s">
        <v>29460</v>
      </c>
      <c r="B1628" s="439" t="s">
        <v>1883</v>
      </c>
      <c r="C1628" s="10" t="s">
        <v>1323</v>
      </c>
      <c r="D1628" s="504">
        <v>341.13</v>
      </c>
      <c r="E1628" s="504">
        <f t="shared" si="25"/>
        <v>252.68888888888887</v>
      </c>
    </row>
    <row r="1629" spans="1:5" x14ac:dyDescent="0.25">
      <c r="A1629" s="10" t="s">
        <v>29461</v>
      </c>
      <c r="B1629" s="439" t="s">
        <v>1884</v>
      </c>
      <c r="C1629" s="10" t="s">
        <v>361</v>
      </c>
      <c r="D1629" s="504">
        <v>6.21</v>
      </c>
      <c r="E1629" s="504">
        <f t="shared" si="25"/>
        <v>4.5999999999999996</v>
      </c>
    </row>
    <row r="1630" spans="1:5" x14ac:dyDescent="0.25">
      <c r="A1630" s="10" t="s">
        <v>29462</v>
      </c>
      <c r="B1630" s="439" t="s">
        <v>1885</v>
      </c>
      <c r="C1630" s="10" t="s">
        <v>1323</v>
      </c>
      <c r="D1630" s="504">
        <v>90.55</v>
      </c>
      <c r="E1630" s="504">
        <f t="shared" si="25"/>
        <v>67.074074074074062</v>
      </c>
    </row>
    <row r="1631" spans="1:5" x14ac:dyDescent="0.25">
      <c r="A1631" s="10" t="s">
        <v>29463</v>
      </c>
      <c r="B1631" s="439" t="s">
        <v>1886</v>
      </c>
      <c r="C1631" s="10" t="s">
        <v>1323</v>
      </c>
      <c r="D1631" s="504">
        <v>101.49</v>
      </c>
      <c r="E1631" s="504">
        <f t="shared" si="25"/>
        <v>75.177777777777763</v>
      </c>
    </row>
    <row r="1632" spans="1:5" x14ac:dyDescent="0.25">
      <c r="A1632" s="10" t="s">
        <v>29464</v>
      </c>
      <c r="B1632" s="439" t="s">
        <v>1887</v>
      </c>
      <c r="C1632" s="10" t="s">
        <v>1323</v>
      </c>
      <c r="D1632" s="504">
        <v>283.67</v>
      </c>
      <c r="E1632" s="504">
        <f t="shared" si="25"/>
        <v>210.12592592592591</v>
      </c>
    </row>
    <row r="1633" spans="1:5" x14ac:dyDescent="0.25">
      <c r="A1633" s="10" t="s">
        <v>29465</v>
      </c>
      <c r="B1633" s="439" t="s">
        <v>1888</v>
      </c>
      <c r="C1633" s="10" t="s">
        <v>1323</v>
      </c>
      <c r="D1633" s="504">
        <v>324.82</v>
      </c>
      <c r="E1633" s="504">
        <f t="shared" si="25"/>
        <v>240.60740740740738</v>
      </c>
    </row>
    <row r="1634" spans="1:5" x14ac:dyDescent="0.25">
      <c r="A1634" s="10" t="s">
        <v>29466</v>
      </c>
      <c r="B1634" s="439" t="s">
        <v>1889</v>
      </c>
      <c r="C1634" s="10" t="s">
        <v>361</v>
      </c>
      <c r="D1634" s="504">
        <v>6.11</v>
      </c>
      <c r="E1634" s="504">
        <f t="shared" si="25"/>
        <v>4.5259259259259261</v>
      </c>
    </row>
    <row r="1635" spans="1:5" x14ac:dyDescent="0.25">
      <c r="A1635" s="10" t="s">
        <v>29467</v>
      </c>
      <c r="B1635" s="439" t="s">
        <v>1890</v>
      </c>
      <c r="C1635" s="10" t="s">
        <v>1323</v>
      </c>
      <c r="D1635" s="504">
        <v>98.41</v>
      </c>
      <c r="E1635" s="504">
        <f t="shared" si="25"/>
        <v>72.896296296296285</v>
      </c>
    </row>
    <row r="1636" spans="1:5" x14ac:dyDescent="0.25">
      <c r="A1636" s="10" t="s">
        <v>29468</v>
      </c>
      <c r="B1636" s="439" t="s">
        <v>1891</v>
      </c>
      <c r="C1636" s="10" t="s">
        <v>1323</v>
      </c>
      <c r="D1636" s="504">
        <v>103.41</v>
      </c>
      <c r="E1636" s="504">
        <f t="shared" si="25"/>
        <v>76.599999999999994</v>
      </c>
    </row>
    <row r="1637" spans="1:5" x14ac:dyDescent="0.25">
      <c r="A1637" s="10" t="s">
        <v>29469</v>
      </c>
      <c r="B1637" s="439" t="s">
        <v>1892</v>
      </c>
      <c r="C1637" s="10" t="s">
        <v>1323</v>
      </c>
      <c r="D1637" s="504">
        <v>328.15</v>
      </c>
      <c r="E1637" s="504">
        <f t="shared" si="25"/>
        <v>243.07407407407405</v>
      </c>
    </row>
    <row r="1638" spans="1:5" x14ac:dyDescent="0.25">
      <c r="A1638" s="10" t="s">
        <v>29470</v>
      </c>
      <c r="B1638" s="439" t="s">
        <v>1893</v>
      </c>
      <c r="C1638" s="10" t="s">
        <v>1323</v>
      </c>
      <c r="D1638" s="504">
        <v>369.3</v>
      </c>
      <c r="E1638" s="504">
        <f t="shared" si="25"/>
        <v>273.55555555555554</v>
      </c>
    </row>
    <row r="1639" spans="1:5" x14ac:dyDescent="0.25">
      <c r="A1639" s="10" t="s">
        <v>29471</v>
      </c>
      <c r="B1639" s="439" t="s">
        <v>1894</v>
      </c>
      <c r="C1639" s="10" t="s">
        <v>361</v>
      </c>
      <c r="D1639" s="504">
        <v>6.72</v>
      </c>
      <c r="E1639" s="504">
        <f t="shared" si="25"/>
        <v>4.977777777777777</v>
      </c>
    </row>
    <row r="1640" spans="1:5" x14ac:dyDescent="0.25">
      <c r="A1640" s="10" t="s">
        <v>29472</v>
      </c>
      <c r="B1640" s="439" t="s">
        <v>1895</v>
      </c>
      <c r="C1640" s="10" t="s">
        <v>1323</v>
      </c>
      <c r="D1640" s="504">
        <v>98.41</v>
      </c>
      <c r="E1640" s="504">
        <f t="shared" si="25"/>
        <v>72.896296296296285</v>
      </c>
    </row>
    <row r="1641" spans="1:5" x14ac:dyDescent="0.25">
      <c r="A1641" s="10" t="s">
        <v>29473</v>
      </c>
      <c r="B1641" s="439" t="s">
        <v>1896</v>
      </c>
      <c r="C1641" s="10" t="s">
        <v>1323</v>
      </c>
      <c r="D1641" s="504">
        <v>103.41</v>
      </c>
      <c r="E1641" s="504">
        <f t="shared" si="25"/>
        <v>76.599999999999994</v>
      </c>
    </row>
    <row r="1642" spans="1:5" x14ac:dyDescent="0.25">
      <c r="A1642" s="10" t="s">
        <v>29474</v>
      </c>
      <c r="B1642" s="439" t="s">
        <v>1897</v>
      </c>
      <c r="C1642" s="10" t="s">
        <v>1323</v>
      </c>
      <c r="D1642" s="504">
        <v>328.15</v>
      </c>
      <c r="E1642" s="504">
        <f t="shared" si="25"/>
        <v>243.07407407407405</v>
      </c>
    </row>
    <row r="1643" spans="1:5" x14ac:dyDescent="0.25">
      <c r="A1643" s="10" t="s">
        <v>29475</v>
      </c>
      <c r="B1643" s="439" t="s">
        <v>1898</v>
      </c>
      <c r="C1643" s="10" t="s">
        <v>1323</v>
      </c>
      <c r="D1643" s="504">
        <v>369.3</v>
      </c>
      <c r="E1643" s="504">
        <f t="shared" si="25"/>
        <v>273.55555555555554</v>
      </c>
    </row>
    <row r="1644" spans="1:5" x14ac:dyDescent="0.25">
      <c r="A1644" s="10" t="s">
        <v>29476</v>
      </c>
      <c r="B1644" s="439" t="s">
        <v>1899</v>
      </c>
      <c r="C1644" s="10" t="s">
        <v>361</v>
      </c>
      <c r="D1644" s="504">
        <v>6.72</v>
      </c>
      <c r="E1644" s="504">
        <f t="shared" si="25"/>
        <v>4.977777777777777</v>
      </c>
    </row>
    <row r="1645" spans="1:5" x14ac:dyDescent="0.25">
      <c r="A1645" s="10" t="s">
        <v>29477</v>
      </c>
      <c r="B1645" s="439" t="s">
        <v>1900</v>
      </c>
      <c r="C1645" s="10" t="s">
        <v>1323</v>
      </c>
      <c r="D1645" s="504">
        <v>85.2</v>
      </c>
      <c r="E1645" s="504">
        <f t="shared" si="25"/>
        <v>63.111111111111107</v>
      </c>
    </row>
    <row r="1646" spans="1:5" x14ac:dyDescent="0.25">
      <c r="A1646" s="10" t="s">
        <v>29478</v>
      </c>
      <c r="B1646" s="439" t="s">
        <v>1901</v>
      </c>
      <c r="C1646" s="10" t="s">
        <v>1323</v>
      </c>
      <c r="D1646" s="504">
        <v>90.5</v>
      </c>
      <c r="E1646" s="504">
        <f t="shared" si="25"/>
        <v>67.037037037037038</v>
      </c>
    </row>
    <row r="1647" spans="1:5" x14ac:dyDescent="0.25">
      <c r="A1647" s="10" t="s">
        <v>29479</v>
      </c>
      <c r="B1647" s="439" t="s">
        <v>1902</v>
      </c>
      <c r="C1647" s="10" t="s">
        <v>1323</v>
      </c>
      <c r="D1647" s="504">
        <v>278.49</v>
      </c>
      <c r="E1647" s="504">
        <f t="shared" si="25"/>
        <v>206.28888888888889</v>
      </c>
    </row>
    <row r="1648" spans="1:5" x14ac:dyDescent="0.25">
      <c r="A1648" s="10" t="s">
        <v>29480</v>
      </c>
      <c r="B1648" s="439" t="s">
        <v>1903</v>
      </c>
      <c r="C1648" s="10" t="s">
        <v>1323</v>
      </c>
      <c r="D1648" s="504">
        <v>319.64</v>
      </c>
      <c r="E1648" s="504">
        <f t="shared" si="25"/>
        <v>236.77037037037036</v>
      </c>
    </row>
    <row r="1649" spans="1:5" x14ac:dyDescent="0.25">
      <c r="A1649" s="10" t="s">
        <v>29481</v>
      </c>
      <c r="B1649" s="439" t="s">
        <v>1904</v>
      </c>
      <c r="C1649" s="10" t="s">
        <v>361</v>
      </c>
      <c r="D1649" s="504">
        <v>6.01</v>
      </c>
      <c r="E1649" s="504">
        <f t="shared" si="25"/>
        <v>4.4518518518518517</v>
      </c>
    </row>
    <row r="1650" spans="1:5" x14ac:dyDescent="0.25">
      <c r="A1650" s="10" t="s">
        <v>29482</v>
      </c>
      <c r="B1650" s="439" t="s">
        <v>1905</v>
      </c>
      <c r="C1650" s="10" t="s">
        <v>1323</v>
      </c>
      <c r="D1650" s="504">
        <v>229.73</v>
      </c>
      <c r="E1650" s="504">
        <f t="shared" si="25"/>
        <v>170.17037037037036</v>
      </c>
    </row>
    <row r="1651" spans="1:5" x14ac:dyDescent="0.25">
      <c r="A1651" s="10" t="s">
        <v>29483</v>
      </c>
      <c r="B1651" s="439" t="s">
        <v>1906</v>
      </c>
      <c r="C1651" s="10" t="s">
        <v>1323</v>
      </c>
      <c r="D1651" s="504">
        <v>378.56</v>
      </c>
      <c r="E1651" s="504">
        <f t="shared" si="25"/>
        <v>280.4148148148148</v>
      </c>
    </row>
    <row r="1652" spans="1:5" x14ac:dyDescent="0.25">
      <c r="A1652" s="10" t="s">
        <v>29484</v>
      </c>
      <c r="B1652" s="439" t="s">
        <v>1907</v>
      </c>
      <c r="C1652" s="10" t="s">
        <v>1323</v>
      </c>
      <c r="D1652" s="504">
        <v>591.21</v>
      </c>
      <c r="E1652" s="504">
        <f t="shared" si="25"/>
        <v>437.93333333333334</v>
      </c>
    </row>
    <row r="1653" spans="1:5" x14ac:dyDescent="0.25">
      <c r="A1653" s="10" t="s">
        <v>29485</v>
      </c>
      <c r="B1653" s="439" t="s">
        <v>1908</v>
      </c>
      <c r="C1653" s="10" t="s">
        <v>1323</v>
      </c>
      <c r="D1653" s="504">
        <v>632.36</v>
      </c>
      <c r="E1653" s="504">
        <f t="shared" si="25"/>
        <v>468.4148148148148</v>
      </c>
    </row>
    <row r="1654" spans="1:5" x14ac:dyDescent="0.25">
      <c r="A1654" s="10" t="s">
        <v>29486</v>
      </c>
      <c r="B1654" s="439" t="s">
        <v>1909</v>
      </c>
      <c r="C1654" s="10" t="s">
        <v>361</v>
      </c>
      <c r="D1654" s="504">
        <v>11.89</v>
      </c>
      <c r="E1654" s="504">
        <f t="shared" si="25"/>
        <v>8.8074074074074069</v>
      </c>
    </row>
    <row r="1655" spans="1:5" x14ac:dyDescent="0.25">
      <c r="A1655" s="10" t="s">
        <v>29487</v>
      </c>
      <c r="B1655" s="439" t="s">
        <v>1910</v>
      </c>
      <c r="C1655" s="10" t="s">
        <v>1323</v>
      </c>
      <c r="D1655" s="504">
        <v>229.06</v>
      </c>
      <c r="E1655" s="504">
        <f t="shared" si="25"/>
        <v>169.67407407407407</v>
      </c>
    </row>
    <row r="1656" spans="1:5" x14ac:dyDescent="0.25">
      <c r="A1656" s="10" t="s">
        <v>29488</v>
      </c>
      <c r="B1656" s="439" t="s">
        <v>1911</v>
      </c>
      <c r="C1656" s="10" t="s">
        <v>1323</v>
      </c>
      <c r="D1656" s="504">
        <v>377.21</v>
      </c>
      <c r="E1656" s="504">
        <f t="shared" si="25"/>
        <v>279.4148148148148</v>
      </c>
    </row>
    <row r="1657" spans="1:5" x14ac:dyDescent="0.25">
      <c r="A1657" s="10" t="s">
        <v>29489</v>
      </c>
      <c r="B1657" s="439" t="s">
        <v>1912</v>
      </c>
      <c r="C1657" s="10" t="s">
        <v>1323</v>
      </c>
      <c r="D1657" s="504">
        <v>768.99</v>
      </c>
      <c r="E1657" s="504">
        <f t="shared" si="25"/>
        <v>569.62222222222215</v>
      </c>
    </row>
    <row r="1658" spans="1:5" x14ac:dyDescent="0.25">
      <c r="A1658" s="10" t="s">
        <v>29490</v>
      </c>
      <c r="B1658" s="439" t="s">
        <v>1913</v>
      </c>
      <c r="C1658" s="10" t="s">
        <v>1323</v>
      </c>
      <c r="D1658" s="504">
        <v>810.14</v>
      </c>
      <c r="E1658" s="504">
        <f t="shared" si="25"/>
        <v>600.10370370370367</v>
      </c>
    </row>
    <row r="1659" spans="1:5" x14ac:dyDescent="0.25">
      <c r="A1659" s="10" t="s">
        <v>29491</v>
      </c>
      <c r="B1659" s="439" t="s">
        <v>1914</v>
      </c>
      <c r="C1659" s="10" t="s">
        <v>1323</v>
      </c>
      <c r="D1659" s="504">
        <v>90.78</v>
      </c>
      <c r="E1659" s="504">
        <f t="shared" si="25"/>
        <v>67.24444444444444</v>
      </c>
    </row>
    <row r="1660" spans="1:5" x14ac:dyDescent="0.25">
      <c r="A1660" s="10" t="s">
        <v>29492</v>
      </c>
      <c r="B1660" s="439" t="s">
        <v>1915</v>
      </c>
      <c r="C1660" s="10" t="s">
        <v>1323</v>
      </c>
      <c r="D1660" s="504">
        <v>101.97</v>
      </c>
      <c r="E1660" s="504">
        <f t="shared" si="25"/>
        <v>75.533333333333331</v>
      </c>
    </row>
    <row r="1661" spans="1:5" x14ac:dyDescent="0.25">
      <c r="A1661" s="10" t="s">
        <v>29493</v>
      </c>
      <c r="B1661" s="439" t="s">
        <v>1916</v>
      </c>
      <c r="C1661" s="10" t="s">
        <v>1323</v>
      </c>
      <c r="D1661" s="504">
        <v>288.08999999999997</v>
      </c>
      <c r="E1661" s="504">
        <f t="shared" si="25"/>
        <v>213.39999999999998</v>
      </c>
    </row>
    <row r="1662" spans="1:5" x14ac:dyDescent="0.25">
      <c r="A1662" s="10" t="s">
        <v>29494</v>
      </c>
      <c r="B1662" s="439" t="s">
        <v>1917</v>
      </c>
      <c r="C1662" s="10" t="s">
        <v>1323</v>
      </c>
      <c r="D1662" s="504">
        <v>329.24</v>
      </c>
      <c r="E1662" s="504">
        <f t="shared" si="25"/>
        <v>243.88148148148147</v>
      </c>
    </row>
    <row r="1663" spans="1:5" x14ac:dyDescent="0.25">
      <c r="A1663" s="10" t="s">
        <v>29495</v>
      </c>
      <c r="B1663" s="439" t="s">
        <v>1918</v>
      </c>
      <c r="C1663" s="10" t="s">
        <v>1323</v>
      </c>
      <c r="D1663" s="504">
        <v>104.19</v>
      </c>
      <c r="E1663" s="504">
        <f t="shared" si="25"/>
        <v>77.177777777777777</v>
      </c>
    </row>
    <row r="1664" spans="1:5" x14ac:dyDescent="0.25">
      <c r="A1664" s="10" t="s">
        <v>29496</v>
      </c>
      <c r="B1664" s="439" t="s">
        <v>1919</v>
      </c>
      <c r="C1664" s="10" t="s">
        <v>1323</v>
      </c>
      <c r="D1664" s="504">
        <v>120.2</v>
      </c>
      <c r="E1664" s="504">
        <f t="shared" si="25"/>
        <v>89.037037037037038</v>
      </c>
    </row>
    <row r="1665" spans="1:5" x14ac:dyDescent="0.25">
      <c r="A1665" s="10" t="s">
        <v>29497</v>
      </c>
      <c r="B1665" s="439" t="s">
        <v>1920</v>
      </c>
      <c r="C1665" s="10" t="s">
        <v>1323</v>
      </c>
      <c r="D1665" s="504">
        <v>524.85</v>
      </c>
      <c r="E1665" s="504">
        <f t="shared" si="25"/>
        <v>388.77777777777777</v>
      </c>
    </row>
    <row r="1666" spans="1:5" x14ac:dyDescent="0.25">
      <c r="A1666" s="10" t="s">
        <v>29498</v>
      </c>
      <c r="B1666" s="439" t="s">
        <v>1921</v>
      </c>
      <c r="C1666" s="10" t="s">
        <v>1323</v>
      </c>
      <c r="D1666" s="504">
        <v>566</v>
      </c>
      <c r="E1666" s="504">
        <f t="shared" si="25"/>
        <v>419.25925925925924</v>
      </c>
    </row>
    <row r="1667" spans="1:5" x14ac:dyDescent="0.25">
      <c r="A1667" s="10" t="s">
        <v>29499</v>
      </c>
      <c r="B1667" s="439" t="s">
        <v>1922</v>
      </c>
      <c r="C1667" s="10" t="s">
        <v>361</v>
      </c>
      <c r="D1667" s="504">
        <v>10.64</v>
      </c>
      <c r="E1667" s="504">
        <f t="shared" si="25"/>
        <v>7.8814814814814813</v>
      </c>
    </row>
    <row r="1668" spans="1:5" x14ac:dyDescent="0.25">
      <c r="A1668" s="10" t="s">
        <v>29500</v>
      </c>
      <c r="B1668" s="439" t="s">
        <v>1923</v>
      </c>
      <c r="C1668" s="10" t="s">
        <v>1323</v>
      </c>
      <c r="D1668" s="504">
        <v>106.12</v>
      </c>
      <c r="E1668" s="504">
        <f t="shared" si="25"/>
        <v>78.607407407407408</v>
      </c>
    </row>
    <row r="1669" spans="1:5" x14ac:dyDescent="0.25">
      <c r="A1669" s="10" t="s">
        <v>29501</v>
      </c>
      <c r="B1669" s="439" t="s">
        <v>1924</v>
      </c>
      <c r="C1669" s="10" t="s">
        <v>1323</v>
      </c>
      <c r="D1669" s="504">
        <v>123.89</v>
      </c>
      <c r="E1669" s="504">
        <f t="shared" si="25"/>
        <v>91.770370370370358</v>
      </c>
    </row>
    <row r="1670" spans="1:5" x14ac:dyDescent="0.25">
      <c r="A1670" s="10" t="s">
        <v>29502</v>
      </c>
      <c r="B1670" s="439" t="s">
        <v>1925</v>
      </c>
      <c r="C1670" s="10" t="s">
        <v>1323</v>
      </c>
      <c r="D1670" s="504">
        <v>528.54</v>
      </c>
      <c r="E1670" s="504">
        <f t="shared" si="25"/>
        <v>391.51111111111106</v>
      </c>
    </row>
    <row r="1671" spans="1:5" x14ac:dyDescent="0.25">
      <c r="A1671" s="10" t="s">
        <v>29503</v>
      </c>
      <c r="B1671" s="439" t="s">
        <v>1926</v>
      </c>
      <c r="C1671" s="10" t="s">
        <v>1323</v>
      </c>
      <c r="D1671" s="504">
        <v>569.69000000000005</v>
      </c>
      <c r="E1671" s="504">
        <f t="shared" si="25"/>
        <v>421.99259259259259</v>
      </c>
    </row>
    <row r="1672" spans="1:5" x14ac:dyDescent="0.25">
      <c r="A1672" s="10" t="s">
        <v>29504</v>
      </c>
      <c r="B1672" s="439" t="s">
        <v>1927</v>
      </c>
      <c r="C1672" s="10" t="s">
        <v>361</v>
      </c>
      <c r="D1672" s="504">
        <v>10.71</v>
      </c>
      <c r="E1672" s="504">
        <f t="shared" si="25"/>
        <v>7.9333333333333336</v>
      </c>
    </row>
    <row r="1673" spans="1:5" x14ac:dyDescent="0.25">
      <c r="A1673" s="10" t="s">
        <v>29505</v>
      </c>
      <c r="B1673" s="439" t="s">
        <v>1928</v>
      </c>
      <c r="C1673" s="10" t="s">
        <v>1323</v>
      </c>
      <c r="D1673" s="504">
        <v>42.59</v>
      </c>
      <c r="E1673" s="504">
        <f t="shared" si="25"/>
        <v>31.548148148148147</v>
      </c>
    </row>
    <row r="1674" spans="1:5" x14ac:dyDescent="0.25">
      <c r="A1674" s="10" t="s">
        <v>29506</v>
      </c>
      <c r="B1674" s="439" t="s">
        <v>1929</v>
      </c>
      <c r="C1674" s="10" t="s">
        <v>1323</v>
      </c>
      <c r="D1674" s="504">
        <v>2.95</v>
      </c>
      <c r="E1674" s="504">
        <f t="shared" si="25"/>
        <v>2.1851851851851851</v>
      </c>
    </row>
    <row r="1675" spans="1:5" x14ac:dyDescent="0.25">
      <c r="A1675" s="10" t="s">
        <v>29507</v>
      </c>
      <c r="B1675" s="439" t="s">
        <v>1930</v>
      </c>
      <c r="C1675" s="10" t="s">
        <v>1323</v>
      </c>
      <c r="D1675" s="504">
        <v>2.95</v>
      </c>
      <c r="E1675" s="504">
        <f t="shared" ref="E1675:E1738" si="26">D1675/(1+$G$4)</f>
        <v>2.1851851851851851</v>
      </c>
    </row>
    <row r="1676" spans="1:5" x14ac:dyDescent="0.25">
      <c r="A1676" s="10" t="s">
        <v>29508</v>
      </c>
      <c r="B1676" s="439" t="s">
        <v>1931</v>
      </c>
      <c r="C1676" s="10" t="s">
        <v>1323</v>
      </c>
      <c r="D1676" s="504">
        <v>44.1</v>
      </c>
      <c r="E1676" s="504">
        <f t="shared" si="26"/>
        <v>32.666666666666664</v>
      </c>
    </row>
    <row r="1677" spans="1:5" x14ac:dyDescent="0.25">
      <c r="A1677" s="10" t="s">
        <v>29509</v>
      </c>
      <c r="B1677" s="439" t="s">
        <v>1932</v>
      </c>
      <c r="C1677" s="10" t="s">
        <v>1323</v>
      </c>
      <c r="D1677" s="504">
        <v>30.58</v>
      </c>
      <c r="E1677" s="504">
        <f t="shared" si="26"/>
        <v>22.651851851851848</v>
      </c>
    </row>
    <row r="1678" spans="1:5" x14ac:dyDescent="0.25">
      <c r="A1678" s="10" t="s">
        <v>29510</v>
      </c>
      <c r="B1678" s="439" t="s">
        <v>1933</v>
      </c>
      <c r="C1678" s="10" t="s">
        <v>1323</v>
      </c>
      <c r="D1678" s="504">
        <v>6.96</v>
      </c>
      <c r="E1678" s="504">
        <f t="shared" si="26"/>
        <v>5.155555555555555</v>
      </c>
    </row>
    <row r="1679" spans="1:5" x14ac:dyDescent="0.25">
      <c r="A1679" s="10" t="s">
        <v>29511</v>
      </c>
      <c r="B1679" s="439" t="s">
        <v>1934</v>
      </c>
      <c r="C1679" s="10" t="s">
        <v>1323</v>
      </c>
      <c r="D1679" s="504">
        <v>10.52</v>
      </c>
      <c r="E1679" s="504">
        <f t="shared" si="26"/>
        <v>7.7925925925925918</v>
      </c>
    </row>
    <row r="1680" spans="1:5" x14ac:dyDescent="0.25">
      <c r="A1680" s="10" t="s">
        <v>29512</v>
      </c>
      <c r="B1680" s="439" t="s">
        <v>1935</v>
      </c>
      <c r="C1680" s="10" t="s">
        <v>1323</v>
      </c>
      <c r="D1680" s="504">
        <v>37.26</v>
      </c>
      <c r="E1680" s="504">
        <f t="shared" si="26"/>
        <v>27.599999999999998</v>
      </c>
    </row>
    <row r="1681" spans="1:5" x14ac:dyDescent="0.25">
      <c r="A1681" s="10" t="s">
        <v>29513</v>
      </c>
      <c r="B1681" s="439" t="s">
        <v>1936</v>
      </c>
      <c r="C1681" s="10" t="s">
        <v>1323</v>
      </c>
      <c r="D1681" s="504">
        <v>28.17</v>
      </c>
      <c r="E1681" s="504">
        <f t="shared" si="26"/>
        <v>20.866666666666667</v>
      </c>
    </row>
    <row r="1682" spans="1:5" x14ac:dyDescent="0.25">
      <c r="A1682" s="10" t="s">
        <v>29514</v>
      </c>
      <c r="B1682" s="439" t="s">
        <v>1937</v>
      </c>
      <c r="C1682" s="10" t="s">
        <v>1323</v>
      </c>
      <c r="D1682" s="504">
        <v>2.59</v>
      </c>
      <c r="E1682" s="504">
        <f t="shared" si="26"/>
        <v>1.9185185185185183</v>
      </c>
    </row>
    <row r="1683" spans="1:5" x14ac:dyDescent="0.25">
      <c r="A1683" s="10" t="s">
        <v>29515</v>
      </c>
      <c r="B1683" s="439" t="s">
        <v>1938</v>
      </c>
      <c r="C1683" s="10" t="s">
        <v>1323</v>
      </c>
      <c r="D1683" s="504">
        <v>11.56</v>
      </c>
      <c r="E1683" s="504">
        <f t="shared" si="26"/>
        <v>8.5629629629629633</v>
      </c>
    </row>
    <row r="1684" spans="1:5" x14ac:dyDescent="0.25">
      <c r="A1684" s="10" t="s">
        <v>29516</v>
      </c>
      <c r="B1684" s="439" t="s">
        <v>1939</v>
      </c>
      <c r="C1684" s="10" t="s">
        <v>1323</v>
      </c>
      <c r="D1684" s="504">
        <v>38.31</v>
      </c>
      <c r="E1684" s="504">
        <f t="shared" si="26"/>
        <v>28.377777777777776</v>
      </c>
    </row>
    <row r="1685" spans="1:5" x14ac:dyDescent="0.25">
      <c r="A1685" s="10" t="s">
        <v>29517</v>
      </c>
      <c r="B1685" s="439" t="s">
        <v>1940</v>
      </c>
      <c r="C1685" s="10" t="s">
        <v>1323</v>
      </c>
      <c r="D1685" s="504">
        <v>61.27</v>
      </c>
      <c r="E1685" s="504">
        <f t="shared" si="26"/>
        <v>45.385185185185186</v>
      </c>
    </row>
    <row r="1686" spans="1:5" x14ac:dyDescent="0.25">
      <c r="A1686" s="10" t="s">
        <v>29518</v>
      </c>
      <c r="B1686" s="439" t="s">
        <v>1941</v>
      </c>
      <c r="C1686" s="10" t="s">
        <v>1323</v>
      </c>
      <c r="D1686" s="504">
        <v>25.09</v>
      </c>
      <c r="E1686" s="504">
        <f t="shared" si="26"/>
        <v>18.585185185185185</v>
      </c>
    </row>
    <row r="1687" spans="1:5" x14ac:dyDescent="0.25">
      <c r="A1687" s="10" t="s">
        <v>29519</v>
      </c>
      <c r="B1687" s="439" t="s">
        <v>1942</v>
      </c>
      <c r="C1687" s="10" t="s">
        <v>1323</v>
      </c>
      <c r="D1687" s="504">
        <v>139.18</v>
      </c>
      <c r="E1687" s="504">
        <f t="shared" si="26"/>
        <v>103.09629629629629</v>
      </c>
    </row>
    <row r="1688" spans="1:5" x14ac:dyDescent="0.25">
      <c r="A1688" s="10" t="s">
        <v>29520</v>
      </c>
      <c r="B1688" s="439" t="s">
        <v>1943</v>
      </c>
      <c r="C1688" s="10" t="s">
        <v>1323</v>
      </c>
      <c r="D1688" s="504">
        <v>187.02</v>
      </c>
      <c r="E1688" s="504">
        <f t="shared" si="26"/>
        <v>138.53333333333333</v>
      </c>
    </row>
    <row r="1689" spans="1:5" x14ac:dyDescent="0.25">
      <c r="A1689" s="10" t="s">
        <v>29521</v>
      </c>
      <c r="B1689" s="439" t="s">
        <v>1944</v>
      </c>
      <c r="C1689" s="10" t="s">
        <v>1323</v>
      </c>
      <c r="D1689" s="504">
        <v>73.59</v>
      </c>
      <c r="E1689" s="504">
        <f t="shared" si="26"/>
        <v>54.511111111111113</v>
      </c>
    </row>
    <row r="1690" spans="1:5" x14ac:dyDescent="0.25">
      <c r="A1690" s="10" t="s">
        <v>29522</v>
      </c>
      <c r="B1690" s="439" t="s">
        <v>1945</v>
      </c>
      <c r="C1690" s="10" t="s">
        <v>1323</v>
      </c>
      <c r="D1690" s="504">
        <v>48.1</v>
      </c>
      <c r="E1690" s="504">
        <f t="shared" si="26"/>
        <v>35.629629629629626</v>
      </c>
    </row>
    <row r="1691" spans="1:5" x14ac:dyDescent="0.25">
      <c r="A1691" s="10" t="s">
        <v>29523</v>
      </c>
      <c r="B1691" s="439" t="s">
        <v>1946</v>
      </c>
      <c r="C1691" s="10" t="s">
        <v>1323</v>
      </c>
      <c r="D1691" s="504">
        <v>162.19</v>
      </c>
      <c r="E1691" s="504">
        <f t="shared" si="26"/>
        <v>120.14074074074072</v>
      </c>
    </row>
    <row r="1692" spans="1:5" x14ac:dyDescent="0.25">
      <c r="A1692" s="10" t="s">
        <v>29524</v>
      </c>
      <c r="B1692" s="439" t="s">
        <v>1947</v>
      </c>
      <c r="C1692" s="10" t="s">
        <v>1323</v>
      </c>
      <c r="D1692" s="504">
        <v>210.03</v>
      </c>
      <c r="E1692" s="504">
        <f t="shared" si="26"/>
        <v>155.57777777777775</v>
      </c>
    </row>
    <row r="1693" spans="1:5" x14ac:dyDescent="0.25">
      <c r="A1693" s="10" t="s">
        <v>29525</v>
      </c>
      <c r="B1693" s="439" t="s">
        <v>1948</v>
      </c>
      <c r="C1693" s="10" t="s">
        <v>1323</v>
      </c>
      <c r="D1693" s="504">
        <v>79.31</v>
      </c>
      <c r="E1693" s="504">
        <f t="shared" si="26"/>
        <v>58.748148148148147</v>
      </c>
    </row>
    <row r="1694" spans="1:5" x14ac:dyDescent="0.25">
      <c r="A1694" s="10" t="s">
        <v>29526</v>
      </c>
      <c r="B1694" s="439" t="s">
        <v>1949</v>
      </c>
      <c r="C1694" s="10" t="s">
        <v>1323</v>
      </c>
      <c r="D1694" s="504">
        <v>58.79</v>
      </c>
      <c r="E1694" s="504">
        <f t="shared" si="26"/>
        <v>43.548148148148144</v>
      </c>
    </row>
    <row r="1695" spans="1:5" x14ac:dyDescent="0.25">
      <c r="A1695" s="10" t="s">
        <v>29527</v>
      </c>
      <c r="B1695" s="439" t="s">
        <v>1950</v>
      </c>
      <c r="C1695" s="10" t="s">
        <v>1323</v>
      </c>
      <c r="D1695" s="504">
        <v>231.84</v>
      </c>
      <c r="E1695" s="504">
        <f t="shared" si="26"/>
        <v>171.73333333333332</v>
      </c>
    </row>
    <row r="1696" spans="1:5" x14ac:dyDescent="0.25">
      <c r="A1696" s="10" t="s">
        <v>29528</v>
      </c>
      <c r="B1696" s="439" t="s">
        <v>1951</v>
      </c>
      <c r="C1696" s="10" t="s">
        <v>1323</v>
      </c>
      <c r="D1696" s="504">
        <v>279.68</v>
      </c>
      <c r="E1696" s="504">
        <f t="shared" si="26"/>
        <v>207.17037037037036</v>
      </c>
    </row>
    <row r="1697" spans="1:5" x14ac:dyDescent="0.25">
      <c r="A1697" s="10" t="s">
        <v>29529</v>
      </c>
      <c r="B1697" s="439" t="s">
        <v>1952</v>
      </c>
      <c r="C1697" s="10" t="s">
        <v>1323</v>
      </c>
      <c r="D1697" s="504">
        <v>88.12</v>
      </c>
      <c r="E1697" s="504">
        <f t="shared" si="26"/>
        <v>65.274074074074079</v>
      </c>
    </row>
    <row r="1698" spans="1:5" x14ac:dyDescent="0.25">
      <c r="A1698" s="10" t="s">
        <v>29530</v>
      </c>
      <c r="B1698" s="439" t="s">
        <v>1953</v>
      </c>
      <c r="C1698" s="10" t="s">
        <v>1323</v>
      </c>
      <c r="D1698" s="504">
        <v>75.239999999999995</v>
      </c>
      <c r="E1698" s="504">
        <f t="shared" si="26"/>
        <v>55.733333333333327</v>
      </c>
    </row>
    <row r="1699" spans="1:5" x14ac:dyDescent="0.25">
      <c r="A1699" s="10" t="s">
        <v>29531</v>
      </c>
      <c r="B1699" s="439" t="s">
        <v>1954</v>
      </c>
      <c r="C1699" s="10" t="s">
        <v>1323</v>
      </c>
      <c r="D1699" s="504">
        <v>420.06</v>
      </c>
      <c r="E1699" s="504">
        <f t="shared" si="26"/>
        <v>311.15555555555551</v>
      </c>
    </row>
    <row r="1700" spans="1:5" x14ac:dyDescent="0.25">
      <c r="A1700" s="10" t="s">
        <v>29532</v>
      </c>
      <c r="B1700" s="439" t="s">
        <v>1955</v>
      </c>
      <c r="C1700" s="10" t="s">
        <v>1323</v>
      </c>
      <c r="D1700" s="504">
        <v>467.9</v>
      </c>
      <c r="E1700" s="504">
        <f t="shared" si="26"/>
        <v>346.59259259259255</v>
      </c>
    </row>
    <row r="1701" spans="1:5" x14ac:dyDescent="0.25">
      <c r="A1701" s="10" t="s">
        <v>29533</v>
      </c>
      <c r="B1701" s="439" t="s">
        <v>1956</v>
      </c>
      <c r="C1701" s="10" t="s">
        <v>1323</v>
      </c>
      <c r="D1701" s="504">
        <v>90.87</v>
      </c>
      <c r="E1701" s="504">
        <f t="shared" si="26"/>
        <v>67.311111111111117</v>
      </c>
    </row>
    <row r="1702" spans="1:5" x14ac:dyDescent="0.25">
      <c r="A1702" s="10" t="s">
        <v>29534</v>
      </c>
      <c r="B1702" s="439" t="s">
        <v>1957</v>
      </c>
      <c r="C1702" s="10" t="s">
        <v>1323</v>
      </c>
      <c r="D1702" s="504">
        <v>102.15</v>
      </c>
      <c r="E1702" s="504">
        <f t="shared" si="26"/>
        <v>75.666666666666671</v>
      </c>
    </row>
    <row r="1703" spans="1:5" x14ac:dyDescent="0.25">
      <c r="A1703" s="10" t="s">
        <v>29535</v>
      </c>
      <c r="B1703" s="439" t="s">
        <v>1958</v>
      </c>
      <c r="C1703" s="10" t="s">
        <v>1323</v>
      </c>
      <c r="D1703" s="504">
        <v>124.58</v>
      </c>
      <c r="E1703" s="504">
        <f t="shared" si="26"/>
        <v>92.281481481481478</v>
      </c>
    </row>
    <row r="1704" spans="1:5" x14ac:dyDescent="0.25">
      <c r="A1704" s="10" t="s">
        <v>29536</v>
      </c>
      <c r="B1704" s="439" t="s">
        <v>1959</v>
      </c>
      <c r="C1704" s="10" t="s">
        <v>1323</v>
      </c>
      <c r="D1704" s="504">
        <v>165.73</v>
      </c>
      <c r="E1704" s="504">
        <f t="shared" si="26"/>
        <v>122.76296296296294</v>
      </c>
    </row>
    <row r="1705" spans="1:5" x14ac:dyDescent="0.25">
      <c r="A1705" s="10" t="s">
        <v>29537</v>
      </c>
      <c r="B1705" s="439" t="s">
        <v>1960</v>
      </c>
      <c r="C1705" s="10" t="s">
        <v>1323</v>
      </c>
      <c r="D1705" s="504">
        <v>174.05</v>
      </c>
      <c r="E1705" s="504">
        <f t="shared" si="26"/>
        <v>128.92592592592592</v>
      </c>
    </row>
    <row r="1706" spans="1:5" x14ac:dyDescent="0.25">
      <c r="A1706" s="10" t="s">
        <v>29538</v>
      </c>
      <c r="B1706" s="439" t="s">
        <v>1961</v>
      </c>
      <c r="C1706" s="10" t="s">
        <v>1323</v>
      </c>
      <c r="D1706" s="504">
        <v>273.07</v>
      </c>
      <c r="E1706" s="504">
        <f t="shared" si="26"/>
        <v>202.27407407407406</v>
      </c>
    </row>
    <row r="1707" spans="1:5" x14ac:dyDescent="0.25">
      <c r="A1707" s="10" t="s">
        <v>29539</v>
      </c>
      <c r="B1707" s="439" t="s">
        <v>1962</v>
      </c>
      <c r="C1707" s="10" t="s">
        <v>1323</v>
      </c>
      <c r="D1707" s="504">
        <v>340.28</v>
      </c>
      <c r="E1707" s="504">
        <f t="shared" si="26"/>
        <v>252.05925925925922</v>
      </c>
    </row>
    <row r="1708" spans="1:5" x14ac:dyDescent="0.25">
      <c r="A1708" s="10" t="s">
        <v>29540</v>
      </c>
      <c r="B1708" s="439" t="s">
        <v>1963</v>
      </c>
      <c r="C1708" s="10" t="s">
        <v>1323</v>
      </c>
      <c r="D1708" s="504">
        <v>381.43</v>
      </c>
      <c r="E1708" s="504">
        <f t="shared" si="26"/>
        <v>282.54074074074072</v>
      </c>
    </row>
    <row r="1709" spans="1:5" x14ac:dyDescent="0.25">
      <c r="A1709" s="10" t="s">
        <v>29541</v>
      </c>
      <c r="B1709" s="439" t="s">
        <v>1964</v>
      </c>
      <c r="C1709" s="10" t="s">
        <v>1323</v>
      </c>
      <c r="D1709" s="504">
        <v>52.55</v>
      </c>
      <c r="E1709" s="504">
        <f t="shared" si="26"/>
        <v>38.925925925925924</v>
      </c>
    </row>
    <row r="1710" spans="1:5" x14ac:dyDescent="0.25">
      <c r="A1710" s="10" t="s">
        <v>29542</v>
      </c>
      <c r="B1710" s="439" t="s">
        <v>1965</v>
      </c>
      <c r="C1710" s="10" t="s">
        <v>1323</v>
      </c>
      <c r="D1710" s="504">
        <v>20.190000000000001</v>
      </c>
      <c r="E1710" s="504">
        <f t="shared" si="26"/>
        <v>14.955555555555556</v>
      </c>
    </row>
    <row r="1711" spans="1:5" x14ac:dyDescent="0.25">
      <c r="A1711" s="10" t="s">
        <v>29543</v>
      </c>
      <c r="B1711" s="439" t="s">
        <v>1966</v>
      </c>
      <c r="C1711" s="10" t="s">
        <v>1323</v>
      </c>
      <c r="D1711" s="504">
        <v>90.4</v>
      </c>
      <c r="E1711" s="504">
        <f t="shared" si="26"/>
        <v>66.962962962962962</v>
      </c>
    </row>
    <row r="1712" spans="1:5" x14ac:dyDescent="0.25">
      <c r="A1712" s="10" t="s">
        <v>29544</v>
      </c>
      <c r="B1712" s="439" t="s">
        <v>1967</v>
      </c>
      <c r="C1712" s="10" t="s">
        <v>1323</v>
      </c>
      <c r="D1712" s="504">
        <v>131.55000000000001</v>
      </c>
      <c r="E1712" s="504">
        <f t="shared" si="26"/>
        <v>97.444444444444443</v>
      </c>
    </row>
    <row r="1713" spans="1:5" x14ac:dyDescent="0.25">
      <c r="A1713" s="10" t="s">
        <v>29545</v>
      </c>
      <c r="B1713" s="439" t="s">
        <v>1968</v>
      </c>
      <c r="C1713" s="10" t="s">
        <v>1323</v>
      </c>
      <c r="D1713" s="504">
        <v>47.03</v>
      </c>
      <c r="E1713" s="504">
        <f t="shared" si="26"/>
        <v>34.837037037037035</v>
      </c>
    </row>
    <row r="1714" spans="1:5" x14ac:dyDescent="0.25">
      <c r="A1714" s="10" t="s">
        <v>29546</v>
      </c>
      <c r="B1714" s="439" t="s">
        <v>1969</v>
      </c>
      <c r="C1714" s="10" t="s">
        <v>1323</v>
      </c>
      <c r="D1714" s="504">
        <v>10.42</v>
      </c>
      <c r="E1714" s="504">
        <f t="shared" si="26"/>
        <v>7.7185185185185183</v>
      </c>
    </row>
    <row r="1715" spans="1:5" x14ac:dyDescent="0.25">
      <c r="A1715" s="10" t="s">
        <v>29547</v>
      </c>
      <c r="B1715" s="439" t="s">
        <v>1970</v>
      </c>
      <c r="C1715" s="10" t="s">
        <v>1323</v>
      </c>
      <c r="D1715" s="504">
        <v>18.72</v>
      </c>
      <c r="E1715" s="504">
        <f t="shared" si="26"/>
        <v>13.866666666666665</v>
      </c>
    </row>
    <row r="1716" spans="1:5" x14ac:dyDescent="0.25">
      <c r="A1716" s="10" t="s">
        <v>29548</v>
      </c>
      <c r="B1716" s="439" t="s">
        <v>1971</v>
      </c>
      <c r="C1716" s="10" t="s">
        <v>1323</v>
      </c>
      <c r="D1716" s="504">
        <v>59.87</v>
      </c>
      <c r="E1716" s="504">
        <f t="shared" si="26"/>
        <v>44.348148148148141</v>
      </c>
    </row>
    <row r="1717" spans="1:5" x14ac:dyDescent="0.25">
      <c r="A1717" s="10" t="s">
        <v>29549</v>
      </c>
      <c r="B1717" s="439" t="s">
        <v>1972</v>
      </c>
      <c r="C1717" s="10" t="s">
        <v>1323</v>
      </c>
      <c r="D1717" s="504">
        <v>50.35</v>
      </c>
      <c r="E1717" s="504">
        <f t="shared" si="26"/>
        <v>37.296296296296298</v>
      </c>
    </row>
    <row r="1718" spans="1:5" x14ac:dyDescent="0.25">
      <c r="A1718" s="10" t="s">
        <v>29550</v>
      </c>
      <c r="B1718" s="439" t="s">
        <v>1973</v>
      </c>
      <c r="C1718" s="10" t="s">
        <v>1323</v>
      </c>
      <c r="D1718" s="504">
        <v>16.61</v>
      </c>
      <c r="E1718" s="504">
        <f t="shared" si="26"/>
        <v>12.303703703703702</v>
      </c>
    </row>
    <row r="1719" spans="1:5" x14ac:dyDescent="0.25">
      <c r="A1719" s="10" t="s">
        <v>29551</v>
      </c>
      <c r="B1719" s="439" t="s">
        <v>1974</v>
      </c>
      <c r="C1719" s="10" t="s">
        <v>1323</v>
      </c>
      <c r="D1719" s="504">
        <v>32.630000000000003</v>
      </c>
      <c r="E1719" s="504">
        <f t="shared" si="26"/>
        <v>24.170370370370371</v>
      </c>
    </row>
    <row r="1720" spans="1:5" x14ac:dyDescent="0.25">
      <c r="A1720" s="10" t="s">
        <v>29552</v>
      </c>
      <c r="B1720" s="439" t="s">
        <v>1975</v>
      </c>
      <c r="C1720" s="10" t="s">
        <v>1323</v>
      </c>
      <c r="D1720" s="504">
        <v>73.78</v>
      </c>
      <c r="E1720" s="504">
        <f t="shared" si="26"/>
        <v>54.651851851851852</v>
      </c>
    </row>
    <row r="1721" spans="1:5" x14ac:dyDescent="0.25">
      <c r="A1721" s="10" t="s">
        <v>29553</v>
      </c>
      <c r="B1721" s="439" t="s">
        <v>1976</v>
      </c>
      <c r="C1721" s="10" t="s">
        <v>1323</v>
      </c>
      <c r="D1721" s="504">
        <v>1.1499999999999999</v>
      </c>
      <c r="E1721" s="504">
        <f t="shared" si="26"/>
        <v>0.85185185185185175</v>
      </c>
    </row>
    <row r="1722" spans="1:5" x14ac:dyDescent="0.25">
      <c r="A1722" s="10" t="s">
        <v>29554</v>
      </c>
      <c r="B1722" s="439" t="s">
        <v>1977</v>
      </c>
      <c r="C1722" s="10" t="s">
        <v>1323</v>
      </c>
      <c r="D1722" s="504">
        <v>2.2200000000000002</v>
      </c>
      <c r="E1722" s="504">
        <f t="shared" si="26"/>
        <v>1.6444444444444444</v>
      </c>
    </row>
    <row r="1723" spans="1:5" x14ac:dyDescent="0.25">
      <c r="A1723" s="10" t="s">
        <v>29555</v>
      </c>
      <c r="B1723" s="439" t="s">
        <v>1978</v>
      </c>
      <c r="C1723" s="10" t="s">
        <v>1323</v>
      </c>
      <c r="D1723" s="504">
        <v>10.57</v>
      </c>
      <c r="E1723" s="504">
        <f t="shared" si="26"/>
        <v>7.8296296296296291</v>
      </c>
    </row>
    <row r="1724" spans="1:5" x14ac:dyDescent="0.25">
      <c r="A1724" s="10" t="s">
        <v>29556</v>
      </c>
      <c r="B1724" s="439" t="s">
        <v>1979</v>
      </c>
      <c r="C1724" s="10" t="s">
        <v>1323</v>
      </c>
      <c r="D1724" s="504">
        <v>10.57</v>
      </c>
      <c r="E1724" s="504">
        <f t="shared" si="26"/>
        <v>7.8296296296296291</v>
      </c>
    </row>
    <row r="1725" spans="1:5" x14ac:dyDescent="0.25">
      <c r="A1725" s="10" t="s">
        <v>29557</v>
      </c>
      <c r="B1725" s="439" t="s">
        <v>1980</v>
      </c>
      <c r="C1725" s="10" t="s">
        <v>1323</v>
      </c>
      <c r="D1725" s="504">
        <v>453.34</v>
      </c>
      <c r="E1725" s="504">
        <f t="shared" si="26"/>
        <v>335.80740740740737</v>
      </c>
    </row>
    <row r="1726" spans="1:5" x14ac:dyDescent="0.25">
      <c r="A1726" s="10" t="s">
        <v>29558</v>
      </c>
      <c r="B1726" s="439" t="s">
        <v>1981</v>
      </c>
      <c r="C1726" s="10" t="s">
        <v>1323</v>
      </c>
      <c r="D1726" s="504">
        <v>17.87</v>
      </c>
      <c r="E1726" s="504">
        <f t="shared" si="26"/>
        <v>13.237037037037037</v>
      </c>
    </row>
    <row r="1727" spans="1:5" x14ac:dyDescent="0.25">
      <c r="A1727" s="10" t="s">
        <v>29559</v>
      </c>
      <c r="B1727" s="439" t="s">
        <v>1982</v>
      </c>
      <c r="C1727" s="10" t="s">
        <v>1323</v>
      </c>
      <c r="D1727" s="504">
        <v>828.02</v>
      </c>
      <c r="E1727" s="504">
        <f t="shared" si="26"/>
        <v>613.34814814814808</v>
      </c>
    </row>
    <row r="1728" spans="1:5" x14ac:dyDescent="0.25">
      <c r="A1728" s="10" t="s">
        <v>29560</v>
      </c>
      <c r="B1728" s="439" t="s">
        <v>1983</v>
      </c>
      <c r="C1728" s="10" t="s">
        <v>1323</v>
      </c>
      <c r="D1728" s="504">
        <v>1271.0899999999999</v>
      </c>
      <c r="E1728" s="504">
        <f t="shared" si="26"/>
        <v>941.54814814814802</v>
      </c>
    </row>
    <row r="1729" spans="1:5" x14ac:dyDescent="0.25">
      <c r="A1729" s="10" t="s">
        <v>29561</v>
      </c>
      <c r="B1729" s="439" t="s">
        <v>1984</v>
      </c>
      <c r="C1729" s="10" t="s">
        <v>1323</v>
      </c>
      <c r="D1729" s="504">
        <v>186.07</v>
      </c>
      <c r="E1729" s="504">
        <f t="shared" si="26"/>
        <v>137.82962962962961</v>
      </c>
    </row>
    <row r="1730" spans="1:5" x14ac:dyDescent="0.25">
      <c r="A1730" s="10" t="s">
        <v>29562</v>
      </c>
      <c r="B1730" s="439" t="s">
        <v>1985</v>
      </c>
      <c r="C1730" s="10" t="s">
        <v>1323</v>
      </c>
      <c r="D1730" s="504">
        <v>256.72000000000003</v>
      </c>
      <c r="E1730" s="504">
        <f t="shared" si="26"/>
        <v>190.16296296296298</v>
      </c>
    </row>
    <row r="1731" spans="1:5" x14ac:dyDescent="0.25">
      <c r="A1731" s="10" t="s">
        <v>29563</v>
      </c>
      <c r="B1731" s="439" t="s">
        <v>1986</v>
      </c>
      <c r="C1731" s="10" t="s">
        <v>1323</v>
      </c>
      <c r="D1731" s="504">
        <v>294.97000000000003</v>
      </c>
      <c r="E1731" s="504">
        <f t="shared" si="26"/>
        <v>218.49629629629629</v>
      </c>
    </row>
    <row r="1732" spans="1:5" x14ac:dyDescent="0.25">
      <c r="A1732" s="10" t="s">
        <v>29564</v>
      </c>
      <c r="B1732" s="439" t="s">
        <v>1987</v>
      </c>
      <c r="C1732" s="10" t="s">
        <v>1323</v>
      </c>
      <c r="D1732" s="504">
        <v>336.12</v>
      </c>
      <c r="E1732" s="504">
        <f t="shared" si="26"/>
        <v>248.97777777777776</v>
      </c>
    </row>
    <row r="1733" spans="1:5" x14ac:dyDescent="0.25">
      <c r="A1733" s="10" t="s">
        <v>29565</v>
      </c>
      <c r="B1733" s="439" t="s">
        <v>1988</v>
      </c>
      <c r="C1733" s="10" t="s">
        <v>1323</v>
      </c>
      <c r="D1733" s="504">
        <v>105.54</v>
      </c>
      <c r="E1733" s="504">
        <f t="shared" si="26"/>
        <v>78.177777777777777</v>
      </c>
    </row>
    <row r="1734" spans="1:5" x14ac:dyDescent="0.25">
      <c r="A1734" s="10" t="s">
        <v>29566</v>
      </c>
      <c r="B1734" s="439" t="s">
        <v>1989</v>
      </c>
      <c r="C1734" s="10" t="s">
        <v>1323</v>
      </c>
      <c r="D1734" s="504">
        <v>114.06</v>
      </c>
      <c r="E1734" s="504">
        <f t="shared" si="26"/>
        <v>84.48888888888888</v>
      </c>
    </row>
    <row r="1735" spans="1:5" x14ac:dyDescent="0.25">
      <c r="A1735" s="10" t="s">
        <v>29567</v>
      </c>
      <c r="B1735" s="439" t="s">
        <v>1990</v>
      </c>
      <c r="C1735" s="10" t="s">
        <v>1323</v>
      </c>
      <c r="D1735" s="504">
        <v>162.6</v>
      </c>
      <c r="E1735" s="504">
        <f t="shared" si="26"/>
        <v>120.44444444444443</v>
      </c>
    </row>
    <row r="1736" spans="1:5" x14ac:dyDescent="0.25">
      <c r="A1736" s="10" t="s">
        <v>29568</v>
      </c>
      <c r="B1736" s="439" t="s">
        <v>1991</v>
      </c>
      <c r="C1736" s="10" t="s">
        <v>1323</v>
      </c>
      <c r="D1736" s="504">
        <v>203.75</v>
      </c>
      <c r="E1736" s="504">
        <f t="shared" si="26"/>
        <v>150.92592592592592</v>
      </c>
    </row>
    <row r="1737" spans="1:5" x14ac:dyDescent="0.25">
      <c r="A1737" s="10" t="s">
        <v>29569</v>
      </c>
      <c r="B1737" s="439" t="s">
        <v>1992</v>
      </c>
      <c r="C1737" s="10" t="s">
        <v>1323</v>
      </c>
      <c r="D1737" s="504">
        <v>103.67</v>
      </c>
      <c r="E1737" s="504">
        <f t="shared" si="26"/>
        <v>76.792592592592584</v>
      </c>
    </row>
    <row r="1738" spans="1:5" x14ac:dyDescent="0.25">
      <c r="A1738" s="10" t="s">
        <v>29570</v>
      </c>
      <c r="B1738" s="439" t="s">
        <v>1993</v>
      </c>
      <c r="C1738" s="10" t="s">
        <v>1323</v>
      </c>
      <c r="D1738" s="504">
        <v>110.75</v>
      </c>
      <c r="E1738" s="504">
        <f t="shared" si="26"/>
        <v>82.037037037037038</v>
      </c>
    </row>
    <row r="1739" spans="1:5" x14ac:dyDescent="0.25">
      <c r="A1739" s="10" t="s">
        <v>29571</v>
      </c>
      <c r="B1739" s="439" t="s">
        <v>1994</v>
      </c>
      <c r="C1739" s="10" t="s">
        <v>1323</v>
      </c>
      <c r="D1739" s="504">
        <v>155.13</v>
      </c>
      <c r="E1739" s="504">
        <f t="shared" ref="E1739:E1802" si="27">D1739/(1+$G$4)</f>
        <v>114.9111111111111</v>
      </c>
    </row>
    <row r="1740" spans="1:5" x14ac:dyDescent="0.25">
      <c r="A1740" s="10" t="s">
        <v>29572</v>
      </c>
      <c r="B1740" s="439" t="s">
        <v>1995</v>
      </c>
      <c r="C1740" s="10" t="s">
        <v>1323</v>
      </c>
      <c r="D1740" s="504">
        <v>196.28</v>
      </c>
      <c r="E1740" s="504">
        <f t="shared" si="27"/>
        <v>145.39259259259259</v>
      </c>
    </row>
    <row r="1741" spans="1:5" x14ac:dyDescent="0.25">
      <c r="A1741" s="10" t="s">
        <v>29573</v>
      </c>
      <c r="B1741" s="439" t="s">
        <v>1996</v>
      </c>
      <c r="C1741" s="10" t="s">
        <v>1323</v>
      </c>
      <c r="D1741" s="504">
        <v>75.88</v>
      </c>
      <c r="E1741" s="504">
        <f t="shared" si="27"/>
        <v>56.207407407407402</v>
      </c>
    </row>
    <row r="1742" spans="1:5" x14ac:dyDescent="0.25">
      <c r="A1742" s="10" t="s">
        <v>29574</v>
      </c>
      <c r="B1742" s="439" t="s">
        <v>1997</v>
      </c>
      <c r="C1742" s="10" t="s">
        <v>1323</v>
      </c>
      <c r="D1742" s="504">
        <v>62.73</v>
      </c>
      <c r="E1742" s="504">
        <f t="shared" si="27"/>
        <v>46.466666666666661</v>
      </c>
    </row>
    <row r="1743" spans="1:5" x14ac:dyDescent="0.25">
      <c r="A1743" s="10" t="s">
        <v>29575</v>
      </c>
      <c r="B1743" s="439" t="s">
        <v>1998</v>
      </c>
      <c r="C1743" s="10" t="s">
        <v>1323</v>
      </c>
      <c r="D1743" s="504">
        <v>198.61</v>
      </c>
      <c r="E1743" s="504">
        <f t="shared" si="27"/>
        <v>147.11851851851853</v>
      </c>
    </row>
    <row r="1744" spans="1:5" x14ac:dyDescent="0.25">
      <c r="A1744" s="10" t="s">
        <v>29576</v>
      </c>
      <c r="B1744" s="439" t="s">
        <v>1999</v>
      </c>
      <c r="C1744" s="10" t="s">
        <v>1323</v>
      </c>
      <c r="D1744" s="504">
        <v>239.76</v>
      </c>
      <c r="E1744" s="504">
        <f t="shared" si="27"/>
        <v>177.6</v>
      </c>
    </row>
    <row r="1745" spans="1:5" x14ac:dyDescent="0.25">
      <c r="A1745" s="10" t="s">
        <v>29577</v>
      </c>
      <c r="B1745" s="439" t="s">
        <v>2000</v>
      </c>
      <c r="C1745" s="10" t="s">
        <v>1323</v>
      </c>
      <c r="D1745" s="504">
        <v>128.61000000000001</v>
      </c>
      <c r="E1745" s="504">
        <f t="shared" si="27"/>
        <v>95.266666666666666</v>
      </c>
    </row>
    <row r="1746" spans="1:5" x14ac:dyDescent="0.25">
      <c r="A1746" s="10" t="s">
        <v>29578</v>
      </c>
      <c r="B1746" s="439" t="s">
        <v>2001</v>
      </c>
      <c r="C1746" s="10" t="s">
        <v>1323</v>
      </c>
      <c r="D1746" s="504">
        <v>157.96</v>
      </c>
      <c r="E1746" s="504">
        <f t="shared" si="27"/>
        <v>117.0074074074074</v>
      </c>
    </row>
    <row r="1747" spans="1:5" x14ac:dyDescent="0.25">
      <c r="A1747" s="10" t="s">
        <v>29579</v>
      </c>
      <c r="B1747" s="439" t="s">
        <v>2002</v>
      </c>
      <c r="C1747" s="10" t="s">
        <v>1323</v>
      </c>
      <c r="D1747" s="504">
        <v>292.55</v>
      </c>
      <c r="E1747" s="504">
        <f t="shared" si="27"/>
        <v>216.7037037037037</v>
      </c>
    </row>
    <row r="1748" spans="1:5" x14ac:dyDescent="0.25">
      <c r="A1748" s="10" t="s">
        <v>29580</v>
      </c>
      <c r="B1748" s="439" t="s">
        <v>2003</v>
      </c>
      <c r="C1748" s="10" t="s">
        <v>1323</v>
      </c>
      <c r="D1748" s="504">
        <v>333.7</v>
      </c>
      <c r="E1748" s="504">
        <f t="shared" si="27"/>
        <v>247.18518518518516</v>
      </c>
    </row>
    <row r="1749" spans="1:5" x14ac:dyDescent="0.25">
      <c r="A1749" s="10" t="s">
        <v>29581</v>
      </c>
      <c r="B1749" s="439" t="s">
        <v>2004</v>
      </c>
      <c r="C1749" s="10" t="s">
        <v>1323</v>
      </c>
      <c r="D1749" s="504">
        <v>131.24</v>
      </c>
      <c r="E1749" s="504">
        <f t="shared" si="27"/>
        <v>97.214814814814815</v>
      </c>
    </row>
    <row r="1750" spans="1:5" x14ac:dyDescent="0.25">
      <c r="A1750" s="10" t="s">
        <v>29582</v>
      </c>
      <c r="B1750" s="439" t="s">
        <v>2005</v>
      </c>
      <c r="C1750" s="10" t="s">
        <v>1323</v>
      </c>
      <c r="D1750" s="504">
        <v>162.69</v>
      </c>
      <c r="E1750" s="504">
        <f t="shared" si="27"/>
        <v>120.51111111111111</v>
      </c>
    </row>
    <row r="1751" spans="1:5" x14ac:dyDescent="0.25">
      <c r="A1751" s="10" t="s">
        <v>29583</v>
      </c>
      <c r="B1751" s="439" t="s">
        <v>2006</v>
      </c>
      <c r="C1751" s="10" t="s">
        <v>1323</v>
      </c>
      <c r="D1751" s="504">
        <v>322.93</v>
      </c>
      <c r="E1751" s="504">
        <f t="shared" si="27"/>
        <v>239.2074074074074</v>
      </c>
    </row>
    <row r="1752" spans="1:5" x14ac:dyDescent="0.25">
      <c r="A1752" s="10" t="s">
        <v>29584</v>
      </c>
      <c r="B1752" s="439" t="s">
        <v>2007</v>
      </c>
      <c r="C1752" s="10" t="s">
        <v>1323</v>
      </c>
      <c r="D1752" s="504">
        <v>364.08</v>
      </c>
      <c r="E1752" s="504">
        <f t="shared" si="27"/>
        <v>269.68888888888887</v>
      </c>
    </row>
    <row r="1753" spans="1:5" x14ac:dyDescent="0.25">
      <c r="A1753" s="10" t="s">
        <v>29585</v>
      </c>
      <c r="B1753" s="439" t="s">
        <v>2008</v>
      </c>
      <c r="C1753" s="10" t="s">
        <v>1323</v>
      </c>
      <c r="D1753" s="504">
        <v>267.33999999999997</v>
      </c>
      <c r="E1753" s="504">
        <f t="shared" si="27"/>
        <v>198.0296296296296</v>
      </c>
    </row>
    <row r="1754" spans="1:5" x14ac:dyDescent="0.25">
      <c r="A1754" s="10" t="s">
        <v>29586</v>
      </c>
      <c r="B1754" s="439" t="s">
        <v>2009</v>
      </c>
      <c r="C1754" s="10" t="s">
        <v>1323</v>
      </c>
      <c r="D1754" s="504">
        <v>408.5</v>
      </c>
      <c r="E1754" s="504">
        <f t="shared" si="27"/>
        <v>302.59259259259255</v>
      </c>
    </row>
    <row r="1755" spans="1:5" x14ac:dyDescent="0.25">
      <c r="A1755" s="10" t="s">
        <v>29587</v>
      </c>
      <c r="B1755" s="439" t="s">
        <v>2010</v>
      </c>
      <c r="C1755" s="10" t="s">
        <v>1323</v>
      </c>
      <c r="D1755" s="504">
        <v>649.49</v>
      </c>
      <c r="E1755" s="504">
        <f t="shared" si="27"/>
        <v>481.10370370370367</v>
      </c>
    </row>
    <row r="1756" spans="1:5" x14ac:dyDescent="0.25">
      <c r="A1756" s="10" t="s">
        <v>29588</v>
      </c>
      <c r="B1756" s="439" t="s">
        <v>2011</v>
      </c>
      <c r="C1756" s="10" t="s">
        <v>1323</v>
      </c>
      <c r="D1756" s="504">
        <v>690.64</v>
      </c>
      <c r="E1756" s="504">
        <f t="shared" si="27"/>
        <v>511.58518518518514</v>
      </c>
    </row>
    <row r="1757" spans="1:5" x14ac:dyDescent="0.25">
      <c r="A1757" s="10" t="s">
        <v>29589</v>
      </c>
      <c r="B1757" s="439" t="s">
        <v>2012</v>
      </c>
      <c r="C1757" s="10" t="s">
        <v>1323</v>
      </c>
      <c r="D1757" s="504">
        <v>154.34</v>
      </c>
      <c r="E1757" s="504">
        <f t="shared" si="27"/>
        <v>114.32592592592592</v>
      </c>
    </row>
    <row r="1758" spans="1:5" x14ac:dyDescent="0.25">
      <c r="A1758" s="10" t="s">
        <v>29590</v>
      </c>
      <c r="B1758" s="439" t="s">
        <v>2013</v>
      </c>
      <c r="C1758" s="10" t="s">
        <v>1323</v>
      </c>
      <c r="D1758" s="504">
        <v>204.41</v>
      </c>
      <c r="E1758" s="504">
        <f t="shared" si="27"/>
        <v>151.4148148148148</v>
      </c>
    </row>
    <row r="1759" spans="1:5" x14ac:dyDescent="0.25">
      <c r="A1759" s="10" t="s">
        <v>29591</v>
      </c>
      <c r="B1759" s="439" t="s">
        <v>2014</v>
      </c>
      <c r="C1759" s="10" t="s">
        <v>1323</v>
      </c>
      <c r="D1759" s="504">
        <v>393.51</v>
      </c>
      <c r="E1759" s="504">
        <f t="shared" si="27"/>
        <v>291.48888888888888</v>
      </c>
    </row>
    <row r="1760" spans="1:5" x14ac:dyDescent="0.25">
      <c r="A1760" s="10" t="s">
        <v>29592</v>
      </c>
      <c r="B1760" s="439" t="s">
        <v>2015</v>
      </c>
      <c r="C1760" s="10" t="s">
        <v>1323</v>
      </c>
      <c r="D1760" s="504">
        <v>434.66</v>
      </c>
      <c r="E1760" s="504">
        <f t="shared" si="27"/>
        <v>321.97037037037035</v>
      </c>
    </row>
    <row r="1761" spans="1:5" x14ac:dyDescent="0.25">
      <c r="A1761" s="10" t="s">
        <v>29593</v>
      </c>
      <c r="B1761" s="439" t="s">
        <v>2016</v>
      </c>
      <c r="C1761" s="10" t="s">
        <v>1323</v>
      </c>
      <c r="D1761" s="504">
        <v>66.61</v>
      </c>
      <c r="E1761" s="504">
        <f t="shared" si="27"/>
        <v>49.340740740740735</v>
      </c>
    </row>
    <row r="1762" spans="1:5" x14ac:dyDescent="0.25">
      <c r="A1762" s="10" t="s">
        <v>29594</v>
      </c>
      <c r="B1762" s="439" t="s">
        <v>2017</v>
      </c>
      <c r="C1762" s="10" t="s">
        <v>1323</v>
      </c>
      <c r="D1762" s="504">
        <v>36.25</v>
      </c>
      <c r="E1762" s="504">
        <f t="shared" si="27"/>
        <v>26.851851851851851</v>
      </c>
    </row>
    <row r="1763" spans="1:5" x14ac:dyDescent="0.25">
      <c r="A1763" s="10" t="s">
        <v>29595</v>
      </c>
      <c r="B1763" s="439" t="s">
        <v>2018</v>
      </c>
      <c r="C1763" s="10" t="s">
        <v>1323</v>
      </c>
      <c r="D1763" s="504">
        <v>71.38</v>
      </c>
      <c r="E1763" s="504">
        <f t="shared" si="27"/>
        <v>52.874074074074066</v>
      </c>
    </row>
    <row r="1764" spans="1:5" x14ac:dyDescent="0.25">
      <c r="A1764" s="10" t="s">
        <v>29596</v>
      </c>
      <c r="B1764" s="439" t="s">
        <v>2019</v>
      </c>
      <c r="C1764" s="10" t="s">
        <v>1323</v>
      </c>
      <c r="D1764" s="504">
        <v>119.22</v>
      </c>
      <c r="E1764" s="504">
        <f t="shared" si="27"/>
        <v>88.311111111111103</v>
      </c>
    </row>
    <row r="1765" spans="1:5" x14ac:dyDescent="0.25">
      <c r="A1765" s="10" t="s">
        <v>29597</v>
      </c>
      <c r="B1765" s="439" t="s">
        <v>2020</v>
      </c>
      <c r="C1765" s="10" t="s">
        <v>1323</v>
      </c>
      <c r="D1765" s="504">
        <v>100.14</v>
      </c>
      <c r="E1765" s="504">
        <f t="shared" si="27"/>
        <v>74.177777777777777</v>
      </c>
    </row>
    <row r="1766" spans="1:5" x14ac:dyDescent="0.25">
      <c r="A1766" s="10" t="s">
        <v>29598</v>
      </c>
      <c r="B1766" s="439" t="s">
        <v>2021</v>
      </c>
      <c r="C1766" s="10" t="s">
        <v>1323</v>
      </c>
      <c r="D1766" s="504">
        <v>101</v>
      </c>
      <c r="E1766" s="504">
        <f t="shared" si="27"/>
        <v>74.81481481481481</v>
      </c>
    </row>
    <row r="1767" spans="1:5" x14ac:dyDescent="0.25">
      <c r="A1767" s="10" t="s">
        <v>29599</v>
      </c>
      <c r="B1767" s="439" t="s">
        <v>2022</v>
      </c>
      <c r="C1767" s="10" t="s">
        <v>1323</v>
      </c>
      <c r="D1767" s="504">
        <v>217.38</v>
      </c>
      <c r="E1767" s="504">
        <f t="shared" si="27"/>
        <v>161.02222222222221</v>
      </c>
    </row>
    <row r="1768" spans="1:5" x14ac:dyDescent="0.25">
      <c r="A1768" s="10" t="s">
        <v>29600</v>
      </c>
      <c r="B1768" s="439" t="s">
        <v>2023</v>
      </c>
      <c r="C1768" s="10" t="s">
        <v>1323</v>
      </c>
      <c r="D1768" s="504">
        <v>265.20999999999998</v>
      </c>
      <c r="E1768" s="504">
        <f t="shared" si="27"/>
        <v>196.45185185185181</v>
      </c>
    </row>
    <row r="1769" spans="1:5" x14ac:dyDescent="0.25">
      <c r="A1769" s="10" t="s">
        <v>29601</v>
      </c>
      <c r="B1769" s="439" t="s">
        <v>2024</v>
      </c>
      <c r="C1769" s="10" t="s">
        <v>1323</v>
      </c>
      <c r="D1769" s="504">
        <v>281.35000000000002</v>
      </c>
      <c r="E1769" s="504">
        <f t="shared" si="27"/>
        <v>208.40740740740742</v>
      </c>
    </row>
    <row r="1770" spans="1:5" x14ac:dyDescent="0.25">
      <c r="A1770" s="10" t="s">
        <v>29602</v>
      </c>
      <c r="B1770" s="439" t="s">
        <v>2025</v>
      </c>
      <c r="C1770" s="10" t="s">
        <v>1323</v>
      </c>
      <c r="D1770" s="504">
        <v>452.83</v>
      </c>
      <c r="E1770" s="504">
        <f t="shared" si="27"/>
        <v>335.42962962962957</v>
      </c>
    </row>
    <row r="1771" spans="1:5" x14ac:dyDescent="0.25">
      <c r="A1771" s="10" t="s">
        <v>29603</v>
      </c>
      <c r="B1771" s="439" t="s">
        <v>2026</v>
      </c>
      <c r="C1771" s="10" t="s">
        <v>1323</v>
      </c>
      <c r="D1771" s="504">
        <v>727.36</v>
      </c>
      <c r="E1771" s="504">
        <f t="shared" si="27"/>
        <v>538.78518518518513</v>
      </c>
    </row>
    <row r="1772" spans="1:5" x14ac:dyDescent="0.25">
      <c r="A1772" s="10" t="s">
        <v>29604</v>
      </c>
      <c r="B1772" s="439" t="s">
        <v>2027</v>
      </c>
      <c r="C1772" s="10" t="s">
        <v>1323</v>
      </c>
      <c r="D1772" s="504">
        <v>768.51</v>
      </c>
      <c r="E1772" s="504">
        <f t="shared" si="27"/>
        <v>569.26666666666665</v>
      </c>
    </row>
    <row r="1773" spans="1:5" x14ac:dyDescent="0.25">
      <c r="A1773" s="10" t="s">
        <v>29605</v>
      </c>
      <c r="B1773" s="439" t="s">
        <v>2028</v>
      </c>
      <c r="C1773" s="10" t="s">
        <v>1323</v>
      </c>
      <c r="D1773" s="504">
        <v>407.77</v>
      </c>
      <c r="E1773" s="504">
        <f t="shared" si="27"/>
        <v>302.05185185185184</v>
      </c>
    </row>
    <row r="1774" spans="1:5" x14ac:dyDescent="0.25">
      <c r="A1774" s="10" t="s">
        <v>29606</v>
      </c>
      <c r="B1774" s="439" t="s">
        <v>2029</v>
      </c>
      <c r="C1774" s="10" t="s">
        <v>1323</v>
      </c>
      <c r="D1774" s="504">
        <v>705.62</v>
      </c>
      <c r="E1774" s="504">
        <f t="shared" si="27"/>
        <v>522.68148148148146</v>
      </c>
    </row>
    <row r="1775" spans="1:5" x14ac:dyDescent="0.25">
      <c r="A1775" s="10" t="s">
        <v>29607</v>
      </c>
      <c r="B1775" s="439" t="s">
        <v>2030</v>
      </c>
      <c r="C1775" s="10" t="s">
        <v>1323</v>
      </c>
      <c r="D1775" s="504">
        <v>1610.18</v>
      </c>
      <c r="E1775" s="504">
        <f t="shared" si="27"/>
        <v>1192.7259259259258</v>
      </c>
    </row>
    <row r="1776" spans="1:5" x14ac:dyDescent="0.25">
      <c r="A1776" s="10" t="s">
        <v>29608</v>
      </c>
      <c r="B1776" s="439" t="s">
        <v>2031</v>
      </c>
      <c r="C1776" s="10" t="s">
        <v>1323</v>
      </c>
      <c r="D1776" s="504">
        <v>1651.33</v>
      </c>
      <c r="E1776" s="504">
        <f t="shared" si="27"/>
        <v>1223.2074074074073</v>
      </c>
    </row>
    <row r="1777" spans="1:5" x14ac:dyDescent="0.25">
      <c r="A1777" s="10" t="s">
        <v>29609</v>
      </c>
      <c r="B1777" s="439" t="s">
        <v>2032</v>
      </c>
      <c r="C1777" s="10" t="s">
        <v>1323</v>
      </c>
      <c r="D1777" s="504">
        <v>132.25</v>
      </c>
      <c r="E1777" s="504">
        <f t="shared" si="27"/>
        <v>97.962962962962962</v>
      </c>
    </row>
    <row r="1778" spans="1:5" x14ac:dyDescent="0.25">
      <c r="A1778" s="10" t="s">
        <v>29610</v>
      </c>
      <c r="B1778" s="439" t="s">
        <v>2033</v>
      </c>
      <c r="C1778" s="10" t="s">
        <v>1323</v>
      </c>
      <c r="D1778" s="504">
        <v>167.97</v>
      </c>
      <c r="E1778" s="504">
        <f t="shared" si="27"/>
        <v>124.42222222222222</v>
      </c>
    </row>
    <row r="1779" spans="1:5" x14ac:dyDescent="0.25">
      <c r="A1779" s="10" t="s">
        <v>29611</v>
      </c>
      <c r="B1779" s="439" t="s">
        <v>2034</v>
      </c>
      <c r="C1779" s="10" t="s">
        <v>1323</v>
      </c>
      <c r="D1779" s="504">
        <v>181.11</v>
      </c>
      <c r="E1779" s="504">
        <f t="shared" si="27"/>
        <v>134.15555555555557</v>
      </c>
    </row>
    <row r="1780" spans="1:5" x14ac:dyDescent="0.25">
      <c r="A1780" s="10" t="s">
        <v>29612</v>
      </c>
      <c r="B1780" s="439" t="s">
        <v>2035</v>
      </c>
      <c r="C1780" s="10" t="s">
        <v>1323</v>
      </c>
      <c r="D1780" s="504">
        <v>222.26</v>
      </c>
      <c r="E1780" s="504">
        <f t="shared" si="27"/>
        <v>164.63703703703703</v>
      </c>
    </row>
    <row r="1781" spans="1:5" x14ac:dyDescent="0.25">
      <c r="A1781" s="10" t="s">
        <v>29613</v>
      </c>
      <c r="B1781" s="439" t="s">
        <v>2036</v>
      </c>
      <c r="C1781" s="10" t="s">
        <v>1323</v>
      </c>
      <c r="D1781" s="504">
        <v>19.09</v>
      </c>
      <c r="E1781" s="504">
        <f t="shared" si="27"/>
        <v>14.140740740740739</v>
      </c>
    </row>
    <row r="1782" spans="1:5" x14ac:dyDescent="0.25">
      <c r="A1782" s="10" t="s">
        <v>29614</v>
      </c>
      <c r="B1782" s="439" t="s">
        <v>2037</v>
      </c>
      <c r="C1782" s="10" t="s">
        <v>1323</v>
      </c>
      <c r="D1782" s="504">
        <v>12.16</v>
      </c>
      <c r="E1782" s="504">
        <f t="shared" si="27"/>
        <v>9.0074074074074062</v>
      </c>
    </row>
    <row r="1783" spans="1:5" x14ac:dyDescent="0.25">
      <c r="A1783" s="10" t="s">
        <v>29615</v>
      </c>
      <c r="B1783" s="439" t="s">
        <v>2038</v>
      </c>
      <c r="C1783" s="10" t="s">
        <v>1323</v>
      </c>
      <c r="D1783" s="504">
        <v>76.930000000000007</v>
      </c>
      <c r="E1783" s="504">
        <f t="shared" si="27"/>
        <v>56.985185185185188</v>
      </c>
    </row>
    <row r="1784" spans="1:5" x14ac:dyDescent="0.25">
      <c r="A1784" s="10" t="s">
        <v>29616</v>
      </c>
      <c r="B1784" s="439" t="s">
        <v>2039</v>
      </c>
      <c r="C1784" s="10" t="s">
        <v>1323</v>
      </c>
      <c r="D1784" s="504">
        <v>88.88</v>
      </c>
      <c r="E1784" s="504">
        <f t="shared" si="27"/>
        <v>65.837037037037035</v>
      </c>
    </row>
    <row r="1785" spans="1:5" x14ac:dyDescent="0.25">
      <c r="A1785" s="10" t="s">
        <v>29617</v>
      </c>
      <c r="B1785" s="439" t="s">
        <v>2040</v>
      </c>
      <c r="C1785" s="10" t="s">
        <v>1323</v>
      </c>
      <c r="D1785" s="504">
        <v>19.62</v>
      </c>
      <c r="E1785" s="504">
        <f t="shared" si="27"/>
        <v>14.533333333333333</v>
      </c>
    </row>
    <row r="1786" spans="1:5" x14ac:dyDescent="0.25">
      <c r="A1786" s="10" t="s">
        <v>29618</v>
      </c>
      <c r="B1786" s="439" t="s">
        <v>2041</v>
      </c>
      <c r="C1786" s="10" t="s">
        <v>1323</v>
      </c>
      <c r="D1786" s="504">
        <v>13.06</v>
      </c>
      <c r="E1786" s="504">
        <f t="shared" si="27"/>
        <v>9.674074074074074</v>
      </c>
    </row>
    <row r="1787" spans="1:5" x14ac:dyDescent="0.25">
      <c r="A1787" s="10" t="s">
        <v>29619</v>
      </c>
      <c r="B1787" s="439" t="s">
        <v>2042</v>
      </c>
      <c r="C1787" s="10" t="s">
        <v>1323</v>
      </c>
      <c r="D1787" s="504">
        <v>100.76</v>
      </c>
      <c r="E1787" s="504">
        <f t="shared" si="27"/>
        <v>74.637037037037032</v>
      </c>
    </row>
    <row r="1788" spans="1:5" x14ac:dyDescent="0.25">
      <c r="A1788" s="10" t="s">
        <v>29620</v>
      </c>
      <c r="B1788" s="439" t="s">
        <v>2043</v>
      </c>
      <c r="C1788" s="10" t="s">
        <v>1323</v>
      </c>
      <c r="D1788" s="504">
        <v>112.71</v>
      </c>
      <c r="E1788" s="504">
        <f t="shared" si="27"/>
        <v>83.48888888888888</v>
      </c>
    </row>
    <row r="1789" spans="1:5" x14ac:dyDescent="0.25">
      <c r="A1789" s="10" t="s">
        <v>29621</v>
      </c>
      <c r="B1789" s="439" t="s">
        <v>2044</v>
      </c>
      <c r="C1789" s="10" t="s">
        <v>1323</v>
      </c>
      <c r="D1789" s="504">
        <v>19.89</v>
      </c>
      <c r="E1789" s="504">
        <f t="shared" si="27"/>
        <v>14.733333333333333</v>
      </c>
    </row>
    <row r="1790" spans="1:5" x14ac:dyDescent="0.25">
      <c r="A1790" s="10" t="s">
        <v>29622</v>
      </c>
      <c r="B1790" s="439" t="s">
        <v>2045</v>
      </c>
      <c r="C1790" s="10" t="s">
        <v>1323</v>
      </c>
      <c r="D1790" s="504">
        <v>13.52</v>
      </c>
      <c r="E1790" s="504">
        <f t="shared" si="27"/>
        <v>10.014814814814814</v>
      </c>
    </row>
    <row r="1791" spans="1:5" x14ac:dyDescent="0.25">
      <c r="A1791" s="10" t="s">
        <v>29623</v>
      </c>
      <c r="B1791" s="439" t="s">
        <v>2046</v>
      </c>
      <c r="C1791" s="10" t="s">
        <v>1323</v>
      </c>
      <c r="D1791" s="504">
        <v>140.96</v>
      </c>
      <c r="E1791" s="504">
        <f t="shared" si="27"/>
        <v>104.41481481481482</v>
      </c>
    </row>
    <row r="1792" spans="1:5" x14ac:dyDescent="0.25">
      <c r="A1792" s="10" t="s">
        <v>29624</v>
      </c>
      <c r="B1792" s="439" t="s">
        <v>2047</v>
      </c>
      <c r="C1792" s="10" t="s">
        <v>1323</v>
      </c>
      <c r="D1792" s="504">
        <v>152.91999999999999</v>
      </c>
      <c r="E1792" s="504">
        <f t="shared" si="27"/>
        <v>113.27407407407405</v>
      </c>
    </row>
    <row r="1793" spans="1:5" x14ac:dyDescent="0.25">
      <c r="A1793" s="10" t="s">
        <v>29625</v>
      </c>
      <c r="B1793" s="439" t="s">
        <v>2048</v>
      </c>
      <c r="C1793" s="10" t="s">
        <v>1323</v>
      </c>
      <c r="D1793" s="504">
        <v>22.49</v>
      </c>
      <c r="E1793" s="504">
        <f t="shared" si="27"/>
        <v>16.659259259259258</v>
      </c>
    </row>
    <row r="1794" spans="1:5" x14ac:dyDescent="0.25">
      <c r="A1794" s="10" t="s">
        <v>29626</v>
      </c>
      <c r="B1794" s="439" t="s">
        <v>2049</v>
      </c>
      <c r="C1794" s="10" t="s">
        <v>1323</v>
      </c>
      <c r="D1794" s="504">
        <v>17.96</v>
      </c>
      <c r="E1794" s="504">
        <f t="shared" si="27"/>
        <v>13.303703703703704</v>
      </c>
    </row>
    <row r="1795" spans="1:5" x14ac:dyDescent="0.25">
      <c r="A1795" s="10" t="s">
        <v>29627</v>
      </c>
      <c r="B1795" s="439" t="s">
        <v>2050</v>
      </c>
      <c r="C1795" s="10" t="s">
        <v>1323</v>
      </c>
      <c r="D1795" s="504">
        <v>193.58</v>
      </c>
      <c r="E1795" s="504">
        <f t="shared" si="27"/>
        <v>143.39259259259259</v>
      </c>
    </row>
    <row r="1796" spans="1:5" x14ac:dyDescent="0.25">
      <c r="A1796" s="10" t="s">
        <v>29628</v>
      </c>
      <c r="B1796" s="439" t="s">
        <v>2051</v>
      </c>
      <c r="C1796" s="10" t="s">
        <v>1323</v>
      </c>
      <c r="D1796" s="504">
        <v>205.54</v>
      </c>
      <c r="E1796" s="504">
        <f t="shared" si="27"/>
        <v>152.25185185185182</v>
      </c>
    </row>
    <row r="1797" spans="1:5" x14ac:dyDescent="0.25">
      <c r="A1797" s="10" t="s">
        <v>29629</v>
      </c>
      <c r="B1797" s="439" t="s">
        <v>2052</v>
      </c>
      <c r="C1797" s="10" t="s">
        <v>1323</v>
      </c>
      <c r="D1797" s="504">
        <v>12.4</v>
      </c>
      <c r="E1797" s="504">
        <f t="shared" si="27"/>
        <v>9.1851851851851851</v>
      </c>
    </row>
    <row r="1798" spans="1:5" x14ac:dyDescent="0.25">
      <c r="A1798" s="10" t="s">
        <v>29630</v>
      </c>
      <c r="B1798" s="439" t="s">
        <v>2053</v>
      </c>
      <c r="C1798" s="10" t="s">
        <v>1323</v>
      </c>
      <c r="D1798" s="504">
        <v>0.7</v>
      </c>
      <c r="E1798" s="504">
        <f t="shared" si="27"/>
        <v>0.51851851851851849</v>
      </c>
    </row>
    <row r="1799" spans="1:5" x14ac:dyDescent="0.25">
      <c r="A1799" s="10" t="s">
        <v>29631</v>
      </c>
      <c r="B1799" s="439" t="s">
        <v>2054</v>
      </c>
      <c r="C1799" s="10" t="s">
        <v>1323</v>
      </c>
      <c r="D1799" s="504">
        <v>5.66</v>
      </c>
      <c r="E1799" s="504">
        <f t="shared" si="27"/>
        <v>4.1925925925925922</v>
      </c>
    </row>
    <row r="1800" spans="1:5" x14ac:dyDescent="0.25">
      <c r="A1800" s="10" t="s">
        <v>29632</v>
      </c>
      <c r="B1800" s="439" t="s">
        <v>2055</v>
      </c>
      <c r="C1800" s="10" t="s">
        <v>1323</v>
      </c>
      <c r="D1800" s="504">
        <v>17.62</v>
      </c>
      <c r="E1800" s="504">
        <f t="shared" si="27"/>
        <v>13.051851851851852</v>
      </c>
    </row>
    <row r="1801" spans="1:5" x14ac:dyDescent="0.25">
      <c r="A1801" s="10" t="s">
        <v>29633</v>
      </c>
      <c r="B1801" s="439" t="s">
        <v>2056</v>
      </c>
      <c r="C1801" s="10" t="s">
        <v>1323</v>
      </c>
      <c r="D1801" s="504">
        <v>12.81</v>
      </c>
      <c r="E1801" s="504">
        <f t="shared" si="27"/>
        <v>9.4888888888888889</v>
      </c>
    </row>
    <row r="1802" spans="1:5" x14ac:dyDescent="0.25">
      <c r="A1802" s="10" t="s">
        <v>29634</v>
      </c>
      <c r="B1802" s="439" t="s">
        <v>2057</v>
      </c>
      <c r="C1802" s="10" t="s">
        <v>1323</v>
      </c>
      <c r="D1802" s="504">
        <v>1.36</v>
      </c>
      <c r="E1802" s="504">
        <f t="shared" si="27"/>
        <v>1.0074074074074073</v>
      </c>
    </row>
    <row r="1803" spans="1:5" x14ac:dyDescent="0.25">
      <c r="A1803" s="10" t="s">
        <v>29635</v>
      </c>
      <c r="B1803" s="439" t="s">
        <v>2058</v>
      </c>
      <c r="C1803" s="10" t="s">
        <v>1323</v>
      </c>
      <c r="D1803" s="504">
        <v>6.27</v>
      </c>
      <c r="E1803" s="504">
        <f t="shared" ref="E1803:E1866" si="28">D1803/(1+$G$4)</f>
        <v>4.6444444444444439</v>
      </c>
    </row>
    <row r="1804" spans="1:5" x14ac:dyDescent="0.25">
      <c r="A1804" s="10" t="s">
        <v>29636</v>
      </c>
      <c r="B1804" s="439" t="s">
        <v>2059</v>
      </c>
      <c r="C1804" s="10" t="s">
        <v>1323</v>
      </c>
      <c r="D1804" s="504">
        <v>18.23</v>
      </c>
      <c r="E1804" s="504">
        <f t="shared" si="28"/>
        <v>13.503703703703703</v>
      </c>
    </row>
    <row r="1805" spans="1:5" x14ac:dyDescent="0.25">
      <c r="A1805" s="10" t="s">
        <v>29637</v>
      </c>
      <c r="B1805" s="439" t="s">
        <v>2060</v>
      </c>
      <c r="C1805" s="10" t="s">
        <v>1323</v>
      </c>
      <c r="D1805" s="504">
        <v>48.43</v>
      </c>
      <c r="E1805" s="504">
        <f t="shared" si="28"/>
        <v>35.874074074074073</v>
      </c>
    </row>
    <row r="1806" spans="1:5" x14ac:dyDescent="0.25">
      <c r="A1806" s="10" t="s">
        <v>29638</v>
      </c>
      <c r="B1806" s="439" t="s">
        <v>2061</v>
      </c>
      <c r="C1806" s="10" t="s">
        <v>1323</v>
      </c>
      <c r="D1806" s="504">
        <v>1.1499999999999999</v>
      </c>
      <c r="E1806" s="504">
        <f t="shared" si="28"/>
        <v>0.85185185185185175</v>
      </c>
    </row>
    <row r="1807" spans="1:5" x14ac:dyDescent="0.25">
      <c r="A1807" s="10" t="s">
        <v>29639</v>
      </c>
      <c r="B1807" s="439" t="s">
        <v>2062</v>
      </c>
      <c r="C1807" s="10" t="s">
        <v>1323</v>
      </c>
      <c r="D1807" s="504">
        <v>3.47</v>
      </c>
      <c r="E1807" s="504">
        <f t="shared" si="28"/>
        <v>2.5703703703703704</v>
      </c>
    </row>
    <row r="1808" spans="1:5" x14ac:dyDescent="0.25">
      <c r="A1808" s="10" t="s">
        <v>29640</v>
      </c>
      <c r="B1808" s="439" t="s">
        <v>2063</v>
      </c>
      <c r="C1808" s="10" t="s">
        <v>1323</v>
      </c>
      <c r="D1808" s="504">
        <v>51.3</v>
      </c>
      <c r="E1808" s="504">
        <f t="shared" si="28"/>
        <v>37.999999999999993</v>
      </c>
    </row>
    <row r="1809" spans="1:5" x14ac:dyDescent="0.25">
      <c r="A1809" s="10" t="s">
        <v>29641</v>
      </c>
      <c r="B1809" s="439" t="s">
        <v>2064</v>
      </c>
      <c r="C1809" s="10" t="s">
        <v>1323</v>
      </c>
      <c r="D1809" s="504">
        <v>51.61</v>
      </c>
      <c r="E1809" s="504">
        <f t="shared" si="28"/>
        <v>38.229629629629628</v>
      </c>
    </row>
    <row r="1810" spans="1:5" x14ac:dyDescent="0.25">
      <c r="A1810" s="10" t="s">
        <v>29642</v>
      </c>
      <c r="B1810" s="439" t="s">
        <v>2065</v>
      </c>
      <c r="C1810" s="10" t="s">
        <v>1323</v>
      </c>
      <c r="D1810" s="504">
        <v>7.28</v>
      </c>
      <c r="E1810" s="504">
        <f t="shared" si="28"/>
        <v>5.3925925925925924</v>
      </c>
    </row>
    <row r="1811" spans="1:5" x14ac:dyDescent="0.25">
      <c r="A1811" s="10" t="s">
        <v>29643</v>
      </c>
      <c r="B1811" s="439" t="s">
        <v>2066</v>
      </c>
      <c r="C1811" s="10" t="s">
        <v>1323</v>
      </c>
      <c r="D1811" s="504">
        <v>23.38</v>
      </c>
      <c r="E1811" s="504">
        <f t="shared" si="28"/>
        <v>17.318518518518516</v>
      </c>
    </row>
    <row r="1812" spans="1:5" x14ac:dyDescent="0.25">
      <c r="A1812" s="10" t="s">
        <v>29644</v>
      </c>
      <c r="B1812" s="439" t="s">
        <v>2067</v>
      </c>
      <c r="C1812" s="10" t="s">
        <v>1323</v>
      </c>
      <c r="D1812" s="504">
        <v>71.22</v>
      </c>
      <c r="E1812" s="504">
        <f t="shared" si="28"/>
        <v>52.755555555555553</v>
      </c>
    </row>
    <row r="1813" spans="1:5" x14ac:dyDescent="0.25">
      <c r="A1813" s="10" t="s">
        <v>29645</v>
      </c>
      <c r="B1813" s="439" t="s">
        <v>2068</v>
      </c>
      <c r="C1813" s="10" t="s">
        <v>1323</v>
      </c>
      <c r="D1813" s="504">
        <v>277.83999999999997</v>
      </c>
      <c r="E1813" s="504">
        <f t="shared" si="28"/>
        <v>205.80740740740737</v>
      </c>
    </row>
    <row r="1814" spans="1:5" x14ac:dyDescent="0.25">
      <c r="A1814" s="10" t="s">
        <v>29646</v>
      </c>
      <c r="B1814" s="439" t="s">
        <v>2069</v>
      </c>
      <c r="C1814" s="10" t="s">
        <v>1323</v>
      </c>
      <c r="D1814" s="504">
        <v>442.1</v>
      </c>
      <c r="E1814" s="504">
        <f t="shared" si="28"/>
        <v>327.48148148148147</v>
      </c>
    </row>
    <row r="1815" spans="1:5" x14ac:dyDescent="0.25">
      <c r="A1815" s="10" t="s">
        <v>29647</v>
      </c>
      <c r="B1815" s="439" t="s">
        <v>2070</v>
      </c>
      <c r="C1815" s="10" t="s">
        <v>1323</v>
      </c>
      <c r="D1815" s="504">
        <v>652.20000000000005</v>
      </c>
      <c r="E1815" s="504">
        <f t="shared" si="28"/>
        <v>483.11111111111109</v>
      </c>
    </row>
    <row r="1816" spans="1:5" x14ac:dyDescent="0.25">
      <c r="A1816" s="10" t="s">
        <v>29648</v>
      </c>
      <c r="B1816" s="439" t="s">
        <v>2071</v>
      </c>
      <c r="C1816" s="10" t="s">
        <v>1323</v>
      </c>
      <c r="D1816" s="504">
        <v>693.35</v>
      </c>
      <c r="E1816" s="504">
        <f t="shared" si="28"/>
        <v>513.59259259259261</v>
      </c>
    </row>
    <row r="1817" spans="1:5" x14ac:dyDescent="0.25">
      <c r="A1817" s="10" t="s">
        <v>29649</v>
      </c>
      <c r="B1817" s="439" t="s">
        <v>2072</v>
      </c>
      <c r="C1817" s="10" t="s">
        <v>1323</v>
      </c>
      <c r="D1817" s="504">
        <v>47.25</v>
      </c>
      <c r="E1817" s="504">
        <f t="shared" si="28"/>
        <v>35</v>
      </c>
    </row>
    <row r="1818" spans="1:5" x14ac:dyDescent="0.25">
      <c r="A1818" s="10" t="s">
        <v>29650</v>
      </c>
      <c r="B1818" s="439" t="s">
        <v>2073</v>
      </c>
      <c r="C1818" s="10" t="s">
        <v>1323</v>
      </c>
      <c r="D1818" s="504">
        <v>11.4</v>
      </c>
      <c r="E1818" s="504">
        <f t="shared" si="28"/>
        <v>8.4444444444444446</v>
      </c>
    </row>
    <row r="1819" spans="1:5" x14ac:dyDescent="0.25">
      <c r="A1819" s="10" t="s">
        <v>29651</v>
      </c>
      <c r="B1819" s="439" t="s">
        <v>2074</v>
      </c>
      <c r="C1819" s="10" t="s">
        <v>1323</v>
      </c>
      <c r="D1819" s="504">
        <v>430.94</v>
      </c>
      <c r="E1819" s="504">
        <f t="shared" si="28"/>
        <v>319.21481481481482</v>
      </c>
    </row>
    <row r="1820" spans="1:5" x14ac:dyDescent="0.25">
      <c r="A1820" s="10" t="s">
        <v>29652</v>
      </c>
      <c r="B1820" s="439" t="s">
        <v>2075</v>
      </c>
      <c r="C1820" s="10" t="s">
        <v>1323</v>
      </c>
      <c r="D1820" s="504">
        <v>472.09</v>
      </c>
      <c r="E1820" s="504">
        <f t="shared" si="28"/>
        <v>349.69629629629628</v>
      </c>
    </row>
    <row r="1821" spans="1:5" x14ac:dyDescent="0.25">
      <c r="A1821" s="10" t="s">
        <v>29653</v>
      </c>
      <c r="B1821" s="439" t="s">
        <v>2076</v>
      </c>
      <c r="C1821" s="10" t="s">
        <v>1323</v>
      </c>
      <c r="D1821" s="504">
        <v>27.13</v>
      </c>
      <c r="E1821" s="504">
        <f t="shared" si="28"/>
        <v>20.096296296296295</v>
      </c>
    </row>
    <row r="1822" spans="1:5" x14ac:dyDescent="0.25">
      <c r="A1822" s="10" t="s">
        <v>29654</v>
      </c>
      <c r="B1822" s="439" t="s">
        <v>2077</v>
      </c>
      <c r="C1822" s="10" t="s">
        <v>1323</v>
      </c>
      <c r="D1822" s="504">
        <v>0.87</v>
      </c>
      <c r="E1822" s="504">
        <f t="shared" si="28"/>
        <v>0.64444444444444438</v>
      </c>
    </row>
    <row r="1823" spans="1:5" x14ac:dyDescent="0.25">
      <c r="A1823" s="10" t="s">
        <v>29655</v>
      </c>
      <c r="B1823" s="439" t="s">
        <v>2078</v>
      </c>
      <c r="C1823" s="10" t="s">
        <v>1323</v>
      </c>
      <c r="D1823" s="504">
        <v>12.62</v>
      </c>
      <c r="E1823" s="504">
        <f t="shared" si="28"/>
        <v>9.3481481481481463</v>
      </c>
    </row>
    <row r="1824" spans="1:5" x14ac:dyDescent="0.25">
      <c r="A1824" s="10" t="s">
        <v>29656</v>
      </c>
      <c r="B1824" s="439" t="s">
        <v>2079</v>
      </c>
      <c r="C1824" s="10" t="s">
        <v>1323</v>
      </c>
      <c r="D1824" s="504">
        <v>39.36</v>
      </c>
      <c r="E1824" s="504">
        <f t="shared" si="28"/>
        <v>29.155555555555551</v>
      </c>
    </row>
    <row r="1825" spans="1:5" x14ac:dyDescent="0.25">
      <c r="A1825" s="10" t="s">
        <v>29657</v>
      </c>
      <c r="B1825" s="439" t="s">
        <v>2080</v>
      </c>
      <c r="C1825" s="10" t="s">
        <v>1323</v>
      </c>
      <c r="D1825" s="504">
        <v>27.73</v>
      </c>
      <c r="E1825" s="504">
        <f t="shared" si="28"/>
        <v>20.540740740740741</v>
      </c>
    </row>
    <row r="1826" spans="1:5" x14ac:dyDescent="0.25">
      <c r="A1826" s="10" t="s">
        <v>29658</v>
      </c>
      <c r="B1826" s="439" t="s">
        <v>2081</v>
      </c>
      <c r="C1826" s="10" t="s">
        <v>1323</v>
      </c>
      <c r="D1826" s="504">
        <v>2.2000000000000002</v>
      </c>
      <c r="E1826" s="504">
        <f t="shared" si="28"/>
        <v>1.6296296296296298</v>
      </c>
    </row>
    <row r="1827" spans="1:5" x14ac:dyDescent="0.25">
      <c r="A1827" s="10" t="s">
        <v>29659</v>
      </c>
      <c r="B1827" s="439" t="s">
        <v>2082</v>
      </c>
      <c r="C1827" s="10" t="s">
        <v>1323</v>
      </c>
      <c r="D1827" s="504">
        <v>18.64</v>
      </c>
      <c r="E1827" s="504">
        <f t="shared" si="28"/>
        <v>13.807407407407407</v>
      </c>
    </row>
    <row r="1828" spans="1:5" x14ac:dyDescent="0.25">
      <c r="A1828" s="10" t="s">
        <v>29660</v>
      </c>
      <c r="B1828" s="439" t="s">
        <v>2083</v>
      </c>
      <c r="C1828" s="10" t="s">
        <v>1323</v>
      </c>
      <c r="D1828" s="504">
        <v>45.39</v>
      </c>
      <c r="E1828" s="504">
        <f t="shared" si="28"/>
        <v>33.62222222222222</v>
      </c>
    </row>
    <row r="1829" spans="1:5" x14ac:dyDescent="0.25">
      <c r="A1829" s="10" t="s">
        <v>29661</v>
      </c>
      <c r="B1829" s="439" t="s">
        <v>2084</v>
      </c>
      <c r="C1829" s="10" t="s">
        <v>1323</v>
      </c>
      <c r="D1829" s="504">
        <v>28.63</v>
      </c>
      <c r="E1829" s="504">
        <f t="shared" si="28"/>
        <v>21.207407407407405</v>
      </c>
    </row>
    <row r="1830" spans="1:5" x14ac:dyDescent="0.25">
      <c r="A1830" s="10" t="s">
        <v>29662</v>
      </c>
      <c r="B1830" s="439" t="s">
        <v>2085</v>
      </c>
      <c r="C1830" s="10" t="s">
        <v>1323</v>
      </c>
      <c r="D1830" s="504">
        <v>4.21</v>
      </c>
      <c r="E1830" s="504">
        <f t="shared" si="28"/>
        <v>3.1185185185185182</v>
      </c>
    </row>
    <row r="1831" spans="1:5" x14ac:dyDescent="0.25">
      <c r="A1831" s="10" t="s">
        <v>29663</v>
      </c>
      <c r="B1831" s="439" t="s">
        <v>2086</v>
      </c>
      <c r="C1831" s="10" t="s">
        <v>1323</v>
      </c>
      <c r="D1831" s="504">
        <v>23.18</v>
      </c>
      <c r="E1831" s="504">
        <f t="shared" si="28"/>
        <v>17.170370370370367</v>
      </c>
    </row>
    <row r="1832" spans="1:5" x14ac:dyDescent="0.25">
      <c r="A1832" s="10" t="s">
        <v>29664</v>
      </c>
      <c r="B1832" s="439" t="s">
        <v>2087</v>
      </c>
      <c r="C1832" s="10" t="s">
        <v>1323</v>
      </c>
      <c r="D1832" s="504">
        <v>49.92</v>
      </c>
      <c r="E1832" s="504">
        <f t="shared" si="28"/>
        <v>36.977777777777774</v>
      </c>
    </row>
    <row r="1833" spans="1:5" x14ac:dyDescent="0.25">
      <c r="A1833" s="10" t="s">
        <v>29665</v>
      </c>
      <c r="B1833" s="439" t="s">
        <v>2088</v>
      </c>
      <c r="C1833" s="10" t="s">
        <v>1323</v>
      </c>
      <c r="D1833" s="504">
        <v>29.43</v>
      </c>
      <c r="E1833" s="504">
        <f t="shared" si="28"/>
        <v>21.799999999999997</v>
      </c>
    </row>
    <row r="1834" spans="1:5" x14ac:dyDescent="0.25">
      <c r="A1834" s="10" t="s">
        <v>29666</v>
      </c>
      <c r="B1834" s="439" t="s">
        <v>2089</v>
      </c>
      <c r="C1834" s="10" t="s">
        <v>1323</v>
      </c>
      <c r="D1834" s="504">
        <v>5.98</v>
      </c>
      <c r="E1834" s="504">
        <f t="shared" si="28"/>
        <v>4.4296296296296296</v>
      </c>
    </row>
    <row r="1835" spans="1:5" x14ac:dyDescent="0.25">
      <c r="A1835" s="10" t="s">
        <v>29667</v>
      </c>
      <c r="B1835" s="439" t="s">
        <v>2090</v>
      </c>
      <c r="C1835" s="10" t="s">
        <v>1323</v>
      </c>
      <c r="D1835" s="504">
        <v>24.95</v>
      </c>
      <c r="E1835" s="504">
        <f t="shared" si="28"/>
        <v>18.481481481481481</v>
      </c>
    </row>
    <row r="1836" spans="1:5" x14ac:dyDescent="0.25">
      <c r="A1836" s="10" t="s">
        <v>29668</v>
      </c>
      <c r="B1836" s="439" t="s">
        <v>2091</v>
      </c>
      <c r="C1836" s="10" t="s">
        <v>1323</v>
      </c>
      <c r="D1836" s="504">
        <v>51.7</v>
      </c>
      <c r="E1836" s="504">
        <f t="shared" si="28"/>
        <v>38.296296296296298</v>
      </c>
    </row>
    <row r="1837" spans="1:5" x14ac:dyDescent="0.25">
      <c r="A1837" s="10" t="s">
        <v>29669</v>
      </c>
      <c r="B1837" s="439" t="s">
        <v>2092</v>
      </c>
      <c r="C1837" s="10" t="s">
        <v>1323</v>
      </c>
      <c r="D1837" s="504">
        <v>74.03</v>
      </c>
      <c r="E1837" s="504">
        <f t="shared" si="28"/>
        <v>54.837037037037035</v>
      </c>
    </row>
    <row r="1838" spans="1:5" x14ac:dyDescent="0.25">
      <c r="A1838" s="10" t="s">
        <v>29670</v>
      </c>
      <c r="B1838" s="439" t="s">
        <v>2093</v>
      </c>
      <c r="C1838" s="10" t="s">
        <v>1323</v>
      </c>
      <c r="D1838" s="504">
        <v>94.37</v>
      </c>
      <c r="E1838" s="504">
        <f t="shared" si="28"/>
        <v>69.903703703703698</v>
      </c>
    </row>
    <row r="1839" spans="1:5" x14ac:dyDescent="0.25">
      <c r="A1839" s="10" t="s">
        <v>29671</v>
      </c>
      <c r="B1839" s="439" t="s">
        <v>2094</v>
      </c>
      <c r="C1839" s="10" t="s">
        <v>1323</v>
      </c>
      <c r="D1839" s="504">
        <v>280.77</v>
      </c>
      <c r="E1839" s="504">
        <f t="shared" si="28"/>
        <v>207.97777777777776</v>
      </c>
    </row>
    <row r="1840" spans="1:5" x14ac:dyDescent="0.25">
      <c r="A1840" s="10" t="s">
        <v>29672</v>
      </c>
      <c r="B1840" s="439" t="s">
        <v>2095</v>
      </c>
      <c r="C1840" s="10" t="s">
        <v>1323</v>
      </c>
      <c r="D1840" s="504">
        <v>307.52</v>
      </c>
      <c r="E1840" s="504">
        <f t="shared" si="28"/>
        <v>227.79259259259257</v>
      </c>
    </row>
    <row r="1841" spans="1:5" x14ac:dyDescent="0.25">
      <c r="A1841" s="10" t="s">
        <v>29673</v>
      </c>
      <c r="B1841" s="439" t="s">
        <v>2096</v>
      </c>
      <c r="C1841" s="10" t="s">
        <v>1323</v>
      </c>
      <c r="D1841" s="504">
        <v>43.28</v>
      </c>
      <c r="E1841" s="504">
        <f t="shared" si="28"/>
        <v>32.059259259259257</v>
      </c>
    </row>
    <row r="1842" spans="1:5" x14ac:dyDescent="0.25">
      <c r="A1842" s="10" t="s">
        <v>29674</v>
      </c>
      <c r="B1842" s="439" t="s">
        <v>2097</v>
      </c>
      <c r="C1842" s="10" t="s">
        <v>1323</v>
      </c>
      <c r="D1842" s="504">
        <v>33.01</v>
      </c>
      <c r="E1842" s="504">
        <f t="shared" si="28"/>
        <v>24.451851851851849</v>
      </c>
    </row>
    <row r="1843" spans="1:5" x14ac:dyDescent="0.25">
      <c r="A1843" s="10" t="s">
        <v>29675</v>
      </c>
      <c r="B1843" s="439" t="s">
        <v>2098</v>
      </c>
      <c r="C1843" s="10" t="s">
        <v>1323</v>
      </c>
      <c r="D1843" s="504">
        <v>186.22</v>
      </c>
      <c r="E1843" s="504">
        <f t="shared" si="28"/>
        <v>137.94074074074072</v>
      </c>
    </row>
    <row r="1844" spans="1:5" x14ac:dyDescent="0.25">
      <c r="A1844" s="10" t="s">
        <v>29676</v>
      </c>
      <c r="B1844" s="439" t="s">
        <v>2099</v>
      </c>
      <c r="C1844" s="10" t="s">
        <v>1323</v>
      </c>
      <c r="D1844" s="504">
        <v>212.97</v>
      </c>
      <c r="E1844" s="504">
        <f t="shared" si="28"/>
        <v>157.75555555555553</v>
      </c>
    </row>
    <row r="1845" spans="1:5" x14ac:dyDescent="0.25">
      <c r="A1845" s="10" t="s">
        <v>29677</v>
      </c>
      <c r="B1845" s="439" t="s">
        <v>2100</v>
      </c>
      <c r="C1845" s="10" t="s">
        <v>1323</v>
      </c>
      <c r="D1845" s="504">
        <v>154.56</v>
      </c>
      <c r="E1845" s="504">
        <f t="shared" si="28"/>
        <v>114.48888888888888</v>
      </c>
    </row>
    <row r="1846" spans="1:5" x14ac:dyDescent="0.25">
      <c r="A1846" s="10" t="s">
        <v>29678</v>
      </c>
      <c r="B1846" s="439" t="s">
        <v>2101</v>
      </c>
      <c r="C1846" s="10" t="s">
        <v>1323</v>
      </c>
      <c r="D1846" s="504">
        <v>204.82</v>
      </c>
      <c r="E1846" s="504">
        <f t="shared" si="28"/>
        <v>151.71851851851849</v>
      </c>
    </row>
    <row r="1847" spans="1:5" x14ac:dyDescent="0.25">
      <c r="A1847" s="10" t="s">
        <v>29679</v>
      </c>
      <c r="B1847" s="439" t="s">
        <v>2102</v>
      </c>
      <c r="C1847" s="10" t="s">
        <v>1323</v>
      </c>
      <c r="D1847" s="504">
        <v>398.51</v>
      </c>
      <c r="E1847" s="504">
        <f t="shared" si="28"/>
        <v>295.19259259259258</v>
      </c>
    </row>
    <row r="1848" spans="1:5" x14ac:dyDescent="0.25">
      <c r="A1848" s="10" t="s">
        <v>29680</v>
      </c>
      <c r="B1848" s="439" t="s">
        <v>2103</v>
      </c>
      <c r="C1848" s="10" t="s">
        <v>1323</v>
      </c>
      <c r="D1848" s="504">
        <v>439.66</v>
      </c>
      <c r="E1848" s="504">
        <f t="shared" si="28"/>
        <v>325.6740740740741</v>
      </c>
    </row>
    <row r="1849" spans="1:5" x14ac:dyDescent="0.25">
      <c r="A1849" s="10" t="s">
        <v>29681</v>
      </c>
      <c r="B1849" s="439" t="s">
        <v>2104</v>
      </c>
      <c r="C1849" s="10" t="s">
        <v>1323</v>
      </c>
      <c r="D1849" s="504">
        <v>135.43</v>
      </c>
      <c r="E1849" s="504">
        <f t="shared" si="28"/>
        <v>100.31851851851852</v>
      </c>
    </row>
    <row r="1850" spans="1:5" x14ac:dyDescent="0.25">
      <c r="A1850" s="10" t="s">
        <v>29682</v>
      </c>
      <c r="B1850" s="439" t="s">
        <v>2105</v>
      </c>
      <c r="C1850" s="10" t="s">
        <v>1323</v>
      </c>
      <c r="D1850" s="504">
        <v>170.27</v>
      </c>
      <c r="E1850" s="504">
        <f t="shared" si="28"/>
        <v>126.12592592592593</v>
      </c>
    </row>
    <row r="1851" spans="1:5" x14ac:dyDescent="0.25">
      <c r="A1851" s="10" t="s">
        <v>29683</v>
      </c>
      <c r="B1851" s="439" t="s">
        <v>2106</v>
      </c>
      <c r="C1851" s="10" t="s">
        <v>1323</v>
      </c>
      <c r="D1851" s="504">
        <v>403.39</v>
      </c>
      <c r="E1851" s="504">
        <f t="shared" si="28"/>
        <v>298.80740740740737</v>
      </c>
    </row>
    <row r="1852" spans="1:5" x14ac:dyDescent="0.25">
      <c r="A1852" s="10" t="s">
        <v>29684</v>
      </c>
      <c r="B1852" s="439" t="s">
        <v>2107</v>
      </c>
      <c r="C1852" s="10" t="s">
        <v>1323</v>
      </c>
      <c r="D1852" s="504">
        <v>444.54</v>
      </c>
      <c r="E1852" s="504">
        <f t="shared" si="28"/>
        <v>329.28888888888889</v>
      </c>
    </row>
    <row r="1853" spans="1:5" x14ac:dyDescent="0.25">
      <c r="A1853" s="10" t="s">
        <v>29685</v>
      </c>
      <c r="B1853" s="439" t="s">
        <v>2108</v>
      </c>
      <c r="C1853" s="10" t="s">
        <v>1323</v>
      </c>
      <c r="D1853" s="504">
        <v>773.1</v>
      </c>
      <c r="E1853" s="504">
        <f t="shared" si="28"/>
        <v>572.66666666666663</v>
      </c>
    </row>
    <row r="1854" spans="1:5" x14ac:dyDescent="0.25">
      <c r="A1854" s="10" t="s">
        <v>29686</v>
      </c>
      <c r="B1854" s="439" t="s">
        <v>2109</v>
      </c>
      <c r="C1854" s="10" t="s">
        <v>1323</v>
      </c>
      <c r="D1854" s="504">
        <v>1306.25</v>
      </c>
      <c r="E1854" s="504">
        <f t="shared" si="28"/>
        <v>967.5925925925925</v>
      </c>
    </row>
    <row r="1855" spans="1:5" x14ac:dyDescent="0.25">
      <c r="A1855" s="10" t="s">
        <v>29687</v>
      </c>
      <c r="B1855" s="439" t="s">
        <v>2110</v>
      </c>
      <c r="C1855" s="10" t="s">
        <v>1323</v>
      </c>
      <c r="D1855" s="504">
        <v>1790.66</v>
      </c>
      <c r="E1855" s="504">
        <f t="shared" si="28"/>
        <v>1326.4148148148147</v>
      </c>
    </row>
    <row r="1856" spans="1:5" x14ac:dyDescent="0.25">
      <c r="A1856" s="10" t="s">
        <v>29688</v>
      </c>
      <c r="B1856" s="439" t="s">
        <v>2111</v>
      </c>
      <c r="C1856" s="10" t="s">
        <v>1323</v>
      </c>
      <c r="D1856" s="504">
        <v>1840.46</v>
      </c>
      <c r="E1856" s="504">
        <f t="shared" si="28"/>
        <v>1363.3037037037036</v>
      </c>
    </row>
    <row r="1857" spans="1:5" x14ac:dyDescent="0.25">
      <c r="A1857" s="10" t="s">
        <v>29689</v>
      </c>
      <c r="B1857" s="439" t="s">
        <v>2112</v>
      </c>
      <c r="C1857" s="10" t="s">
        <v>1323</v>
      </c>
      <c r="D1857" s="504">
        <v>91.68</v>
      </c>
      <c r="E1857" s="504">
        <f t="shared" si="28"/>
        <v>67.911111111111111</v>
      </c>
    </row>
    <row r="1858" spans="1:5" x14ac:dyDescent="0.25">
      <c r="A1858" s="10" t="s">
        <v>29690</v>
      </c>
      <c r="B1858" s="439" t="s">
        <v>2113</v>
      </c>
      <c r="C1858" s="10" t="s">
        <v>1323</v>
      </c>
      <c r="D1858" s="504">
        <v>75.62</v>
      </c>
      <c r="E1858" s="504">
        <f t="shared" si="28"/>
        <v>56.014814814814812</v>
      </c>
    </row>
    <row r="1859" spans="1:5" x14ac:dyDescent="0.25">
      <c r="A1859" s="10" t="s">
        <v>29691</v>
      </c>
      <c r="B1859" s="439" t="s">
        <v>2114</v>
      </c>
      <c r="C1859" s="10" t="s">
        <v>1323</v>
      </c>
      <c r="D1859" s="504">
        <v>807.52</v>
      </c>
      <c r="E1859" s="504">
        <f t="shared" si="28"/>
        <v>598.16296296296287</v>
      </c>
    </row>
    <row r="1860" spans="1:5" x14ac:dyDescent="0.25">
      <c r="A1860" s="10" t="s">
        <v>29692</v>
      </c>
      <c r="B1860" s="439" t="s">
        <v>2115</v>
      </c>
      <c r="C1860" s="10" t="s">
        <v>1323</v>
      </c>
      <c r="D1860" s="504">
        <v>857.33</v>
      </c>
      <c r="E1860" s="504">
        <f t="shared" si="28"/>
        <v>635.05925925925919</v>
      </c>
    </row>
    <row r="1861" spans="1:5" x14ac:dyDescent="0.25">
      <c r="A1861" s="10" t="s">
        <v>29693</v>
      </c>
      <c r="B1861" s="439" t="s">
        <v>2116</v>
      </c>
      <c r="C1861" s="10" t="s">
        <v>1323</v>
      </c>
      <c r="D1861" s="504">
        <v>49.05</v>
      </c>
      <c r="E1861" s="504">
        <f t="shared" si="28"/>
        <v>36.333333333333329</v>
      </c>
    </row>
    <row r="1862" spans="1:5" x14ac:dyDescent="0.25">
      <c r="A1862" s="10" t="s">
        <v>29694</v>
      </c>
      <c r="B1862" s="439" t="s">
        <v>2117</v>
      </c>
      <c r="C1862" s="10" t="s">
        <v>1323</v>
      </c>
      <c r="D1862" s="504">
        <v>2.23</v>
      </c>
      <c r="E1862" s="504">
        <f t="shared" si="28"/>
        <v>1.6518518518518517</v>
      </c>
    </row>
    <row r="1863" spans="1:5" x14ac:dyDescent="0.25">
      <c r="A1863" s="10" t="s">
        <v>29695</v>
      </c>
      <c r="B1863" s="439" t="s">
        <v>2118</v>
      </c>
      <c r="C1863" s="10" t="s">
        <v>1323</v>
      </c>
      <c r="D1863" s="504">
        <v>18.45</v>
      </c>
      <c r="E1863" s="504">
        <f t="shared" si="28"/>
        <v>13.666666666666666</v>
      </c>
    </row>
    <row r="1864" spans="1:5" x14ac:dyDescent="0.25">
      <c r="A1864" s="10" t="s">
        <v>29696</v>
      </c>
      <c r="B1864" s="439" t="s">
        <v>2119</v>
      </c>
      <c r="C1864" s="10" t="s">
        <v>1323</v>
      </c>
      <c r="D1864" s="504">
        <v>66.290000000000006</v>
      </c>
      <c r="E1864" s="504">
        <f t="shared" si="28"/>
        <v>49.103703703703708</v>
      </c>
    </row>
    <row r="1865" spans="1:5" x14ac:dyDescent="0.25">
      <c r="A1865" s="10" t="s">
        <v>29697</v>
      </c>
      <c r="B1865" s="439" t="s">
        <v>2120</v>
      </c>
      <c r="C1865" s="10" t="s">
        <v>1323</v>
      </c>
      <c r="D1865" s="504">
        <v>61.21</v>
      </c>
      <c r="E1865" s="504">
        <f t="shared" si="28"/>
        <v>45.340740740740742</v>
      </c>
    </row>
    <row r="1866" spans="1:5" x14ac:dyDescent="0.25">
      <c r="A1866" s="10" t="s">
        <v>29698</v>
      </c>
      <c r="B1866" s="439" t="s">
        <v>2121</v>
      </c>
      <c r="C1866" s="10" t="s">
        <v>1323</v>
      </c>
      <c r="D1866" s="504">
        <v>24.66</v>
      </c>
      <c r="E1866" s="504">
        <f t="shared" si="28"/>
        <v>18.266666666666666</v>
      </c>
    </row>
    <row r="1867" spans="1:5" x14ac:dyDescent="0.25">
      <c r="A1867" s="10" t="s">
        <v>29699</v>
      </c>
      <c r="B1867" s="439" t="s">
        <v>2122</v>
      </c>
      <c r="C1867" s="10" t="s">
        <v>1323</v>
      </c>
      <c r="D1867" s="504">
        <v>66.959999999999994</v>
      </c>
      <c r="E1867" s="504">
        <f t="shared" ref="E1867:E1930" si="29">D1867/(1+$G$4)</f>
        <v>49.599999999999994</v>
      </c>
    </row>
    <row r="1868" spans="1:5" x14ac:dyDescent="0.25">
      <c r="A1868" s="10" t="s">
        <v>29700</v>
      </c>
      <c r="B1868" s="439" t="s">
        <v>2123</v>
      </c>
      <c r="C1868" s="10" t="s">
        <v>1323</v>
      </c>
      <c r="D1868" s="504">
        <v>114.8</v>
      </c>
      <c r="E1868" s="504">
        <f t="shared" si="29"/>
        <v>85.037037037037024</v>
      </c>
    </row>
    <row r="1869" spans="1:5" x14ac:dyDescent="0.25">
      <c r="A1869" s="10" t="s">
        <v>29701</v>
      </c>
      <c r="B1869" s="439" t="s">
        <v>2124</v>
      </c>
      <c r="C1869" s="10" t="s">
        <v>1323</v>
      </c>
      <c r="D1869" s="504">
        <v>26.8</v>
      </c>
      <c r="E1869" s="504">
        <f t="shared" si="29"/>
        <v>19.851851851851851</v>
      </c>
    </row>
    <row r="1870" spans="1:5" x14ac:dyDescent="0.25">
      <c r="A1870" s="10" t="s">
        <v>29702</v>
      </c>
      <c r="B1870" s="439" t="s">
        <v>2125</v>
      </c>
      <c r="C1870" s="10" t="s">
        <v>1323</v>
      </c>
      <c r="D1870" s="504">
        <v>0.1</v>
      </c>
      <c r="E1870" s="504">
        <f t="shared" si="29"/>
        <v>7.407407407407407E-2</v>
      </c>
    </row>
    <row r="1871" spans="1:5" x14ac:dyDescent="0.25">
      <c r="A1871" s="10" t="s">
        <v>29703</v>
      </c>
      <c r="B1871" s="439" t="s">
        <v>2126</v>
      </c>
      <c r="C1871" s="10" t="s">
        <v>1323</v>
      </c>
      <c r="D1871" s="504">
        <v>8.44</v>
      </c>
      <c r="E1871" s="504">
        <f t="shared" si="29"/>
        <v>6.2518518518518507</v>
      </c>
    </row>
    <row r="1872" spans="1:5" x14ac:dyDescent="0.25">
      <c r="A1872" s="10" t="s">
        <v>29704</v>
      </c>
      <c r="B1872" s="439" t="s">
        <v>2127</v>
      </c>
      <c r="C1872" s="10" t="s">
        <v>1323</v>
      </c>
      <c r="D1872" s="504">
        <v>35.19</v>
      </c>
      <c r="E1872" s="504">
        <f t="shared" si="29"/>
        <v>26.066666666666663</v>
      </c>
    </row>
    <row r="1873" spans="1:5" x14ac:dyDescent="0.25">
      <c r="A1873" s="10" t="s">
        <v>29705</v>
      </c>
      <c r="B1873" s="439" t="s">
        <v>2128</v>
      </c>
      <c r="C1873" s="10" t="s">
        <v>1323</v>
      </c>
      <c r="D1873" s="504">
        <v>1.32</v>
      </c>
      <c r="E1873" s="504">
        <f t="shared" si="29"/>
        <v>0.97777777777777775</v>
      </c>
    </row>
    <row r="1874" spans="1:5" x14ac:dyDescent="0.25">
      <c r="A1874" s="10" t="s">
        <v>29706</v>
      </c>
      <c r="B1874" s="439" t="s">
        <v>2129</v>
      </c>
      <c r="C1874" s="10" t="s">
        <v>1323</v>
      </c>
      <c r="D1874" s="504">
        <v>2.17</v>
      </c>
      <c r="E1874" s="504">
        <f t="shared" si="29"/>
        <v>1.6074074074074072</v>
      </c>
    </row>
    <row r="1875" spans="1:5" x14ac:dyDescent="0.25">
      <c r="A1875" s="10" t="s">
        <v>29707</v>
      </c>
      <c r="B1875" s="439" t="s">
        <v>2130</v>
      </c>
      <c r="C1875" s="10" t="s">
        <v>1323</v>
      </c>
      <c r="D1875" s="504">
        <v>2.17</v>
      </c>
      <c r="E1875" s="504">
        <f t="shared" si="29"/>
        <v>1.6074074074074072</v>
      </c>
    </row>
    <row r="1876" spans="1:5" x14ac:dyDescent="0.25">
      <c r="A1876" s="10" t="s">
        <v>29708</v>
      </c>
      <c r="B1876" s="439" t="s">
        <v>2131</v>
      </c>
      <c r="C1876" s="10" t="s">
        <v>1323</v>
      </c>
      <c r="D1876" s="504">
        <v>2.17</v>
      </c>
      <c r="E1876" s="504">
        <f t="shared" si="29"/>
        <v>1.6074074074074072</v>
      </c>
    </row>
    <row r="1877" spans="1:5" x14ac:dyDescent="0.25">
      <c r="A1877" s="10" t="s">
        <v>29709</v>
      </c>
      <c r="B1877" s="439" t="s">
        <v>2132</v>
      </c>
      <c r="C1877" s="10" t="s">
        <v>1323</v>
      </c>
      <c r="D1877" s="504">
        <v>6.43</v>
      </c>
      <c r="E1877" s="504">
        <f t="shared" si="29"/>
        <v>4.7629629629629626</v>
      </c>
    </row>
    <row r="1878" spans="1:5" x14ac:dyDescent="0.25">
      <c r="A1878" s="10" t="s">
        <v>29710</v>
      </c>
      <c r="B1878" s="439" t="s">
        <v>2133</v>
      </c>
      <c r="C1878" s="10" t="s">
        <v>1323</v>
      </c>
      <c r="D1878" s="504">
        <v>10.6</v>
      </c>
      <c r="E1878" s="504">
        <f t="shared" si="29"/>
        <v>7.8518518518518512</v>
      </c>
    </row>
    <row r="1879" spans="1:5" x14ac:dyDescent="0.25">
      <c r="A1879" s="10" t="s">
        <v>29711</v>
      </c>
      <c r="B1879" s="439" t="s">
        <v>2134</v>
      </c>
      <c r="C1879" s="10" t="s">
        <v>1323</v>
      </c>
      <c r="D1879" s="504">
        <v>10.6</v>
      </c>
      <c r="E1879" s="504">
        <f t="shared" si="29"/>
        <v>7.8518518518518512</v>
      </c>
    </row>
    <row r="1880" spans="1:5" x14ac:dyDescent="0.25">
      <c r="A1880" s="10" t="s">
        <v>29712</v>
      </c>
      <c r="B1880" s="439" t="s">
        <v>2135</v>
      </c>
      <c r="C1880" s="10" t="s">
        <v>1323</v>
      </c>
      <c r="D1880" s="504">
        <v>10.6</v>
      </c>
      <c r="E1880" s="504">
        <f t="shared" si="29"/>
        <v>7.8518518518518512</v>
      </c>
    </row>
    <row r="1881" spans="1:5" x14ac:dyDescent="0.25">
      <c r="A1881" s="10" t="s">
        <v>29713</v>
      </c>
      <c r="B1881" s="439" t="s">
        <v>2136</v>
      </c>
      <c r="C1881" s="10" t="s">
        <v>1323</v>
      </c>
      <c r="D1881" s="504">
        <v>0.59</v>
      </c>
      <c r="E1881" s="504">
        <f t="shared" si="29"/>
        <v>0.437037037037037</v>
      </c>
    </row>
    <row r="1882" spans="1:5" x14ac:dyDescent="0.25">
      <c r="A1882" s="10" t="s">
        <v>29714</v>
      </c>
      <c r="B1882" s="439" t="s">
        <v>2137</v>
      </c>
      <c r="C1882" s="10" t="s">
        <v>1323</v>
      </c>
      <c r="D1882" s="504">
        <v>0.97</v>
      </c>
      <c r="E1882" s="504">
        <f t="shared" si="29"/>
        <v>0.71851851851851845</v>
      </c>
    </row>
    <row r="1883" spans="1:5" x14ac:dyDescent="0.25">
      <c r="A1883" s="10" t="s">
        <v>29715</v>
      </c>
      <c r="B1883" s="439" t="s">
        <v>2138</v>
      </c>
      <c r="C1883" s="10" t="s">
        <v>1323</v>
      </c>
      <c r="D1883" s="504">
        <v>0.97</v>
      </c>
      <c r="E1883" s="504">
        <f t="shared" si="29"/>
        <v>0.71851851851851845</v>
      </c>
    </row>
    <row r="1884" spans="1:5" x14ac:dyDescent="0.25">
      <c r="A1884" s="10" t="s">
        <v>29716</v>
      </c>
      <c r="B1884" s="439" t="s">
        <v>2139</v>
      </c>
      <c r="C1884" s="10" t="s">
        <v>1323</v>
      </c>
      <c r="D1884" s="504">
        <v>0.97</v>
      </c>
      <c r="E1884" s="504">
        <f t="shared" si="29"/>
        <v>0.71851851851851845</v>
      </c>
    </row>
    <row r="1885" spans="1:5" x14ac:dyDescent="0.25">
      <c r="A1885" s="10" t="s">
        <v>29717</v>
      </c>
      <c r="B1885" s="439" t="s">
        <v>2140</v>
      </c>
      <c r="C1885" s="10" t="s">
        <v>1323</v>
      </c>
      <c r="D1885" s="504">
        <v>108.89</v>
      </c>
      <c r="E1885" s="504">
        <f t="shared" si="29"/>
        <v>80.659259259259258</v>
      </c>
    </row>
    <row r="1886" spans="1:5" x14ac:dyDescent="0.25">
      <c r="A1886" s="10" t="s">
        <v>29718</v>
      </c>
      <c r="B1886" s="439" t="s">
        <v>2141</v>
      </c>
      <c r="C1886" s="10" t="s">
        <v>1323</v>
      </c>
      <c r="D1886" s="504">
        <v>122.33</v>
      </c>
      <c r="E1886" s="504">
        <f t="shared" si="29"/>
        <v>90.614814814814807</v>
      </c>
    </row>
    <row r="1887" spans="1:5" x14ac:dyDescent="0.25">
      <c r="A1887" s="10" t="s">
        <v>29719</v>
      </c>
      <c r="B1887" s="439" t="s">
        <v>2142</v>
      </c>
      <c r="C1887" s="10" t="s">
        <v>1323</v>
      </c>
      <c r="D1887" s="504">
        <v>310.98</v>
      </c>
      <c r="E1887" s="504">
        <f t="shared" si="29"/>
        <v>230.35555555555555</v>
      </c>
    </row>
    <row r="1888" spans="1:5" x14ac:dyDescent="0.25">
      <c r="A1888" s="10" t="s">
        <v>29720</v>
      </c>
      <c r="B1888" s="439" t="s">
        <v>2143</v>
      </c>
      <c r="C1888" s="10" t="s">
        <v>1323</v>
      </c>
      <c r="D1888" s="504">
        <v>352.13</v>
      </c>
      <c r="E1888" s="504">
        <f t="shared" si="29"/>
        <v>260.83703703703702</v>
      </c>
    </row>
    <row r="1889" spans="1:5" x14ac:dyDescent="0.25">
      <c r="A1889" s="10" t="s">
        <v>29721</v>
      </c>
      <c r="B1889" s="439" t="s">
        <v>2144</v>
      </c>
      <c r="C1889" s="10" t="s">
        <v>1323</v>
      </c>
      <c r="D1889" s="504">
        <v>144.08000000000001</v>
      </c>
      <c r="E1889" s="504">
        <f t="shared" si="29"/>
        <v>106.72592592592594</v>
      </c>
    </row>
    <row r="1890" spans="1:5" x14ac:dyDescent="0.25">
      <c r="A1890" s="10" t="s">
        <v>29722</v>
      </c>
      <c r="B1890" s="439" t="s">
        <v>2145</v>
      </c>
      <c r="C1890" s="10" t="s">
        <v>1323</v>
      </c>
      <c r="D1890" s="504">
        <v>185.89</v>
      </c>
      <c r="E1890" s="504">
        <f t="shared" si="29"/>
        <v>137.69629629629628</v>
      </c>
    </row>
    <row r="1891" spans="1:5" x14ac:dyDescent="0.25">
      <c r="A1891" s="10" t="s">
        <v>29723</v>
      </c>
      <c r="B1891" s="439" t="s">
        <v>2146</v>
      </c>
      <c r="C1891" s="10" t="s">
        <v>1323</v>
      </c>
      <c r="D1891" s="504">
        <v>376.31</v>
      </c>
      <c r="E1891" s="504">
        <f t="shared" si="29"/>
        <v>278.74814814814812</v>
      </c>
    </row>
    <row r="1892" spans="1:5" x14ac:dyDescent="0.25">
      <c r="A1892" s="10" t="s">
        <v>29724</v>
      </c>
      <c r="B1892" s="439" t="s">
        <v>2147</v>
      </c>
      <c r="C1892" s="10" t="s">
        <v>1323</v>
      </c>
      <c r="D1892" s="504">
        <v>417.46</v>
      </c>
      <c r="E1892" s="504">
        <f t="shared" si="29"/>
        <v>309.22962962962958</v>
      </c>
    </row>
    <row r="1893" spans="1:5" x14ac:dyDescent="0.25">
      <c r="A1893" s="10" t="s">
        <v>29725</v>
      </c>
      <c r="B1893" s="439" t="s">
        <v>2148</v>
      </c>
      <c r="C1893" s="10" t="s">
        <v>1323</v>
      </c>
      <c r="D1893" s="504">
        <v>202.65</v>
      </c>
      <c r="E1893" s="504">
        <f t="shared" si="29"/>
        <v>150.11111111111111</v>
      </c>
    </row>
    <row r="1894" spans="1:5" x14ac:dyDescent="0.25">
      <c r="A1894" s="10" t="s">
        <v>29726</v>
      </c>
      <c r="B1894" s="439" t="s">
        <v>2149</v>
      </c>
      <c r="C1894" s="10" t="s">
        <v>1323</v>
      </c>
      <c r="D1894" s="504">
        <v>291.66000000000003</v>
      </c>
      <c r="E1894" s="504">
        <f t="shared" si="29"/>
        <v>216.04444444444445</v>
      </c>
    </row>
    <row r="1895" spans="1:5" x14ac:dyDescent="0.25">
      <c r="A1895" s="10" t="s">
        <v>29727</v>
      </c>
      <c r="B1895" s="439" t="s">
        <v>2150</v>
      </c>
      <c r="C1895" s="10" t="s">
        <v>1323</v>
      </c>
      <c r="D1895" s="504">
        <v>577.98</v>
      </c>
      <c r="E1895" s="504">
        <f t="shared" si="29"/>
        <v>428.13333333333333</v>
      </c>
    </row>
    <row r="1896" spans="1:5" x14ac:dyDescent="0.25">
      <c r="A1896" s="10" t="s">
        <v>29728</v>
      </c>
      <c r="B1896" s="439" t="s">
        <v>2151</v>
      </c>
      <c r="C1896" s="10" t="s">
        <v>1323</v>
      </c>
      <c r="D1896" s="504">
        <v>619.13</v>
      </c>
      <c r="E1896" s="504">
        <f t="shared" si="29"/>
        <v>458.61481481481479</v>
      </c>
    </row>
    <row r="1897" spans="1:5" x14ac:dyDescent="0.25">
      <c r="A1897" s="10" t="s">
        <v>29729</v>
      </c>
      <c r="B1897" s="439" t="s">
        <v>2152</v>
      </c>
      <c r="C1897" s="10" t="s">
        <v>1323</v>
      </c>
      <c r="D1897" s="504">
        <v>41.15</v>
      </c>
      <c r="E1897" s="504">
        <f t="shared" si="29"/>
        <v>30.481481481481477</v>
      </c>
    </row>
    <row r="1898" spans="1:5" x14ac:dyDescent="0.25">
      <c r="A1898" s="10" t="s">
        <v>29730</v>
      </c>
      <c r="B1898" s="439" t="s">
        <v>2153</v>
      </c>
      <c r="C1898" s="10" t="s">
        <v>1323</v>
      </c>
      <c r="D1898" s="504">
        <v>115.09</v>
      </c>
      <c r="E1898" s="504">
        <f t="shared" si="29"/>
        <v>85.251851851851853</v>
      </c>
    </row>
    <row r="1899" spans="1:5" x14ac:dyDescent="0.25">
      <c r="A1899" s="10" t="s">
        <v>29731</v>
      </c>
      <c r="B1899" s="439" t="s">
        <v>2154</v>
      </c>
      <c r="C1899" s="10" t="s">
        <v>1323</v>
      </c>
      <c r="D1899" s="504">
        <v>155.11000000000001</v>
      </c>
      <c r="E1899" s="504">
        <f t="shared" si="29"/>
        <v>114.8962962962963</v>
      </c>
    </row>
    <row r="1900" spans="1:5" x14ac:dyDescent="0.25">
      <c r="A1900" s="10" t="s">
        <v>29732</v>
      </c>
      <c r="B1900" s="439" t="s">
        <v>2155</v>
      </c>
      <c r="C1900" s="10" t="s">
        <v>1323</v>
      </c>
      <c r="D1900" s="504">
        <v>196.26</v>
      </c>
      <c r="E1900" s="504">
        <f t="shared" si="29"/>
        <v>145.37777777777777</v>
      </c>
    </row>
    <row r="1901" spans="1:5" x14ac:dyDescent="0.25">
      <c r="A1901" s="10" t="s">
        <v>29733</v>
      </c>
      <c r="B1901" s="439" t="s">
        <v>2156</v>
      </c>
      <c r="C1901" s="10" t="s">
        <v>1323</v>
      </c>
      <c r="D1901" s="504">
        <v>123.09</v>
      </c>
      <c r="E1901" s="504">
        <f t="shared" si="29"/>
        <v>91.177777777777777</v>
      </c>
    </row>
    <row r="1902" spans="1:5" x14ac:dyDescent="0.25">
      <c r="A1902" s="10" t="s">
        <v>29734</v>
      </c>
      <c r="B1902" s="439" t="s">
        <v>2157</v>
      </c>
      <c r="C1902" s="10" t="s">
        <v>1323</v>
      </c>
      <c r="D1902" s="504">
        <v>147.97999999999999</v>
      </c>
      <c r="E1902" s="504">
        <f t="shared" si="29"/>
        <v>109.61481481481481</v>
      </c>
    </row>
    <row r="1903" spans="1:5" x14ac:dyDescent="0.25">
      <c r="A1903" s="10" t="s">
        <v>29735</v>
      </c>
      <c r="B1903" s="439" t="s">
        <v>2158</v>
      </c>
      <c r="C1903" s="10" t="s">
        <v>1323</v>
      </c>
      <c r="D1903" s="504">
        <v>353.08</v>
      </c>
      <c r="E1903" s="504">
        <f t="shared" si="29"/>
        <v>261.54074074074072</v>
      </c>
    </row>
    <row r="1904" spans="1:5" x14ac:dyDescent="0.25">
      <c r="A1904" s="10" t="s">
        <v>29736</v>
      </c>
      <c r="B1904" s="439" t="s">
        <v>2159</v>
      </c>
      <c r="C1904" s="10" t="s">
        <v>1323</v>
      </c>
      <c r="D1904" s="504">
        <v>394.23</v>
      </c>
      <c r="E1904" s="504">
        <f t="shared" si="29"/>
        <v>292.02222222222224</v>
      </c>
    </row>
    <row r="1905" spans="1:5" x14ac:dyDescent="0.25">
      <c r="A1905" s="10" t="s">
        <v>29737</v>
      </c>
      <c r="B1905" s="439" t="s">
        <v>2160</v>
      </c>
      <c r="C1905" s="10" t="s">
        <v>1323</v>
      </c>
      <c r="D1905" s="504">
        <v>43.23</v>
      </c>
      <c r="E1905" s="504">
        <f t="shared" si="29"/>
        <v>32.022222222222219</v>
      </c>
    </row>
    <row r="1906" spans="1:5" x14ac:dyDescent="0.25">
      <c r="A1906" s="10" t="s">
        <v>29738</v>
      </c>
      <c r="B1906" s="439" t="s">
        <v>2161</v>
      </c>
      <c r="C1906" s="10" t="s">
        <v>1323</v>
      </c>
      <c r="D1906" s="504">
        <v>4.13</v>
      </c>
      <c r="E1906" s="504">
        <f t="shared" si="29"/>
        <v>3.0592592592592589</v>
      </c>
    </row>
    <row r="1907" spans="1:5" x14ac:dyDescent="0.25">
      <c r="A1907" s="10" t="s">
        <v>29739</v>
      </c>
      <c r="B1907" s="439" t="s">
        <v>2162</v>
      </c>
      <c r="C1907" s="10" t="s">
        <v>1323</v>
      </c>
      <c r="D1907" s="504">
        <v>116.95</v>
      </c>
      <c r="E1907" s="504">
        <f t="shared" si="29"/>
        <v>86.629629629629619</v>
      </c>
    </row>
    <row r="1908" spans="1:5" x14ac:dyDescent="0.25">
      <c r="A1908" s="10" t="s">
        <v>29740</v>
      </c>
      <c r="B1908" s="439" t="s">
        <v>2163</v>
      </c>
      <c r="C1908" s="10" t="s">
        <v>1323</v>
      </c>
      <c r="D1908" s="504">
        <v>158.1</v>
      </c>
      <c r="E1908" s="504">
        <f t="shared" si="29"/>
        <v>117.1111111111111</v>
      </c>
    </row>
    <row r="1909" spans="1:5" x14ac:dyDescent="0.25">
      <c r="A1909" s="10" t="s">
        <v>29741</v>
      </c>
      <c r="B1909" s="439" t="s">
        <v>2164</v>
      </c>
      <c r="C1909" s="10" t="s">
        <v>1323</v>
      </c>
      <c r="D1909" s="504">
        <v>330.73</v>
      </c>
      <c r="E1909" s="504">
        <f t="shared" si="29"/>
        <v>244.98518518518517</v>
      </c>
    </row>
    <row r="1910" spans="1:5" x14ac:dyDescent="0.25">
      <c r="A1910" s="10" t="s">
        <v>29742</v>
      </c>
      <c r="B1910" s="439" t="s">
        <v>2165</v>
      </c>
      <c r="C1910" s="10" t="s">
        <v>1323</v>
      </c>
      <c r="D1910" s="504">
        <v>545.92999999999995</v>
      </c>
      <c r="E1910" s="504">
        <f t="shared" si="29"/>
        <v>404.39259259259251</v>
      </c>
    </row>
    <row r="1911" spans="1:5" x14ac:dyDescent="0.25">
      <c r="A1911" s="10" t="s">
        <v>29743</v>
      </c>
      <c r="B1911" s="439" t="s">
        <v>2166</v>
      </c>
      <c r="C1911" s="10" t="s">
        <v>1323</v>
      </c>
      <c r="D1911" s="504">
        <v>885.01</v>
      </c>
      <c r="E1911" s="504">
        <f t="shared" si="29"/>
        <v>655.56296296296296</v>
      </c>
    </row>
    <row r="1912" spans="1:5" x14ac:dyDescent="0.25">
      <c r="A1912" s="10" t="s">
        <v>29744</v>
      </c>
      <c r="B1912" s="439" t="s">
        <v>2167</v>
      </c>
      <c r="C1912" s="10" t="s">
        <v>1323</v>
      </c>
      <c r="D1912" s="504">
        <v>926.16</v>
      </c>
      <c r="E1912" s="504">
        <f t="shared" si="29"/>
        <v>686.04444444444437</v>
      </c>
    </row>
    <row r="1913" spans="1:5" x14ac:dyDescent="0.25">
      <c r="A1913" s="10" t="s">
        <v>29745</v>
      </c>
      <c r="B1913" s="439" t="s">
        <v>2168</v>
      </c>
      <c r="C1913" s="10" t="s">
        <v>1323</v>
      </c>
      <c r="D1913" s="504">
        <v>460.86</v>
      </c>
      <c r="E1913" s="504">
        <f t="shared" si="29"/>
        <v>341.37777777777774</v>
      </c>
    </row>
    <row r="1914" spans="1:5" x14ac:dyDescent="0.25">
      <c r="A1914" s="10" t="s">
        <v>29746</v>
      </c>
      <c r="B1914" s="439" t="s">
        <v>2169</v>
      </c>
      <c r="C1914" s="10" t="s">
        <v>1323</v>
      </c>
      <c r="D1914" s="504">
        <v>842.55</v>
      </c>
      <c r="E1914" s="504">
        <f t="shared" si="29"/>
        <v>624.11111111111109</v>
      </c>
    </row>
    <row r="1915" spans="1:5" x14ac:dyDescent="0.25">
      <c r="A1915" s="10" t="s">
        <v>29747</v>
      </c>
      <c r="B1915" s="439" t="s">
        <v>2170</v>
      </c>
      <c r="C1915" s="10" t="s">
        <v>1323</v>
      </c>
      <c r="D1915" s="504">
        <v>1220.19</v>
      </c>
      <c r="E1915" s="504">
        <f t="shared" si="29"/>
        <v>903.84444444444443</v>
      </c>
    </row>
    <row r="1916" spans="1:5" x14ac:dyDescent="0.25">
      <c r="A1916" s="10" t="s">
        <v>29748</v>
      </c>
      <c r="B1916" s="439" t="s">
        <v>2171</v>
      </c>
      <c r="C1916" s="10" t="s">
        <v>1323</v>
      </c>
      <c r="D1916" s="504">
        <v>1261.3399999999999</v>
      </c>
      <c r="E1916" s="504">
        <f t="shared" si="29"/>
        <v>934.32592592592584</v>
      </c>
    </row>
    <row r="1917" spans="1:5" x14ac:dyDescent="0.25">
      <c r="A1917" s="10" t="s">
        <v>29749</v>
      </c>
      <c r="B1917" s="439" t="s">
        <v>2172</v>
      </c>
      <c r="C1917" s="10" t="s">
        <v>1323</v>
      </c>
      <c r="D1917" s="504">
        <v>91.2</v>
      </c>
      <c r="E1917" s="504">
        <f t="shared" si="29"/>
        <v>67.555555555555557</v>
      </c>
    </row>
    <row r="1918" spans="1:5" x14ac:dyDescent="0.25">
      <c r="A1918" s="10" t="s">
        <v>29750</v>
      </c>
      <c r="B1918" s="439" t="s">
        <v>2173</v>
      </c>
      <c r="C1918" s="10" t="s">
        <v>1323</v>
      </c>
      <c r="D1918" s="504">
        <v>111.48</v>
      </c>
      <c r="E1918" s="504">
        <f t="shared" si="29"/>
        <v>82.577777777777769</v>
      </c>
    </row>
    <row r="1919" spans="1:5" x14ac:dyDescent="0.25">
      <c r="A1919" s="10" t="s">
        <v>29751</v>
      </c>
      <c r="B1919" s="439" t="s">
        <v>2174</v>
      </c>
      <c r="C1919" s="10" t="s">
        <v>1323</v>
      </c>
      <c r="D1919" s="504">
        <v>118.62</v>
      </c>
      <c r="E1919" s="504">
        <f t="shared" si="29"/>
        <v>87.86666666666666</v>
      </c>
    </row>
    <row r="1920" spans="1:5" x14ac:dyDescent="0.25">
      <c r="A1920" s="10" t="s">
        <v>29752</v>
      </c>
      <c r="B1920" s="439" t="s">
        <v>2175</v>
      </c>
      <c r="C1920" s="10" t="s">
        <v>1323</v>
      </c>
      <c r="D1920" s="504">
        <v>159.77000000000001</v>
      </c>
      <c r="E1920" s="504">
        <f t="shared" si="29"/>
        <v>118.34814814814814</v>
      </c>
    </row>
    <row r="1921" spans="1:5" x14ac:dyDescent="0.25">
      <c r="A1921" s="10" t="s">
        <v>29753</v>
      </c>
      <c r="B1921" s="439" t="s">
        <v>2176</v>
      </c>
      <c r="C1921" s="10" t="s">
        <v>1323</v>
      </c>
      <c r="D1921" s="504">
        <v>30.33</v>
      </c>
      <c r="E1921" s="504">
        <f t="shared" si="29"/>
        <v>22.466666666666665</v>
      </c>
    </row>
    <row r="1922" spans="1:5" x14ac:dyDescent="0.25">
      <c r="A1922" s="10" t="s">
        <v>29754</v>
      </c>
      <c r="B1922" s="439" t="s">
        <v>2177</v>
      </c>
      <c r="C1922" s="10" t="s">
        <v>1323</v>
      </c>
      <c r="D1922" s="504">
        <v>8.24</v>
      </c>
      <c r="E1922" s="504">
        <f t="shared" si="29"/>
        <v>6.1037037037037036</v>
      </c>
    </row>
    <row r="1923" spans="1:5" x14ac:dyDescent="0.25">
      <c r="A1923" s="10" t="s">
        <v>29755</v>
      </c>
      <c r="B1923" s="439" t="s">
        <v>2178</v>
      </c>
      <c r="C1923" s="10" t="s">
        <v>1323</v>
      </c>
      <c r="D1923" s="504">
        <v>8.24</v>
      </c>
      <c r="E1923" s="504">
        <f t="shared" si="29"/>
        <v>6.1037037037037036</v>
      </c>
    </row>
    <row r="1924" spans="1:5" x14ac:dyDescent="0.25">
      <c r="A1924" s="10" t="s">
        <v>29756</v>
      </c>
      <c r="B1924" s="439" t="s">
        <v>2179</v>
      </c>
      <c r="C1924" s="10" t="s">
        <v>1323</v>
      </c>
      <c r="D1924" s="504">
        <v>34.99</v>
      </c>
      <c r="E1924" s="504">
        <f t="shared" si="29"/>
        <v>25.918518518518518</v>
      </c>
    </row>
    <row r="1925" spans="1:5" x14ac:dyDescent="0.25">
      <c r="A1925" s="10" t="s">
        <v>29757</v>
      </c>
      <c r="B1925" s="439" t="s">
        <v>2180</v>
      </c>
      <c r="C1925" s="10" t="s">
        <v>1323</v>
      </c>
      <c r="D1925" s="504">
        <v>79.81</v>
      </c>
      <c r="E1925" s="504">
        <f t="shared" si="29"/>
        <v>59.118518518518513</v>
      </c>
    </row>
    <row r="1926" spans="1:5" x14ac:dyDescent="0.25">
      <c r="A1926" s="10" t="s">
        <v>29758</v>
      </c>
      <c r="B1926" s="439" t="s">
        <v>2181</v>
      </c>
      <c r="C1926" s="10" t="s">
        <v>1323</v>
      </c>
      <c r="D1926" s="504">
        <v>71.28</v>
      </c>
      <c r="E1926" s="504">
        <f t="shared" si="29"/>
        <v>52.8</v>
      </c>
    </row>
    <row r="1927" spans="1:5" x14ac:dyDescent="0.25">
      <c r="A1927" s="10" t="s">
        <v>29759</v>
      </c>
      <c r="B1927" s="439" t="s">
        <v>2182</v>
      </c>
      <c r="C1927" s="10" t="s">
        <v>1323</v>
      </c>
      <c r="D1927" s="504">
        <v>177.9</v>
      </c>
      <c r="E1927" s="504">
        <f t="shared" si="29"/>
        <v>131.77777777777777</v>
      </c>
    </row>
    <row r="1928" spans="1:5" x14ac:dyDescent="0.25">
      <c r="A1928" s="10" t="s">
        <v>29760</v>
      </c>
      <c r="B1928" s="439" t="s">
        <v>2183</v>
      </c>
      <c r="C1928" s="10" t="s">
        <v>1323</v>
      </c>
      <c r="D1928" s="504">
        <v>219.05</v>
      </c>
      <c r="E1928" s="504">
        <f t="shared" si="29"/>
        <v>162.25925925925927</v>
      </c>
    </row>
    <row r="1929" spans="1:5" x14ac:dyDescent="0.25">
      <c r="A1929" s="10" t="s">
        <v>29761</v>
      </c>
      <c r="B1929" s="439" t="s">
        <v>2184</v>
      </c>
      <c r="C1929" s="10" t="s">
        <v>1323</v>
      </c>
      <c r="D1929" s="504">
        <v>0.47</v>
      </c>
      <c r="E1929" s="504">
        <f t="shared" si="29"/>
        <v>0.3481481481481481</v>
      </c>
    </row>
    <row r="1930" spans="1:5" x14ac:dyDescent="0.25">
      <c r="A1930" s="10" t="s">
        <v>29762</v>
      </c>
      <c r="B1930" s="439" t="s">
        <v>2185</v>
      </c>
      <c r="C1930" s="10" t="s">
        <v>1323</v>
      </c>
      <c r="D1930" s="504">
        <v>1.07</v>
      </c>
      <c r="E1930" s="504">
        <f t="shared" si="29"/>
        <v>0.79259259259259263</v>
      </c>
    </row>
    <row r="1931" spans="1:5" x14ac:dyDescent="0.25">
      <c r="A1931" s="10" t="s">
        <v>29763</v>
      </c>
      <c r="B1931" s="439" t="s">
        <v>2186</v>
      </c>
      <c r="C1931" s="10" t="s">
        <v>1323</v>
      </c>
      <c r="D1931" s="504">
        <v>1.98</v>
      </c>
      <c r="E1931" s="504">
        <f t="shared" ref="E1931:E1994" si="30">D1931/(1+$G$4)</f>
        <v>1.4666666666666666</v>
      </c>
    </row>
    <row r="1932" spans="1:5" x14ac:dyDescent="0.25">
      <c r="A1932" s="10" t="s">
        <v>29764</v>
      </c>
      <c r="B1932" s="439" t="s">
        <v>2187</v>
      </c>
      <c r="C1932" s="10" t="s">
        <v>1323</v>
      </c>
      <c r="D1932" s="504">
        <v>1.98</v>
      </c>
      <c r="E1932" s="504">
        <f t="shared" si="30"/>
        <v>1.4666666666666666</v>
      </c>
    </row>
    <row r="1933" spans="1:5" x14ac:dyDescent="0.25">
      <c r="A1933" s="10" t="s">
        <v>29765</v>
      </c>
      <c r="B1933" s="439" t="s">
        <v>2188</v>
      </c>
      <c r="C1933" s="10" t="s">
        <v>1323</v>
      </c>
      <c r="D1933" s="504">
        <v>0.18</v>
      </c>
      <c r="E1933" s="504">
        <f t="shared" si="30"/>
        <v>0.13333333333333333</v>
      </c>
    </row>
    <row r="1934" spans="1:5" x14ac:dyDescent="0.25">
      <c r="A1934" s="10" t="s">
        <v>29766</v>
      </c>
      <c r="B1934" s="439" t="s">
        <v>2189</v>
      </c>
      <c r="C1934" s="10" t="s">
        <v>1323</v>
      </c>
      <c r="D1934" s="504">
        <v>0.41</v>
      </c>
      <c r="E1934" s="504">
        <f t="shared" si="30"/>
        <v>0.30370370370370364</v>
      </c>
    </row>
    <row r="1935" spans="1:5" x14ac:dyDescent="0.25">
      <c r="A1935" s="10" t="s">
        <v>29767</v>
      </c>
      <c r="B1935" s="439" t="s">
        <v>2190</v>
      </c>
      <c r="C1935" s="10" t="s">
        <v>1323</v>
      </c>
      <c r="D1935" s="504">
        <v>1.31</v>
      </c>
      <c r="E1935" s="504">
        <f t="shared" si="30"/>
        <v>0.97037037037037033</v>
      </c>
    </row>
    <row r="1936" spans="1:5" x14ac:dyDescent="0.25">
      <c r="A1936" s="10" t="s">
        <v>29768</v>
      </c>
      <c r="B1936" s="439" t="s">
        <v>2191</v>
      </c>
      <c r="C1936" s="10" t="s">
        <v>1323</v>
      </c>
      <c r="D1936" s="504">
        <v>1.31</v>
      </c>
      <c r="E1936" s="504">
        <f t="shared" si="30"/>
        <v>0.97037037037037033</v>
      </c>
    </row>
    <row r="1937" spans="1:5" x14ac:dyDescent="0.25">
      <c r="A1937" s="10" t="s">
        <v>29769</v>
      </c>
      <c r="B1937" s="439" t="s">
        <v>2192</v>
      </c>
      <c r="C1937" s="10" t="s">
        <v>1323</v>
      </c>
      <c r="D1937" s="504">
        <v>3.36</v>
      </c>
      <c r="E1937" s="504">
        <f t="shared" si="30"/>
        <v>2.4888888888888885</v>
      </c>
    </row>
    <row r="1938" spans="1:5" x14ac:dyDescent="0.25">
      <c r="A1938" s="10" t="s">
        <v>29770</v>
      </c>
      <c r="B1938" s="439" t="s">
        <v>2193</v>
      </c>
      <c r="C1938" s="10" t="s">
        <v>1323</v>
      </c>
      <c r="D1938" s="504">
        <v>6.4</v>
      </c>
      <c r="E1938" s="504">
        <f t="shared" si="30"/>
        <v>4.7407407407407405</v>
      </c>
    </row>
    <row r="1939" spans="1:5" x14ac:dyDescent="0.25">
      <c r="A1939" s="10" t="s">
        <v>29771</v>
      </c>
      <c r="B1939" s="439" t="s">
        <v>2194</v>
      </c>
      <c r="C1939" s="10" t="s">
        <v>1323</v>
      </c>
      <c r="D1939" s="504">
        <v>6.4</v>
      </c>
      <c r="E1939" s="504">
        <f t="shared" si="30"/>
        <v>4.7407407407407405</v>
      </c>
    </row>
    <row r="1940" spans="1:5" x14ac:dyDescent="0.25">
      <c r="A1940" s="10" t="s">
        <v>29772</v>
      </c>
      <c r="B1940" s="439" t="s">
        <v>2195</v>
      </c>
      <c r="C1940" s="10" t="s">
        <v>1323</v>
      </c>
      <c r="D1940" s="504">
        <v>6.4</v>
      </c>
      <c r="E1940" s="504">
        <f t="shared" si="30"/>
        <v>4.7407407407407405</v>
      </c>
    </row>
    <row r="1941" spans="1:5" x14ac:dyDescent="0.25">
      <c r="A1941" s="10" t="s">
        <v>29773</v>
      </c>
      <c r="B1941" s="439" t="s">
        <v>2196</v>
      </c>
      <c r="C1941" s="10" t="s">
        <v>1323</v>
      </c>
      <c r="D1941" s="504">
        <v>87.3</v>
      </c>
      <c r="E1941" s="504">
        <f t="shared" si="30"/>
        <v>64.666666666666657</v>
      </c>
    </row>
    <row r="1942" spans="1:5" x14ac:dyDescent="0.25">
      <c r="A1942" s="10" t="s">
        <v>29774</v>
      </c>
      <c r="B1942" s="439" t="s">
        <v>2197</v>
      </c>
      <c r="C1942" s="10" t="s">
        <v>1323</v>
      </c>
      <c r="D1942" s="504">
        <v>77.3</v>
      </c>
      <c r="E1942" s="504">
        <f t="shared" si="30"/>
        <v>57.259259259259252</v>
      </c>
    </row>
    <row r="1943" spans="1:5" x14ac:dyDescent="0.25">
      <c r="A1943" s="10" t="s">
        <v>29775</v>
      </c>
      <c r="B1943" s="439" t="s">
        <v>2198</v>
      </c>
      <c r="C1943" s="10" t="s">
        <v>1323</v>
      </c>
      <c r="D1943" s="504">
        <v>186.45</v>
      </c>
      <c r="E1943" s="504">
        <f t="shared" si="30"/>
        <v>138.11111111111109</v>
      </c>
    </row>
    <row r="1944" spans="1:5" x14ac:dyDescent="0.25">
      <c r="A1944" s="10" t="s">
        <v>29776</v>
      </c>
      <c r="B1944" s="439" t="s">
        <v>2199</v>
      </c>
      <c r="C1944" s="10" t="s">
        <v>1323</v>
      </c>
      <c r="D1944" s="504">
        <v>227.6</v>
      </c>
      <c r="E1944" s="504">
        <f t="shared" si="30"/>
        <v>168.59259259259258</v>
      </c>
    </row>
    <row r="1945" spans="1:5" x14ac:dyDescent="0.25">
      <c r="A1945" s="10" t="s">
        <v>29777</v>
      </c>
      <c r="B1945" s="439" t="s">
        <v>2200</v>
      </c>
      <c r="C1945" s="10" t="s">
        <v>1323</v>
      </c>
      <c r="D1945" s="504">
        <v>94.15</v>
      </c>
      <c r="E1945" s="504">
        <f t="shared" si="30"/>
        <v>69.740740740740733</v>
      </c>
    </row>
    <row r="1946" spans="1:5" x14ac:dyDescent="0.25">
      <c r="A1946" s="10" t="s">
        <v>29778</v>
      </c>
      <c r="B1946" s="439" t="s">
        <v>2201</v>
      </c>
      <c r="C1946" s="10" t="s">
        <v>1323</v>
      </c>
      <c r="D1946" s="504">
        <v>88.78</v>
      </c>
      <c r="E1946" s="504">
        <f t="shared" si="30"/>
        <v>65.762962962962959</v>
      </c>
    </row>
    <row r="1947" spans="1:5" x14ac:dyDescent="0.25">
      <c r="A1947" s="10" t="s">
        <v>29779</v>
      </c>
      <c r="B1947" s="439" t="s">
        <v>2202</v>
      </c>
      <c r="C1947" s="10" t="s">
        <v>1323</v>
      </c>
      <c r="D1947" s="504">
        <v>197.93</v>
      </c>
      <c r="E1947" s="504">
        <f t="shared" si="30"/>
        <v>146.61481481481482</v>
      </c>
    </row>
    <row r="1948" spans="1:5" x14ac:dyDescent="0.25">
      <c r="A1948" s="10" t="s">
        <v>29780</v>
      </c>
      <c r="B1948" s="439" t="s">
        <v>2203</v>
      </c>
      <c r="C1948" s="10" t="s">
        <v>1323</v>
      </c>
      <c r="D1948" s="504">
        <v>239.08</v>
      </c>
      <c r="E1948" s="504">
        <f t="shared" si="30"/>
        <v>177.09629629629629</v>
      </c>
    </row>
    <row r="1949" spans="1:5" x14ac:dyDescent="0.25">
      <c r="A1949" s="10" t="s">
        <v>29781</v>
      </c>
      <c r="B1949" s="439" t="s">
        <v>2204</v>
      </c>
      <c r="C1949" s="10" t="s">
        <v>1323</v>
      </c>
      <c r="D1949" s="504">
        <v>104.42</v>
      </c>
      <c r="E1949" s="504">
        <f t="shared" si="30"/>
        <v>77.348148148148141</v>
      </c>
    </row>
    <row r="1950" spans="1:5" x14ac:dyDescent="0.25">
      <c r="A1950" s="10" t="s">
        <v>29782</v>
      </c>
      <c r="B1950" s="439" t="s">
        <v>2205</v>
      </c>
      <c r="C1950" s="10" t="s">
        <v>1323</v>
      </c>
      <c r="D1950" s="504">
        <v>105.97</v>
      </c>
      <c r="E1950" s="504">
        <f t="shared" si="30"/>
        <v>78.496296296296293</v>
      </c>
    </row>
    <row r="1951" spans="1:5" x14ac:dyDescent="0.25">
      <c r="A1951" s="10" t="s">
        <v>29783</v>
      </c>
      <c r="B1951" s="439" t="s">
        <v>2206</v>
      </c>
      <c r="C1951" s="10" t="s">
        <v>1323</v>
      </c>
      <c r="D1951" s="504">
        <v>278.22000000000003</v>
      </c>
      <c r="E1951" s="504">
        <f t="shared" si="30"/>
        <v>206.0888888888889</v>
      </c>
    </row>
    <row r="1952" spans="1:5" x14ac:dyDescent="0.25">
      <c r="A1952" s="10" t="s">
        <v>29784</v>
      </c>
      <c r="B1952" s="439" t="s">
        <v>2207</v>
      </c>
      <c r="C1952" s="10" t="s">
        <v>1323</v>
      </c>
      <c r="D1952" s="504">
        <v>319.37</v>
      </c>
      <c r="E1952" s="504">
        <f t="shared" si="30"/>
        <v>236.57037037037037</v>
      </c>
    </row>
    <row r="1953" spans="1:5" x14ac:dyDescent="0.25">
      <c r="A1953" s="10" t="s">
        <v>29785</v>
      </c>
      <c r="B1953" s="439" t="s">
        <v>2208</v>
      </c>
      <c r="C1953" s="10" t="s">
        <v>1323</v>
      </c>
      <c r="D1953" s="504">
        <v>105.78</v>
      </c>
      <c r="E1953" s="504">
        <f t="shared" si="30"/>
        <v>78.355555555555554</v>
      </c>
    </row>
    <row r="1954" spans="1:5" x14ac:dyDescent="0.25">
      <c r="A1954" s="10" t="s">
        <v>29786</v>
      </c>
      <c r="B1954" s="439" t="s">
        <v>2209</v>
      </c>
      <c r="C1954" s="10" t="s">
        <v>1323</v>
      </c>
      <c r="D1954" s="504">
        <v>108.25</v>
      </c>
      <c r="E1954" s="504">
        <f t="shared" si="30"/>
        <v>80.185185185185176</v>
      </c>
    </row>
    <row r="1955" spans="1:5" x14ac:dyDescent="0.25">
      <c r="A1955" s="10" t="s">
        <v>29787</v>
      </c>
      <c r="B1955" s="439" t="s">
        <v>2210</v>
      </c>
      <c r="C1955" s="10" t="s">
        <v>1323</v>
      </c>
      <c r="D1955" s="504">
        <v>327.7</v>
      </c>
      <c r="E1955" s="504">
        <f t="shared" si="30"/>
        <v>242.7407407407407</v>
      </c>
    </row>
    <row r="1956" spans="1:5" x14ac:dyDescent="0.25">
      <c r="A1956" s="10" t="s">
        <v>29788</v>
      </c>
      <c r="B1956" s="439" t="s">
        <v>2211</v>
      </c>
      <c r="C1956" s="10" t="s">
        <v>1323</v>
      </c>
      <c r="D1956" s="504">
        <v>368.85</v>
      </c>
      <c r="E1956" s="504">
        <f t="shared" si="30"/>
        <v>273.22222222222223</v>
      </c>
    </row>
    <row r="1957" spans="1:5" x14ac:dyDescent="0.25">
      <c r="A1957" s="10" t="s">
        <v>29789</v>
      </c>
      <c r="B1957" s="439" t="s">
        <v>2212</v>
      </c>
      <c r="C1957" s="10" t="s">
        <v>1323</v>
      </c>
      <c r="D1957" s="504">
        <v>203.12</v>
      </c>
      <c r="E1957" s="504">
        <f t="shared" si="30"/>
        <v>150.45925925925926</v>
      </c>
    </row>
    <row r="1958" spans="1:5" x14ac:dyDescent="0.25">
      <c r="A1958" s="10" t="s">
        <v>29790</v>
      </c>
      <c r="B1958" s="439" t="s">
        <v>2213</v>
      </c>
      <c r="C1958" s="10" t="s">
        <v>1323</v>
      </c>
      <c r="D1958" s="504">
        <v>271.3</v>
      </c>
      <c r="E1958" s="504">
        <f t="shared" si="30"/>
        <v>200.96296296296296</v>
      </c>
    </row>
    <row r="1959" spans="1:5" x14ac:dyDescent="0.25">
      <c r="A1959" s="10" t="s">
        <v>29791</v>
      </c>
      <c r="B1959" s="439" t="s">
        <v>2214</v>
      </c>
      <c r="C1959" s="10" t="s">
        <v>1323</v>
      </c>
      <c r="D1959" s="504">
        <v>495.63</v>
      </c>
      <c r="E1959" s="504">
        <f t="shared" si="30"/>
        <v>367.13333333333333</v>
      </c>
    </row>
    <row r="1960" spans="1:5" x14ac:dyDescent="0.25">
      <c r="A1960" s="10" t="s">
        <v>29792</v>
      </c>
      <c r="B1960" s="439" t="s">
        <v>2215</v>
      </c>
      <c r="C1960" s="10" t="s">
        <v>1323</v>
      </c>
      <c r="D1960" s="504">
        <v>536.78</v>
      </c>
      <c r="E1960" s="504">
        <f t="shared" si="30"/>
        <v>397.61481481481479</v>
      </c>
    </row>
    <row r="1961" spans="1:5" x14ac:dyDescent="0.25">
      <c r="A1961" s="10" t="s">
        <v>29793</v>
      </c>
      <c r="B1961" s="439" t="s">
        <v>2216</v>
      </c>
      <c r="C1961" s="10" t="s">
        <v>1323</v>
      </c>
      <c r="D1961" s="504">
        <v>197.73</v>
      </c>
      <c r="E1961" s="504">
        <f t="shared" si="30"/>
        <v>146.46666666666664</v>
      </c>
    </row>
    <row r="1962" spans="1:5" x14ac:dyDescent="0.25">
      <c r="A1962" s="10" t="s">
        <v>29794</v>
      </c>
      <c r="B1962" s="439" t="s">
        <v>2217</v>
      </c>
      <c r="C1962" s="10" t="s">
        <v>1323</v>
      </c>
      <c r="D1962" s="504">
        <v>262.27</v>
      </c>
      <c r="E1962" s="504">
        <f t="shared" si="30"/>
        <v>194.27407407407404</v>
      </c>
    </row>
    <row r="1963" spans="1:5" x14ac:dyDescent="0.25">
      <c r="A1963" s="10" t="s">
        <v>29795</v>
      </c>
      <c r="B1963" s="439" t="s">
        <v>2218</v>
      </c>
      <c r="C1963" s="10" t="s">
        <v>1323</v>
      </c>
      <c r="D1963" s="504">
        <v>503.12</v>
      </c>
      <c r="E1963" s="504">
        <f t="shared" si="30"/>
        <v>372.68148148148146</v>
      </c>
    </row>
    <row r="1964" spans="1:5" x14ac:dyDescent="0.25">
      <c r="A1964" s="10" t="s">
        <v>29796</v>
      </c>
      <c r="B1964" s="439" t="s">
        <v>2219</v>
      </c>
      <c r="C1964" s="10" t="s">
        <v>1323</v>
      </c>
      <c r="D1964" s="504">
        <v>544.27</v>
      </c>
      <c r="E1964" s="504">
        <f t="shared" si="30"/>
        <v>403.16296296296292</v>
      </c>
    </row>
    <row r="1965" spans="1:5" x14ac:dyDescent="0.25">
      <c r="A1965" s="10" t="s">
        <v>29797</v>
      </c>
      <c r="B1965" s="439" t="s">
        <v>2220</v>
      </c>
      <c r="C1965" s="10" t="s">
        <v>1323</v>
      </c>
      <c r="D1965" s="504">
        <v>103.1</v>
      </c>
      <c r="E1965" s="504">
        <f t="shared" si="30"/>
        <v>76.370370370370367</v>
      </c>
    </row>
    <row r="1966" spans="1:5" x14ac:dyDescent="0.25">
      <c r="A1966" s="10" t="s">
        <v>29798</v>
      </c>
      <c r="B1966" s="439" t="s">
        <v>2221</v>
      </c>
      <c r="C1966" s="10" t="s">
        <v>1323</v>
      </c>
      <c r="D1966" s="504">
        <v>103.77</v>
      </c>
      <c r="E1966" s="504">
        <f t="shared" si="30"/>
        <v>76.86666666666666</v>
      </c>
    </row>
    <row r="1967" spans="1:5" x14ac:dyDescent="0.25">
      <c r="A1967" s="10" t="s">
        <v>29799</v>
      </c>
      <c r="B1967" s="439" t="s">
        <v>2222</v>
      </c>
      <c r="C1967" s="10" t="s">
        <v>1323</v>
      </c>
      <c r="D1967" s="504">
        <v>233.64</v>
      </c>
      <c r="E1967" s="504">
        <f t="shared" si="30"/>
        <v>173.06666666666663</v>
      </c>
    </row>
    <row r="1968" spans="1:5" x14ac:dyDescent="0.25">
      <c r="A1968" s="10" t="s">
        <v>29800</v>
      </c>
      <c r="B1968" s="439" t="s">
        <v>2223</v>
      </c>
      <c r="C1968" s="10" t="s">
        <v>1323</v>
      </c>
      <c r="D1968" s="504">
        <v>274.79000000000002</v>
      </c>
      <c r="E1968" s="504">
        <f t="shared" si="30"/>
        <v>203.54814814814816</v>
      </c>
    </row>
    <row r="1969" spans="1:5" x14ac:dyDescent="0.25">
      <c r="A1969" s="10" t="s">
        <v>29801</v>
      </c>
      <c r="B1969" s="439" t="s">
        <v>2224</v>
      </c>
      <c r="C1969" s="10" t="s">
        <v>1323</v>
      </c>
      <c r="D1969" s="504">
        <v>112.93</v>
      </c>
      <c r="E1969" s="504">
        <f t="shared" si="30"/>
        <v>83.651851851851845</v>
      </c>
    </row>
    <row r="1970" spans="1:5" x14ac:dyDescent="0.25">
      <c r="A1970" s="10" t="s">
        <v>29802</v>
      </c>
      <c r="B1970" s="439" t="s">
        <v>2225</v>
      </c>
      <c r="C1970" s="10" t="s">
        <v>1323</v>
      </c>
      <c r="D1970" s="504">
        <v>120.24</v>
      </c>
      <c r="E1970" s="504">
        <f t="shared" si="30"/>
        <v>89.066666666666663</v>
      </c>
    </row>
    <row r="1971" spans="1:5" x14ac:dyDescent="0.25">
      <c r="A1971" s="10" t="s">
        <v>29803</v>
      </c>
      <c r="B1971" s="439" t="s">
        <v>2226</v>
      </c>
      <c r="C1971" s="10" t="s">
        <v>1323</v>
      </c>
      <c r="D1971" s="504">
        <v>348.1</v>
      </c>
      <c r="E1971" s="504">
        <f t="shared" si="30"/>
        <v>257.85185185185185</v>
      </c>
    </row>
    <row r="1972" spans="1:5" x14ac:dyDescent="0.25">
      <c r="A1972" s="10" t="s">
        <v>29804</v>
      </c>
      <c r="B1972" s="439" t="s">
        <v>2227</v>
      </c>
      <c r="C1972" s="10" t="s">
        <v>1323</v>
      </c>
      <c r="D1972" s="504">
        <v>389.25</v>
      </c>
      <c r="E1972" s="504">
        <f t="shared" si="30"/>
        <v>288.33333333333331</v>
      </c>
    </row>
    <row r="1973" spans="1:5" x14ac:dyDescent="0.25">
      <c r="A1973" s="10" t="s">
        <v>29805</v>
      </c>
      <c r="B1973" s="439" t="s">
        <v>2228</v>
      </c>
      <c r="C1973" s="10" t="s">
        <v>1323</v>
      </c>
      <c r="D1973" s="504">
        <v>66.569999999999993</v>
      </c>
      <c r="E1973" s="504">
        <f t="shared" si="30"/>
        <v>49.311111111111103</v>
      </c>
    </row>
    <row r="1974" spans="1:5" x14ac:dyDescent="0.25">
      <c r="A1974" s="10" t="s">
        <v>29806</v>
      </c>
      <c r="B1974" s="439" t="s">
        <v>2229</v>
      </c>
      <c r="C1974" s="10" t="s">
        <v>1323</v>
      </c>
      <c r="D1974" s="504">
        <v>42.58</v>
      </c>
      <c r="E1974" s="504">
        <f t="shared" si="30"/>
        <v>31.540740740740738</v>
      </c>
    </row>
    <row r="1975" spans="1:5" x14ac:dyDescent="0.25">
      <c r="A1975" s="10" t="s">
        <v>29807</v>
      </c>
      <c r="B1975" s="439" t="s">
        <v>2230</v>
      </c>
      <c r="C1975" s="10" t="s">
        <v>1323</v>
      </c>
      <c r="D1975" s="504">
        <v>77.180000000000007</v>
      </c>
      <c r="E1975" s="504">
        <f t="shared" si="30"/>
        <v>57.170370370370371</v>
      </c>
    </row>
    <row r="1976" spans="1:5" x14ac:dyDescent="0.25">
      <c r="A1976" s="10" t="s">
        <v>29808</v>
      </c>
      <c r="B1976" s="439" t="s">
        <v>2231</v>
      </c>
      <c r="C1976" s="10" t="s">
        <v>1323</v>
      </c>
      <c r="D1976" s="504">
        <v>118.33</v>
      </c>
      <c r="E1976" s="504">
        <f t="shared" si="30"/>
        <v>87.651851851851845</v>
      </c>
    </row>
    <row r="1977" spans="1:5" x14ac:dyDescent="0.25">
      <c r="A1977" s="10" t="s">
        <v>29809</v>
      </c>
      <c r="B1977" s="439" t="s">
        <v>2232</v>
      </c>
      <c r="C1977" s="10" t="s">
        <v>1323</v>
      </c>
      <c r="D1977" s="504">
        <v>170.24</v>
      </c>
      <c r="E1977" s="504">
        <f t="shared" si="30"/>
        <v>126.1037037037037</v>
      </c>
    </row>
    <row r="1978" spans="1:5" x14ac:dyDescent="0.25">
      <c r="A1978" s="10" t="s">
        <v>29810</v>
      </c>
      <c r="B1978" s="439" t="s">
        <v>2233</v>
      </c>
      <c r="C1978" s="10" t="s">
        <v>1323</v>
      </c>
      <c r="D1978" s="504">
        <v>216.22</v>
      </c>
      <c r="E1978" s="504">
        <f t="shared" si="30"/>
        <v>160.16296296296295</v>
      </c>
    </row>
    <row r="1979" spans="1:5" x14ac:dyDescent="0.25">
      <c r="A1979" s="10" t="s">
        <v>29811</v>
      </c>
      <c r="B1979" s="439" t="s">
        <v>2234</v>
      </c>
      <c r="C1979" s="10" t="s">
        <v>1323</v>
      </c>
      <c r="D1979" s="504">
        <v>308.51</v>
      </c>
      <c r="E1979" s="504">
        <f t="shared" si="30"/>
        <v>228.52592592592592</v>
      </c>
    </row>
    <row r="1980" spans="1:5" x14ac:dyDescent="0.25">
      <c r="A1980" s="10" t="s">
        <v>29812</v>
      </c>
      <c r="B1980" s="439" t="s">
        <v>2235</v>
      </c>
      <c r="C1980" s="10" t="s">
        <v>1323</v>
      </c>
      <c r="D1980" s="504">
        <v>349.66</v>
      </c>
      <c r="E1980" s="504">
        <f t="shared" si="30"/>
        <v>259.00740740740741</v>
      </c>
    </row>
    <row r="1981" spans="1:5" x14ac:dyDescent="0.25">
      <c r="A1981" s="10" t="s">
        <v>29813</v>
      </c>
      <c r="B1981" s="439" t="s">
        <v>2236</v>
      </c>
      <c r="C1981" s="10" t="s">
        <v>1323</v>
      </c>
      <c r="D1981" s="504">
        <v>184.87</v>
      </c>
      <c r="E1981" s="504">
        <f t="shared" si="30"/>
        <v>136.94074074074072</v>
      </c>
    </row>
    <row r="1982" spans="1:5" x14ac:dyDescent="0.25">
      <c r="A1982" s="10" t="s">
        <v>29814</v>
      </c>
      <c r="B1982" s="439" t="s">
        <v>2237</v>
      </c>
      <c r="C1982" s="10" t="s">
        <v>1323</v>
      </c>
      <c r="D1982" s="504">
        <v>240.73</v>
      </c>
      <c r="E1982" s="504">
        <f t="shared" si="30"/>
        <v>178.31851851851849</v>
      </c>
    </row>
    <row r="1983" spans="1:5" x14ac:dyDescent="0.25">
      <c r="A1983" s="10" t="s">
        <v>29815</v>
      </c>
      <c r="B1983" s="439" t="s">
        <v>2238</v>
      </c>
      <c r="C1983" s="10" t="s">
        <v>1323</v>
      </c>
      <c r="D1983" s="504">
        <v>391.99</v>
      </c>
      <c r="E1983" s="504">
        <f t="shared" si="30"/>
        <v>290.36296296296297</v>
      </c>
    </row>
    <row r="1984" spans="1:5" x14ac:dyDescent="0.25">
      <c r="A1984" s="10" t="s">
        <v>29816</v>
      </c>
      <c r="B1984" s="439" t="s">
        <v>2239</v>
      </c>
      <c r="C1984" s="10" t="s">
        <v>1323</v>
      </c>
      <c r="D1984" s="504">
        <v>433.14</v>
      </c>
      <c r="E1984" s="504">
        <f t="shared" si="30"/>
        <v>320.84444444444443</v>
      </c>
    </row>
    <row r="1985" spans="1:5" x14ac:dyDescent="0.25">
      <c r="A1985" s="10" t="s">
        <v>29817</v>
      </c>
      <c r="B1985" s="439" t="s">
        <v>2240</v>
      </c>
      <c r="C1985" s="10" t="s">
        <v>1323</v>
      </c>
      <c r="D1985" s="504">
        <v>105.35</v>
      </c>
      <c r="E1985" s="504">
        <f t="shared" si="30"/>
        <v>78.037037037037024</v>
      </c>
    </row>
    <row r="1986" spans="1:5" x14ac:dyDescent="0.25">
      <c r="A1986" s="10" t="s">
        <v>29818</v>
      </c>
      <c r="B1986" s="439" t="s">
        <v>2241</v>
      </c>
      <c r="C1986" s="10" t="s">
        <v>1323</v>
      </c>
      <c r="D1986" s="504">
        <v>107.54</v>
      </c>
      <c r="E1986" s="504">
        <f t="shared" si="30"/>
        <v>79.659259259259258</v>
      </c>
    </row>
    <row r="1987" spans="1:5" x14ac:dyDescent="0.25">
      <c r="A1987" s="10" t="s">
        <v>29819</v>
      </c>
      <c r="B1987" s="439" t="s">
        <v>2242</v>
      </c>
      <c r="C1987" s="10" t="s">
        <v>1323</v>
      </c>
      <c r="D1987" s="504">
        <v>262.14</v>
      </c>
      <c r="E1987" s="504">
        <f t="shared" si="30"/>
        <v>194.17777777777775</v>
      </c>
    </row>
    <row r="1988" spans="1:5" x14ac:dyDescent="0.25">
      <c r="A1988" s="10" t="s">
        <v>29820</v>
      </c>
      <c r="B1988" s="439" t="s">
        <v>2243</v>
      </c>
      <c r="C1988" s="10" t="s">
        <v>1323</v>
      </c>
      <c r="D1988" s="504">
        <v>303.29000000000002</v>
      </c>
      <c r="E1988" s="504">
        <f t="shared" si="30"/>
        <v>224.65925925925927</v>
      </c>
    </row>
    <row r="1989" spans="1:5" x14ac:dyDescent="0.25">
      <c r="A1989" s="10" t="s">
        <v>29821</v>
      </c>
      <c r="B1989" s="439" t="s">
        <v>2244</v>
      </c>
      <c r="C1989" s="10" t="s">
        <v>1323</v>
      </c>
      <c r="D1989" s="504">
        <v>123.6</v>
      </c>
      <c r="E1989" s="504">
        <f t="shared" si="30"/>
        <v>91.555555555555543</v>
      </c>
    </row>
    <row r="1990" spans="1:5" x14ac:dyDescent="0.25">
      <c r="A1990" s="10" t="s">
        <v>29822</v>
      </c>
      <c r="B1990" s="439" t="s">
        <v>2245</v>
      </c>
      <c r="C1990" s="10" t="s">
        <v>1323</v>
      </c>
      <c r="D1990" s="504">
        <v>138.11000000000001</v>
      </c>
      <c r="E1990" s="504">
        <f t="shared" si="30"/>
        <v>102.3037037037037</v>
      </c>
    </row>
    <row r="1991" spans="1:5" x14ac:dyDescent="0.25">
      <c r="A1991" s="10" t="s">
        <v>29823</v>
      </c>
      <c r="B1991" s="439" t="s">
        <v>2246</v>
      </c>
      <c r="C1991" s="10" t="s">
        <v>1323</v>
      </c>
      <c r="D1991" s="504">
        <v>300.60000000000002</v>
      </c>
      <c r="E1991" s="504">
        <f t="shared" si="30"/>
        <v>222.66666666666666</v>
      </c>
    </row>
    <row r="1992" spans="1:5" x14ac:dyDescent="0.25">
      <c r="A1992" s="10" t="s">
        <v>29824</v>
      </c>
      <c r="B1992" s="439" t="s">
        <v>2247</v>
      </c>
      <c r="C1992" s="10" t="s">
        <v>1323</v>
      </c>
      <c r="D1992" s="504">
        <v>341.75</v>
      </c>
      <c r="E1992" s="504">
        <f t="shared" si="30"/>
        <v>253.14814814814812</v>
      </c>
    </row>
    <row r="1993" spans="1:5" x14ac:dyDescent="0.25">
      <c r="A1993" s="10" t="s">
        <v>29825</v>
      </c>
      <c r="B1993" s="439" t="s">
        <v>2248</v>
      </c>
      <c r="C1993" s="10" t="s">
        <v>1323</v>
      </c>
      <c r="D1993" s="504">
        <v>65.58</v>
      </c>
      <c r="E1993" s="504">
        <f t="shared" si="30"/>
        <v>48.577777777777776</v>
      </c>
    </row>
    <row r="1994" spans="1:5" x14ac:dyDescent="0.25">
      <c r="A1994" s="10" t="s">
        <v>29826</v>
      </c>
      <c r="B1994" s="439" t="s">
        <v>2249</v>
      </c>
      <c r="C1994" s="10" t="s">
        <v>1323</v>
      </c>
      <c r="D1994" s="504">
        <v>44.12</v>
      </c>
      <c r="E1994" s="504">
        <f t="shared" si="30"/>
        <v>32.681481481481477</v>
      </c>
    </row>
    <row r="1995" spans="1:5" x14ac:dyDescent="0.25">
      <c r="A1995" s="10" t="s">
        <v>29827</v>
      </c>
      <c r="B1995" s="439" t="s">
        <v>2250</v>
      </c>
      <c r="C1995" s="10" t="s">
        <v>1323</v>
      </c>
      <c r="D1995" s="504">
        <v>140.62</v>
      </c>
      <c r="E1995" s="504">
        <f t="shared" ref="E1995:E2058" si="31">D1995/(1+$G$4)</f>
        <v>104.16296296296296</v>
      </c>
    </row>
    <row r="1996" spans="1:5" x14ac:dyDescent="0.25">
      <c r="A1996" s="10" t="s">
        <v>29828</v>
      </c>
      <c r="B1996" s="439" t="s">
        <v>2251</v>
      </c>
      <c r="C1996" s="10" t="s">
        <v>1323</v>
      </c>
      <c r="D1996" s="504">
        <v>181.77</v>
      </c>
      <c r="E1996" s="504">
        <f t="shared" si="31"/>
        <v>134.64444444444445</v>
      </c>
    </row>
    <row r="1997" spans="1:5" x14ac:dyDescent="0.25">
      <c r="A1997" s="10" t="s">
        <v>29829</v>
      </c>
      <c r="B1997" s="439" t="s">
        <v>2252</v>
      </c>
      <c r="C1997" s="10" t="s">
        <v>1323</v>
      </c>
      <c r="D1997" s="504">
        <v>69.150000000000006</v>
      </c>
      <c r="E1997" s="504">
        <f t="shared" si="31"/>
        <v>51.222222222222221</v>
      </c>
    </row>
    <row r="1998" spans="1:5" x14ac:dyDescent="0.25">
      <c r="A1998" s="10" t="s">
        <v>29830</v>
      </c>
      <c r="B1998" s="439" t="s">
        <v>2253</v>
      </c>
      <c r="C1998" s="10" t="s">
        <v>1323</v>
      </c>
      <c r="D1998" s="504">
        <v>50.57</v>
      </c>
      <c r="E1998" s="504">
        <f t="shared" si="31"/>
        <v>37.459259259259255</v>
      </c>
    </row>
    <row r="1999" spans="1:5" x14ac:dyDescent="0.25">
      <c r="A1999" s="10" t="s">
        <v>29831</v>
      </c>
      <c r="B1999" s="439" t="s">
        <v>2254</v>
      </c>
      <c r="C1999" s="10" t="s">
        <v>1323</v>
      </c>
      <c r="D1999" s="504">
        <v>169.52</v>
      </c>
      <c r="E1999" s="504">
        <f t="shared" si="31"/>
        <v>125.57037037037037</v>
      </c>
    </row>
    <row r="2000" spans="1:5" x14ac:dyDescent="0.25">
      <c r="A2000" s="10" t="s">
        <v>29832</v>
      </c>
      <c r="B2000" s="439" t="s">
        <v>2255</v>
      </c>
      <c r="C2000" s="10" t="s">
        <v>1323</v>
      </c>
      <c r="D2000" s="504">
        <v>210.67</v>
      </c>
      <c r="E2000" s="504">
        <f t="shared" si="31"/>
        <v>156.05185185185184</v>
      </c>
    </row>
    <row r="2001" spans="1:5" x14ac:dyDescent="0.25">
      <c r="A2001" s="10" t="s">
        <v>29833</v>
      </c>
      <c r="B2001" s="439" t="s">
        <v>2256</v>
      </c>
      <c r="C2001" s="10" t="s">
        <v>1323</v>
      </c>
      <c r="D2001" s="504">
        <v>55.84</v>
      </c>
      <c r="E2001" s="504">
        <f t="shared" si="31"/>
        <v>41.36296296296296</v>
      </c>
    </row>
    <row r="2002" spans="1:5" x14ac:dyDescent="0.25">
      <c r="A2002" s="10" t="s">
        <v>29834</v>
      </c>
      <c r="B2002" s="439" t="s">
        <v>2257</v>
      </c>
      <c r="C2002" s="10" t="s">
        <v>1323</v>
      </c>
      <c r="D2002" s="504">
        <v>26.53</v>
      </c>
      <c r="E2002" s="504">
        <f t="shared" si="31"/>
        <v>19.651851851851852</v>
      </c>
    </row>
    <row r="2003" spans="1:5" x14ac:dyDescent="0.25">
      <c r="A2003" s="10" t="s">
        <v>29835</v>
      </c>
      <c r="B2003" s="439" t="s">
        <v>2258</v>
      </c>
      <c r="C2003" s="10" t="s">
        <v>1323</v>
      </c>
      <c r="D2003" s="504">
        <v>45.8</v>
      </c>
      <c r="E2003" s="504">
        <f t="shared" si="31"/>
        <v>33.925925925925924</v>
      </c>
    </row>
    <row r="2004" spans="1:5" x14ac:dyDescent="0.25">
      <c r="A2004" s="10" t="s">
        <v>29836</v>
      </c>
      <c r="B2004" s="439" t="s">
        <v>2259</v>
      </c>
      <c r="C2004" s="10" t="s">
        <v>1323</v>
      </c>
      <c r="D2004" s="504">
        <v>86.95</v>
      </c>
      <c r="E2004" s="504">
        <f t="shared" si="31"/>
        <v>64.407407407407405</v>
      </c>
    </row>
    <row r="2005" spans="1:5" x14ac:dyDescent="0.25">
      <c r="A2005" s="10" t="s">
        <v>29837</v>
      </c>
      <c r="B2005" s="439" t="s">
        <v>2260</v>
      </c>
      <c r="C2005" s="10" t="s">
        <v>1323</v>
      </c>
      <c r="D2005" s="504">
        <v>82.47</v>
      </c>
      <c r="E2005" s="504">
        <f t="shared" si="31"/>
        <v>61.088888888888881</v>
      </c>
    </row>
    <row r="2006" spans="1:5" x14ac:dyDescent="0.25">
      <c r="A2006" s="10" t="s">
        <v>29838</v>
      </c>
      <c r="B2006" s="439" t="s">
        <v>2261</v>
      </c>
      <c r="C2006" s="10" t="s">
        <v>1323</v>
      </c>
      <c r="D2006" s="504">
        <v>74.63</v>
      </c>
      <c r="E2006" s="504">
        <f t="shared" si="31"/>
        <v>55.281481481481471</v>
      </c>
    </row>
    <row r="2007" spans="1:5" x14ac:dyDescent="0.25">
      <c r="A2007" s="10" t="s">
        <v>29839</v>
      </c>
      <c r="B2007" s="439" t="s">
        <v>2262</v>
      </c>
      <c r="C2007" s="10" t="s">
        <v>1323</v>
      </c>
      <c r="D2007" s="504">
        <v>193.57</v>
      </c>
      <c r="E2007" s="504">
        <f t="shared" si="31"/>
        <v>143.38518518518518</v>
      </c>
    </row>
    <row r="2008" spans="1:5" x14ac:dyDescent="0.25">
      <c r="A2008" s="10" t="s">
        <v>29840</v>
      </c>
      <c r="B2008" s="439" t="s">
        <v>2263</v>
      </c>
      <c r="C2008" s="10" t="s">
        <v>1323</v>
      </c>
      <c r="D2008" s="504">
        <v>234.72</v>
      </c>
      <c r="E2008" s="504">
        <f t="shared" si="31"/>
        <v>173.86666666666665</v>
      </c>
    </row>
    <row r="2009" spans="1:5" x14ac:dyDescent="0.25">
      <c r="A2009" s="10" t="s">
        <v>29841</v>
      </c>
      <c r="B2009" s="439" t="s">
        <v>2264</v>
      </c>
      <c r="C2009" s="10" t="s">
        <v>1323</v>
      </c>
      <c r="D2009" s="504">
        <v>71.98</v>
      </c>
      <c r="E2009" s="504">
        <f t="shared" si="31"/>
        <v>53.318518518518516</v>
      </c>
    </row>
    <row r="2010" spans="1:5" x14ac:dyDescent="0.25">
      <c r="A2010" s="10" t="s">
        <v>29842</v>
      </c>
      <c r="B2010" s="439" t="s">
        <v>2265</v>
      </c>
      <c r="C2010" s="10" t="s">
        <v>1323</v>
      </c>
      <c r="D2010" s="504">
        <v>55.68</v>
      </c>
      <c r="E2010" s="504">
        <f t="shared" si="31"/>
        <v>41.24444444444444</v>
      </c>
    </row>
    <row r="2011" spans="1:5" x14ac:dyDescent="0.25">
      <c r="A2011" s="10" t="s">
        <v>29843</v>
      </c>
      <c r="B2011" s="439" t="s">
        <v>2266</v>
      </c>
      <c r="C2011" s="10" t="s">
        <v>1323</v>
      </c>
      <c r="D2011" s="504">
        <v>174.62</v>
      </c>
      <c r="E2011" s="504">
        <f t="shared" si="31"/>
        <v>129.34814814814814</v>
      </c>
    </row>
    <row r="2012" spans="1:5" x14ac:dyDescent="0.25">
      <c r="A2012" s="10" t="s">
        <v>29844</v>
      </c>
      <c r="B2012" s="439" t="s">
        <v>2267</v>
      </c>
      <c r="C2012" s="10" t="s">
        <v>1323</v>
      </c>
      <c r="D2012" s="504">
        <v>215.77</v>
      </c>
      <c r="E2012" s="504">
        <f t="shared" si="31"/>
        <v>159.82962962962964</v>
      </c>
    </row>
    <row r="2013" spans="1:5" x14ac:dyDescent="0.25">
      <c r="A2013" s="10" t="s">
        <v>29845</v>
      </c>
      <c r="B2013" s="439" t="s">
        <v>2268</v>
      </c>
      <c r="C2013" s="10" t="s">
        <v>1323</v>
      </c>
      <c r="D2013" s="504">
        <v>263.16000000000003</v>
      </c>
      <c r="E2013" s="504">
        <f t="shared" si="31"/>
        <v>194.93333333333334</v>
      </c>
    </row>
    <row r="2014" spans="1:5" x14ac:dyDescent="0.25">
      <c r="A2014" s="10" t="s">
        <v>29846</v>
      </c>
      <c r="B2014" s="439" t="s">
        <v>2269</v>
      </c>
      <c r="C2014" s="10" t="s">
        <v>1323</v>
      </c>
      <c r="D2014" s="504">
        <v>400.94</v>
      </c>
      <c r="E2014" s="504">
        <f t="shared" si="31"/>
        <v>296.99259259259259</v>
      </c>
    </row>
    <row r="2015" spans="1:5" x14ac:dyDescent="0.25">
      <c r="A2015" s="10" t="s">
        <v>29847</v>
      </c>
      <c r="B2015" s="439" t="s">
        <v>2270</v>
      </c>
      <c r="C2015" s="10" t="s">
        <v>1323</v>
      </c>
      <c r="D2015" s="504">
        <v>516.30999999999995</v>
      </c>
      <c r="E2015" s="504">
        <f t="shared" si="31"/>
        <v>382.45185185185181</v>
      </c>
    </row>
    <row r="2016" spans="1:5" x14ac:dyDescent="0.25">
      <c r="A2016" s="10" t="s">
        <v>29848</v>
      </c>
      <c r="B2016" s="439" t="s">
        <v>2271</v>
      </c>
      <c r="C2016" s="10" t="s">
        <v>1323</v>
      </c>
      <c r="D2016" s="504">
        <v>557.46</v>
      </c>
      <c r="E2016" s="504">
        <f t="shared" si="31"/>
        <v>412.93333333333334</v>
      </c>
    </row>
    <row r="2017" spans="1:5" x14ac:dyDescent="0.25">
      <c r="A2017" s="10" t="s">
        <v>29849</v>
      </c>
      <c r="B2017" s="439" t="s">
        <v>2272</v>
      </c>
      <c r="C2017" s="10" t="s">
        <v>1323</v>
      </c>
      <c r="D2017" s="504">
        <v>211.1</v>
      </c>
      <c r="E2017" s="504">
        <f t="shared" si="31"/>
        <v>156.37037037037035</v>
      </c>
    </row>
    <row r="2018" spans="1:5" x14ac:dyDescent="0.25">
      <c r="A2018" s="10" t="s">
        <v>29850</v>
      </c>
      <c r="B2018" s="439" t="s">
        <v>2273</v>
      </c>
      <c r="C2018" s="10" t="s">
        <v>1323</v>
      </c>
      <c r="D2018" s="504">
        <v>306.93</v>
      </c>
      <c r="E2018" s="504">
        <f t="shared" si="31"/>
        <v>227.35555555555555</v>
      </c>
    </row>
    <row r="2019" spans="1:5" x14ac:dyDescent="0.25">
      <c r="A2019" s="10" t="s">
        <v>29851</v>
      </c>
      <c r="B2019" s="439" t="s">
        <v>2274</v>
      </c>
      <c r="C2019" s="10" t="s">
        <v>1323</v>
      </c>
      <c r="D2019" s="504">
        <v>486.86</v>
      </c>
      <c r="E2019" s="504">
        <f t="shared" si="31"/>
        <v>360.63703703703703</v>
      </c>
    </row>
    <row r="2020" spans="1:5" x14ac:dyDescent="0.25">
      <c r="A2020" s="10" t="s">
        <v>29852</v>
      </c>
      <c r="B2020" s="439" t="s">
        <v>2275</v>
      </c>
      <c r="C2020" s="10" t="s">
        <v>1323</v>
      </c>
      <c r="D2020" s="504">
        <v>528.01</v>
      </c>
      <c r="E2020" s="504">
        <f t="shared" si="31"/>
        <v>391.1185185185185</v>
      </c>
    </row>
    <row r="2021" spans="1:5" x14ac:dyDescent="0.25">
      <c r="A2021" s="10" t="s">
        <v>29853</v>
      </c>
      <c r="B2021" s="439" t="s">
        <v>2276</v>
      </c>
      <c r="C2021" s="10" t="s">
        <v>1323</v>
      </c>
      <c r="D2021" s="504">
        <v>147.16999999999999</v>
      </c>
      <c r="E2021" s="504">
        <f t="shared" si="31"/>
        <v>109.0148148148148</v>
      </c>
    </row>
    <row r="2022" spans="1:5" x14ac:dyDescent="0.25">
      <c r="A2022" s="10" t="s">
        <v>29854</v>
      </c>
      <c r="B2022" s="439" t="s">
        <v>2277</v>
      </c>
      <c r="C2022" s="10" t="s">
        <v>1323</v>
      </c>
      <c r="D2022" s="504">
        <v>184.45</v>
      </c>
      <c r="E2022" s="504">
        <f t="shared" si="31"/>
        <v>136.62962962962962</v>
      </c>
    </row>
    <row r="2023" spans="1:5" x14ac:dyDescent="0.25">
      <c r="A2023" s="10" t="s">
        <v>29855</v>
      </c>
      <c r="B2023" s="439" t="s">
        <v>2278</v>
      </c>
      <c r="C2023" s="10" t="s">
        <v>1323</v>
      </c>
      <c r="D2023" s="504">
        <v>581.83000000000004</v>
      </c>
      <c r="E2023" s="504">
        <f t="shared" si="31"/>
        <v>430.98518518518517</v>
      </c>
    </row>
    <row r="2024" spans="1:5" x14ac:dyDescent="0.25">
      <c r="A2024" s="10" t="s">
        <v>29856</v>
      </c>
      <c r="B2024" s="439" t="s">
        <v>2279</v>
      </c>
      <c r="C2024" s="10" t="s">
        <v>1323</v>
      </c>
      <c r="D2024" s="504">
        <v>622.98</v>
      </c>
      <c r="E2024" s="504">
        <f t="shared" si="31"/>
        <v>461.46666666666664</v>
      </c>
    </row>
    <row r="2025" spans="1:5" x14ac:dyDescent="0.25">
      <c r="A2025" s="10" t="s">
        <v>29857</v>
      </c>
      <c r="B2025" s="439" t="s">
        <v>2280</v>
      </c>
      <c r="C2025" s="10" t="s">
        <v>1323</v>
      </c>
      <c r="D2025" s="504">
        <v>283.74</v>
      </c>
      <c r="E2025" s="504">
        <f t="shared" si="31"/>
        <v>210.17777777777778</v>
      </c>
    </row>
    <row r="2026" spans="1:5" x14ac:dyDescent="0.25">
      <c r="A2026" s="10" t="s">
        <v>29858</v>
      </c>
      <c r="B2026" s="439" t="s">
        <v>2281</v>
      </c>
      <c r="C2026" s="10" t="s">
        <v>1323</v>
      </c>
      <c r="D2026" s="504">
        <v>438.11</v>
      </c>
      <c r="E2026" s="504">
        <f t="shared" si="31"/>
        <v>324.52592592592589</v>
      </c>
    </row>
    <row r="2027" spans="1:5" x14ac:dyDescent="0.25">
      <c r="A2027" s="10" t="s">
        <v>29859</v>
      </c>
      <c r="B2027" s="439" t="s">
        <v>2282</v>
      </c>
      <c r="C2027" s="10" t="s">
        <v>1323</v>
      </c>
      <c r="D2027" s="504">
        <v>553.48</v>
      </c>
      <c r="E2027" s="504">
        <f t="shared" si="31"/>
        <v>409.98518518518517</v>
      </c>
    </row>
    <row r="2028" spans="1:5" x14ac:dyDescent="0.25">
      <c r="A2028" s="10" t="s">
        <v>29860</v>
      </c>
      <c r="B2028" s="439" t="s">
        <v>2283</v>
      </c>
      <c r="C2028" s="10" t="s">
        <v>1323</v>
      </c>
      <c r="D2028" s="504">
        <v>594.63</v>
      </c>
      <c r="E2028" s="504">
        <f t="shared" si="31"/>
        <v>440.46666666666664</v>
      </c>
    </row>
    <row r="2029" spans="1:5" x14ac:dyDescent="0.25">
      <c r="A2029" s="10" t="s">
        <v>29861</v>
      </c>
      <c r="B2029" s="439" t="s">
        <v>2284</v>
      </c>
      <c r="C2029" s="10" t="s">
        <v>1323</v>
      </c>
      <c r="D2029" s="504">
        <v>220.21</v>
      </c>
      <c r="E2029" s="504">
        <f t="shared" si="31"/>
        <v>163.11851851851853</v>
      </c>
    </row>
    <row r="2030" spans="1:5" x14ac:dyDescent="0.25">
      <c r="A2030" s="10" t="s">
        <v>29862</v>
      </c>
      <c r="B2030" s="439" t="s">
        <v>2285</v>
      </c>
      <c r="C2030" s="10" t="s">
        <v>1323</v>
      </c>
      <c r="D2030" s="504">
        <v>323.38</v>
      </c>
      <c r="E2030" s="504">
        <f t="shared" si="31"/>
        <v>239.54074074074072</v>
      </c>
    </row>
    <row r="2031" spans="1:5" x14ac:dyDescent="0.25">
      <c r="A2031" s="10" t="s">
        <v>29863</v>
      </c>
      <c r="B2031" s="439" t="s">
        <v>2286</v>
      </c>
      <c r="C2031" s="10" t="s">
        <v>1323</v>
      </c>
      <c r="D2031" s="504">
        <v>509.26</v>
      </c>
      <c r="E2031" s="504">
        <f t="shared" si="31"/>
        <v>377.22962962962958</v>
      </c>
    </row>
    <row r="2032" spans="1:5" x14ac:dyDescent="0.25">
      <c r="A2032" s="10" t="s">
        <v>29864</v>
      </c>
      <c r="B2032" s="439" t="s">
        <v>2287</v>
      </c>
      <c r="C2032" s="10" t="s">
        <v>1323</v>
      </c>
      <c r="D2032" s="504">
        <v>550.41</v>
      </c>
      <c r="E2032" s="504">
        <f t="shared" si="31"/>
        <v>407.71111111111105</v>
      </c>
    </row>
    <row r="2033" spans="1:5" x14ac:dyDescent="0.25">
      <c r="A2033" s="10" t="s">
        <v>29865</v>
      </c>
      <c r="B2033" s="439" t="s">
        <v>2288</v>
      </c>
      <c r="C2033" s="10" t="s">
        <v>1323</v>
      </c>
      <c r="D2033" s="504">
        <v>152.97999999999999</v>
      </c>
      <c r="E2033" s="504">
        <f t="shared" si="31"/>
        <v>113.3185185185185</v>
      </c>
    </row>
    <row r="2034" spans="1:5" x14ac:dyDescent="0.25">
      <c r="A2034" s="10" t="s">
        <v>29866</v>
      </c>
      <c r="B2034" s="439" t="s">
        <v>2289</v>
      </c>
      <c r="C2034" s="10" t="s">
        <v>1323</v>
      </c>
      <c r="D2034" s="504">
        <v>194.56</v>
      </c>
      <c r="E2034" s="504">
        <f t="shared" si="31"/>
        <v>144.1185185185185</v>
      </c>
    </row>
    <row r="2035" spans="1:5" x14ac:dyDescent="0.25">
      <c r="A2035" s="10" t="s">
        <v>29867</v>
      </c>
      <c r="B2035" s="439" t="s">
        <v>2290</v>
      </c>
      <c r="C2035" s="10" t="s">
        <v>1323</v>
      </c>
      <c r="D2035" s="504">
        <v>591.95000000000005</v>
      </c>
      <c r="E2035" s="504">
        <f t="shared" si="31"/>
        <v>438.48148148148147</v>
      </c>
    </row>
    <row r="2036" spans="1:5" x14ac:dyDescent="0.25">
      <c r="A2036" s="10" t="s">
        <v>29868</v>
      </c>
      <c r="B2036" s="439" t="s">
        <v>2291</v>
      </c>
      <c r="C2036" s="10" t="s">
        <v>1323</v>
      </c>
      <c r="D2036" s="504">
        <v>633.1</v>
      </c>
      <c r="E2036" s="504">
        <f t="shared" si="31"/>
        <v>468.96296296296293</v>
      </c>
    </row>
    <row r="2037" spans="1:5" x14ac:dyDescent="0.25">
      <c r="A2037" s="10" t="s">
        <v>29869</v>
      </c>
      <c r="B2037" s="439" t="s">
        <v>2292</v>
      </c>
      <c r="C2037" s="10" t="s">
        <v>1323</v>
      </c>
      <c r="D2037" s="504">
        <v>351.96</v>
      </c>
      <c r="E2037" s="504">
        <f t="shared" si="31"/>
        <v>260.71111111111105</v>
      </c>
    </row>
    <row r="2038" spans="1:5" x14ac:dyDescent="0.25">
      <c r="A2038" s="10" t="s">
        <v>29870</v>
      </c>
      <c r="B2038" s="439" t="s">
        <v>2293</v>
      </c>
      <c r="C2038" s="10" t="s">
        <v>1323</v>
      </c>
      <c r="D2038" s="504">
        <v>214.82</v>
      </c>
      <c r="E2038" s="504">
        <f t="shared" si="31"/>
        <v>159.12592592592591</v>
      </c>
    </row>
    <row r="2039" spans="1:5" x14ac:dyDescent="0.25">
      <c r="A2039" s="10" t="s">
        <v>29871</v>
      </c>
      <c r="B2039" s="439" t="s">
        <v>2294</v>
      </c>
      <c r="C2039" s="10" t="s">
        <v>1323</v>
      </c>
      <c r="D2039" s="504">
        <v>322.95999999999998</v>
      </c>
      <c r="E2039" s="504">
        <f t="shared" si="31"/>
        <v>239.22962962962958</v>
      </c>
    </row>
    <row r="2040" spans="1:5" x14ac:dyDescent="0.25">
      <c r="A2040" s="10" t="s">
        <v>29872</v>
      </c>
      <c r="B2040" s="439" t="s">
        <v>2295</v>
      </c>
      <c r="C2040" s="10" t="s">
        <v>1323</v>
      </c>
      <c r="D2040" s="504">
        <v>567.91</v>
      </c>
      <c r="E2040" s="504">
        <f t="shared" si="31"/>
        <v>420.67407407407404</v>
      </c>
    </row>
    <row r="2041" spans="1:5" x14ac:dyDescent="0.25">
      <c r="A2041" s="10" t="s">
        <v>29873</v>
      </c>
      <c r="B2041" s="439" t="s">
        <v>2296</v>
      </c>
      <c r="C2041" s="10" t="s">
        <v>1323</v>
      </c>
      <c r="D2041" s="504">
        <v>388.55</v>
      </c>
      <c r="E2041" s="504">
        <f t="shared" si="31"/>
        <v>287.81481481481478</v>
      </c>
    </row>
    <row r="2042" spans="1:5" x14ac:dyDescent="0.25">
      <c r="A2042" s="10" t="s">
        <v>29874</v>
      </c>
      <c r="B2042" s="439" t="s">
        <v>2297</v>
      </c>
      <c r="C2042" s="10" t="s">
        <v>1323</v>
      </c>
      <c r="D2042" s="504">
        <v>254.38</v>
      </c>
      <c r="E2042" s="504">
        <f t="shared" si="31"/>
        <v>188.4296296296296</v>
      </c>
    </row>
    <row r="2043" spans="1:5" x14ac:dyDescent="0.25">
      <c r="A2043" s="10" t="s">
        <v>29875</v>
      </c>
      <c r="B2043" s="439" t="s">
        <v>2298</v>
      </c>
      <c r="C2043" s="10" t="s">
        <v>1323</v>
      </c>
      <c r="D2043" s="504">
        <v>319.26</v>
      </c>
      <c r="E2043" s="504">
        <f t="shared" si="31"/>
        <v>236.48888888888888</v>
      </c>
    </row>
    <row r="2044" spans="1:5" x14ac:dyDescent="0.25">
      <c r="A2044" s="10" t="s">
        <v>29876</v>
      </c>
      <c r="B2044" s="439" t="s">
        <v>2299</v>
      </c>
      <c r="C2044" s="10" t="s">
        <v>1323</v>
      </c>
      <c r="D2044" s="504">
        <v>564.21</v>
      </c>
      <c r="E2044" s="504">
        <f t="shared" si="31"/>
        <v>417.93333333333334</v>
      </c>
    </row>
    <row r="2045" spans="1:5" x14ac:dyDescent="0.25">
      <c r="A2045" s="10" t="s">
        <v>29877</v>
      </c>
      <c r="B2045" s="439" t="s">
        <v>2300</v>
      </c>
      <c r="C2045" s="10" t="s">
        <v>1323</v>
      </c>
      <c r="D2045" s="504">
        <v>620.42999999999995</v>
      </c>
      <c r="E2045" s="504">
        <f t="shared" si="31"/>
        <v>459.57777777777773</v>
      </c>
    </row>
    <row r="2046" spans="1:5" x14ac:dyDescent="0.25">
      <c r="A2046" s="10" t="s">
        <v>29878</v>
      </c>
      <c r="B2046" s="439" t="s">
        <v>2301</v>
      </c>
      <c r="C2046" s="10" t="s">
        <v>1323</v>
      </c>
      <c r="D2046" s="504">
        <v>810.93</v>
      </c>
      <c r="E2046" s="504">
        <f t="shared" si="31"/>
        <v>600.68888888888887</v>
      </c>
    </row>
    <row r="2047" spans="1:5" x14ac:dyDescent="0.25">
      <c r="A2047" s="10" t="s">
        <v>29879</v>
      </c>
      <c r="B2047" s="439" t="s">
        <v>2302</v>
      </c>
      <c r="C2047" s="10" t="s">
        <v>1323</v>
      </c>
      <c r="D2047" s="504">
        <v>1834.66</v>
      </c>
      <c r="E2047" s="504">
        <f t="shared" si="31"/>
        <v>1359.0074074074073</v>
      </c>
    </row>
    <row r="2048" spans="1:5" x14ac:dyDescent="0.25">
      <c r="A2048" s="10" t="s">
        <v>29880</v>
      </c>
      <c r="B2048" s="439" t="s">
        <v>2303</v>
      </c>
      <c r="C2048" s="10" t="s">
        <v>1323</v>
      </c>
      <c r="D2048" s="504">
        <v>1997.31</v>
      </c>
      <c r="E2048" s="504">
        <f t="shared" si="31"/>
        <v>1479.4888888888888</v>
      </c>
    </row>
    <row r="2049" spans="1:5" x14ac:dyDescent="0.25">
      <c r="A2049" s="10" t="s">
        <v>29881</v>
      </c>
      <c r="B2049" s="439" t="s">
        <v>2304</v>
      </c>
      <c r="C2049" s="10" t="s">
        <v>1323</v>
      </c>
      <c r="D2049" s="504">
        <v>1144.8399999999999</v>
      </c>
      <c r="E2049" s="504">
        <f t="shared" si="31"/>
        <v>848.02962962962954</v>
      </c>
    </row>
    <row r="2050" spans="1:5" x14ac:dyDescent="0.25">
      <c r="A2050" s="10" t="s">
        <v>29882</v>
      </c>
      <c r="B2050" s="439" t="s">
        <v>2305</v>
      </c>
      <c r="C2050" s="10" t="s">
        <v>1323</v>
      </c>
      <c r="D2050" s="504">
        <v>1739.88</v>
      </c>
      <c r="E2050" s="504">
        <f t="shared" si="31"/>
        <v>1288.8</v>
      </c>
    </row>
    <row r="2051" spans="1:5" x14ac:dyDescent="0.25">
      <c r="A2051" s="10" t="s">
        <v>29883</v>
      </c>
      <c r="B2051" s="439" t="s">
        <v>2306</v>
      </c>
      <c r="C2051" s="10" t="s">
        <v>1323</v>
      </c>
      <c r="D2051" s="504">
        <v>3233.02</v>
      </c>
      <c r="E2051" s="504">
        <f t="shared" si="31"/>
        <v>2394.8296296296294</v>
      </c>
    </row>
    <row r="2052" spans="1:5" x14ac:dyDescent="0.25">
      <c r="A2052" s="10" t="s">
        <v>29884</v>
      </c>
      <c r="B2052" s="439" t="s">
        <v>2307</v>
      </c>
      <c r="C2052" s="10" t="s">
        <v>1323</v>
      </c>
      <c r="D2052" s="504">
        <v>3395.67</v>
      </c>
      <c r="E2052" s="504">
        <f t="shared" si="31"/>
        <v>2515.3111111111111</v>
      </c>
    </row>
    <row r="2053" spans="1:5" x14ac:dyDescent="0.25">
      <c r="A2053" s="10" t="s">
        <v>29885</v>
      </c>
      <c r="B2053" s="439" t="s">
        <v>2308</v>
      </c>
      <c r="C2053" s="10" t="s">
        <v>1323</v>
      </c>
      <c r="D2053" s="504">
        <v>481.7</v>
      </c>
      <c r="E2053" s="504">
        <f t="shared" si="31"/>
        <v>356.81481481481478</v>
      </c>
    </row>
    <row r="2054" spans="1:5" x14ac:dyDescent="0.25">
      <c r="A2054" s="10" t="s">
        <v>29886</v>
      </c>
      <c r="B2054" s="439" t="s">
        <v>2309</v>
      </c>
      <c r="C2054" s="10" t="s">
        <v>1323</v>
      </c>
      <c r="D2054" s="504">
        <v>419.39</v>
      </c>
      <c r="E2054" s="504">
        <f t="shared" si="31"/>
        <v>310.65925925925922</v>
      </c>
    </row>
    <row r="2055" spans="1:5" x14ac:dyDescent="0.25">
      <c r="A2055" s="10" t="s">
        <v>29887</v>
      </c>
      <c r="B2055" s="439" t="s">
        <v>2310</v>
      </c>
      <c r="C2055" s="10" t="s">
        <v>1323</v>
      </c>
      <c r="D2055" s="504">
        <v>509.5</v>
      </c>
      <c r="E2055" s="504">
        <f t="shared" si="31"/>
        <v>377.40740740740739</v>
      </c>
    </row>
    <row r="2056" spans="1:5" x14ac:dyDescent="0.25">
      <c r="A2056" s="10" t="s">
        <v>29888</v>
      </c>
      <c r="B2056" s="439" t="s">
        <v>2311</v>
      </c>
      <c r="C2056" s="10" t="s">
        <v>1323</v>
      </c>
      <c r="D2056" s="504">
        <v>754.45</v>
      </c>
      <c r="E2056" s="504">
        <f t="shared" si="31"/>
        <v>558.85185185185185</v>
      </c>
    </row>
    <row r="2057" spans="1:5" x14ac:dyDescent="0.25">
      <c r="A2057" s="10" t="s">
        <v>29889</v>
      </c>
      <c r="B2057" s="439" t="s">
        <v>2312</v>
      </c>
      <c r="C2057" s="10" t="s">
        <v>1323</v>
      </c>
      <c r="D2057" s="504">
        <v>27.5</v>
      </c>
      <c r="E2057" s="504">
        <f t="shared" si="31"/>
        <v>20.37037037037037</v>
      </c>
    </row>
    <row r="2058" spans="1:5" x14ac:dyDescent="0.25">
      <c r="A2058" s="10" t="s">
        <v>29890</v>
      </c>
      <c r="B2058" s="439" t="s">
        <v>2313</v>
      </c>
      <c r="C2058" s="10" t="s">
        <v>1323</v>
      </c>
      <c r="D2058" s="504">
        <v>1.46</v>
      </c>
      <c r="E2058" s="504">
        <f t="shared" si="31"/>
        <v>1.0814814814814815</v>
      </c>
    </row>
    <row r="2059" spans="1:5" x14ac:dyDescent="0.25">
      <c r="A2059" s="10" t="s">
        <v>29891</v>
      </c>
      <c r="B2059" s="439" t="s">
        <v>2314</v>
      </c>
      <c r="C2059" s="10" t="s">
        <v>1323</v>
      </c>
      <c r="D2059" s="504">
        <v>2.82</v>
      </c>
      <c r="E2059" s="504">
        <f t="shared" ref="E2059:E2122" si="32">D2059/(1+$G$4)</f>
        <v>2.0888888888888886</v>
      </c>
    </row>
    <row r="2060" spans="1:5" x14ac:dyDescent="0.25">
      <c r="A2060" s="10" t="s">
        <v>29892</v>
      </c>
      <c r="B2060" s="439" t="s">
        <v>2315</v>
      </c>
      <c r="C2060" s="10" t="s">
        <v>1323</v>
      </c>
      <c r="D2060" s="504">
        <v>29.56</v>
      </c>
      <c r="E2060" s="504">
        <f t="shared" si="32"/>
        <v>21.896296296296295</v>
      </c>
    </row>
    <row r="2061" spans="1:5" x14ac:dyDescent="0.25">
      <c r="A2061" s="10" t="s">
        <v>29893</v>
      </c>
      <c r="B2061" s="439" t="s">
        <v>2316</v>
      </c>
      <c r="C2061" s="10" t="s">
        <v>1323</v>
      </c>
      <c r="D2061" s="504">
        <v>27.5</v>
      </c>
      <c r="E2061" s="504">
        <f t="shared" si="32"/>
        <v>20.37037037037037</v>
      </c>
    </row>
    <row r="2062" spans="1:5" x14ac:dyDescent="0.25">
      <c r="A2062" s="10" t="s">
        <v>29894</v>
      </c>
      <c r="B2062" s="439" t="s">
        <v>2317</v>
      </c>
      <c r="C2062" s="10" t="s">
        <v>1323</v>
      </c>
      <c r="D2062" s="504">
        <v>1.46</v>
      </c>
      <c r="E2062" s="504">
        <f t="shared" si="32"/>
        <v>1.0814814814814815</v>
      </c>
    </row>
    <row r="2063" spans="1:5" x14ac:dyDescent="0.25">
      <c r="A2063" s="10" t="s">
        <v>29895</v>
      </c>
      <c r="B2063" s="439" t="s">
        <v>2318</v>
      </c>
      <c r="C2063" s="10" t="s">
        <v>1323</v>
      </c>
      <c r="D2063" s="504">
        <v>3.04</v>
      </c>
      <c r="E2063" s="504">
        <f t="shared" si="32"/>
        <v>2.2518518518518515</v>
      </c>
    </row>
    <row r="2064" spans="1:5" x14ac:dyDescent="0.25">
      <c r="A2064" s="10" t="s">
        <v>29896</v>
      </c>
      <c r="B2064" s="439" t="s">
        <v>2319</v>
      </c>
      <c r="C2064" s="10" t="s">
        <v>1323</v>
      </c>
      <c r="D2064" s="504">
        <v>29.78</v>
      </c>
      <c r="E2064" s="504">
        <f t="shared" si="32"/>
        <v>22.05925925925926</v>
      </c>
    </row>
    <row r="2065" spans="1:5" x14ac:dyDescent="0.25">
      <c r="A2065" s="10" t="s">
        <v>29897</v>
      </c>
      <c r="B2065" s="439" t="s">
        <v>2320</v>
      </c>
      <c r="C2065" s="10" t="s">
        <v>1323</v>
      </c>
      <c r="D2065" s="504">
        <v>228.87</v>
      </c>
      <c r="E2065" s="504">
        <f t="shared" si="32"/>
        <v>169.53333333333333</v>
      </c>
    </row>
    <row r="2066" spans="1:5" x14ac:dyDescent="0.25">
      <c r="A2066" s="10" t="s">
        <v>29898</v>
      </c>
      <c r="B2066" s="439" t="s">
        <v>2321</v>
      </c>
      <c r="C2066" s="10" t="s">
        <v>1323</v>
      </c>
      <c r="D2066" s="504">
        <v>343.93</v>
      </c>
      <c r="E2066" s="504">
        <f t="shared" si="32"/>
        <v>254.76296296296294</v>
      </c>
    </row>
    <row r="2067" spans="1:5" x14ac:dyDescent="0.25">
      <c r="A2067" s="10" t="s">
        <v>29899</v>
      </c>
      <c r="B2067" s="439" t="s">
        <v>2322</v>
      </c>
      <c r="C2067" s="10" t="s">
        <v>1323</v>
      </c>
      <c r="D2067" s="504">
        <v>469.55</v>
      </c>
      <c r="E2067" s="504">
        <f t="shared" si="32"/>
        <v>347.81481481481478</v>
      </c>
    </row>
    <row r="2068" spans="1:5" x14ac:dyDescent="0.25">
      <c r="A2068" s="10" t="s">
        <v>29900</v>
      </c>
      <c r="B2068" s="439" t="s">
        <v>2323</v>
      </c>
      <c r="C2068" s="10" t="s">
        <v>1323</v>
      </c>
      <c r="D2068" s="504">
        <v>510.7</v>
      </c>
      <c r="E2068" s="504">
        <f t="shared" si="32"/>
        <v>378.29629629629625</v>
      </c>
    </row>
    <row r="2069" spans="1:5" x14ac:dyDescent="0.25">
      <c r="A2069" s="10" t="s">
        <v>29901</v>
      </c>
      <c r="B2069" s="439" t="s">
        <v>2324</v>
      </c>
      <c r="C2069" s="10" t="s">
        <v>1323</v>
      </c>
      <c r="D2069" s="504">
        <v>615.62</v>
      </c>
      <c r="E2069" s="504">
        <f t="shared" si="32"/>
        <v>456.01481481481477</v>
      </c>
    </row>
    <row r="2070" spans="1:5" x14ac:dyDescent="0.25">
      <c r="A2070" s="10" t="s">
        <v>29902</v>
      </c>
      <c r="B2070" s="439" t="s">
        <v>2325</v>
      </c>
      <c r="C2070" s="10" t="s">
        <v>1323</v>
      </c>
      <c r="D2070" s="504">
        <v>1052.54</v>
      </c>
      <c r="E2070" s="504">
        <f t="shared" si="32"/>
        <v>779.65925925925922</v>
      </c>
    </row>
    <row r="2071" spans="1:5" x14ac:dyDescent="0.25">
      <c r="A2071" s="10" t="s">
        <v>29903</v>
      </c>
      <c r="B2071" s="439" t="s">
        <v>2326</v>
      </c>
      <c r="C2071" s="10" t="s">
        <v>1323</v>
      </c>
      <c r="D2071" s="504">
        <v>1255.08</v>
      </c>
      <c r="E2071" s="504">
        <f t="shared" si="32"/>
        <v>929.68888888888875</v>
      </c>
    </row>
    <row r="2072" spans="1:5" x14ac:dyDescent="0.25">
      <c r="A2072" s="10" t="s">
        <v>29904</v>
      </c>
      <c r="B2072" s="439" t="s">
        <v>2327</v>
      </c>
      <c r="C2072" s="10" t="s">
        <v>1323</v>
      </c>
      <c r="D2072" s="504">
        <v>1296.23</v>
      </c>
      <c r="E2072" s="504">
        <f t="shared" si="32"/>
        <v>960.17037037037028</v>
      </c>
    </row>
    <row r="2073" spans="1:5" x14ac:dyDescent="0.25">
      <c r="A2073" s="10" t="s">
        <v>29905</v>
      </c>
      <c r="B2073" s="439" t="s">
        <v>2328</v>
      </c>
      <c r="C2073" s="10" t="s">
        <v>1323</v>
      </c>
      <c r="D2073" s="504">
        <v>263.33999999999997</v>
      </c>
      <c r="E2073" s="504">
        <f t="shared" si="32"/>
        <v>195.06666666666663</v>
      </c>
    </row>
    <row r="2074" spans="1:5" x14ac:dyDescent="0.25">
      <c r="A2074" s="10" t="s">
        <v>29906</v>
      </c>
      <c r="B2074" s="439" t="s">
        <v>2329</v>
      </c>
      <c r="C2074" s="10" t="s">
        <v>1323</v>
      </c>
      <c r="D2074" s="504">
        <v>407.1</v>
      </c>
      <c r="E2074" s="504">
        <f t="shared" si="32"/>
        <v>301.55555555555554</v>
      </c>
    </row>
    <row r="2075" spans="1:5" x14ac:dyDescent="0.25">
      <c r="A2075" s="10" t="s">
        <v>29907</v>
      </c>
      <c r="B2075" s="439" t="s">
        <v>2330</v>
      </c>
      <c r="C2075" s="10" t="s">
        <v>1323</v>
      </c>
      <c r="D2075" s="504">
        <v>599.39</v>
      </c>
      <c r="E2075" s="504">
        <f t="shared" si="32"/>
        <v>443.99259259259253</v>
      </c>
    </row>
    <row r="2076" spans="1:5" x14ac:dyDescent="0.25">
      <c r="A2076" s="10" t="s">
        <v>29908</v>
      </c>
      <c r="B2076" s="439" t="s">
        <v>2331</v>
      </c>
      <c r="C2076" s="10" t="s">
        <v>1323</v>
      </c>
      <c r="D2076" s="504">
        <v>640.54</v>
      </c>
      <c r="E2076" s="504">
        <f t="shared" si="32"/>
        <v>474.474074074074</v>
      </c>
    </row>
    <row r="2077" spans="1:5" x14ac:dyDescent="0.25">
      <c r="A2077" s="10" t="s">
        <v>29909</v>
      </c>
      <c r="B2077" s="439" t="s">
        <v>2332</v>
      </c>
      <c r="C2077" s="10" t="s">
        <v>1323</v>
      </c>
      <c r="D2077" s="504">
        <v>300.64999999999998</v>
      </c>
      <c r="E2077" s="504">
        <f t="shared" si="32"/>
        <v>222.70370370370367</v>
      </c>
    </row>
    <row r="2078" spans="1:5" x14ac:dyDescent="0.25">
      <c r="A2078" s="10" t="s">
        <v>29910</v>
      </c>
      <c r="B2078" s="439" t="s">
        <v>2333</v>
      </c>
      <c r="C2078" s="10" t="s">
        <v>1323</v>
      </c>
      <c r="D2078" s="504">
        <v>475.46</v>
      </c>
      <c r="E2078" s="504">
        <f t="shared" si="32"/>
        <v>352.19259259259258</v>
      </c>
    </row>
    <row r="2079" spans="1:5" x14ac:dyDescent="0.25">
      <c r="A2079" s="10" t="s">
        <v>29911</v>
      </c>
      <c r="B2079" s="439" t="s">
        <v>2334</v>
      </c>
      <c r="C2079" s="10" t="s">
        <v>1323</v>
      </c>
      <c r="D2079" s="504">
        <v>623.30999999999995</v>
      </c>
      <c r="E2079" s="504">
        <f t="shared" si="32"/>
        <v>461.71111111111105</v>
      </c>
    </row>
    <row r="2080" spans="1:5" x14ac:dyDescent="0.25">
      <c r="A2080" s="10" t="s">
        <v>29912</v>
      </c>
      <c r="B2080" s="439" t="s">
        <v>2335</v>
      </c>
      <c r="C2080" s="10" t="s">
        <v>1323</v>
      </c>
      <c r="D2080" s="504">
        <v>664.46</v>
      </c>
      <c r="E2080" s="504">
        <f t="shared" si="32"/>
        <v>492.19259259259258</v>
      </c>
    </row>
    <row r="2081" spans="1:5" x14ac:dyDescent="0.25">
      <c r="A2081" s="10" t="s">
        <v>29913</v>
      </c>
      <c r="B2081" s="439" t="s">
        <v>2336</v>
      </c>
      <c r="C2081" s="10" t="s">
        <v>1323</v>
      </c>
      <c r="D2081" s="504">
        <v>740.78</v>
      </c>
      <c r="E2081" s="504">
        <f t="shared" si="32"/>
        <v>548.72592592592582</v>
      </c>
    </row>
    <row r="2082" spans="1:5" x14ac:dyDescent="0.25">
      <c r="A2082" s="10" t="s">
        <v>29914</v>
      </c>
      <c r="B2082" s="439" t="s">
        <v>2337</v>
      </c>
      <c r="C2082" s="10" t="s">
        <v>1323</v>
      </c>
      <c r="D2082" s="504">
        <v>1067.6400000000001</v>
      </c>
      <c r="E2082" s="504">
        <f t="shared" si="32"/>
        <v>790.84444444444443</v>
      </c>
    </row>
    <row r="2083" spans="1:5" x14ac:dyDescent="0.25">
      <c r="A2083" s="10" t="s">
        <v>29915</v>
      </c>
      <c r="B2083" s="439" t="s">
        <v>2338</v>
      </c>
      <c r="C2083" s="10" t="s">
        <v>1323</v>
      </c>
      <c r="D2083" s="504">
        <v>1362.47</v>
      </c>
      <c r="E2083" s="504">
        <f t="shared" si="32"/>
        <v>1009.237037037037</v>
      </c>
    </row>
    <row r="2084" spans="1:5" x14ac:dyDescent="0.25">
      <c r="A2084" s="10" t="s">
        <v>29916</v>
      </c>
      <c r="B2084" s="439" t="s">
        <v>2339</v>
      </c>
      <c r="C2084" s="10" t="s">
        <v>1323</v>
      </c>
      <c r="D2084" s="504">
        <v>1489.57</v>
      </c>
      <c r="E2084" s="504">
        <f t="shared" si="32"/>
        <v>1103.385185185185</v>
      </c>
    </row>
    <row r="2085" spans="1:5" x14ac:dyDescent="0.25">
      <c r="A2085" s="10" t="s">
        <v>29917</v>
      </c>
      <c r="B2085" s="439" t="s">
        <v>2340</v>
      </c>
      <c r="C2085" s="10" t="s">
        <v>1323</v>
      </c>
      <c r="D2085" s="504">
        <v>28.22</v>
      </c>
      <c r="E2085" s="504">
        <f t="shared" si="32"/>
        <v>20.903703703703702</v>
      </c>
    </row>
    <row r="2086" spans="1:5" x14ac:dyDescent="0.25">
      <c r="A2086" s="10" t="s">
        <v>29918</v>
      </c>
      <c r="B2086" s="439" t="s">
        <v>2341</v>
      </c>
      <c r="C2086" s="10" t="s">
        <v>1323</v>
      </c>
      <c r="D2086" s="504">
        <v>3.19</v>
      </c>
      <c r="E2086" s="504">
        <f t="shared" si="32"/>
        <v>2.3629629629629627</v>
      </c>
    </row>
    <row r="2087" spans="1:5" x14ac:dyDescent="0.25">
      <c r="A2087" s="10" t="s">
        <v>29919</v>
      </c>
      <c r="B2087" s="439" t="s">
        <v>2342</v>
      </c>
      <c r="C2087" s="10" t="s">
        <v>1323</v>
      </c>
      <c r="D2087" s="504">
        <v>7.56</v>
      </c>
      <c r="E2087" s="504">
        <f t="shared" si="32"/>
        <v>5.6</v>
      </c>
    </row>
    <row r="2088" spans="1:5" x14ac:dyDescent="0.25">
      <c r="A2088" s="10" t="s">
        <v>29920</v>
      </c>
      <c r="B2088" s="439" t="s">
        <v>2425</v>
      </c>
      <c r="C2088" s="10" t="s">
        <v>1323</v>
      </c>
      <c r="D2088" s="504">
        <v>34.299999999999997</v>
      </c>
      <c r="E2088" s="504">
        <f t="shared" si="32"/>
        <v>25.407407407407405</v>
      </c>
    </row>
    <row r="2089" spans="1:5" x14ac:dyDescent="0.25">
      <c r="A2089" s="10" t="s">
        <v>29921</v>
      </c>
      <c r="B2089" s="439" t="s">
        <v>2343</v>
      </c>
      <c r="C2089" s="10" t="s">
        <v>1323</v>
      </c>
      <c r="D2089" s="504">
        <v>26.74</v>
      </c>
      <c r="E2089" s="504">
        <f t="shared" si="32"/>
        <v>19.807407407407403</v>
      </c>
    </row>
    <row r="2090" spans="1:5" x14ac:dyDescent="0.25">
      <c r="A2090" s="10" t="s">
        <v>29922</v>
      </c>
      <c r="B2090" s="439" t="s">
        <v>2344</v>
      </c>
      <c r="C2090" s="10" t="s">
        <v>1323</v>
      </c>
      <c r="D2090" s="504">
        <v>6.51</v>
      </c>
      <c r="E2090" s="504">
        <f t="shared" si="32"/>
        <v>4.822222222222222</v>
      </c>
    </row>
    <row r="2091" spans="1:5" x14ac:dyDescent="0.25">
      <c r="A2091" s="10" t="s">
        <v>29923</v>
      </c>
      <c r="B2091" s="439" t="s">
        <v>2345</v>
      </c>
      <c r="C2091" s="10" t="s">
        <v>1323</v>
      </c>
      <c r="D2091" s="504">
        <v>4.92</v>
      </c>
      <c r="E2091" s="504">
        <f t="shared" si="32"/>
        <v>3.6444444444444439</v>
      </c>
    </row>
    <row r="2092" spans="1:5" x14ac:dyDescent="0.25">
      <c r="A2092" s="10" t="s">
        <v>29924</v>
      </c>
      <c r="B2092" s="439" t="s">
        <v>2346</v>
      </c>
      <c r="C2092" s="10" t="s">
        <v>1323</v>
      </c>
      <c r="D2092" s="504">
        <v>31.66</v>
      </c>
      <c r="E2092" s="504">
        <f t="shared" si="32"/>
        <v>23.451851851851849</v>
      </c>
    </row>
    <row r="2093" spans="1:5" x14ac:dyDescent="0.25">
      <c r="A2093" s="10" t="s">
        <v>29925</v>
      </c>
      <c r="B2093" s="439" t="s">
        <v>2347</v>
      </c>
      <c r="C2093" s="10" t="s">
        <v>1323</v>
      </c>
      <c r="D2093" s="504">
        <v>54.96</v>
      </c>
      <c r="E2093" s="504">
        <f t="shared" si="32"/>
        <v>40.711111111111109</v>
      </c>
    </row>
    <row r="2094" spans="1:5" x14ac:dyDescent="0.25">
      <c r="A2094" s="10" t="s">
        <v>29926</v>
      </c>
      <c r="B2094" s="439" t="s">
        <v>2348</v>
      </c>
      <c r="C2094" s="10" t="s">
        <v>1323</v>
      </c>
      <c r="D2094" s="504">
        <v>54.49</v>
      </c>
      <c r="E2094" s="504">
        <f t="shared" si="32"/>
        <v>40.36296296296296</v>
      </c>
    </row>
    <row r="2095" spans="1:5" x14ac:dyDescent="0.25">
      <c r="A2095" s="10" t="s">
        <v>29927</v>
      </c>
      <c r="B2095" s="439" t="s">
        <v>2349</v>
      </c>
      <c r="C2095" s="10" t="s">
        <v>1323</v>
      </c>
      <c r="D2095" s="504">
        <v>62.68</v>
      </c>
      <c r="E2095" s="504">
        <f t="shared" si="32"/>
        <v>46.429629629629623</v>
      </c>
    </row>
    <row r="2096" spans="1:5" x14ac:dyDescent="0.25">
      <c r="A2096" s="10" t="s">
        <v>29928</v>
      </c>
      <c r="B2096" s="439" t="s">
        <v>2350</v>
      </c>
      <c r="C2096" s="10" t="s">
        <v>1323</v>
      </c>
      <c r="D2096" s="504">
        <v>89.43</v>
      </c>
      <c r="E2096" s="504">
        <f t="shared" si="32"/>
        <v>66.24444444444444</v>
      </c>
    </row>
    <row r="2097" spans="1:5" x14ac:dyDescent="0.25">
      <c r="A2097" s="10" t="s">
        <v>29929</v>
      </c>
      <c r="B2097" s="439" t="s">
        <v>2351</v>
      </c>
      <c r="C2097" s="10" t="s">
        <v>1323</v>
      </c>
      <c r="D2097" s="504">
        <v>193.2</v>
      </c>
      <c r="E2097" s="504">
        <f t="shared" si="32"/>
        <v>143.11111111111109</v>
      </c>
    </row>
    <row r="2098" spans="1:5" x14ac:dyDescent="0.25">
      <c r="A2098" s="10" t="s">
        <v>29930</v>
      </c>
      <c r="B2098" s="439" t="s">
        <v>2352</v>
      </c>
      <c r="C2098" s="10" t="s">
        <v>1323</v>
      </c>
      <c r="D2098" s="504">
        <v>21.91</v>
      </c>
      <c r="E2098" s="504">
        <f t="shared" si="32"/>
        <v>16.229629629629628</v>
      </c>
    </row>
    <row r="2099" spans="1:5" x14ac:dyDescent="0.25">
      <c r="A2099" s="10" t="s">
        <v>29931</v>
      </c>
      <c r="B2099" s="439" t="s">
        <v>2353</v>
      </c>
      <c r="C2099" s="10" t="s">
        <v>1323</v>
      </c>
      <c r="D2099" s="504">
        <v>308.5</v>
      </c>
      <c r="E2099" s="504">
        <f t="shared" si="32"/>
        <v>228.5185185185185</v>
      </c>
    </row>
    <row r="2100" spans="1:5" x14ac:dyDescent="0.25">
      <c r="A2100" s="10" t="s">
        <v>29932</v>
      </c>
      <c r="B2100" s="439" t="s">
        <v>2354</v>
      </c>
      <c r="C2100" s="10" t="s">
        <v>1323</v>
      </c>
      <c r="D2100" s="504">
        <v>491.03</v>
      </c>
      <c r="E2100" s="504">
        <f t="shared" si="32"/>
        <v>363.72592592592588</v>
      </c>
    </row>
    <row r="2101" spans="1:5" x14ac:dyDescent="0.25">
      <c r="A2101" s="10" t="s">
        <v>29933</v>
      </c>
      <c r="B2101" s="439" t="s">
        <v>2355</v>
      </c>
      <c r="C2101" s="10" t="s">
        <v>1323</v>
      </c>
      <c r="D2101" s="504">
        <v>127.85</v>
      </c>
      <c r="E2101" s="504">
        <f t="shared" si="32"/>
        <v>94.703703703703695</v>
      </c>
    </row>
    <row r="2102" spans="1:5" x14ac:dyDescent="0.25">
      <c r="A2102" s="10" t="s">
        <v>29934</v>
      </c>
      <c r="B2102" s="439" t="s">
        <v>2356</v>
      </c>
      <c r="C2102" s="10" t="s">
        <v>1323</v>
      </c>
      <c r="D2102" s="504">
        <v>1.54</v>
      </c>
      <c r="E2102" s="504">
        <f t="shared" si="32"/>
        <v>1.1407407407407406</v>
      </c>
    </row>
    <row r="2103" spans="1:5" x14ac:dyDescent="0.25">
      <c r="A2103" s="10" t="s">
        <v>29935</v>
      </c>
      <c r="B2103" s="439" t="s">
        <v>2357</v>
      </c>
      <c r="C2103" s="10" t="s">
        <v>1323</v>
      </c>
      <c r="D2103" s="504">
        <v>105.5</v>
      </c>
      <c r="E2103" s="504">
        <f t="shared" si="32"/>
        <v>78.148148148148138</v>
      </c>
    </row>
    <row r="2104" spans="1:5" x14ac:dyDescent="0.25">
      <c r="A2104" s="10" t="s">
        <v>29936</v>
      </c>
      <c r="B2104" s="439" t="s">
        <v>2358</v>
      </c>
      <c r="C2104" s="10" t="s">
        <v>1323</v>
      </c>
      <c r="D2104" s="504">
        <v>232.6</v>
      </c>
      <c r="E2104" s="504">
        <f t="shared" si="32"/>
        <v>172.29629629629628</v>
      </c>
    </row>
    <row r="2105" spans="1:5" x14ac:dyDescent="0.25">
      <c r="A2105" s="10" t="s">
        <v>29937</v>
      </c>
      <c r="B2105" s="439" t="s">
        <v>2359</v>
      </c>
      <c r="C2105" s="10" t="s">
        <v>1323</v>
      </c>
      <c r="D2105" s="504">
        <v>232.77</v>
      </c>
      <c r="E2105" s="504">
        <f t="shared" si="32"/>
        <v>172.42222222222222</v>
      </c>
    </row>
    <row r="2106" spans="1:5" x14ac:dyDescent="0.25">
      <c r="A2106" s="10" t="s">
        <v>29938</v>
      </c>
      <c r="B2106" s="439" t="s">
        <v>2360</v>
      </c>
      <c r="C2106" s="10" t="s">
        <v>1323</v>
      </c>
      <c r="D2106" s="504">
        <v>46.27</v>
      </c>
      <c r="E2106" s="504">
        <f t="shared" si="32"/>
        <v>34.274074074074072</v>
      </c>
    </row>
    <row r="2107" spans="1:5" x14ac:dyDescent="0.25">
      <c r="A2107" s="10" t="s">
        <v>29939</v>
      </c>
      <c r="B2107" s="439" t="s">
        <v>2361</v>
      </c>
      <c r="C2107" s="10" t="s">
        <v>1323</v>
      </c>
      <c r="D2107" s="504">
        <v>300.39999999999998</v>
      </c>
      <c r="E2107" s="504">
        <f t="shared" si="32"/>
        <v>222.51851851851848</v>
      </c>
    </row>
    <row r="2108" spans="1:5" x14ac:dyDescent="0.25">
      <c r="A2108" s="10" t="s">
        <v>29940</v>
      </c>
      <c r="B2108" s="439" t="s">
        <v>2362</v>
      </c>
      <c r="C2108" s="10" t="s">
        <v>1323</v>
      </c>
      <c r="D2108" s="504">
        <v>510.66</v>
      </c>
      <c r="E2108" s="504">
        <f t="shared" si="32"/>
        <v>378.26666666666665</v>
      </c>
    </row>
    <row r="2109" spans="1:5" x14ac:dyDescent="0.25">
      <c r="A2109" s="10" t="s">
        <v>29941</v>
      </c>
      <c r="B2109" s="439" t="s">
        <v>2363</v>
      </c>
      <c r="C2109" s="10" t="s">
        <v>1323</v>
      </c>
      <c r="D2109" s="504">
        <v>259.8</v>
      </c>
      <c r="E2109" s="504">
        <f t="shared" si="32"/>
        <v>192.44444444444443</v>
      </c>
    </row>
    <row r="2110" spans="1:5" x14ac:dyDescent="0.25">
      <c r="A2110" s="10" t="s">
        <v>29942</v>
      </c>
      <c r="B2110" s="439" t="s">
        <v>2364</v>
      </c>
      <c r="C2110" s="10" t="s">
        <v>1323</v>
      </c>
      <c r="D2110" s="504">
        <v>272.66000000000003</v>
      </c>
      <c r="E2110" s="504">
        <f t="shared" si="32"/>
        <v>201.97037037037038</v>
      </c>
    </row>
    <row r="2111" spans="1:5" x14ac:dyDescent="0.25">
      <c r="A2111" s="10" t="s">
        <v>29943</v>
      </c>
      <c r="B2111" s="439" t="s">
        <v>2365</v>
      </c>
      <c r="C2111" s="10" t="s">
        <v>1323</v>
      </c>
      <c r="D2111" s="504">
        <v>623.22</v>
      </c>
      <c r="E2111" s="504">
        <f t="shared" si="32"/>
        <v>461.64444444444445</v>
      </c>
    </row>
    <row r="2112" spans="1:5" x14ac:dyDescent="0.25">
      <c r="A2112" s="10" t="s">
        <v>29944</v>
      </c>
      <c r="B2112" s="439" t="s">
        <v>2366</v>
      </c>
      <c r="C2112" s="10" t="s">
        <v>1323</v>
      </c>
      <c r="D2112" s="504">
        <v>750.31</v>
      </c>
      <c r="E2112" s="504">
        <f t="shared" si="32"/>
        <v>555.78518518518513</v>
      </c>
    </row>
    <row r="2113" spans="1:5" x14ac:dyDescent="0.25">
      <c r="A2113" s="10" t="s">
        <v>29945</v>
      </c>
      <c r="B2113" s="439" t="s">
        <v>2367</v>
      </c>
      <c r="C2113" s="10" t="s">
        <v>1323</v>
      </c>
      <c r="D2113" s="504">
        <v>128.13999999999999</v>
      </c>
      <c r="E2113" s="504">
        <f t="shared" si="32"/>
        <v>94.918518518518496</v>
      </c>
    </row>
    <row r="2114" spans="1:5" x14ac:dyDescent="0.25">
      <c r="A2114" s="10" t="s">
        <v>29946</v>
      </c>
      <c r="B2114" s="439" t="s">
        <v>2368</v>
      </c>
      <c r="C2114" s="10" t="s">
        <v>1323</v>
      </c>
      <c r="D2114" s="504">
        <v>2.15</v>
      </c>
      <c r="E2114" s="504">
        <f t="shared" si="32"/>
        <v>1.5925925925925923</v>
      </c>
    </row>
    <row r="2115" spans="1:5" x14ac:dyDescent="0.25">
      <c r="A2115" s="10" t="s">
        <v>29947</v>
      </c>
      <c r="B2115" s="439" t="s">
        <v>2369</v>
      </c>
      <c r="C2115" s="10" t="s">
        <v>1323</v>
      </c>
      <c r="D2115" s="504">
        <v>106.14</v>
      </c>
      <c r="E2115" s="504">
        <f t="shared" si="32"/>
        <v>78.62222222222222</v>
      </c>
    </row>
    <row r="2116" spans="1:5" x14ac:dyDescent="0.25">
      <c r="A2116" s="10" t="s">
        <v>29948</v>
      </c>
      <c r="B2116" s="439" t="s">
        <v>2370</v>
      </c>
      <c r="C2116" s="10" t="s">
        <v>1323</v>
      </c>
      <c r="D2116" s="504">
        <v>233.24</v>
      </c>
      <c r="E2116" s="504">
        <f t="shared" si="32"/>
        <v>172.77037037037036</v>
      </c>
    </row>
    <row r="2117" spans="1:5" x14ac:dyDescent="0.25">
      <c r="A2117" s="10" t="s">
        <v>29949</v>
      </c>
      <c r="B2117" s="439" t="s">
        <v>2371</v>
      </c>
      <c r="C2117" s="10" t="s">
        <v>1323</v>
      </c>
      <c r="D2117" s="504">
        <v>8.94</v>
      </c>
      <c r="E2117" s="504">
        <f t="shared" si="32"/>
        <v>6.6222222222222218</v>
      </c>
    </row>
    <row r="2118" spans="1:5" x14ac:dyDescent="0.25">
      <c r="A2118" s="10" t="s">
        <v>29950</v>
      </c>
      <c r="B2118" s="439" t="s">
        <v>2372</v>
      </c>
      <c r="C2118" s="10" t="s">
        <v>1323</v>
      </c>
      <c r="D2118" s="504">
        <v>10.46</v>
      </c>
      <c r="E2118" s="504">
        <f t="shared" si="32"/>
        <v>7.7481481481481485</v>
      </c>
    </row>
    <row r="2119" spans="1:5" x14ac:dyDescent="0.25">
      <c r="A2119" s="10" t="s">
        <v>29951</v>
      </c>
      <c r="B2119" s="439" t="s">
        <v>2373</v>
      </c>
      <c r="C2119" s="10" t="s">
        <v>1323</v>
      </c>
      <c r="D2119" s="504">
        <v>10.46</v>
      </c>
      <c r="E2119" s="504">
        <f t="shared" si="32"/>
        <v>7.7481481481481485</v>
      </c>
    </row>
    <row r="2120" spans="1:5" x14ac:dyDescent="0.25">
      <c r="A2120" s="10" t="s">
        <v>29952</v>
      </c>
      <c r="B2120" s="439" t="s">
        <v>2374</v>
      </c>
      <c r="C2120" s="10" t="s">
        <v>1323</v>
      </c>
      <c r="D2120" s="504">
        <v>10.46</v>
      </c>
      <c r="E2120" s="504">
        <f t="shared" si="32"/>
        <v>7.7481481481481485</v>
      </c>
    </row>
    <row r="2121" spans="1:5" x14ac:dyDescent="0.25">
      <c r="A2121" s="10" t="s">
        <v>29953</v>
      </c>
      <c r="B2121" s="439" t="s">
        <v>2375</v>
      </c>
      <c r="C2121" s="10" t="s">
        <v>1323</v>
      </c>
      <c r="D2121" s="504">
        <v>3.01</v>
      </c>
      <c r="E2121" s="504">
        <f t="shared" si="32"/>
        <v>2.2296296296296294</v>
      </c>
    </row>
    <row r="2122" spans="1:5" x14ac:dyDescent="0.25">
      <c r="A2122" s="10" t="s">
        <v>29954</v>
      </c>
      <c r="B2122" s="439" t="s">
        <v>2376</v>
      </c>
      <c r="C2122" s="10" t="s">
        <v>1323</v>
      </c>
      <c r="D2122" s="504">
        <v>3.53</v>
      </c>
      <c r="E2122" s="504">
        <f t="shared" si="32"/>
        <v>2.6148148148148147</v>
      </c>
    </row>
    <row r="2123" spans="1:5" x14ac:dyDescent="0.25">
      <c r="A2123" s="10" t="s">
        <v>29955</v>
      </c>
      <c r="B2123" s="439" t="s">
        <v>2377</v>
      </c>
      <c r="C2123" s="10" t="s">
        <v>1323</v>
      </c>
      <c r="D2123" s="504">
        <v>3.53</v>
      </c>
      <c r="E2123" s="504">
        <f t="shared" ref="E2123:E2137" si="33">D2123/(1+$G$4)</f>
        <v>2.6148148148148147</v>
      </c>
    </row>
    <row r="2124" spans="1:5" x14ac:dyDescent="0.25">
      <c r="A2124" s="10" t="s">
        <v>29956</v>
      </c>
      <c r="B2124" s="439" t="s">
        <v>2378</v>
      </c>
      <c r="C2124" s="10" t="s">
        <v>1323</v>
      </c>
      <c r="D2124" s="504">
        <v>3.53</v>
      </c>
      <c r="E2124" s="504">
        <f t="shared" si="33"/>
        <v>2.6148148148148147</v>
      </c>
    </row>
    <row r="2125" spans="1:5" x14ac:dyDescent="0.25">
      <c r="A2125" s="10" t="s">
        <v>29957</v>
      </c>
      <c r="B2125" s="439" t="s">
        <v>2379</v>
      </c>
      <c r="C2125" s="10" t="s">
        <v>1323</v>
      </c>
      <c r="D2125" s="504">
        <v>4.57</v>
      </c>
      <c r="E2125" s="504">
        <f t="shared" si="33"/>
        <v>3.3851851851851853</v>
      </c>
    </row>
    <row r="2126" spans="1:5" x14ac:dyDescent="0.25">
      <c r="A2126" s="10" t="s">
        <v>29958</v>
      </c>
      <c r="B2126" s="439" t="s">
        <v>2380</v>
      </c>
      <c r="C2126" s="10" t="s">
        <v>1323</v>
      </c>
      <c r="D2126" s="504">
        <v>5.35</v>
      </c>
      <c r="E2126" s="504">
        <f t="shared" si="33"/>
        <v>3.9629629629629624</v>
      </c>
    </row>
    <row r="2127" spans="1:5" x14ac:dyDescent="0.25">
      <c r="A2127" s="10" t="s">
        <v>29959</v>
      </c>
      <c r="B2127" s="439" t="s">
        <v>2381</v>
      </c>
      <c r="C2127" s="10" t="s">
        <v>1323</v>
      </c>
      <c r="D2127" s="504">
        <v>69.260000000000005</v>
      </c>
      <c r="E2127" s="504">
        <f t="shared" si="33"/>
        <v>51.303703703703704</v>
      </c>
    </row>
    <row r="2128" spans="1:5" x14ac:dyDescent="0.25">
      <c r="A2128" s="10" t="s">
        <v>29960</v>
      </c>
      <c r="B2128" s="439" t="s">
        <v>2382</v>
      </c>
      <c r="C2128" s="10" t="s">
        <v>1323</v>
      </c>
      <c r="D2128" s="504">
        <v>69.260000000000005</v>
      </c>
      <c r="E2128" s="504">
        <f t="shared" si="33"/>
        <v>51.303703703703704</v>
      </c>
    </row>
    <row r="2129" spans="1:5" x14ac:dyDescent="0.25">
      <c r="A2129" s="10" t="s">
        <v>29961</v>
      </c>
      <c r="B2129" s="439" t="s">
        <v>2383</v>
      </c>
      <c r="C2129" s="10" t="s">
        <v>1323</v>
      </c>
      <c r="D2129" s="504">
        <v>29.97</v>
      </c>
      <c r="E2129" s="504">
        <f t="shared" si="33"/>
        <v>22.2</v>
      </c>
    </row>
    <row r="2130" spans="1:5" x14ac:dyDescent="0.25">
      <c r="A2130" s="10" t="s">
        <v>29962</v>
      </c>
      <c r="B2130" s="439" t="s">
        <v>2384</v>
      </c>
      <c r="C2130" s="10" t="s">
        <v>1323</v>
      </c>
      <c r="D2130" s="504">
        <v>6.24</v>
      </c>
      <c r="E2130" s="504">
        <f t="shared" si="33"/>
        <v>4.6222222222222218</v>
      </c>
    </row>
    <row r="2131" spans="1:5" x14ac:dyDescent="0.25">
      <c r="A2131" s="10" t="s">
        <v>29963</v>
      </c>
      <c r="B2131" s="439" t="s">
        <v>2385</v>
      </c>
      <c r="C2131" s="10" t="s">
        <v>1323</v>
      </c>
      <c r="D2131" s="504">
        <v>14.83</v>
      </c>
      <c r="E2131" s="504">
        <f t="shared" si="33"/>
        <v>10.985185185185184</v>
      </c>
    </row>
    <row r="2132" spans="1:5" x14ac:dyDescent="0.25">
      <c r="A2132" s="10" t="s">
        <v>29964</v>
      </c>
      <c r="B2132" s="439" t="s">
        <v>2386</v>
      </c>
      <c r="C2132" s="10" t="s">
        <v>1323</v>
      </c>
      <c r="D2132" s="504">
        <v>41.58</v>
      </c>
      <c r="E2132" s="504">
        <f t="shared" si="33"/>
        <v>30.799999999999997</v>
      </c>
    </row>
    <row r="2133" spans="1:5" x14ac:dyDescent="0.25">
      <c r="A2133" s="10" t="s">
        <v>29965</v>
      </c>
      <c r="B2133" s="439" t="s">
        <v>2426</v>
      </c>
      <c r="C2133" s="10" t="s">
        <v>1323</v>
      </c>
      <c r="D2133" s="504">
        <v>129.88999999999999</v>
      </c>
      <c r="E2133" s="504">
        <f t="shared" si="33"/>
        <v>96.214814814814801</v>
      </c>
    </row>
    <row r="2134" spans="1:5" x14ac:dyDescent="0.25">
      <c r="A2134" s="10" t="s">
        <v>29966</v>
      </c>
      <c r="B2134" s="439" t="s">
        <v>2426</v>
      </c>
      <c r="C2134" s="10" t="s">
        <v>1323</v>
      </c>
      <c r="D2134" s="504">
        <v>6</v>
      </c>
      <c r="E2134" s="504">
        <f t="shared" si="33"/>
        <v>4.4444444444444438</v>
      </c>
    </row>
    <row r="2135" spans="1:5" x14ac:dyDescent="0.25">
      <c r="A2135" s="10" t="s">
        <v>29967</v>
      </c>
      <c r="B2135" s="439" t="s">
        <v>2426</v>
      </c>
      <c r="C2135" s="10" t="s">
        <v>1323</v>
      </c>
      <c r="D2135" s="504">
        <v>377.39</v>
      </c>
      <c r="E2135" s="504">
        <f t="shared" si="33"/>
        <v>279.54814814814813</v>
      </c>
    </row>
    <row r="2136" spans="1:5" x14ac:dyDescent="0.25">
      <c r="A2136" s="10" t="s">
        <v>29968</v>
      </c>
      <c r="B2136" s="439" t="s">
        <v>2426</v>
      </c>
      <c r="C2136" s="10" t="s">
        <v>1323</v>
      </c>
      <c r="D2136" s="504">
        <v>501.35</v>
      </c>
      <c r="E2136" s="504">
        <f t="shared" si="33"/>
        <v>371.37037037037038</v>
      </c>
    </row>
    <row r="2137" spans="1:5" ht="30" x14ac:dyDescent="0.25">
      <c r="A2137" s="10" t="s">
        <v>29969</v>
      </c>
      <c r="B2137" s="439" t="s">
        <v>2427</v>
      </c>
      <c r="C2137" s="10" t="s">
        <v>1323</v>
      </c>
      <c r="D2137" s="504">
        <v>116.72</v>
      </c>
      <c r="E2137" s="504">
        <f t="shared" si="33"/>
        <v>86.459259259259255</v>
      </c>
    </row>
    <row r="2138" spans="1:5" ht="30" x14ac:dyDescent="0.25">
      <c r="A2138" s="10" t="s">
        <v>29970</v>
      </c>
      <c r="B2138" s="439" t="s">
        <v>2427</v>
      </c>
      <c r="C2138" s="10" t="s">
        <v>1323</v>
      </c>
      <c r="D2138" s="504">
        <v>100.39</v>
      </c>
      <c r="E2138" s="504"/>
    </row>
    <row r="2139" spans="1:5" ht="30" x14ac:dyDescent="0.25">
      <c r="A2139" s="10" t="s">
        <v>29971</v>
      </c>
      <c r="B2139" s="439" t="s">
        <v>2427</v>
      </c>
      <c r="C2139" s="10" t="s">
        <v>1323</v>
      </c>
      <c r="D2139" s="504">
        <v>100.39</v>
      </c>
      <c r="E2139" s="504"/>
    </row>
    <row r="2140" spans="1:5" ht="30" x14ac:dyDescent="0.25">
      <c r="A2140" s="10" t="s">
        <v>29972</v>
      </c>
      <c r="B2140" s="439" t="s">
        <v>2427</v>
      </c>
      <c r="C2140" s="10" t="s">
        <v>1323</v>
      </c>
      <c r="D2140" s="504">
        <v>117.96</v>
      </c>
      <c r="E2140" s="504"/>
    </row>
    <row r="2141" spans="1:5" ht="30" x14ac:dyDescent="0.25">
      <c r="A2141" s="10" t="s">
        <v>29973</v>
      </c>
      <c r="B2141" s="439" t="s">
        <v>2428</v>
      </c>
      <c r="C2141" s="10" t="s">
        <v>1323</v>
      </c>
      <c r="D2141" s="504">
        <v>47.46</v>
      </c>
      <c r="E2141" s="504"/>
    </row>
    <row r="2142" spans="1:5" ht="30" x14ac:dyDescent="0.25">
      <c r="A2142" s="10" t="s">
        <v>29974</v>
      </c>
      <c r="B2142" s="439" t="s">
        <v>2428</v>
      </c>
      <c r="C2142" s="10" t="s">
        <v>1323</v>
      </c>
      <c r="D2142" s="504">
        <v>33.39</v>
      </c>
      <c r="E2142" s="504"/>
    </row>
    <row r="2143" spans="1:5" ht="30" x14ac:dyDescent="0.25">
      <c r="A2143" s="10" t="s">
        <v>29975</v>
      </c>
      <c r="B2143" s="439" t="s">
        <v>2428</v>
      </c>
      <c r="C2143" s="10" t="s">
        <v>1323</v>
      </c>
      <c r="D2143" s="504">
        <v>33.39</v>
      </c>
      <c r="E2143" s="504"/>
    </row>
    <row r="2144" spans="1:5" ht="30" x14ac:dyDescent="0.25">
      <c r="A2144" s="10" t="s">
        <v>29976</v>
      </c>
      <c r="B2144" s="439" t="s">
        <v>2429</v>
      </c>
      <c r="C2144" s="10" t="s">
        <v>1323</v>
      </c>
      <c r="D2144" s="504">
        <v>48.03</v>
      </c>
      <c r="E2144" s="504"/>
    </row>
    <row r="2145" spans="1:5" x14ac:dyDescent="0.25">
      <c r="A2145" s="10"/>
      <c r="B2145" s="439"/>
      <c r="C2145" s="10"/>
      <c r="D2145" s="504"/>
      <c r="E2145" s="504"/>
    </row>
    <row r="2146" spans="1:5" x14ac:dyDescent="0.25">
      <c r="A2146" s="10"/>
      <c r="B2146" s="439"/>
      <c r="C2146" s="10"/>
      <c r="D2146" s="504"/>
      <c r="E2146" s="504"/>
    </row>
    <row r="2147" spans="1:5" x14ac:dyDescent="0.25">
      <c r="A2147" s="10"/>
      <c r="B2147" s="439"/>
      <c r="C2147" s="10"/>
      <c r="D2147" s="504"/>
      <c r="E2147" s="504"/>
    </row>
    <row r="2148" spans="1:5" x14ac:dyDescent="0.25">
      <c r="A2148" s="10"/>
      <c r="B2148" s="439"/>
      <c r="C2148" s="10"/>
      <c r="D2148" s="504"/>
      <c r="E2148" s="504"/>
    </row>
    <row r="2149" spans="1:5" x14ac:dyDescent="0.25">
      <c r="A2149" s="10"/>
      <c r="B2149" s="439"/>
      <c r="C2149" s="10"/>
      <c r="D2149" s="504"/>
      <c r="E2149" s="504"/>
    </row>
    <row r="2150" spans="1:5" x14ac:dyDescent="0.25">
      <c r="A2150" s="10"/>
      <c r="B2150" s="439"/>
      <c r="C2150" s="10"/>
      <c r="D2150" s="504"/>
      <c r="E2150" s="504"/>
    </row>
    <row r="2151" spans="1:5" x14ac:dyDescent="0.25">
      <c r="A2151" s="10"/>
      <c r="B2151" s="439"/>
      <c r="C2151" s="10"/>
      <c r="D2151" s="504"/>
      <c r="E2151" s="504"/>
    </row>
    <row r="2152" spans="1:5" x14ac:dyDescent="0.25">
      <c r="A2152" s="10"/>
      <c r="B2152" s="439"/>
      <c r="C2152" s="10"/>
      <c r="D2152" s="504"/>
      <c r="E2152" s="504"/>
    </row>
    <row r="2153" spans="1:5" x14ac:dyDescent="0.25">
      <c r="A2153" s="10"/>
      <c r="B2153" s="439"/>
      <c r="C2153" s="10"/>
      <c r="D2153" s="504"/>
      <c r="E2153" s="504"/>
    </row>
    <row r="2154" spans="1:5" x14ac:dyDescent="0.25">
      <c r="A2154" s="10"/>
      <c r="B2154" s="439"/>
      <c r="C2154" s="10"/>
      <c r="D2154" s="504"/>
      <c r="E2154" s="504"/>
    </row>
    <row r="2155" spans="1:5" x14ac:dyDescent="0.25">
      <c r="A2155" s="10"/>
      <c r="B2155" s="439"/>
      <c r="C2155" s="10"/>
      <c r="D2155" s="504"/>
      <c r="E2155" s="504"/>
    </row>
    <row r="2156" spans="1:5" x14ac:dyDescent="0.25">
      <c r="A2156" s="10"/>
      <c r="B2156" s="439"/>
      <c r="C2156" s="10"/>
      <c r="D2156" s="504"/>
      <c r="E2156" s="504"/>
    </row>
    <row r="2157" spans="1:5" x14ac:dyDescent="0.25">
      <c r="A2157" s="10"/>
      <c r="B2157" s="439"/>
      <c r="C2157" s="10"/>
      <c r="D2157" s="504"/>
      <c r="E2157" s="504"/>
    </row>
    <row r="2158" spans="1:5" x14ac:dyDescent="0.25">
      <c r="A2158" s="10"/>
      <c r="B2158" s="439"/>
      <c r="C2158" s="10"/>
      <c r="D2158" s="504"/>
      <c r="E2158" s="504"/>
    </row>
    <row r="2159" spans="1:5" x14ac:dyDescent="0.25">
      <c r="A2159" s="10"/>
      <c r="B2159" s="439"/>
      <c r="C2159" s="10"/>
      <c r="D2159" s="504"/>
      <c r="E2159" s="504"/>
    </row>
    <row r="2160" spans="1:5" x14ac:dyDescent="0.25">
      <c r="A2160" s="10"/>
      <c r="B2160" s="439"/>
      <c r="C2160" s="10"/>
      <c r="D2160" s="504"/>
      <c r="E2160" s="504"/>
    </row>
    <row r="2161" spans="1:5" x14ac:dyDescent="0.25">
      <c r="A2161" s="10"/>
      <c r="B2161" s="439"/>
      <c r="C2161" s="10"/>
      <c r="D2161" s="504"/>
      <c r="E2161" s="504"/>
    </row>
    <row r="2162" spans="1:5" x14ac:dyDescent="0.25">
      <c r="A2162" s="10"/>
      <c r="B2162" s="439"/>
      <c r="C2162" s="10"/>
      <c r="D2162" s="504"/>
      <c r="E2162" s="504"/>
    </row>
  </sheetData>
  <autoFilter ref="A8:D2162" xr:uid="{00000000-0009-0000-0000-000001000000}"/>
  <mergeCells count="5">
    <mergeCell ref="A1:D1"/>
    <mergeCell ref="A2:D2"/>
    <mergeCell ref="A4:D4"/>
    <mergeCell ref="A5:D5"/>
    <mergeCell ref="A6:C6"/>
  </mergeCells>
  <conditionalFormatting sqref="A10:A2162">
    <cfRule type="duplicateValues" dxfId="382" priority="1"/>
  </conditionalFormatting>
  <pageMargins left="0.511811024" right="0.511811024" top="0.78740157499999996" bottom="0.78740157499999996" header="0.31496062000000002" footer="0.31496062000000002"/>
  <pageSetup paperSize="9" scale="85"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7599-3623-45AE-B73D-422F75AC4C26}">
  <sheetPr>
    <tabColor theme="0" tint="-4.9989318521683403E-2"/>
  </sheetPr>
  <dimension ref="A1:E6348"/>
  <sheetViews>
    <sheetView showGridLines="0" zoomScale="160" zoomScaleNormal="160" workbookViewId="0">
      <selection activeCell="B4" sqref="B4"/>
    </sheetView>
  </sheetViews>
  <sheetFormatPr defaultRowHeight="15" x14ac:dyDescent="0.25"/>
  <cols>
    <col min="1" max="1" width="9.42578125" customWidth="1"/>
    <col min="2" max="2" width="76.5703125" customWidth="1"/>
    <col min="3" max="3" width="9.42578125" customWidth="1"/>
    <col min="4" max="4" width="10.5703125" customWidth="1"/>
    <col min="5" max="5" width="10.5703125" bestFit="1" customWidth="1"/>
  </cols>
  <sheetData>
    <row r="1" spans="1:4" x14ac:dyDescent="0.25">
      <c r="A1" s="1055" t="s">
        <v>21655</v>
      </c>
      <c r="B1" s="1276" t="s">
        <v>21656</v>
      </c>
      <c r="C1" s="1276"/>
      <c r="D1" s="1055" t="s">
        <v>21657</v>
      </c>
    </row>
    <row r="2" spans="1:4" ht="12" customHeight="1" x14ac:dyDescent="0.25">
      <c r="B2" s="1056" t="s">
        <v>21658</v>
      </c>
    </row>
    <row r="3" spans="1:4" ht="33.75" customHeight="1" x14ac:dyDescent="0.25">
      <c r="A3" s="1057" t="s">
        <v>9</v>
      </c>
      <c r="B3" s="1057" t="s">
        <v>21659</v>
      </c>
      <c r="C3" s="1057" t="s">
        <v>0</v>
      </c>
      <c r="D3" s="1058" t="s">
        <v>21660</v>
      </c>
    </row>
    <row r="4" spans="1:4" ht="9" customHeight="1" x14ac:dyDescent="0.25">
      <c r="A4" s="1059">
        <v>307731</v>
      </c>
      <c r="B4" s="1060" t="s">
        <v>21661</v>
      </c>
      <c r="C4" s="1059" t="s">
        <v>21662</v>
      </c>
      <c r="D4" s="1061">
        <v>112.1</v>
      </c>
    </row>
    <row r="5" spans="1:4" ht="9" customHeight="1" x14ac:dyDescent="0.25">
      <c r="A5" s="1059">
        <v>307732</v>
      </c>
      <c r="B5" s="1060" t="s">
        <v>21663</v>
      </c>
      <c r="C5" s="1059" t="s">
        <v>21662</v>
      </c>
      <c r="D5" s="1061">
        <v>87.15</v>
      </c>
    </row>
    <row r="6" spans="1:4" ht="9" customHeight="1" x14ac:dyDescent="0.25">
      <c r="A6" s="1059">
        <v>308308</v>
      </c>
      <c r="B6" s="1060" t="s">
        <v>21664</v>
      </c>
      <c r="C6" s="1059" t="s">
        <v>3</v>
      </c>
      <c r="D6" s="1061">
        <v>14744.82</v>
      </c>
    </row>
    <row r="7" spans="1:4" ht="9" customHeight="1" x14ac:dyDescent="0.25">
      <c r="A7" s="1059">
        <v>308313</v>
      </c>
      <c r="B7" s="1060" t="s">
        <v>21665</v>
      </c>
      <c r="C7" s="1059" t="s">
        <v>3</v>
      </c>
      <c r="D7" s="1061">
        <v>96569.04</v>
      </c>
    </row>
    <row r="8" spans="1:4" ht="9" customHeight="1" x14ac:dyDescent="0.25">
      <c r="A8" s="1059">
        <v>308309</v>
      </c>
      <c r="B8" s="1060" t="s">
        <v>21666</v>
      </c>
      <c r="C8" s="1059" t="s">
        <v>3</v>
      </c>
      <c r="D8" s="1061">
        <v>24084.53</v>
      </c>
    </row>
    <row r="9" spans="1:4" ht="9" customHeight="1" x14ac:dyDescent="0.25">
      <c r="A9" s="1059">
        <v>308310</v>
      </c>
      <c r="B9" s="1060" t="s">
        <v>21667</v>
      </c>
      <c r="C9" s="1059" t="s">
        <v>3</v>
      </c>
      <c r="D9" s="1061">
        <v>38797</v>
      </c>
    </row>
    <row r="10" spans="1:4" ht="9" customHeight="1" x14ac:dyDescent="0.25">
      <c r="A10" s="1059">
        <v>308311</v>
      </c>
      <c r="B10" s="1060" t="s">
        <v>21668</v>
      </c>
      <c r="C10" s="1059" t="s">
        <v>3</v>
      </c>
      <c r="D10" s="1061">
        <v>52062.8</v>
      </c>
    </row>
    <row r="11" spans="1:4" ht="9" customHeight="1" x14ac:dyDescent="0.25">
      <c r="A11" s="1059">
        <v>308312</v>
      </c>
      <c r="B11" s="1060" t="s">
        <v>21669</v>
      </c>
      <c r="C11" s="1059" t="s">
        <v>3</v>
      </c>
      <c r="D11" s="1061">
        <v>71414.69</v>
      </c>
    </row>
    <row r="12" spans="1:4" ht="9" customHeight="1" x14ac:dyDescent="0.25">
      <c r="A12" s="1059">
        <v>308307</v>
      </c>
      <c r="B12" s="1060" t="s">
        <v>21670</v>
      </c>
      <c r="C12" s="1059" t="s">
        <v>3</v>
      </c>
      <c r="D12" s="1061">
        <v>9868.2199999999993</v>
      </c>
    </row>
    <row r="13" spans="1:4" ht="9" customHeight="1" x14ac:dyDescent="0.25">
      <c r="A13" s="1059">
        <v>308322</v>
      </c>
      <c r="B13" s="1060" t="s">
        <v>21671</v>
      </c>
      <c r="C13" s="1059" t="s">
        <v>3</v>
      </c>
      <c r="D13" s="1061">
        <v>8608.49</v>
      </c>
    </row>
    <row r="14" spans="1:4" ht="9" customHeight="1" x14ac:dyDescent="0.25">
      <c r="A14" s="1059">
        <v>308327</v>
      </c>
      <c r="B14" s="1060" t="s">
        <v>21672</v>
      </c>
      <c r="C14" s="1059" t="s">
        <v>3</v>
      </c>
      <c r="D14" s="1061">
        <v>51527.7</v>
      </c>
    </row>
    <row r="15" spans="1:4" ht="9" customHeight="1" x14ac:dyDescent="0.25">
      <c r="A15" s="1059">
        <v>308323</v>
      </c>
      <c r="B15" s="1060" t="s">
        <v>21673</v>
      </c>
      <c r="C15" s="1059" t="s">
        <v>3</v>
      </c>
      <c r="D15" s="1061">
        <v>11957.47</v>
      </c>
    </row>
    <row r="16" spans="1:4" ht="9" customHeight="1" x14ac:dyDescent="0.25">
      <c r="A16" s="1059">
        <v>308324</v>
      </c>
      <c r="B16" s="1060" t="s">
        <v>21674</v>
      </c>
      <c r="C16" s="1059" t="s">
        <v>3</v>
      </c>
      <c r="D16" s="1061">
        <v>19914.77</v>
      </c>
    </row>
    <row r="17" spans="1:4" ht="9" customHeight="1" x14ac:dyDescent="0.25">
      <c r="A17" s="1059">
        <v>308325</v>
      </c>
      <c r="B17" s="1060" t="s">
        <v>21675</v>
      </c>
      <c r="C17" s="1059" t="s">
        <v>3</v>
      </c>
      <c r="D17" s="1061">
        <v>28585.7</v>
      </c>
    </row>
    <row r="18" spans="1:4" ht="9" customHeight="1" x14ac:dyDescent="0.25">
      <c r="A18" s="1059">
        <v>308326</v>
      </c>
      <c r="B18" s="1060" t="s">
        <v>21676</v>
      </c>
      <c r="C18" s="1059" t="s">
        <v>3</v>
      </c>
      <c r="D18" s="1061">
        <v>37231.660000000003</v>
      </c>
    </row>
    <row r="19" spans="1:4" ht="9" customHeight="1" x14ac:dyDescent="0.25">
      <c r="A19" s="1059">
        <v>308321</v>
      </c>
      <c r="B19" s="1060" t="s">
        <v>21677</v>
      </c>
      <c r="C19" s="1059" t="s">
        <v>3</v>
      </c>
      <c r="D19" s="1061">
        <v>5048.42</v>
      </c>
    </row>
    <row r="20" spans="1:4" ht="9" customHeight="1" x14ac:dyDescent="0.25">
      <c r="A20" s="1059">
        <v>308315</v>
      </c>
      <c r="B20" s="1060" t="s">
        <v>21678</v>
      </c>
      <c r="C20" s="1059" t="s">
        <v>3</v>
      </c>
      <c r="D20" s="1061">
        <v>10179.790000000001</v>
      </c>
    </row>
    <row r="21" spans="1:4" ht="9" customHeight="1" x14ac:dyDescent="0.25">
      <c r="A21" s="1059">
        <v>308320</v>
      </c>
      <c r="B21" s="1060" t="s">
        <v>21679</v>
      </c>
      <c r="C21" s="1059" t="s">
        <v>3</v>
      </c>
      <c r="D21" s="1061">
        <v>57009.59</v>
      </c>
    </row>
    <row r="22" spans="1:4" ht="9" customHeight="1" x14ac:dyDescent="0.25">
      <c r="A22" s="1059">
        <v>308316</v>
      </c>
      <c r="B22" s="1060" t="s">
        <v>21680</v>
      </c>
      <c r="C22" s="1059" t="s">
        <v>3</v>
      </c>
      <c r="D22" s="1061">
        <v>15724.14</v>
      </c>
    </row>
    <row r="23" spans="1:4" ht="9" customHeight="1" x14ac:dyDescent="0.25">
      <c r="A23" s="1059">
        <v>308317</v>
      </c>
      <c r="B23" s="1060" t="s">
        <v>21681</v>
      </c>
      <c r="C23" s="1059" t="s">
        <v>3</v>
      </c>
      <c r="D23" s="1061">
        <v>24372.21</v>
      </c>
    </row>
    <row r="24" spans="1:4" ht="9" customHeight="1" x14ac:dyDescent="0.25">
      <c r="A24" s="1059">
        <v>308318</v>
      </c>
      <c r="B24" s="1060" t="s">
        <v>21682</v>
      </c>
      <c r="C24" s="1059" t="s">
        <v>3</v>
      </c>
      <c r="D24" s="1061">
        <v>32415.82</v>
      </c>
    </row>
    <row r="25" spans="1:4" ht="9" customHeight="1" x14ac:dyDescent="0.25">
      <c r="A25" s="1059">
        <v>308319</v>
      </c>
      <c r="B25" s="1060" t="s">
        <v>21683</v>
      </c>
      <c r="C25" s="1059" t="s">
        <v>3</v>
      </c>
      <c r="D25" s="1061">
        <v>44972.15</v>
      </c>
    </row>
    <row r="26" spans="1:4" ht="9" customHeight="1" x14ac:dyDescent="0.25">
      <c r="A26" s="1059">
        <v>308314</v>
      </c>
      <c r="B26" s="1060" t="s">
        <v>21684</v>
      </c>
      <c r="C26" s="1059" t="s">
        <v>3</v>
      </c>
      <c r="D26" s="1061">
        <v>7536.48</v>
      </c>
    </row>
    <row r="27" spans="1:4" ht="9" customHeight="1" x14ac:dyDescent="0.25">
      <c r="A27" s="1059">
        <v>308250</v>
      </c>
      <c r="B27" s="1060" t="s">
        <v>21685</v>
      </c>
      <c r="C27" s="1059" t="s">
        <v>3</v>
      </c>
      <c r="D27" s="1061">
        <v>5041.24</v>
      </c>
    </row>
    <row r="28" spans="1:4" ht="9" customHeight="1" x14ac:dyDescent="0.25">
      <c r="A28" s="1059">
        <v>308251</v>
      </c>
      <c r="B28" s="1060" t="s">
        <v>21686</v>
      </c>
      <c r="C28" s="1059" t="s">
        <v>3</v>
      </c>
      <c r="D28" s="1061">
        <v>7486.95</v>
      </c>
    </row>
    <row r="29" spans="1:4" ht="9" customHeight="1" x14ac:dyDescent="0.25">
      <c r="A29" s="1059">
        <v>308268</v>
      </c>
      <c r="B29" s="1060" t="s">
        <v>21687</v>
      </c>
      <c r="C29" s="1059" t="s">
        <v>3</v>
      </c>
      <c r="D29" s="1061">
        <v>136558.32</v>
      </c>
    </row>
    <row r="30" spans="1:4" ht="9" customHeight="1" x14ac:dyDescent="0.25">
      <c r="A30" s="1059">
        <v>308252</v>
      </c>
      <c r="B30" s="1060" t="s">
        <v>21688</v>
      </c>
      <c r="C30" s="1059" t="s">
        <v>3</v>
      </c>
      <c r="D30" s="1061">
        <v>9461.5499999999993</v>
      </c>
    </row>
    <row r="31" spans="1:4" ht="9" customHeight="1" x14ac:dyDescent="0.25">
      <c r="A31" s="1059">
        <v>308253</v>
      </c>
      <c r="B31" s="1060" t="s">
        <v>21689</v>
      </c>
      <c r="C31" s="1059" t="s">
        <v>3</v>
      </c>
      <c r="D31" s="1061">
        <v>11920.9</v>
      </c>
    </row>
    <row r="32" spans="1:4" ht="9" customHeight="1" x14ac:dyDescent="0.25">
      <c r="A32" s="1059">
        <v>308254</v>
      </c>
      <c r="B32" s="1060" t="s">
        <v>21690</v>
      </c>
      <c r="C32" s="1059" t="s">
        <v>3</v>
      </c>
      <c r="D32" s="1061">
        <v>13684.38</v>
      </c>
    </row>
    <row r="33" spans="1:4" ht="9" customHeight="1" x14ac:dyDescent="0.25">
      <c r="A33" s="1059">
        <v>308255</v>
      </c>
      <c r="B33" s="1060" t="s">
        <v>21691</v>
      </c>
      <c r="C33" s="1059" t="s">
        <v>3</v>
      </c>
      <c r="D33" s="1061">
        <v>16523.22</v>
      </c>
    </row>
    <row r="34" spans="1:4" ht="9" customHeight="1" x14ac:dyDescent="0.25">
      <c r="A34" s="1059">
        <v>308256</v>
      </c>
      <c r="B34" s="1060" t="s">
        <v>21692</v>
      </c>
      <c r="C34" s="1059" t="s">
        <v>3</v>
      </c>
      <c r="D34" s="1061">
        <v>19470.37</v>
      </c>
    </row>
    <row r="35" spans="1:4" ht="9" customHeight="1" x14ac:dyDescent="0.25">
      <c r="A35" s="1059">
        <v>308257</v>
      </c>
      <c r="B35" s="1060" t="s">
        <v>21693</v>
      </c>
      <c r="C35" s="1059" t="s">
        <v>3</v>
      </c>
      <c r="D35" s="1061">
        <v>60406.51</v>
      </c>
    </row>
    <row r="36" spans="1:4" ht="9" customHeight="1" x14ac:dyDescent="0.25">
      <c r="A36" s="1059">
        <v>308258</v>
      </c>
      <c r="B36" s="1060" t="s">
        <v>21694</v>
      </c>
      <c r="C36" s="1059" t="s">
        <v>3</v>
      </c>
      <c r="D36" s="1061">
        <v>67164.31</v>
      </c>
    </row>
    <row r="37" spans="1:4" ht="9" customHeight="1" x14ac:dyDescent="0.25">
      <c r="A37" s="1059">
        <v>308259</v>
      </c>
      <c r="B37" s="1060" t="s">
        <v>21695</v>
      </c>
      <c r="C37" s="1059" t="s">
        <v>3</v>
      </c>
      <c r="D37" s="1061">
        <v>72858.77</v>
      </c>
    </row>
    <row r="38" spans="1:4" ht="9" customHeight="1" x14ac:dyDescent="0.25">
      <c r="A38" s="1059">
        <v>308260</v>
      </c>
      <c r="B38" s="1060" t="s">
        <v>21696</v>
      </c>
      <c r="C38" s="1059" t="s">
        <v>3</v>
      </c>
      <c r="D38" s="1061">
        <v>78603.839999999997</v>
      </c>
    </row>
    <row r="39" spans="1:4" ht="9" customHeight="1" x14ac:dyDescent="0.25">
      <c r="A39" s="1059">
        <v>308261</v>
      </c>
      <c r="B39" s="1060" t="s">
        <v>21697</v>
      </c>
      <c r="C39" s="1059" t="s">
        <v>3</v>
      </c>
      <c r="D39" s="1061">
        <v>89339.14</v>
      </c>
    </row>
    <row r="40" spans="1:4" ht="9" customHeight="1" x14ac:dyDescent="0.25">
      <c r="A40" s="1059">
        <v>308262</v>
      </c>
      <c r="B40" s="1060" t="s">
        <v>21698</v>
      </c>
      <c r="C40" s="1059" t="s">
        <v>3</v>
      </c>
      <c r="D40" s="1061">
        <v>92178.93</v>
      </c>
    </row>
    <row r="41" spans="1:4" ht="9" customHeight="1" x14ac:dyDescent="0.25">
      <c r="A41" s="1059">
        <v>308263</v>
      </c>
      <c r="B41" s="1060" t="s">
        <v>21699</v>
      </c>
      <c r="C41" s="1059" t="s">
        <v>3</v>
      </c>
      <c r="D41" s="1061">
        <v>102996.43</v>
      </c>
    </row>
    <row r="42" spans="1:4" ht="9" customHeight="1" x14ac:dyDescent="0.25">
      <c r="A42" s="1059">
        <v>308264</v>
      </c>
      <c r="B42" s="1060" t="s">
        <v>21700</v>
      </c>
      <c r="C42" s="1059" t="s">
        <v>3</v>
      </c>
      <c r="D42" s="1061">
        <v>110096.95</v>
      </c>
    </row>
    <row r="43" spans="1:4" ht="9" customHeight="1" x14ac:dyDescent="0.25">
      <c r="A43" s="1059">
        <v>308265</v>
      </c>
      <c r="B43" s="1060" t="s">
        <v>21701</v>
      </c>
      <c r="C43" s="1059" t="s">
        <v>3</v>
      </c>
      <c r="D43" s="1061">
        <v>112370.08</v>
      </c>
    </row>
    <row r="44" spans="1:4" ht="9" customHeight="1" x14ac:dyDescent="0.25">
      <c r="A44" s="1059">
        <v>308266</v>
      </c>
      <c r="B44" s="1060" t="s">
        <v>21702</v>
      </c>
      <c r="C44" s="1059" t="s">
        <v>3</v>
      </c>
      <c r="D44" s="1061">
        <v>121746.13</v>
      </c>
    </row>
    <row r="45" spans="1:4" ht="9" customHeight="1" x14ac:dyDescent="0.25">
      <c r="A45" s="1059">
        <v>308267</v>
      </c>
      <c r="B45" s="1060" t="s">
        <v>21703</v>
      </c>
      <c r="C45" s="1059" t="s">
        <v>3</v>
      </c>
      <c r="D45" s="1061">
        <v>128348.88</v>
      </c>
    </row>
    <row r="46" spans="1:4" ht="9" customHeight="1" x14ac:dyDescent="0.25">
      <c r="A46" s="1059">
        <v>308288</v>
      </c>
      <c r="B46" s="1060" t="s">
        <v>21704</v>
      </c>
      <c r="C46" s="1059" t="s">
        <v>3</v>
      </c>
      <c r="D46" s="1061">
        <v>10672.44</v>
      </c>
    </row>
    <row r="47" spans="1:4" ht="9" customHeight="1" x14ac:dyDescent="0.25">
      <c r="A47" s="1059">
        <v>308289</v>
      </c>
      <c r="B47" s="1060" t="s">
        <v>21705</v>
      </c>
      <c r="C47" s="1059" t="s">
        <v>3</v>
      </c>
      <c r="D47" s="1061">
        <v>14417.67</v>
      </c>
    </row>
    <row r="48" spans="1:4" ht="9" customHeight="1" x14ac:dyDescent="0.25">
      <c r="A48" s="1059">
        <v>308306</v>
      </c>
      <c r="B48" s="1060" t="s">
        <v>21706</v>
      </c>
      <c r="C48" s="1059" t="s">
        <v>3</v>
      </c>
      <c r="D48" s="1061">
        <v>95686.84</v>
      </c>
    </row>
    <row r="49" spans="1:4" ht="9" customHeight="1" x14ac:dyDescent="0.25">
      <c r="A49" s="1059">
        <v>308290</v>
      </c>
      <c r="B49" s="1060" t="s">
        <v>21707</v>
      </c>
      <c r="C49" s="1059" t="s">
        <v>3</v>
      </c>
      <c r="D49" s="1061">
        <v>18672.29</v>
      </c>
    </row>
    <row r="50" spans="1:4" ht="9" customHeight="1" x14ac:dyDescent="0.25">
      <c r="A50" s="1059">
        <v>308291</v>
      </c>
      <c r="B50" s="1060" t="s">
        <v>21708</v>
      </c>
      <c r="C50" s="1059" t="s">
        <v>3</v>
      </c>
      <c r="D50" s="1061">
        <v>23494.53</v>
      </c>
    </row>
    <row r="51" spans="1:4" ht="9" customHeight="1" x14ac:dyDescent="0.25">
      <c r="A51" s="1059">
        <v>308292</v>
      </c>
      <c r="B51" s="1060" t="s">
        <v>21709</v>
      </c>
      <c r="C51" s="1059" t="s">
        <v>3</v>
      </c>
      <c r="D51" s="1061">
        <v>27140.880000000001</v>
      </c>
    </row>
    <row r="52" spans="1:4" ht="9" customHeight="1" x14ac:dyDescent="0.25">
      <c r="A52" s="1059">
        <v>308293</v>
      </c>
      <c r="B52" s="1060" t="s">
        <v>21710</v>
      </c>
      <c r="C52" s="1059" t="s">
        <v>3</v>
      </c>
      <c r="D52" s="1061">
        <v>31307.57</v>
      </c>
    </row>
    <row r="53" spans="1:4" ht="9" customHeight="1" x14ac:dyDescent="0.25">
      <c r="A53" s="1059">
        <v>308294</v>
      </c>
      <c r="B53" s="1060" t="s">
        <v>21711</v>
      </c>
      <c r="C53" s="1059" t="s">
        <v>3</v>
      </c>
      <c r="D53" s="1061">
        <v>36188.97</v>
      </c>
    </row>
    <row r="54" spans="1:4" ht="9" customHeight="1" x14ac:dyDescent="0.25">
      <c r="A54" s="1059">
        <v>308295</v>
      </c>
      <c r="B54" s="1060" t="s">
        <v>21712</v>
      </c>
      <c r="C54" s="1059" t="s">
        <v>3</v>
      </c>
      <c r="D54" s="1061">
        <v>40904.050000000003</v>
      </c>
    </row>
    <row r="55" spans="1:4" ht="9" customHeight="1" x14ac:dyDescent="0.25">
      <c r="A55" s="1059">
        <v>308296</v>
      </c>
      <c r="B55" s="1060" t="s">
        <v>21713</v>
      </c>
      <c r="C55" s="1059" t="s">
        <v>3</v>
      </c>
      <c r="D55" s="1061">
        <v>46115.38</v>
      </c>
    </row>
    <row r="56" spans="1:4" ht="9" customHeight="1" x14ac:dyDescent="0.25">
      <c r="A56" s="1059">
        <v>308297</v>
      </c>
      <c r="B56" s="1060" t="s">
        <v>21714</v>
      </c>
      <c r="C56" s="1059" t="s">
        <v>3</v>
      </c>
      <c r="D56" s="1061">
        <v>49795.91</v>
      </c>
    </row>
    <row r="57" spans="1:4" ht="9" customHeight="1" x14ac:dyDescent="0.25">
      <c r="A57" s="1059">
        <v>308298</v>
      </c>
      <c r="B57" s="1060" t="s">
        <v>21715</v>
      </c>
      <c r="C57" s="1059" t="s">
        <v>3</v>
      </c>
      <c r="D57" s="1061">
        <v>56963.44</v>
      </c>
    </row>
    <row r="58" spans="1:4" ht="9" customHeight="1" x14ac:dyDescent="0.25">
      <c r="A58" s="1059">
        <v>308299</v>
      </c>
      <c r="B58" s="1060" t="s">
        <v>21716</v>
      </c>
      <c r="C58" s="1059" t="s">
        <v>3</v>
      </c>
      <c r="D58" s="1061">
        <v>61353.84</v>
      </c>
    </row>
    <row r="59" spans="1:4" ht="9" customHeight="1" x14ac:dyDescent="0.25">
      <c r="A59" s="1059">
        <v>308300</v>
      </c>
      <c r="B59" s="1060" t="s">
        <v>21717</v>
      </c>
      <c r="C59" s="1059" t="s">
        <v>3</v>
      </c>
      <c r="D59" s="1061">
        <v>65818.42</v>
      </c>
    </row>
    <row r="60" spans="1:4" ht="9" customHeight="1" x14ac:dyDescent="0.25">
      <c r="A60" s="1059">
        <v>308301</v>
      </c>
      <c r="B60" s="1060" t="s">
        <v>21718</v>
      </c>
      <c r="C60" s="1059" t="s">
        <v>3</v>
      </c>
      <c r="D60" s="1061">
        <v>69231.11</v>
      </c>
    </row>
    <row r="61" spans="1:4" ht="9" customHeight="1" x14ac:dyDescent="0.25">
      <c r="A61" s="1059">
        <v>308302</v>
      </c>
      <c r="B61" s="1060" t="s">
        <v>21719</v>
      </c>
      <c r="C61" s="1059" t="s">
        <v>3</v>
      </c>
      <c r="D61" s="1061">
        <v>75337.429999999993</v>
      </c>
    </row>
    <row r="62" spans="1:4" ht="9" customHeight="1" x14ac:dyDescent="0.25">
      <c r="A62" s="1059">
        <v>308303</v>
      </c>
      <c r="B62" s="1060" t="s">
        <v>21720</v>
      </c>
      <c r="C62" s="1059" t="s">
        <v>3</v>
      </c>
      <c r="D62" s="1061">
        <v>80103.08</v>
      </c>
    </row>
    <row r="63" spans="1:4" ht="9" customHeight="1" x14ac:dyDescent="0.25">
      <c r="A63" s="1059">
        <v>308304</v>
      </c>
      <c r="B63" s="1060" t="s">
        <v>21721</v>
      </c>
      <c r="C63" s="1059" t="s">
        <v>3</v>
      </c>
      <c r="D63" s="1061">
        <v>84430.05</v>
      </c>
    </row>
    <row r="64" spans="1:4" ht="9" customHeight="1" x14ac:dyDescent="0.25">
      <c r="A64" s="1059">
        <v>308305</v>
      </c>
      <c r="B64" s="1060" t="s">
        <v>21722</v>
      </c>
      <c r="C64" s="1059" t="s">
        <v>3</v>
      </c>
      <c r="D64" s="1061">
        <v>90541.47</v>
      </c>
    </row>
    <row r="65" spans="1:4" ht="9" customHeight="1" x14ac:dyDescent="0.25">
      <c r="A65" s="1059">
        <v>308269</v>
      </c>
      <c r="B65" s="1060" t="s">
        <v>21723</v>
      </c>
      <c r="C65" s="1059" t="s">
        <v>3</v>
      </c>
      <c r="D65" s="1061">
        <v>5842.64</v>
      </c>
    </row>
    <row r="66" spans="1:4" ht="9" customHeight="1" x14ac:dyDescent="0.25">
      <c r="A66" s="1059">
        <v>308270</v>
      </c>
      <c r="B66" s="1060" t="s">
        <v>21724</v>
      </c>
      <c r="C66" s="1059" t="s">
        <v>3</v>
      </c>
      <c r="D66" s="1061">
        <v>9112.31</v>
      </c>
    </row>
    <row r="67" spans="1:4" ht="9" customHeight="1" x14ac:dyDescent="0.25">
      <c r="A67" s="1059">
        <v>308287</v>
      </c>
      <c r="B67" s="1060" t="s">
        <v>21725</v>
      </c>
      <c r="C67" s="1059" t="s">
        <v>3</v>
      </c>
      <c r="D67" s="1061">
        <v>104374.8</v>
      </c>
    </row>
    <row r="68" spans="1:4" ht="9" customHeight="1" x14ac:dyDescent="0.25">
      <c r="A68" s="1059">
        <v>308271</v>
      </c>
      <c r="B68" s="1060" t="s">
        <v>21726</v>
      </c>
      <c r="C68" s="1059" t="s">
        <v>3</v>
      </c>
      <c r="D68" s="1061">
        <v>11055.62</v>
      </c>
    </row>
    <row r="69" spans="1:4" ht="9" customHeight="1" x14ac:dyDescent="0.25">
      <c r="A69" s="1059">
        <v>308272</v>
      </c>
      <c r="B69" s="1060" t="s">
        <v>21727</v>
      </c>
      <c r="C69" s="1059" t="s">
        <v>3</v>
      </c>
      <c r="D69" s="1061">
        <v>13749.75</v>
      </c>
    </row>
    <row r="70" spans="1:4" ht="9" customHeight="1" x14ac:dyDescent="0.25">
      <c r="A70" s="1059">
        <v>308273</v>
      </c>
      <c r="B70" s="1060" t="s">
        <v>21728</v>
      </c>
      <c r="C70" s="1059" t="s">
        <v>3</v>
      </c>
      <c r="D70" s="1061">
        <v>16923.39</v>
      </c>
    </row>
    <row r="71" spans="1:4" ht="9" customHeight="1" x14ac:dyDescent="0.25">
      <c r="A71" s="1059">
        <v>308274</v>
      </c>
      <c r="B71" s="1060" t="s">
        <v>21729</v>
      </c>
      <c r="C71" s="1059" t="s">
        <v>3</v>
      </c>
      <c r="D71" s="1061">
        <v>19162.759999999998</v>
      </c>
    </row>
    <row r="72" spans="1:4" ht="9" customHeight="1" x14ac:dyDescent="0.25">
      <c r="A72" s="1059">
        <v>308275</v>
      </c>
      <c r="B72" s="1060" t="s">
        <v>21730</v>
      </c>
      <c r="C72" s="1059" t="s">
        <v>3</v>
      </c>
      <c r="D72" s="1061">
        <v>28748.01</v>
      </c>
    </row>
    <row r="73" spans="1:4" ht="9" customHeight="1" x14ac:dyDescent="0.25">
      <c r="A73" s="1059">
        <v>308276</v>
      </c>
      <c r="B73" s="1060" t="s">
        <v>21731</v>
      </c>
      <c r="C73" s="1059" t="s">
        <v>3</v>
      </c>
      <c r="D73" s="1061">
        <v>47527.71</v>
      </c>
    </row>
    <row r="74" spans="1:4" ht="9" customHeight="1" x14ac:dyDescent="0.25">
      <c r="A74" s="1059">
        <v>308277</v>
      </c>
      <c r="B74" s="1060" t="s">
        <v>21732</v>
      </c>
      <c r="C74" s="1059" t="s">
        <v>3</v>
      </c>
      <c r="D74" s="1061">
        <v>52534.14</v>
      </c>
    </row>
    <row r="75" spans="1:4" ht="9" customHeight="1" x14ac:dyDescent="0.25">
      <c r="A75" s="1059">
        <v>308278</v>
      </c>
      <c r="B75" s="1060" t="s">
        <v>21733</v>
      </c>
      <c r="C75" s="1059" t="s">
        <v>3</v>
      </c>
      <c r="D75" s="1061">
        <v>57311.43</v>
      </c>
    </row>
    <row r="76" spans="1:4" ht="9" customHeight="1" x14ac:dyDescent="0.25">
      <c r="A76" s="1059">
        <v>308279</v>
      </c>
      <c r="B76" s="1060" t="s">
        <v>21734</v>
      </c>
      <c r="C76" s="1059" t="s">
        <v>3</v>
      </c>
      <c r="D76" s="1061">
        <v>61773.35</v>
      </c>
    </row>
    <row r="77" spans="1:4" ht="9" customHeight="1" x14ac:dyDescent="0.25">
      <c r="A77" s="1059">
        <v>308280</v>
      </c>
      <c r="B77" s="1060" t="s">
        <v>21735</v>
      </c>
      <c r="C77" s="1059" t="s">
        <v>3</v>
      </c>
      <c r="D77" s="1061">
        <v>68351.259999999995</v>
      </c>
    </row>
    <row r="78" spans="1:4" ht="9" customHeight="1" x14ac:dyDescent="0.25">
      <c r="A78" s="1059">
        <v>308281</v>
      </c>
      <c r="B78" s="1060" t="s">
        <v>21736</v>
      </c>
      <c r="C78" s="1059" t="s">
        <v>3</v>
      </c>
      <c r="D78" s="1061">
        <v>73578.02</v>
      </c>
    </row>
    <row r="79" spans="1:4" ht="9" customHeight="1" x14ac:dyDescent="0.25">
      <c r="A79" s="1059">
        <v>308282</v>
      </c>
      <c r="B79" s="1060" t="s">
        <v>21737</v>
      </c>
      <c r="C79" s="1059" t="s">
        <v>3</v>
      </c>
      <c r="D79" s="1061">
        <v>80064.08</v>
      </c>
    </row>
    <row r="80" spans="1:4" ht="9" customHeight="1" x14ac:dyDescent="0.25">
      <c r="A80" s="1059">
        <v>308283</v>
      </c>
      <c r="B80" s="1060" t="s">
        <v>21738</v>
      </c>
      <c r="C80" s="1059" t="s">
        <v>3</v>
      </c>
      <c r="D80" s="1061">
        <v>83926.3</v>
      </c>
    </row>
    <row r="81" spans="1:4" ht="9" customHeight="1" x14ac:dyDescent="0.25">
      <c r="A81" s="1059">
        <v>308284</v>
      </c>
      <c r="B81" s="1060" t="s">
        <v>21739</v>
      </c>
      <c r="C81" s="1059" t="s">
        <v>3</v>
      </c>
      <c r="D81" s="1061">
        <v>90737.33</v>
      </c>
    </row>
    <row r="82" spans="1:4" ht="9" customHeight="1" x14ac:dyDescent="0.25">
      <c r="A82" s="1059">
        <v>308285</v>
      </c>
      <c r="B82" s="1060" t="s">
        <v>21740</v>
      </c>
      <c r="C82" s="1059" t="s">
        <v>3</v>
      </c>
      <c r="D82" s="1061">
        <v>96048.85</v>
      </c>
    </row>
    <row r="83" spans="1:4" ht="9" customHeight="1" x14ac:dyDescent="0.25">
      <c r="A83" s="1059">
        <v>308286</v>
      </c>
      <c r="B83" s="1060" t="s">
        <v>21741</v>
      </c>
      <c r="C83" s="1059" t="s">
        <v>3</v>
      </c>
      <c r="D83" s="1061">
        <v>101183.55</v>
      </c>
    </row>
    <row r="84" spans="1:4" ht="9" customHeight="1" x14ac:dyDescent="0.25">
      <c r="A84" s="1059">
        <v>307733</v>
      </c>
      <c r="B84" s="1060" t="s">
        <v>21742</v>
      </c>
      <c r="C84" s="1059" t="s">
        <v>2</v>
      </c>
      <c r="D84" s="1061">
        <v>455.86</v>
      </c>
    </row>
    <row r="85" spans="1:4" ht="9" customHeight="1" x14ac:dyDescent="0.25">
      <c r="A85" s="1059">
        <v>307734</v>
      </c>
      <c r="B85" s="1060" t="s">
        <v>21743</v>
      </c>
      <c r="C85" s="1059" t="s">
        <v>2</v>
      </c>
      <c r="D85" s="1061">
        <v>598.37</v>
      </c>
    </row>
    <row r="86" spans="1:4" ht="9" customHeight="1" x14ac:dyDescent="0.25">
      <c r="A86" s="1059">
        <v>307735</v>
      </c>
      <c r="B86" s="1060" t="s">
        <v>21744</v>
      </c>
      <c r="C86" s="1059" t="s">
        <v>2</v>
      </c>
      <c r="D86" s="1061">
        <v>993.33</v>
      </c>
    </row>
    <row r="87" spans="1:4" ht="9" customHeight="1" x14ac:dyDescent="0.25">
      <c r="A87" s="1059">
        <v>307736</v>
      </c>
      <c r="B87" s="1060" t="s">
        <v>21745</v>
      </c>
      <c r="C87" s="1059" t="s">
        <v>2</v>
      </c>
      <c r="D87" s="1061">
        <v>1434.17</v>
      </c>
    </row>
    <row r="88" spans="1:4" ht="9" customHeight="1" x14ac:dyDescent="0.25">
      <c r="A88" s="1059">
        <v>307737</v>
      </c>
      <c r="B88" s="1060" t="s">
        <v>21746</v>
      </c>
      <c r="C88" s="1059" t="s">
        <v>2</v>
      </c>
      <c r="D88" s="1061">
        <v>1740.3</v>
      </c>
    </row>
    <row r="89" spans="1:4" ht="9" customHeight="1" x14ac:dyDescent="0.25">
      <c r="A89" s="1059">
        <v>307730</v>
      </c>
      <c r="B89" s="1060" t="s">
        <v>21747</v>
      </c>
      <c r="C89" s="1059" t="s">
        <v>2</v>
      </c>
      <c r="D89" s="1061">
        <v>0</v>
      </c>
    </row>
    <row r="90" spans="1:4" ht="9" customHeight="1" x14ac:dyDescent="0.25">
      <c r="A90" s="1059">
        <v>307084</v>
      </c>
      <c r="B90" s="1060" t="s">
        <v>21748</v>
      </c>
      <c r="C90" s="1059" t="s">
        <v>2</v>
      </c>
      <c r="D90" s="1061">
        <v>30.31</v>
      </c>
    </row>
    <row r="91" spans="1:4" ht="9" customHeight="1" x14ac:dyDescent="0.25">
      <c r="A91" s="1059">
        <v>407818</v>
      </c>
      <c r="B91" s="1060" t="s">
        <v>21749</v>
      </c>
      <c r="C91" s="1059" t="s">
        <v>6</v>
      </c>
      <c r="D91" s="1061">
        <v>12.01</v>
      </c>
    </row>
    <row r="92" spans="1:4" ht="9" customHeight="1" x14ac:dyDescent="0.25">
      <c r="A92" s="1059">
        <v>407819</v>
      </c>
      <c r="B92" s="1060" t="s">
        <v>21750</v>
      </c>
      <c r="C92" s="1059" t="s">
        <v>6</v>
      </c>
      <c r="D92" s="1061">
        <v>11.79</v>
      </c>
    </row>
    <row r="93" spans="1:4" ht="9" customHeight="1" x14ac:dyDescent="0.25">
      <c r="A93" s="1059">
        <v>407820</v>
      </c>
      <c r="B93" s="1060" t="s">
        <v>21751</v>
      </c>
      <c r="C93" s="1059" t="s">
        <v>6</v>
      </c>
      <c r="D93" s="1061">
        <v>12.99</v>
      </c>
    </row>
    <row r="94" spans="1:4" ht="9" customHeight="1" x14ac:dyDescent="0.25">
      <c r="A94" s="1059">
        <v>407740</v>
      </c>
      <c r="B94" s="1060" t="s">
        <v>21752</v>
      </c>
      <c r="C94" s="1059" t="s">
        <v>6</v>
      </c>
      <c r="D94" s="1061">
        <v>16.55</v>
      </c>
    </row>
    <row r="95" spans="1:4" ht="9" customHeight="1" x14ac:dyDescent="0.25">
      <c r="A95" s="1059">
        <v>408037</v>
      </c>
      <c r="B95" s="1060" t="s">
        <v>21753</v>
      </c>
      <c r="C95" s="1059" t="s">
        <v>3</v>
      </c>
      <c r="D95" s="1061">
        <v>19.39</v>
      </c>
    </row>
    <row r="96" spans="1:4" ht="9" customHeight="1" x14ac:dyDescent="0.25">
      <c r="A96" s="1059">
        <v>408038</v>
      </c>
      <c r="B96" s="1060" t="s">
        <v>21754</v>
      </c>
      <c r="C96" s="1059" t="s">
        <v>3</v>
      </c>
      <c r="D96" s="1061">
        <v>27.9</v>
      </c>
    </row>
    <row r="97" spans="1:4" ht="9" customHeight="1" x14ac:dyDescent="0.25">
      <c r="A97" s="1059">
        <v>408039</v>
      </c>
      <c r="B97" s="1060" t="s">
        <v>21755</v>
      </c>
      <c r="C97" s="1059" t="s">
        <v>3</v>
      </c>
      <c r="D97" s="1061">
        <v>38.97</v>
      </c>
    </row>
    <row r="98" spans="1:4" ht="9" customHeight="1" x14ac:dyDescent="0.25">
      <c r="A98" s="1059">
        <v>408041</v>
      </c>
      <c r="B98" s="1060" t="s">
        <v>21756</v>
      </c>
      <c r="C98" s="1059" t="s">
        <v>3</v>
      </c>
      <c r="D98" s="1061">
        <v>55.3</v>
      </c>
    </row>
    <row r="99" spans="1:4" ht="9" customHeight="1" x14ac:dyDescent="0.25">
      <c r="A99" s="1059">
        <v>408042</v>
      </c>
      <c r="B99" s="1060" t="s">
        <v>21757</v>
      </c>
      <c r="C99" s="1059" t="s">
        <v>3</v>
      </c>
      <c r="D99" s="1061">
        <v>84.03</v>
      </c>
    </row>
    <row r="100" spans="1:4" ht="9" customHeight="1" x14ac:dyDescent="0.25">
      <c r="A100" s="1059">
        <v>408031</v>
      </c>
      <c r="B100" s="1060" t="s">
        <v>21758</v>
      </c>
      <c r="C100" s="1059" t="s">
        <v>3</v>
      </c>
      <c r="D100" s="1061">
        <v>20.6</v>
      </c>
    </row>
    <row r="101" spans="1:4" ht="9" customHeight="1" x14ac:dyDescent="0.25">
      <c r="A101" s="1059">
        <v>408032</v>
      </c>
      <c r="B101" s="1060" t="s">
        <v>21759</v>
      </c>
      <c r="C101" s="1059" t="s">
        <v>3</v>
      </c>
      <c r="D101" s="1061">
        <v>27.95</v>
      </c>
    </row>
    <row r="102" spans="1:4" ht="9" customHeight="1" x14ac:dyDescent="0.25">
      <c r="A102" s="1059">
        <v>408033</v>
      </c>
      <c r="B102" s="1060" t="s">
        <v>21760</v>
      </c>
      <c r="C102" s="1059" t="s">
        <v>3</v>
      </c>
      <c r="D102" s="1061">
        <v>38.22</v>
      </c>
    </row>
    <row r="103" spans="1:4" ht="9" customHeight="1" x14ac:dyDescent="0.25">
      <c r="A103" s="1059">
        <v>408035</v>
      </c>
      <c r="B103" s="1060" t="s">
        <v>21761</v>
      </c>
      <c r="C103" s="1059" t="s">
        <v>3</v>
      </c>
      <c r="D103" s="1061">
        <v>64.45</v>
      </c>
    </row>
    <row r="104" spans="1:4" ht="9" customHeight="1" x14ac:dyDescent="0.25">
      <c r="A104" s="1059">
        <v>408036</v>
      </c>
      <c r="B104" s="1060" t="s">
        <v>21762</v>
      </c>
      <c r="C104" s="1059" t="s">
        <v>3</v>
      </c>
      <c r="D104" s="1061">
        <v>140.57</v>
      </c>
    </row>
    <row r="105" spans="1:4" ht="9" customHeight="1" x14ac:dyDescent="0.25">
      <c r="A105" s="1059">
        <v>408067</v>
      </c>
      <c r="B105" s="1060" t="s">
        <v>21763</v>
      </c>
      <c r="C105" s="1059" t="s">
        <v>6</v>
      </c>
      <c r="D105" s="1061">
        <v>11.76</v>
      </c>
    </row>
    <row r="106" spans="1:4" ht="9" customHeight="1" x14ac:dyDescent="0.25">
      <c r="A106" s="1059">
        <v>407743</v>
      </c>
      <c r="B106" s="1060" t="s">
        <v>21764</v>
      </c>
      <c r="C106" s="1059" t="s">
        <v>6</v>
      </c>
      <c r="D106" s="1061">
        <v>13.88</v>
      </c>
    </row>
    <row r="107" spans="1:4" ht="18" customHeight="1" x14ac:dyDescent="0.25">
      <c r="A107" s="1059">
        <v>607137</v>
      </c>
      <c r="B107" s="1060" t="s">
        <v>21765</v>
      </c>
      <c r="C107" s="1059" t="s">
        <v>2</v>
      </c>
      <c r="D107" s="1061">
        <v>60067.94</v>
      </c>
    </row>
    <row r="108" spans="1:4" ht="18" customHeight="1" x14ac:dyDescent="0.25">
      <c r="A108" s="1059">
        <v>606785</v>
      </c>
      <c r="B108" s="1060" t="s">
        <v>21766</v>
      </c>
      <c r="C108" s="1059" t="s">
        <v>2</v>
      </c>
      <c r="D108" s="1061">
        <v>59453.2</v>
      </c>
    </row>
    <row r="109" spans="1:4" ht="18" customHeight="1" x14ac:dyDescent="0.25">
      <c r="A109" s="1059">
        <v>607139</v>
      </c>
      <c r="B109" s="1060" t="s">
        <v>21767</v>
      </c>
      <c r="C109" s="1059" t="s">
        <v>2</v>
      </c>
      <c r="D109" s="1061">
        <v>60908.31</v>
      </c>
    </row>
    <row r="110" spans="1:4" ht="18" customHeight="1" x14ac:dyDescent="0.25">
      <c r="A110" s="1059">
        <v>606787</v>
      </c>
      <c r="B110" s="1060" t="s">
        <v>21768</v>
      </c>
      <c r="C110" s="1059" t="s">
        <v>2</v>
      </c>
      <c r="D110" s="1061">
        <v>59984.29</v>
      </c>
    </row>
    <row r="111" spans="1:4" ht="18" customHeight="1" x14ac:dyDescent="0.25">
      <c r="A111" s="1059">
        <v>607140</v>
      </c>
      <c r="B111" s="1060" t="s">
        <v>21769</v>
      </c>
      <c r="C111" s="1059" t="s">
        <v>2</v>
      </c>
      <c r="D111" s="1061">
        <v>55580.81</v>
      </c>
    </row>
    <row r="112" spans="1:4" ht="18" customHeight="1" x14ac:dyDescent="0.25">
      <c r="A112" s="1059">
        <v>606788</v>
      </c>
      <c r="B112" s="1060" t="s">
        <v>21770</v>
      </c>
      <c r="C112" s="1059" t="s">
        <v>2</v>
      </c>
      <c r="D112" s="1061">
        <v>55310.16</v>
      </c>
    </row>
    <row r="113" spans="1:4" ht="18" customHeight="1" x14ac:dyDescent="0.25">
      <c r="A113" s="1059">
        <v>607141</v>
      </c>
      <c r="B113" s="1060" t="s">
        <v>21771</v>
      </c>
      <c r="C113" s="1059" t="s">
        <v>2</v>
      </c>
      <c r="D113" s="1061">
        <v>62023.14</v>
      </c>
    </row>
    <row r="114" spans="1:4" ht="18" customHeight="1" x14ac:dyDescent="0.25">
      <c r="A114" s="1059">
        <v>606789</v>
      </c>
      <c r="B114" s="1060" t="s">
        <v>21772</v>
      </c>
      <c r="C114" s="1059" t="s">
        <v>2</v>
      </c>
      <c r="D114" s="1061">
        <v>61384.42</v>
      </c>
    </row>
    <row r="115" spans="1:4" ht="18" customHeight="1" x14ac:dyDescent="0.25">
      <c r="A115" s="1059">
        <v>607144</v>
      </c>
      <c r="B115" s="1060" t="s">
        <v>21773</v>
      </c>
      <c r="C115" s="1059" t="s">
        <v>2</v>
      </c>
      <c r="D115" s="1061">
        <v>72576.539999999994</v>
      </c>
    </row>
    <row r="116" spans="1:4" ht="18" customHeight="1" x14ac:dyDescent="0.25">
      <c r="A116" s="1059">
        <v>606792</v>
      </c>
      <c r="B116" s="1060" t="s">
        <v>21774</v>
      </c>
      <c r="C116" s="1059" t="s">
        <v>2</v>
      </c>
      <c r="D116" s="1061">
        <v>71992.03</v>
      </c>
    </row>
    <row r="117" spans="1:4" ht="18" customHeight="1" x14ac:dyDescent="0.25">
      <c r="A117" s="1059">
        <v>607142</v>
      </c>
      <c r="B117" s="1060" t="s">
        <v>21775</v>
      </c>
      <c r="C117" s="1059" t="s">
        <v>2</v>
      </c>
      <c r="D117" s="1061">
        <v>65091.51</v>
      </c>
    </row>
    <row r="118" spans="1:4" ht="18" customHeight="1" x14ac:dyDescent="0.25">
      <c r="A118" s="1059">
        <v>606790</v>
      </c>
      <c r="B118" s="1060" t="s">
        <v>21776</v>
      </c>
      <c r="C118" s="1059" t="s">
        <v>2</v>
      </c>
      <c r="D118" s="1061">
        <v>64401.75</v>
      </c>
    </row>
    <row r="119" spans="1:4" ht="18" customHeight="1" x14ac:dyDescent="0.25">
      <c r="A119" s="1059">
        <v>607145</v>
      </c>
      <c r="B119" s="1060" t="s">
        <v>21777</v>
      </c>
      <c r="C119" s="1059" t="s">
        <v>2</v>
      </c>
      <c r="D119" s="1061">
        <v>80305.429999999993</v>
      </c>
    </row>
    <row r="120" spans="1:4" ht="18" customHeight="1" x14ac:dyDescent="0.25">
      <c r="A120" s="1059">
        <v>606793</v>
      </c>
      <c r="B120" s="1060" t="s">
        <v>21778</v>
      </c>
      <c r="C120" s="1059" t="s">
        <v>2</v>
      </c>
      <c r="D120" s="1061">
        <v>79647.11</v>
      </c>
    </row>
    <row r="121" spans="1:4" ht="18" customHeight="1" x14ac:dyDescent="0.25">
      <c r="A121" s="1059">
        <v>607146</v>
      </c>
      <c r="B121" s="1060" t="s">
        <v>21779</v>
      </c>
      <c r="C121" s="1059" t="s">
        <v>2</v>
      </c>
      <c r="D121" s="1061">
        <v>83684.08</v>
      </c>
    </row>
    <row r="122" spans="1:4" ht="18" customHeight="1" x14ac:dyDescent="0.25">
      <c r="A122" s="1059">
        <v>606794</v>
      </c>
      <c r="B122" s="1060" t="s">
        <v>21780</v>
      </c>
      <c r="C122" s="1059" t="s">
        <v>2</v>
      </c>
      <c r="D122" s="1061">
        <v>82974.11</v>
      </c>
    </row>
    <row r="123" spans="1:4" ht="18" customHeight="1" x14ac:dyDescent="0.25">
      <c r="A123" s="1059">
        <v>607143</v>
      </c>
      <c r="B123" s="1060" t="s">
        <v>21781</v>
      </c>
      <c r="C123" s="1059" t="s">
        <v>2</v>
      </c>
      <c r="D123" s="1061">
        <v>70296.289999999994</v>
      </c>
    </row>
    <row r="124" spans="1:4" ht="18" customHeight="1" x14ac:dyDescent="0.25">
      <c r="A124" s="1059">
        <v>606791</v>
      </c>
      <c r="B124" s="1060" t="s">
        <v>21782</v>
      </c>
      <c r="C124" s="1059" t="s">
        <v>2</v>
      </c>
      <c r="D124" s="1061">
        <v>69501.55</v>
      </c>
    </row>
    <row r="125" spans="1:4" ht="18" customHeight="1" x14ac:dyDescent="0.25">
      <c r="A125" s="1059">
        <v>607147</v>
      </c>
      <c r="B125" s="1060" t="s">
        <v>21783</v>
      </c>
      <c r="C125" s="1059" t="s">
        <v>2</v>
      </c>
      <c r="D125" s="1061">
        <v>90226.96</v>
      </c>
    </row>
    <row r="126" spans="1:4" ht="18" customHeight="1" x14ac:dyDescent="0.25">
      <c r="A126" s="1059">
        <v>606795</v>
      </c>
      <c r="B126" s="1060" t="s">
        <v>21784</v>
      </c>
      <c r="C126" s="1059" t="s">
        <v>2</v>
      </c>
      <c r="D126" s="1061">
        <v>89411.31</v>
      </c>
    </row>
    <row r="127" spans="1:4" ht="18" customHeight="1" x14ac:dyDescent="0.25">
      <c r="A127" s="1059">
        <v>607112</v>
      </c>
      <c r="B127" s="1060" t="s">
        <v>21785</v>
      </c>
      <c r="C127" s="1059" t="s">
        <v>2</v>
      </c>
      <c r="D127" s="1061">
        <v>29313.82</v>
      </c>
    </row>
    <row r="128" spans="1:4" ht="18" customHeight="1" x14ac:dyDescent="0.25">
      <c r="A128" s="1059">
        <v>606760</v>
      </c>
      <c r="B128" s="1060" t="s">
        <v>21786</v>
      </c>
      <c r="C128" s="1059" t="s">
        <v>2</v>
      </c>
      <c r="D128" s="1061">
        <v>29098.720000000001</v>
      </c>
    </row>
    <row r="129" spans="1:4" ht="18" customHeight="1" x14ac:dyDescent="0.25">
      <c r="A129" s="1059">
        <v>607113</v>
      </c>
      <c r="B129" s="1060" t="s">
        <v>21787</v>
      </c>
      <c r="C129" s="1059" t="s">
        <v>2</v>
      </c>
      <c r="D129" s="1061">
        <v>34339.879999999997</v>
      </c>
    </row>
    <row r="130" spans="1:4" ht="18" customHeight="1" x14ac:dyDescent="0.25">
      <c r="A130" s="1059">
        <v>606761</v>
      </c>
      <c r="B130" s="1060" t="s">
        <v>21788</v>
      </c>
      <c r="C130" s="1059" t="s">
        <v>2</v>
      </c>
      <c r="D130" s="1061">
        <v>34093.230000000003</v>
      </c>
    </row>
    <row r="131" spans="1:4" ht="18" customHeight="1" x14ac:dyDescent="0.25">
      <c r="A131" s="1059">
        <v>606762</v>
      </c>
      <c r="B131" s="1060" t="s">
        <v>21789</v>
      </c>
      <c r="C131" s="1059" t="s">
        <v>2</v>
      </c>
      <c r="D131" s="1061">
        <v>33817.230000000003</v>
      </c>
    </row>
    <row r="132" spans="1:4" ht="18" customHeight="1" x14ac:dyDescent="0.25">
      <c r="A132" s="1059">
        <v>607114</v>
      </c>
      <c r="B132" s="1060" t="s">
        <v>21790</v>
      </c>
      <c r="C132" s="1059" t="s">
        <v>2</v>
      </c>
      <c r="D132" s="1061">
        <v>34066.75</v>
      </c>
    </row>
    <row r="133" spans="1:4" ht="18" customHeight="1" x14ac:dyDescent="0.25">
      <c r="A133" s="1059">
        <v>607116</v>
      </c>
      <c r="B133" s="1060" t="s">
        <v>21791</v>
      </c>
      <c r="C133" s="1059" t="s">
        <v>2</v>
      </c>
      <c r="D133" s="1061">
        <v>36138.6</v>
      </c>
    </row>
    <row r="134" spans="1:4" ht="18" customHeight="1" x14ac:dyDescent="0.25">
      <c r="A134" s="1059">
        <v>606764</v>
      </c>
      <c r="B134" s="1060" t="s">
        <v>21792</v>
      </c>
      <c r="C134" s="1059" t="s">
        <v>2</v>
      </c>
      <c r="D134" s="1061">
        <v>35876.1</v>
      </c>
    </row>
    <row r="135" spans="1:4" ht="18" customHeight="1" x14ac:dyDescent="0.25">
      <c r="A135" s="1059">
        <v>607115</v>
      </c>
      <c r="B135" s="1060" t="s">
        <v>21793</v>
      </c>
      <c r="C135" s="1059" t="s">
        <v>2</v>
      </c>
      <c r="D135" s="1061">
        <v>41049.54</v>
      </c>
    </row>
    <row r="136" spans="1:4" ht="18" customHeight="1" x14ac:dyDescent="0.25">
      <c r="A136" s="1059">
        <v>606763</v>
      </c>
      <c r="B136" s="1060" t="s">
        <v>21794</v>
      </c>
      <c r="C136" s="1059" t="s">
        <v>2</v>
      </c>
      <c r="D136" s="1061">
        <v>40732.58</v>
      </c>
    </row>
    <row r="137" spans="1:4" ht="18" customHeight="1" x14ac:dyDescent="0.25">
      <c r="A137" s="1059">
        <v>607117</v>
      </c>
      <c r="B137" s="1060" t="s">
        <v>21795</v>
      </c>
      <c r="C137" s="1059" t="s">
        <v>2</v>
      </c>
      <c r="D137" s="1061">
        <v>41067.08</v>
      </c>
    </row>
    <row r="138" spans="1:4" ht="18" customHeight="1" x14ac:dyDescent="0.25">
      <c r="A138" s="1059">
        <v>606765</v>
      </c>
      <c r="B138" s="1060" t="s">
        <v>21796</v>
      </c>
      <c r="C138" s="1059" t="s">
        <v>2</v>
      </c>
      <c r="D138" s="1061">
        <v>40758.57</v>
      </c>
    </row>
    <row r="139" spans="1:4" ht="18" customHeight="1" x14ac:dyDescent="0.25">
      <c r="A139" s="1059">
        <v>607118</v>
      </c>
      <c r="B139" s="1060" t="s">
        <v>21797</v>
      </c>
      <c r="C139" s="1059" t="s">
        <v>2</v>
      </c>
      <c r="D139" s="1061">
        <v>36790.769999999997</v>
      </c>
    </row>
    <row r="140" spans="1:4" ht="18" customHeight="1" x14ac:dyDescent="0.25">
      <c r="A140" s="1059">
        <v>606766</v>
      </c>
      <c r="B140" s="1060" t="s">
        <v>21798</v>
      </c>
      <c r="C140" s="1059" t="s">
        <v>2</v>
      </c>
      <c r="D140" s="1061">
        <v>36517.769999999997</v>
      </c>
    </row>
    <row r="141" spans="1:4" ht="18" customHeight="1" x14ac:dyDescent="0.25">
      <c r="A141" s="1059">
        <v>607120</v>
      </c>
      <c r="B141" s="1060" t="s">
        <v>21799</v>
      </c>
      <c r="C141" s="1059" t="s">
        <v>2</v>
      </c>
      <c r="D141" s="1061">
        <v>37444.39</v>
      </c>
    </row>
    <row r="142" spans="1:4" ht="18" customHeight="1" x14ac:dyDescent="0.25">
      <c r="A142" s="1059">
        <v>606768</v>
      </c>
      <c r="B142" s="1060" t="s">
        <v>21800</v>
      </c>
      <c r="C142" s="1059" t="s">
        <v>2</v>
      </c>
      <c r="D142" s="1061">
        <v>37158.99</v>
      </c>
    </row>
    <row r="143" spans="1:4" ht="18" customHeight="1" x14ac:dyDescent="0.25">
      <c r="A143" s="1059">
        <v>607119</v>
      </c>
      <c r="B143" s="1060" t="s">
        <v>21801</v>
      </c>
      <c r="C143" s="1059" t="s">
        <v>2</v>
      </c>
      <c r="D143" s="1061">
        <v>43028.13</v>
      </c>
    </row>
    <row r="144" spans="1:4" ht="18" customHeight="1" x14ac:dyDescent="0.25">
      <c r="A144" s="1059">
        <v>606767</v>
      </c>
      <c r="B144" s="1060" t="s">
        <v>21802</v>
      </c>
      <c r="C144" s="1059" t="s">
        <v>2</v>
      </c>
      <c r="D144" s="1061">
        <v>42683.21</v>
      </c>
    </row>
    <row r="145" spans="1:4" ht="18" customHeight="1" x14ac:dyDescent="0.25">
      <c r="A145" s="1059">
        <v>607121</v>
      </c>
      <c r="B145" s="1060" t="s">
        <v>21803</v>
      </c>
      <c r="C145" s="1059" t="s">
        <v>2</v>
      </c>
      <c r="D145" s="1061">
        <v>40546.46</v>
      </c>
    </row>
    <row r="146" spans="1:4" ht="18" customHeight="1" x14ac:dyDescent="0.25">
      <c r="A146" s="1059">
        <v>606769</v>
      </c>
      <c r="B146" s="1060" t="s">
        <v>21804</v>
      </c>
      <c r="C146" s="1059" t="s">
        <v>2</v>
      </c>
      <c r="D146" s="1061">
        <v>40219.599999999999</v>
      </c>
    </row>
    <row r="147" spans="1:4" ht="18" customHeight="1" x14ac:dyDescent="0.25">
      <c r="A147" s="1059">
        <v>607123</v>
      </c>
      <c r="B147" s="1060" t="s">
        <v>21805</v>
      </c>
      <c r="C147" s="1059" t="s">
        <v>2</v>
      </c>
      <c r="D147" s="1061">
        <v>39981.03</v>
      </c>
    </row>
    <row r="148" spans="1:4" ht="18" customHeight="1" x14ac:dyDescent="0.25">
      <c r="A148" s="1059">
        <v>606771</v>
      </c>
      <c r="B148" s="1060" t="s">
        <v>21806</v>
      </c>
      <c r="C148" s="1059" t="s">
        <v>2</v>
      </c>
      <c r="D148" s="1061">
        <v>39657.800000000003</v>
      </c>
    </row>
    <row r="149" spans="1:4" ht="18" customHeight="1" x14ac:dyDescent="0.25">
      <c r="A149" s="1059">
        <v>607122</v>
      </c>
      <c r="B149" s="1060" t="s">
        <v>21807</v>
      </c>
      <c r="C149" s="1059" t="s">
        <v>2</v>
      </c>
      <c r="D149" s="1061">
        <v>44363.83</v>
      </c>
    </row>
    <row r="150" spans="1:4" ht="18" customHeight="1" x14ac:dyDescent="0.25">
      <c r="A150" s="1059">
        <v>606770</v>
      </c>
      <c r="B150" s="1060" t="s">
        <v>21808</v>
      </c>
      <c r="C150" s="1059" t="s">
        <v>2</v>
      </c>
      <c r="D150" s="1061">
        <v>43992.12</v>
      </c>
    </row>
    <row r="151" spans="1:4" ht="18" customHeight="1" x14ac:dyDescent="0.25">
      <c r="A151" s="1059">
        <v>607125</v>
      </c>
      <c r="B151" s="1060" t="s">
        <v>21809</v>
      </c>
      <c r="C151" s="1059" t="s">
        <v>2</v>
      </c>
      <c r="D151" s="1061">
        <v>41336.870000000003</v>
      </c>
    </row>
    <row r="152" spans="1:4" ht="18" customHeight="1" x14ac:dyDescent="0.25">
      <c r="A152" s="1059">
        <v>606773</v>
      </c>
      <c r="B152" s="1060" t="s">
        <v>21810</v>
      </c>
      <c r="C152" s="1059" t="s">
        <v>2</v>
      </c>
      <c r="D152" s="1061">
        <v>40998.99</v>
      </c>
    </row>
    <row r="153" spans="1:4" ht="18" customHeight="1" x14ac:dyDescent="0.25">
      <c r="A153" s="1059">
        <v>607124</v>
      </c>
      <c r="B153" s="1060" t="s">
        <v>21811</v>
      </c>
      <c r="C153" s="1059" t="s">
        <v>2</v>
      </c>
      <c r="D153" s="1061">
        <v>45054.14</v>
      </c>
    </row>
    <row r="154" spans="1:4" ht="18" customHeight="1" x14ac:dyDescent="0.25">
      <c r="A154" s="1059">
        <v>606772</v>
      </c>
      <c r="B154" s="1060" t="s">
        <v>21812</v>
      </c>
      <c r="C154" s="1059" t="s">
        <v>2</v>
      </c>
      <c r="D154" s="1061">
        <v>44667.66</v>
      </c>
    </row>
    <row r="155" spans="1:4" ht="18" customHeight="1" x14ac:dyDescent="0.25">
      <c r="A155" s="1059">
        <v>607126</v>
      </c>
      <c r="B155" s="1060" t="s">
        <v>21813</v>
      </c>
      <c r="C155" s="1059" t="s">
        <v>2</v>
      </c>
      <c r="D155" s="1061">
        <v>46291.29</v>
      </c>
    </row>
    <row r="156" spans="1:4" ht="18" customHeight="1" x14ac:dyDescent="0.25">
      <c r="A156" s="1059">
        <v>606774</v>
      </c>
      <c r="B156" s="1060" t="s">
        <v>21814</v>
      </c>
      <c r="C156" s="1059" t="s">
        <v>2</v>
      </c>
      <c r="D156" s="1061">
        <v>45888.59</v>
      </c>
    </row>
    <row r="157" spans="1:4" ht="18" customHeight="1" x14ac:dyDescent="0.25">
      <c r="A157" s="1059">
        <v>607127</v>
      </c>
      <c r="B157" s="1060" t="s">
        <v>21815</v>
      </c>
      <c r="C157" s="1059" t="s">
        <v>2</v>
      </c>
      <c r="D157" s="1061">
        <v>42657.09</v>
      </c>
    </row>
    <row r="158" spans="1:4" ht="18" customHeight="1" x14ac:dyDescent="0.25">
      <c r="A158" s="1059">
        <v>606775</v>
      </c>
      <c r="B158" s="1060" t="s">
        <v>21816</v>
      </c>
      <c r="C158" s="1059" t="s">
        <v>2</v>
      </c>
      <c r="D158" s="1061">
        <v>42293.49</v>
      </c>
    </row>
    <row r="159" spans="1:4" ht="18" customHeight="1" x14ac:dyDescent="0.25">
      <c r="A159" s="1059">
        <v>607129</v>
      </c>
      <c r="B159" s="1060" t="s">
        <v>21817</v>
      </c>
      <c r="C159" s="1059" t="s">
        <v>2</v>
      </c>
      <c r="D159" s="1061">
        <v>44609.51</v>
      </c>
    </row>
    <row r="160" spans="1:4" ht="18" customHeight="1" x14ac:dyDescent="0.25">
      <c r="A160" s="1059">
        <v>606777</v>
      </c>
      <c r="B160" s="1060" t="s">
        <v>21818</v>
      </c>
      <c r="C160" s="1059" t="s">
        <v>2</v>
      </c>
      <c r="D160" s="1061">
        <v>44214.57</v>
      </c>
    </row>
    <row r="161" spans="1:4" ht="18" customHeight="1" x14ac:dyDescent="0.25">
      <c r="A161" s="1059">
        <v>607128</v>
      </c>
      <c r="B161" s="1060" t="s">
        <v>21819</v>
      </c>
      <c r="C161" s="1059" t="s">
        <v>2</v>
      </c>
      <c r="D161" s="1061">
        <v>49033.79</v>
      </c>
    </row>
    <row r="162" spans="1:4" ht="18" customHeight="1" x14ac:dyDescent="0.25">
      <c r="A162" s="1059">
        <v>606776</v>
      </c>
      <c r="B162" s="1060" t="s">
        <v>21820</v>
      </c>
      <c r="C162" s="1059" t="s">
        <v>2</v>
      </c>
      <c r="D162" s="1061">
        <v>48573.599999999999</v>
      </c>
    </row>
    <row r="163" spans="1:4" ht="18" customHeight="1" x14ac:dyDescent="0.25">
      <c r="A163" s="1059">
        <v>607130</v>
      </c>
      <c r="B163" s="1060" t="s">
        <v>21821</v>
      </c>
      <c r="C163" s="1059" t="s">
        <v>2</v>
      </c>
      <c r="D163" s="1061">
        <v>52243.35</v>
      </c>
    </row>
    <row r="164" spans="1:4" ht="18" customHeight="1" x14ac:dyDescent="0.25">
      <c r="A164" s="1059">
        <v>606778</v>
      </c>
      <c r="B164" s="1060" t="s">
        <v>21822</v>
      </c>
      <c r="C164" s="1059" t="s">
        <v>2</v>
      </c>
      <c r="D164" s="1061">
        <v>51736.56</v>
      </c>
    </row>
    <row r="165" spans="1:4" ht="18" customHeight="1" x14ac:dyDescent="0.25">
      <c r="A165" s="1059">
        <v>607131</v>
      </c>
      <c r="B165" s="1060" t="s">
        <v>21823</v>
      </c>
      <c r="C165" s="1059" t="s">
        <v>2</v>
      </c>
      <c r="D165" s="1061">
        <v>49075.28</v>
      </c>
    </row>
    <row r="166" spans="1:4" ht="18" customHeight="1" x14ac:dyDescent="0.25">
      <c r="A166" s="1059">
        <v>606779</v>
      </c>
      <c r="B166" s="1060" t="s">
        <v>21824</v>
      </c>
      <c r="C166" s="1059" t="s">
        <v>2</v>
      </c>
      <c r="D166" s="1061">
        <v>48627.61</v>
      </c>
    </row>
    <row r="167" spans="1:4" ht="18" customHeight="1" x14ac:dyDescent="0.25">
      <c r="A167" s="1059">
        <v>607133</v>
      </c>
      <c r="B167" s="1060" t="s">
        <v>21825</v>
      </c>
      <c r="C167" s="1059" t="s">
        <v>2</v>
      </c>
      <c r="D167" s="1061">
        <v>49871</v>
      </c>
    </row>
    <row r="168" spans="1:4" ht="18" customHeight="1" x14ac:dyDescent="0.25">
      <c r="A168" s="1059">
        <v>606781</v>
      </c>
      <c r="B168" s="1060" t="s">
        <v>21826</v>
      </c>
      <c r="C168" s="1059" t="s">
        <v>2</v>
      </c>
      <c r="D168" s="1061">
        <v>49404.89</v>
      </c>
    </row>
    <row r="169" spans="1:4" ht="18" customHeight="1" x14ac:dyDescent="0.25">
      <c r="A169" s="1059">
        <v>607132</v>
      </c>
      <c r="B169" s="1060" t="s">
        <v>21827</v>
      </c>
      <c r="C169" s="1059" t="s">
        <v>2</v>
      </c>
      <c r="D169" s="1061">
        <v>54289.38</v>
      </c>
    </row>
    <row r="170" spans="1:4" ht="18" customHeight="1" x14ac:dyDescent="0.25">
      <c r="A170" s="1059">
        <v>606780</v>
      </c>
      <c r="B170" s="1060" t="s">
        <v>21828</v>
      </c>
      <c r="C170" s="1059" t="s">
        <v>2</v>
      </c>
      <c r="D170" s="1061">
        <v>53746.39</v>
      </c>
    </row>
    <row r="171" spans="1:4" ht="18" customHeight="1" x14ac:dyDescent="0.25">
      <c r="A171" s="1059">
        <v>607134</v>
      </c>
      <c r="B171" s="1060" t="s">
        <v>21829</v>
      </c>
      <c r="C171" s="1059" t="s">
        <v>2</v>
      </c>
      <c r="D171" s="1061">
        <v>53761.45</v>
      </c>
    </row>
    <row r="172" spans="1:4" ht="18" customHeight="1" x14ac:dyDescent="0.25">
      <c r="A172" s="1059">
        <v>606782</v>
      </c>
      <c r="B172" s="1060" t="s">
        <v>21830</v>
      </c>
      <c r="C172" s="1059" t="s">
        <v>2</v>
      </c>
      <c r="D172" s="1061">
        <v>53231.57</v>
      </c>
    </row>
    <row r="173" spans="1:4" ht="18" customHeight="1" x14ac:dyDescent="0.25">
      <c r="A173" s="1059">
        <v>607136</v>
      </c>
      <c r="B173" s="1060" t="s">
        <v>21831</v>
      </c>
      <c r="C173" s="1059" t="s">
        <v>2</v>
      </c>
      <c r="D173" s="1061">
        <v>53091.32</v>
      </c>
    </row>
    <row r="174" spans="1:4" ht="18" customHeight="1" x14ac:dyDescent="0.25">
      <c r="A174" s="1059">
        <v>606784</v>
      </c>
      <c r="B174" s="1060" t="s">
        <v>21832</v>
      </c>
      <c r="C174" s="1059" t="s">
        <v>2</v>
      </c>
      <c r="D174" s="1061">
        <v>52574.2</v>
      </c>
    </row>
    <row r="175" spans="1:4" ht="18" customHeight="1" x14ac:dyDescent="0.25">
      <c r="A175" s="1059">
        <v>607135</v>
      </c>
      <c r="B175" s="1060" t="s">
        <v>21833</v>
      </c>
      <c r="C175" s="1059" t="s">
        <v>2</v>
      </c>
      <c r="D175" s="1061">
        <v>59216.959999999999</v>
      </c>
    </row>
    <row r="176" spans="1:4" ht="18" customHeight="1" x14ac:dyDescent="0.25">
      <c r="A176" s="1059">
        <v>606783</v>
      </c>
      <c r="B176" s="1060" t="s">
        <v>21834</v>
      </c>
      <c r="C176" s="1059" t="s">
        <v>2</v>
      </c>
      <c r="D176" s="1061">
        <v>58621.97</v>
      </c>
    </row>
    <row r="177" spans="1:4" ht="18" customHeight="1" x14ac:dyDescent="0.25">
      <c r="A177" s="1059">
        <v>607138</v>
      </c>
      <c r="B177" s="1060" t="s">
        <v>21835</v>
      </c>
      <c r="C177" s="1059" t="s">
        <v>2</v>
      </c>
      <c r="D177" s="1061">
        <v>53968.87</v>
      </c>
    </row>
    <row r="178" spans="1:4" ht="18" customHeight="1" x14ac:dyDescent="0.25">
      <c r="A178" s="1059">
        <v>606786</v>
      </c>
      <c r="B178" s="1060" t="s">
        <v>21836</v>
      </c>
      <c r="C178" s="1059" t="s">
        <v>2</v>
      </c>
      <c r="D178" s="1061">
        <v>53420.91</v>
      </c>
    </row>
    <row r="179" spans="1:4" ht="18" customHeight="1" x14ac:dyDescent="0.25">
      <c r="A179" s="1059">
        <v>606842</v>
      </c>
      <c r="B179" s="1060" t="s">
        <v>21837</v>
      </c>
      <c r="C179" s="1059" t="s">
        <v>2</v>
      </c>
      <c r="D179" s="1061">
        <v>67437.149999999994</v>
      </c>
    </row>
    <row r="180" spans="1:4" ht="18" customHeight="1" x14ac:dyDescent="0.25">
      <c r="A180" s="1059">
        <v>606832</v>
      </c>
      <c r="B180" s="1060" t="s">
        <v>21838</v>
      </c>
      <c r="C180" s="1059" t="s">
        <v>2</v>
      </c>
      <c r="D180" s="1061">
        <v>67146.22</v>
      </c>
    </row>
    <row r="181" spans="1:4" ht="18" customHeight="1" x14ac:dyDescent="0.25">
      <c r="A181" s="1059">
        <v>606843</v>
      </c>
      <c r="B181" s="1060" t="s">
        <v>21839</v>
      </c>
      <c r="C181" s="1059" t="s">
        <v>2</v>
      </c>
      <c r="D181" s="1061">
        <v>70084.31</v>
      </c>
    </row>
    <row r="182" spans="1:4" ht="18" customHeight="1" x14ac:dyDescent="0.25">
      <c r="A182" s="1059">
        <v>606833</v>
      </c>
      <c r="B182" s="1060" t="s">
        <v>21840</v>
      </c>
      <c r="C182" s="1059" t="s">
        <v>2</v>
      </c>
      <c r="D182" s="1061">
        <v>69777.95</v>
      </c>
    </row>
    <row r="183" spans="1:4" ht="18" customHeight="1" x14ac:dyDescent="0.25">
      <c r="A183" s="1059">
        <v>606845</v>
      </c>
      <c r="B183" s="1060" t="s">
        <v>21841</v>
      </c>
      <c r="C183" s="1059" t="s">
        <v>2</v>
      </c>
      <c r="D183" s="1061">
        <v>72676.639999999999</v>
      </c>
    </row>
    <row r="184" spans="1:4" ht="18" customHeight="1" x14ac:dyDescent="0.25">
      <c r="A184" s="1059">
        <v>606835</v>
      </c>
      <c r="B184" s="1060" t="s">
        <v>21842</v>
      </c>
      <c r="C184" s="1059" t="s">
        <v>2</v>
      </c>
      <c r="D184" s="1061">
        <v>72372.210000000006</v>
      </c>
    </row>
    <row r="185" spans="1:4" ht="18" customHeight="1" x14ac:dyDescent="0.25">
      <c r="A185" s="1059">
        <v>606844</v>
      </c>
      <c r="B185" s="1060" t="s">
        <v>21843</v>
      </c>
      <c r="C185" s="1059" t="s">
        <v>2</v>
      </c>
      <c r="D185" s="1061">
        <v>71179.740000000005</v>
      </c>
    </row>
    <row r="186" spans="1:4" ht="18" customHeight="1" x14ac:dyDescent="0.25">
      <c r="A186" s="1059">
        <v>606834</v>
      </c>
      <c r="B186" s="1060" t="s">
        <v>21844</v>
      </c>
      <c r="C186" s="1059" t="s">
        <v>2</v>
      </c>
      <c r="D186" s="1061">
        <v>70865.06</v>
      </c>
    </row>
    <row r="187" spans="1:4" ht="18" customHeight="1" x14ac:dyDescent="0.25">
      <c r="A187" s="1059">
        <v>606847</v>
      </c>
      <c r="B187" s="1060" t="s">
        <v>21845</v>
      </c>
      <c r="C187" s="1059" t="s">
        <v>2</v>
      </c>
      <c r="D187" s="1061">
        <v>74810.97</v>
      </c>
    </row>
    <row r="188" spans="1:4" ht="18" customHeight="1" x14ac:dyDescent="0.25">
      <c r="A188" s="1059">
        <v>606837</v>
      </c>
      <c r="B188" s="1060" t="s">
        <v>21846</v>
      </c>
      <c r="C188" s="1059" t="s">
        <v>2</v>
      </c>
      <c r="D188" s="1061">
        <v>74465.59</v>
      </c>
    </row>
    <row r="189" spans="1:4" ht="18" customHeight="1" x14ac:dyDescent="0.25">
      <c r="A189" s="1059">
        <v>606846</v>
      </c>
      <c r="B189" s="1060" t="s">
        <v>21847</v>
      </c>
      <c r="C189" s="1059" t="s">
        <v>2</v>
      </c>
      <c r="D189" s="1061">
        <v>76669.350000000006</v>
      </c>
    </row>
    <row r="190" spans="1:4" ht="18" customHeight="1" x14ac:dyDescent="0.25">
      <c r="A190" s="1059">
        <v>606836</v>
      </c>
      <c r="B190" s="1060" t="s">
        <v>21848</v>
      </c>
      <c r="C190" s="1059" t="s">
        <v>2</v>
      </c>
      <c r="D190" s="1061">
        <v>76321.52</v>
      </c>
    </row>
    <row r="191" spans="1:4" ht="18" customHeight="1" x14ac:dyDescent="0.25">
      <c r="A191" s="1059">
        <v>606848</v>
      </c>
      <c r="B191" s="1060" t="s">
        <v>21849</v>
      </c>
      <c r="C191" s="1059" t="s">
        <v>2</v>
      </c>
      <c r="D191" s="1061">
        <v>76459.8</v>
      </c>
    </row>
    <row r="192" spans="1:4" ht="18" customHeight="1" x14ac:dyDescent="0.25">
      <c r="A192" s="1059">
        <v>606838</v>
      </c>
      <c r="B192" s="1060" t="s">
        <v>21850</v>
      </c>
      <c r="C192" s="1059" t="s">
        <v>2</v>
      </c>
      <c r="D192" s="1061">
        <v>76097.25</v>
      </c>
    </row>
    <row r="193" spans="1:4" ht="18" customHeight="1" x14ac:dyDescent="0.25">
      <c r="A193" s="1059">
        <v>606849</v>
      </c>
      <c r="B193" s="1060" t="s">
        <v>21851</v>
      </c>
      <c r="C193" s="1059" t="s">
        <v>2</v>
      </c>
      <c r="D193" s="1061">
        <v>83010.39</v>
      </c>
    </row>
    <row r="194" spans="1:4" ht="18" customHeight="1" x14ac:dyDescent="0.25">
      <c r="A194" s="1059">
        <v>606839</v>
      </c>
      <c r="B194" s="1060" t="s">
        <v>21852</v>
      </c>
      <c r="C194" s="1059" t="s">
        <v>2</v>
      </c>
      <c r="D194" s="1061">
        <v>82658.429999999993</v>
      </c>
    </row>
    <row r="195" spans="1:4" ht="18" customHeight="1" x14ac:dyDescent="0.25">
      <c r="A195" s="1059">
        <v>606850</v>
      </c>
      <c r="B195" s="1060" t="s">
        <v>21853</v>
      </c>
      <c r="C195" s="1059" t="s">
        <v>2</v>
      </c>
      <c r="D195" s="1061">
        <v>83700.28</v>
      </c>
    </row>
    <row r="196" spans="1:4" ht="18" customHeight="1" x14ac:dyDescent="0.25">
      <c r="A196" s="1059">
        <v>606840</v>
      </c>
      <c r="B196" s="1060" t="s">
        <v>21854</v>
      </c>
      <c r="C196" s="1059" t="s">
        <v>2</v>
      </c>
      <c r="D196" s="1061">
        <v>83313.41</v>
      </c>
    </row>
    <row r="197" spans="1:4" ht="18" customHeight="1" x14ac:dyDescent="0.25">
      <c r="A197" s="1059">
        <v>606851</v>
      </c>
      <c r="B197" s="1060" t="s">
        <v>21855</v>
      </c>
      <c r="C197" s="1059" t="s">
        <v>2</v>
      </c>
      <c r="D197" s="1061">
        <v>84196.76</v>
      </c>
    </row>
    <row r="198" spans="1:4" ht="18" customHeight="1" x14ac:dyDescent="0.25">
      <c r="A198" s="1059">
        <v>606841</v>
      </c>
      <c r="B198" s="1060" t="s">
        <v>21856</v>
      </c>
      <c r="C198" s="1059" t="s">
        <v>2</v>
      </c>
      <c r="D198" s="1061">
        <v>83827.09</v>
      </c>
    </row>
    <row r="199" spans="1:4" ht="9" customHeight="1" x14ac:dyDescent="0.25">
      <c r="A199" s="1059">
        <v>605604</v>
      </c>
      <c r="B199" s="1060" t="s">
        <v>21857</v>
      </c>
      <c r="C199" s="1059" t="s">
        <v>38</v>
      </c>
      <c r="D199" s="1061">
        <v>304.19</v>
      </c>
    </row>
    <row r="200" spans="1:4" ht="9" customHeight="1" x14ac:dyDescent="0.25">
      <c r="A200" s="1059">
        <v>605695</v>
      </c>
      <c r="B200" s="1060" t="s">
        <v>21858</v>
      </c>
      <c r="C200" s="1059" t="s">
        <v>2</v>
      </c>
      <c r="D200" s="1061">
        <v>1598.45</v>
      </c>
    </row>
    <row r="201" spans="1:4" ht="9" customHeight="1" x14ac:dyDescent="0.25">
      <c r="A201" s="1059">
        <v>605607</v>
      </c>
      <c r="B201" s="1060" t="s">
        <v>21859</v>
      </c>
      <c r="C201" s="1059" t="s">
        <v>2</v>
      </c>
      <c r="D201" s="1061">
        <v>1575.39</v>
      </c>
    </row>
    <row r="202" spans="1:4" ht="9" customHeight="1" x14ac:dyDescent="0.25">
      <c r="A202" s="1059">
        <v>605696</v>
      </c>
      <c r="B202" s="1060" t="s">
        <v>21860</v>
      </c>
      <c r="C202" s="1059" t="s">
        <v>2</v>
      </c>
      <c r="D202" s="1061">
        <v>1840.18</v>
      </c>
    </row>
    <row r="203" spans="1:4" ht="9" customHeight="1" x14ac:dyDescent="0.25">
      <c r="A203" s="1059">
        <v>605608</v>
      </c>
      <c r="B203" s="1060" t="s">
        <v>21861</v>
      </c>
      <c r="C203" s="1059" t="s">
        <v>2</v>
      </c>
      <c r="D203" s="1061">
        <v>1815.68</v>
      </c>
    </row>
    <row r="204" spans="1:4" ht="9" customHeight="1" x14ac:dyDescent="0.25">
      <c r="A204" s="1059">
        <v>605697</v>
      </c>
      <c r="B204" s="1060" t="s">
        <v>21862</v>
      </c>
      <c r="C204" s="1059" t="s">
        <v>2</v>
      </c>
      <c r="D204" s="1061">
        <v>2081.9299999999998</v>
      </c>
    </row>
    <row r="205" spans="1:4" ht="9" customHeight="1" x14ac:dyDescent="0.25">
      <c r="A205" s="1059">
        <v>605609</v>
      </c>
      <c r="B205" s="1060" t="s">
        <v>21863</v>
      </c>
      <c r="C205" s="1059" t="s">
        <v>2</v>
      </c>
      <c r="D205" s="1061">
        <v>2055.9899999999998</v>
      </c>
    </row>
    <row r="206" spans="1:4" ht="9" customHeight="1" x14ac:dyDescent="0.25">
      <c r="A206" s="1059">
        <v>605698</v>
      </c>
      <c r="B206" s="1060" t="s">
        <v>21864</v>
      </c>
      <c r="C206" s="1059" t="s">
        <v>2</v>
      </c>
      <c r="D206" s="1061">
        <v>2276.52</v>
      </c>
    </row>
    <row r="207" spans="1:4" ht="9" customHeight="1" x14ac:dyDescent="0.25">
      <c r="A207" s="1059">
        <v>605610</v>
      </c>
      <c r="B207" s="1060" t="s">
        <v>21865</v>
      </c>
      <c r="C207" s="1059" t="s">
        <v>2</v>
      </c>
      <c r="D207" s="1061">
        <v>2249.13</v>
      </c>
    </row>
    <row r="208" spans="1:4" ht="9" customHeight="1" x14ac:dyDescent="0.25">
      <c r="A208" s="1059">
        <v>605699</v>
      </c>
      <c r="B208" s="1060" t="s">
        <v>21866</v>
      </c>
      <c r="C208" s="1059" t="s">
        <v>2</v>
      </c>
      <c r="D208" s="1061">
        <v>2517.8200000000002</v>
      </c>
    </row>
    <row r="209" spans="1:4" ht="9" customHeight="1" x14ac:dyDescent="0.25">
      <c r="A209" s="1059">
        <v>605611</v>
      </c>
      <c r="B209" s="1060" t="s">
        <v>21867</v>
      </c>
      <c r="C209" s="1059" t="s">
        <v>2</v>
      </c>
      <c r="D209" s="1061">
        <v>2489</v>
      </c>
    </row>
    <row r="210" spans="1:4" ht="9" customHeight="1" x14ac:dyDescent="0.25">
      <c r="A210" s="1059">
        <v>605700</v>
      </c>
      <c r="B210" s="1060" t="s">
        <v>21868</v>
      </c>
      <c r="C210" s="1059" t="s">
        <v>2</v>
      </c>
      <c r="D210" s="1061">
        <v>2854.39</v>
      </c>
    </row>
    <row r="211" spans="1:4" ht="9" customHeight="1" x14ac:dyDescent="0.25">
      <c r="A211" s="1059">
        <v>605612</v>
      </c>
      <c r="B211" s="1060" t="s">
        <v>21869</v>
      </c>
      <c r="C211" s="1059" t="s">
        <v>2</v>
      </c>
      <c r="D211" s="1061">
        <v>2824.13</v>
      </c>
    </row>
    <row r="212" spans="1:4" ht="9" customHeight="1" x14ac:dyDescent="0.25">
      <c r="A212" s="1059">
        <v>605701</v>
      </c>
      <c r="B212" s="1060" t="s">
        <v>21870</v>
      </c>
      <c r="C212" s="1059" t="s">
        <v>2</v>
      </c>
      <c r="D212" s="1061">
        <v>3048.94</v>
      </c>
    </row>
    <row r="213" spans="1:4" ht="9" customHeight="1" x14ac:dyDescent="0.25">
      <c r="A213" s="1059">
        <v>605613</v>
      </c>
      <c r="B213" s="1060" t="s">
        <v>21871</v>
      </c>
      <c r="C213" s="1059" t="s">
        <v>2</v>
      </c>
      <c r="D213" s="1061">
        <v>3017.23</v>
      </c>
    </row>
    <row r="214" spans="1:4" ht="9" customHeight="1" x14ac:dyDescent="0.25">
      <c r="A214" s="1059">
        <v>605702</v>
      </c>
      <c r="B214" s="1060" t="s">
        <v>21872</v>
      </c>
      <c r="C214" s="1059" t="s">
        <v>2</v>
      </c>
      <c r="D214" s="1061">
        <v>3327.32</v>
      </c>
    </row>
    <row r="215" spans="1:4" ht="9" customHeight="1" x14ac:dyDescent="0.25">
      <c r="A215" s="1059">
        <v>605614</v>
      </c>
      <c r="B215" s="1060" t="s">
        <v>21873</v>
      </c>
      <c r="C215" s="1059" t="s">
        <v>2</v>
      </c>
      <c r="D215" s="1061">
        <v>3277.6</v>
      </c>
    </row>
    <row r="216" spans="1:4" ht="9" customHeight="1" x14ac:dyDescent="0.25">
      <c r="A216" s="1059">
        <v>605703</v>
      </c>
      <c r="B216" s="1060" t="s">
        <v>21874</v>
      </c>
      <c r="C216" s="1059" t="s">
        <v>2</v>
      </c>
      <c r="D216" s="1061">
        <v>3526.22</v>
      </c>
    </row>
    <row r="217" spans="1:4" ht="9" customHeight="1" x14ac:dyDescent="0.25">
      <c r="A217" s="1059">
        <v>605615</v>
      </c>
      <c r="B217" s="1060" t="s">
        <v>21875</v>
      </c>
      <c r="C217" s="1059" t="s">
        <v>2</v>
      </c>
      <c r="D217" s="1061">
        <v>3474.34</v>
      </c>
    </row>
    <row r="218" spans="1:4" ht="9" customHeight="1" x14ac:dyDescent="0.25">
      <c r="A218" s="1059">
        <v>605704</v>
      </c>
      <c r="B218" s="1060" t="s">
        <v>21876</v>
      </c>
      <c r="C218" s="1059" t="s">
        <v>2</v>
      </c>
      <c r="D218" s="1061">
        <v>3773.02</v>
      </c>
    </row>
    <row r="219" spans="1:4" ht="9" customHeight="1" x14ac:dyDescent="0.25">
      <c r="A219" s="1059">
        <v>605616</v>
      </c>
      <c r="B219" s="1060" t="s">
        <v>21877</v>
      </c>
      <c r="C219" s="1059" t="s">
        <v>2</v>
      </c>
      <c r="D219" s="1061">
        <v>3718.97</v>
      </c>
    </row>
    <row r="220" spans="1:4" ht="9" customHeight="1" x14ac:dyDescent="0.25">
      <c r="A220" s="1059">
        <v>605705</v>
      </c>
      <c r="B220" s="1060" t="s">
        <v>21878</v>
      </c>
      <c r="C220" s="1059" t="s">
        <v>2</v>
      </c>
      <c r="D220" s="1061">
        <v>4023.77</v>
      </c>
    </row>
    <row r="221" spans="1:4" ht="9" customHeight="1" x14ac:dyDescent="0.25">
      <c r="A221" s="1059">
        <v>605617</v>
      </c>
      <c r="B221" s="1060" t="s">
        <v>21879</v>
      </c>
      <c r="C221" s="1059" t="s">
        <v>2</v>
      </c>
      <c r="D221" s="1061">
        <v>3967.57</v>
      </c>
    </row>
    <row r="222" spans="1:4" ht="9" customHeight="1" x14ac:dyDescent="0.25">
      <c r="A222" s="1059">
        <v>605706</v>
      </c>
      <c r="B222" s="1060" t="s">
        <v>21880</v>
      </c>
      <c r="C222" s="1059" t="s">
        <v>2</v>
      </c>
      <c r="D222" s="1061">
        <v>4228.8</v>
      </c>
    </row>
    <row r="223" spans="1:4" ht="9" customHeight="1" x14ac:dyDescent="0.25">
      <c r="A223" s="1059">
        <v>605618</v>
      </c>
      <c r="B223" s="1060" t="s">
        <v>21881</v>
      </c>
      <c r="C223" s="1059" t="s">
        <v>2</v>
      </c>
      <c r="D223" s="1061">
        <v>4170.43</v>
      </c>
    </row>
    <row r="224" spans="1:4" ht="9" customHeight="1" x14ac:dyDescent="0.25">
      <c r="A224" s="1059">
        <v>605707</v>
      </c>
      <c r="B224" s="1060" t="s">
        <v>21882</v>
      </c>
      <c r="C224" s="1059" t="s">
        <v>2</v>
      </c>
      <c r="D224" s="1061">
        <v>4692.58</v>
      </c>
    </row>
    <row r="225" spans="1:4" ht="9" customHeight="1" x14ac:dyDescent="0.25">
      <c r="A225" s="1059">
        <v>605619</v>
      </c>
      <c r="B225" s="1060" t="s">
        <v>21883</v>
      </c>
      <c r="C225" s="1059" t="s">
        <v>2</v>
      </c>
      <c r="D225" s="1061">
        <v>4632.05</v>
      </c>
    </row>
    <row r="226" spans="1:4" ht="9" customHeight="1" x14ac:dyDescent="0.25">
      <c r="A226" s="1059">
        <v>605708</v>
      </c>
      <c r="B226" s="1060" t="s">
        <v>21884</v>
      </c>
      <c r="C226" s="1059" t="s">
        <v>2</v>
      </c>
      <c r="D226" s="1061">
        <v>5501.5</v>
      </c>
    </row>
    <row r="227" spans="1:4" ht="9" customHeight="1" x14ac:dyDescent="0.25">
      <c r="A227" s="1059">
        <v>605620</v>
      </c>
      <c r="B227" s="1060" t="s">
        <v>21885</v>
      </c>
      <c r="C227" s="1059" t="s">
        <v>2</v>
      </c>
      <c r="D227" s="1061">
        <v>5438.81</v>
      </c>
    </row>
    <row r="228" spans="1:4" ht="9" customHeight="1" x14ac:dyDescent="0.25">
      <c r="A228" s="1059">
        <v>605709</v>
      </c>
      <c r="B228" s="1060" t="s">
        <v>21886</v>
      </c>
      <c r="C228" s="1059" t="s">
        <v>2</v>
      </c>
      <c r="D228" s="1061">
        <v>5764.27</v>
      </c>
    </row>
    <row r="229" spans="1:4" ht="9" customHeight="1" x14ac:dyDescent="0.25">
      <c r="A229" s="1059">
        <v>605621</v>
      </c>
      <c r="B229" s="1060" t="s">
        <v>21887</v>
      </c>
      <c r="C229" s="1059" t="s">
        <v>2</v>
      </c>
      <c r="D229" s="1061">
        <v>5699.42</v>
      </c>
    </row>
    <row r="230" spans="1:4" ht="9" customHeight="1" x14ac:dyDescent="0.25">
      <c r="A230" s="1059">
        <v>605710</v>
      </c>
      <c r="B230" s="1060" t="s">
        <v>21888</v>
      </c>
      <c r="C230" s="1059" t="s">
        <v>2</v>
      </c>
      <c r="D230" s="1061">
        <v>6191.91</v>
      </c>
    </row>
    <row r="231" spans="1:4" ht="9" customHeight="1" x14ac:dyDescent="0.25">
      <c r="A231" s="1059">
        <v>605622</v>
      </c>
      <c r="B231" s="1060" t="s">
        <v>21889</v>
      </c>
      <c r="C231" s="1059" t="s">
        <v>2</v>
      </c>
      <c r="D231" s="1061">
        <v>6124.9</v>
      </c>
    </row>
    <row r="232" spans="1:4" ht="9" customHeight="1" x14ac:dyDescent="0.25">
      <c r="A232" s="1059">
        <v>605711</v>
      </c>
      <c r="B232" s="1060" t="s">
        <v>21890</v>
      </c>
      <c r="C232" s="1059" t="s">
        <v>2</v>
      </c>
      <c r="D232" s="1061">
        <v>6401.23</v>
      </c>
    </row>
    <row r="233" spans="1:4" ht="9" customHeight="1" x14ac:dyDescent="0.25">
      <c r="A233" s="1059">
        <v>605623</v>
      </c>
      <c r="B233" s="1060" t="s">
        <v>21891</v>
      </c>
      <c r="C233" s="1059" t="s">
        <v>2</v>
      </c>
      <c r="D233" s="1061">
        <v>6332.05</v>
      </c>
    </row>
    <row r="234" spans="1:4" ht="9" customHeight="1" x14ac:dyDescent="0.25">
      <c r="A234" s="1059">
        <v>605712</v>
      </c>
      <c r="B234" s="1060" t="s">
        <v>21892</v>
      </c>
      <c r="C234" s="1059" t="s">
        <v>2</v>
      </c>
      <c r="D234" s="1061">
        <v>6741.31</v>
      </c>
    </row>
    <row r="235" spans="1:4" ht="9" customHeight="1" x14ac:dyDescent="0.25">
      <c r="A235" s="1059">
        <v>605624</v>
      </c>
      <c r="B235" s="1060" t="s">
        <v>21893</v>
      </c>
      <c r="C235" s="1059" t="s">
        <v>2</v>
      </c>
      <c r="D235" s="1061">
        <v>6669.97</v>
      </c>
    </row>
    <row r="236" spans="1:4" ht="9" customHeight="1" x14ac:dyDescent="0.25">
      <c r="A236" s="1059">
        <v>605713</v>
      </c>
      <c r="B236" s="1060" t="s">
        <v>21894</v>
      </c>
      <c r="C236" s="1059" t="s">
        <v>2</v>
      </c>
      <c r="D236" s="1061">
        <v>9040.09</v>
      </c>
    </row>
    <row r="237" spans="1:4" ht="9" customHeight="1" x14ac:dyDescent="0.25">
      <c r="A237" s="1059">
        <v>605625</v>
      </c>
      <c r="B237" s="1060" t="s">
        <v>21895</v>
      </c>
      <c r="C237" s="1059" t="s">
        <v>2</v>
      </c>
      <c r="D237" s="1061">
        <v>8966.59</v>
      </c>
    </row>
    <row r="238" spans="1:4" ht="9" customHeight="1" x14ac:dyDescent="0.25">
      <c r="A238" s="1059">
        <v>605714</v>
      </c>
      <c r="B238" s="1060" t="s">
        <v>21896</v>
      </c>
      <c r="C238" s="1059" t="s">
        <v>2</v>
      </c>
      <c r="D238" s="1061">
        <v>11372.66</v>
      </c>
    </row>
    <row r="239" spans="1:4" ht="9" customHeight="1" x14ac:dyDescent="0.25">
      <c r="A239" s="1059">
        <v>605626</v>
      </c>
      <c r="B239" s="1060" t="s">
        <v>21897</v>
      </c>
      <c r="C239" s="1059" t="s">
        <v>2</v>
      </c>
      <c r="D239" s="1061">
        <v>11297</v>
      </c>
    </row>
    <row r="240" spans="1:4" ht="9" customHeight="1" x14ac:dyDescent="0.25">
      <c r="A240" s="1059">
        <v>605715</v>
      </c>
      <c r="B240" s="1060" t="s">
        <v>21898</v>
      </c>
      <c r="C240" s="1059" t="s">
        <v>2</v>
      </c>
      <c r="D240" s="1061">
        <v>12147.22</v>
      </c>
    </row>
    <row r="241" spans="1:4" ht="9" customHeight="1" x14ac:dyDescent="0.25">
      <c r="A241" s="1059">
        <v>605627</v>
      </c>
      <c r="B241" s="1060" t="s">
        <v>21899</v>
      </c>
      <c r="C241" s="1059" t="s">
        <v>2</v>
      </c>
      <c r="D241" s="1061">
        <v>12069.4</v>
      </c>
    </row>
    <row r="242" spans="1:4" ht="9" customHeight="1" x14ac:dyDescent="0.25">
      <c r="A242" s="1059">
        <v>605716</v>
      </c>
      <c r="B242" s="1060" t="s">
        <v>21900</v>
      </c>
      <c r="C242" s="1059" t="s">
        <v>2</v>
      </c>
      <c r="D242" s="1061">
        <v>12603.37</v>
      </c>
    </row>
    <row r="243" spans="1:4" ht="9" customHeight="1" x14ac:dyDescent="0.25">
      <c r="A243" s="1059">
        <v>605628</v>
      </c>
      <c r="B243" s="1060" t="s">
        <v>21901</v>
      </c>
      <c r="C243" s="1059" t="s">
        <v>2</v>
      </c>
      <c r="D243" s="1061">
        <v>12523.38</v>
      </c>
    </row>
    <row r="244" spans="1:4" ht="9" customHeight="1" x14ac:dyDescent="0.25">
      <c r="A244" s="1059">
        <v>605717</v>
      </c>
      <c r="B244" s="1060" t="s">
        <v>21902</v>
      </c>
      <c r="C244" s="1059" t="s">
        <v>2</v>
      </c>
      <c r="D244" s="1061">
        <v>13432.72</v>
      </c>
    </row>
    <row r="245" spans="1:4" ht="9" customHeight="1" x14ac:dyDescent="0.25">
      <c r="A245" s="1059">
        <v>605629</v>
      </c>
      <c r="B245" s="1060" t="s">
        <v>21903</v>
      </c>
      <c r="C245" s="1059" t="s">
        <v>2</v>
      </c>
      <c r="D245" s="1061">
        <v>13350.58</v>
      </c>
    </row>
    <row r="246" spans="1:4" ht="9" customHeight="1" x14ac:dyDescent="0.25">
      <c r="A246" s="1059">
        <v>605651</v>
      </c>
      <c r="B246" s="1060" t="s">
        <v>21904</v>
      </c>
      <c r="C246" s="1059" t="s">
        <v>2</v>
      </c>
      <c r="D246" s="1061">
        <v>1509.34</v>
      </c>
    </row>
    <row r="247" spans="1:4" ht="9" customHeight="1" x14ac:dyDescent="0.25">
      <c r="A247" s="1059">
        <v>605460</v>
      </c>
      <c r="B247" s="1060" t="s">
        <v>21905</v>
      </c>
      <c r="C247" s="1059" t="s">
        <v>2</v>
      </c>
      <c r="D247" s="1061">
        <v>1486.28</v>
      </c>
    </row>
    <row r="248" spans="1:4" ht="9" customHeight="1" x14ac:dyDescent="0.25">
      <c r="A248" s="1059">
        <v>605652</v>
      </c>
      <c r="B248" s="1060" t="s">
        <v>21906</v>
      </c>
      <c r="C248" s="1059" t="s">
        <v>2</v>
      </c>
      <c r="D248" s="1061">
        <v>1737.14</v>
      </c>
    </row>
    <row r="249" spans="1:4" ht="9" customHeight="1" x14ac:dyDescent="0.25">
      <c r="A249" s="1059">
        <v>605461</v>
      </c>
      <c r="B249" s="1060" t="s">
        <v>21907</v>
      </c>
      <c r="C249" s="1059" t="s">
        <v>2</v>
      </c>
      <c r="D249" s="1061">
        <v>1712.64</v>
      </c>
    </row>
    <row r="250" spans="1:4" ht="9" customHeight="1" x14ac:dyDescent="0.25">
      <c r="A250" s="1059">
        <v>605653</v>
      </c>
      <c r="B250" s="1060" t="s">
        <v>21908</v>
      </c>
      <c r="C250" s="1059" t="s">
        <v>2</v>
      </c>
      <c r="D250" s="1061">
        <v>1964.97</v>
      </c>
    </row>
    <row r="251" spans="1:4" ht="9" customHeight="1" x14ac:dyDescent="0.25">
      <c r="A251" s="1059">
        <v>605462</v>
      </c>
      <c r="B251" s="1060" t="s">
        <v>21909</v>
      </c>
      <c r="C251" s="1059" t="s">
        <v>2</v>
      </c>
      <c r="D251" s="1061">
        <v>1939.03</v>
      </c>
    </row>
    <row r="252" spans="1:4" ht="9" customHeight="1" x14ac:dyDescent="0.25">
      <c r="A252" s="1059">
        <v>605654</v>
      </c>
      <c r="B252" s="1060" t="s">
        <v>21910</v>
      </c>
      <c r="C252" s="1059" t="s">
        <v>2</v>
      </c>
      <c r="D252" s="1061">
        <v>2148.42</v>
      </c>
    </row>
    <row r="253" spans="1:4" ht="9" customHeight="1" x14ac:dyDescent="0.25">
      <c r="A253" s="1059">
        <v>605463</v>
      </c>
      <c r="B253" s="1060" t="s">
        <v>21911</v>
      </c>
      <c r="C253" s="1059" t="s">
        <v>2</v>
      </c>
      <c r="D253" s="1061">
        <v>2121.04</v>
      </c>
    </row>
    <row r="254" spans="1:4" ht="9" customHeight="1" x14ac:dyDescent="0.25">
      <c r="A254" s="1059">
        <v>605655</v>
      </c>
      <c r="B254" s="1060" t="s">
        <v>21912</v>
      </c>
      <c r="C254" s="1059" t="s">
        <v>2</v>
      </c>
      <c r="D254" s="1061">
        <v>2376.1799999999998</v>
      </c>
    </row>
    <row r="255" spans="1:4" ht="9" customHeight="1" x14ac:dyDescent="0.25">
      <c r="A255" s="1059">
        <v>605464</v>
      </c>
      <c r="B255" s="1060" t="s">
        <v>21913</v>
      </c>
      <c r="C255" s="1059" t="s">
        <v>2</v>
      </c>
      <c r="D255" s="1061">
        <v>2347.35</v>
      </c>
    </row>
    <row r="256" spans="1:4" ht="9" customHeight="1" x14ac:dyDescent="0.25">
      <c r="A256" s="1059">
        <v>605656</v>
      </c>
      <c r="B256" s="1060" t="s">
        <v>21914</v>
      </c>
      <c r="C256" s="1059" t="s">
        <v>2</v>
      </c>
      <c r="D256" s="1061">
        <v>2692.87</v>
      </c>
    </row>
    <row r="257" spans="1:4" ht="9" customHeight="1" x14ac:dyDescent="0.25">
      <c r="A257" s="1059">
        <v>605465</v>
      </c>
      <c r="B257" s="1060" t="s">
        <v>21915</v>
      </c>
      <c r="C257" s="1059" t="s">
        <v>2</v>
      </c>
      <c r="D257" s="1061">
        <v>2662.6</v>
      </c>
    </row>
    <row r="258" spans="1:4" ht="9" customHeight="1" x14ac:dyDescent="0.25">
      <c r="A258" s="1059">
        <v>605657</v>
      </c>
      <c r="B258" s="1060" t="s">
        <v>21916</v>
      </c>
      <c r="C258" s="1059" t="s">
        <v>2</v>
      </c>
      <c r="D258" s="1061">
        <v>2876.28</v>
      </c>
    </row>
    <row r="259" spans="1:4" ht="9" customHeight="1" x14ac:dyDescent="0.25">
      <c r="A259" s="1059">
        <v>605466</v>
      </c>
      <c r="B259" s="1060" t="s">
        <v>21917</v>
      </c>
      <c r="C259" s="1059" t="s">
        <v>2</v>
      </c>
      <c r="D259" s="1061">
        <v>2844.57</v>
      </c>
    </row>
    <row r="260" spans="1:4" ht="9" customHeight="1" x14ac:dyDescent="0.25">
      <c r="A260" s="1059">
        <v>605658</v>
      </c>
      <c r="B260" s="1060" t="s">
        <v>21918</v>
      </c>
      <c r="C260" s="1059" t="s">
        <v>2</v>
      </c>
      <c r="D260" s="1061">
        <v>3140.74</v>
      </c>
    </row>
    <row r="261" spans="1:4" ht="9" customHeight="1" x14ac:dyDescent="0.25">
      <c r="A261" s="1059">
        <v>605467</v>
      </c>
      <c r="B261" s="1060" t="s">
        <v>21919</v>
      </c>
      <c r="C261" s="1059" t="s">
        <v>2</v>
      </c>
      <c r="D261" s="1061">
        <v>3091.02</v>
      </c>
    </row>
    <row r="262" spans="1:4" ht="9" customHeight="1" x14ac:dyDescent="0.25">
      <c r="A262" s="1059">
        <v>605659</v>
      </c>
      <c r="B262" s="1060" t="s">
        <v>21920</v>
      </c>
      <c r="C262" s="1059" t="s">
        <v>2</v>
      </c>
      <c r="D262" s="1061">
        <v>3328.5</v>
      </c>
    </row>
    <row r="263" spans="1:4" ht="9" customHeight="1" x14ac:dyDescent="0.25">
      <c r="A263" s="1059">
        <v>605468</v>
      </c>
      <c r="B263" s="1060" t="s">
        <v>21921</v>
      </c>
      <c r="C263" s="1059" t="s">
        <v>2</v>
      </c>
      <c r="D263" s="1061">
        <v>3276.62</v>
      </c>
    </row>
    <row r="264" spans="1:4" ht="9" customHeight="1" x14ac:dyDescent="0.25">
      <c r="A264" s="1059">
        <v>605660</v>
      </c>
      <c r="B264" s="1060" t="s">
        <v>21922</v>
      </c>
      <c r="C264" s="1059" t="s">
        <v>2</v>
      </c>
      <c r="D264" s="1061">
        <v>3561.38</v>
      </c>
    </row>
    <row r="265" spans="1:4" ht="9" customHeight="1" x14ac:dyDescent="0.25">
      <c r="A265" s="1059">
        <v>605469</v>
      </c>
      <c r="B265" s="1060" t="s">
        <v>21923</v>
      </c>
      <c r="C265" s="1059" t="s">
        <v>2</v>
      </c>
      <c r="D265" s="1061">
        <v>3507.33</v>
      </c>
    </row>
    <row r="266" spans="1:4" ht="9" customHeight="1" x14ac:dyDescent="0.25">
      <c r="A266" s="1059">
        <v>605661</v>
      </c>
      <c r="B266" s="1060" t="s">
        <v>21924</v>
      </c>
      <c r="C266" s="1059" t="s">
        <v>2</v>
      </c>
      <c r="D266" s="1061">
        <v>3798.21</v>
      </c>
    </row>
    <row r="267" spans="1:4" ht="9" customHeight="1" x14ac:dyDescent="0.25">
      <c r="A267" s="1059">
        <v>605470</v>
      </c>
      <c r="B267" s="1060" t="s">
        <v>21925</v>
      </c>
      <c r="C267" s="1059" t="s">
        <v>2</v>
      </c>
      <c r="D267" s="1061">
        <v>3742</v>
      </c>
    </row>
    <row r="268" spans="1:4" ht="9" customHeight="1" x14ac:dyDescent="0.25">
      <c r="A268" s="1059">
        <v>605662</v>
      </c>
      <c r="B268" s="1060" t="s">
        <v>21926</v>
      </c>
      <c r="C268" s="1059" t="s">
        <v>2</v>
      </c>
      <c r="D268" s="1061">
        <v>3992.09</v>
      </c>
    </row>
    <row r="269" spans="1:4" ht="9" customHeight="1" x14ac:dyDescent="0.25">
      <c r="A269" s="1059">
        <v>605471</v>
      </c>
      <c r="B269" s="1060" t="s">
        <v>21927</v>
      </c>
      <c r="C269" s="1059" t="s">
        <v>2</v>
      </c>
      <c r="D269" s="1061">
        <v>3933.72</v>
      </c>
    </row>
    <row r="270" spans="1:4" ht="9" customHeight="1" x14ac:dyDescent="0.25">
      <c r="A270" s="1059">
        <v>605663</v>
      </c>
      <c r="B270" s="1060" t="s">
        <v>21928</v>
      </c>
      <c r="C270" s="1059" t="s">
        <v>2</v>
      </c>
      <c r="D270" s="1061">
        <v>4442.04</v>
      </c>
    </row>
    <row r="271" spans="1:4" ht="9" customHeight="1" x14ac:dyDescent="0.25">
      <c r="A271" s="1059">
        <v>605472</v>
      </c>
      <c r="B271" s="1060" t="s">
        <v>21929</v>
      </c>
      <c r="C271" s="1059" t="s">
        <v>2</v>
      </c>
      <c r="D271" s="1061">
        <v>4381.51</v>
      </c>
    </row>
    <row r="272" spans="1:4" ht="9" customHeight="1" x14ac:dyDescent="0.25">
      <c r="A272" s="1059">
        <v>605664</v>
      </c>
      <c r="B272" s="1060" t="s">
        <v>21930</v>
      </c>
      <c r="C272" s="1059" t="s">
        <v>2</v>
      </c>
      <c r="D272" s="1061">
        <v>5201.28</v>
      </c>
    </row>
    <row r="273" spans="1:4" ht="9" customHeight="1" x14ac:dyDescent="0.25">
      <c r="A273" s="1059">
        <v>605473</v>
      </c>
      <c r="B273" s="1060" t="s">
        <v>21931</v>
      </c>
      <c r="C273" s="1059" t="s">
        <v>2</v>
      </c>
      <c r="D273" s="1061">
        <v>5138.58</v>
      </c>
    </row>
    <row r="274" spans="1:4" ht="9" customHeight="1" x14ac:dyDescent="0.25">
      <c r="A274" s="1059">
        <v>605665</v>
      </c>
      <c r="B274" s="1060" t="s">
        <v>21932</v>
      </c>
      <c r="C274" s="1059" t="s">
        <v>2</v>
      </c>
      <c r="D274" s="1061">
        <v>5447.82</v>
      </c>
    </row>
    <row r="275" spans="1:4" ht="9" customHeight="1" x14ac:dyDescent="0.25">
      <c r="A275" s="1059">
        <v>605474</v>
      </c>
      <c r="B275" s="1060" t="s">
        <v>21933</v>
      </c>
      <c r="C275" s="1059" t="s">
        <v>2</v>
      </c>
      <c r="D275" s="1061">
        <v>5382.97</v>
      </c>
    </row>
    <row r="276" spans="1:4" ht="9" customHeight="1" x14ac:dyDescent="0.25">
      <c r="A276" s="1059">
        <v>605666</v>
      </c>
      <c r="B276" s="1060" t="s">
        <v>21934</v>
      </c>
      <c r="C276" s="1059" t="s">
        <v>2</v>
      </c>
      <c r="D276" s="1061">
        <v>5853.83</v>
      </c>
    </row>
    <row r="277" spans="1:4" ht="9" customHeight="1" x14ac:dyDescent="0.25">
      <c r="A277" s="1059">
        <v>605475</v>
      </c>
      <c r="B277" s="1060" t="s">
        <v>21935</v>
      </c>
      <c r="C277" s="1059" t="s">
        <v>2</v>
      </c>
      <c r="D277" s="1061">
        <v>5786.81</v>
      </c>
    </row>
    <row r="278" spans="1:4" ht="9" customHeight="1" x14ac:dyDescent="0.25">
      <c r="A278" s="1059">
        <v>605667</v>
      </c>
      <c r="B278" s="1060" t="s">
        <v>21936</v>
      </c>
      <c r="C278" s="1059" t="s">
        <v>2</v>
      </c>
      <c r="D278" s="1061">
        <v>6055.02</v>
      </c>
    </row>
    <row r="279" spans="1:4" ht="9" customHeight="1" x14ac:dyDescent="0.25">
      <c r="A279" s="1059">
        <v>605476</v>
      </c>
      <c r="B279" s="1060" t="s">
        <v>21937</v>
      </c>
      <c r="C279" s="1059" t="s">
        <v>2</v>
      </c>
      <c r="D279" s="1061">
        <v>5985.84</v>
      </c>
    </row>
    <row r="280" spans="1:4" ht="9" customHeight="1" x14ac:dyDescent="0.25">
      <c r="A280" s="1059">
        <v>605668</v>
      </c>
      <c r="B280" s="1060" t="s">
        <v>21938</v>
      </c>
      <c r="C280" s="1059" t="s">
        <v>2</v>
      </c>
      <c r="D280" s="1061">
        <v>6381.59</v>
      </c>
    </row>
    <row r="281" spans="1:4" ht="9" customHeight="1" x14ac:dyDescent="0.25">
      <c r="A281" s="1059">
        <v>605477</v>
      </c>
      <c r="B281" s="1060" t="s">
        <v>21939</v>
      </c>
      <c r="C281" s="1059" t="s">
        <v>2</v>
      </c>
      <c r="D281" s="1061">
        <v>6310.25</v>
      </c>
    </row>
    <row r="282" spans="1:4" ht="9" customHeight="1" x14ac:dyDescent="0.25">
      <c r="A282" s="1059">
        <v>605669</v>
      </c>
      <c r="B282" s="1060" t="s">
        <v>21940</v>
      </c>
      <c r="C282" s="1059" t="s">
        <v>2</v>
      </c>
      <c r="D282" s="1061">
        <v>8372.7000000000007</v>
      </c>
    </row>
    <row r="283" spans="1:4" ht="9" customHeight="1" x14ac:dyDescent="0.25">
      <c r="A283" s="1059">
        <v>605478</v>
      </c>
      <c r="B283" s="1060" t="s">
        <v>21941</v>
      </c>
      <c r="C283" s="1059" t="s">
        <v>2</v>
      </c>
      <c r="D283" s="1061">
        <v>8299.2000000000007</v>
      </c>
    </row>
    <row r="284" spans="1:4" ht="9" customHeight="1" x14ac:dyDescent="0.25">
      <c r="A284" s="1059">
        <v>605670</v>
      </c>
      <c r="B284" s="1060" t="s">
        <v>21942</v>
      </c>
      <c r="C284" s="1059" t="s">
        <v>2</v>
      </c>
      <c r="D284" s="1061">
        <v>10531.64</v>
      </c>
    </row>
    <row r="285" spans="1:4" ht="9" customHeight="1" x14ac:dyDescent="0.25">
      <c r="A285" s="1059">
        <v>605479</v>
      </c>
      <c r="B285" s="1060" t="s">
        <v>21943</v>
      </c>
      <c r="C285" s="1059" t="s">
        <v>2</v>
      </c>
      <c r="D285" s="1061">
        <v>10455.98</v>
      </c>
    </row>
    <row r="286" spans="1:4" ht="9" customHeight="1" x14ac:dyDescent="0.25">
      <c r="A286" s="1059">
        <v>605671</v>
      </c>
      <c r="B286" s="1060" t="s">
        <v>21944</v>
      </c>
      <c r="C286" s="1059" t="s">
        <v>2</v>
      </c>
      <c r="D286" s="1061">
        <v>11258.33</v>
      </c>
    </row>
    <row r="287" spans="1:4" ht="9" customHeight="1" x14ac:dyDescent="0.25">
      <c r="A287" s="1059">
        <v>605480</v>
      </c>
      <c r="B287" s="1060" t="s">
        <v>21945</v>
      </c>
      <c r="C287" s="1059" t="s">
        <v>2</v>
      </c>
      <c r="D287" s="1061">
        <v>11180.51</v>
      </c>
    </row>
    <row r="288" spans="1:4" ht="9" customHeight="1" x14ac:dyDescent="0.25">
      <c r="A288" s="1059">
        <v>605672</v>
      </c>
      <c r="B288" s="1060" t="s">
        <v>21946</v>
      </c>
      <c r="C288" s="1059" t="s">
        <v>2</v>
      </c>
      <c r="D288" s="1061">
        <v>11697.38</v>
      </c>
    </row>
    <row r="289" spans="1:4" ht="9" customHeight="1" x14ac:dyDescent="0.25">
      <c r="A289" s="1059">
        <v>605481</v>
      </c>
      <c r="B289" s="1060" t="s">
        <v>21947</v>
      </c>
      <c r="C289" s="1059" t="s">
        <v>2</v>
      </c>
      <c r="D289" s="1061">
        <v>11617.39</v>
      </c>
    </row>
    <row r="290" spans="1:4" ht="9" customHeight="1" x14ac:dyDescent="0.25">
      <c r="A290" s="1059">
        <v>605673</v>
      </c>
      <c r="B290" s="1060" t="s">
        <v>21948</v>
      </c>
      <c r="C290" s="1059" t="s">
        <v>2</v>
      </c>
      <c r="D290" s="1061">
        <v>12482.3</v>
      </c>
    </row>
    <row r="291" spans="1:4" ht="9" customHeight="1" x14ac:dyDescent="0.25">
      <c r="A291" s="1059">
        <v>605482</v>
      </c>
      <c r="B291" s="1060" t="s">
        <v>21949</v>
      </c>
      <c r="C291" s="1059" t="s">
        <v>2</v>
      </c>
      <c r="D291" s="1061">
        <v>12400.15</v>
      </c>
    </row>
    <row r="292" spans="1:4" ht="9" customHeight="1" x14ac:dyDescent="0.25">
      <c r="A292" s="1059">
        <v>605718</v>
      </c>
      <c r="B292" s="1060" t="s">
        <v>21950</v>
      </c>
      <c r="C292" s="1059" t="s">
        <v>2</v>
      </c>
      <c r="D292" s="1061">
        <v>7517.03</v>
      </c>
    </row>
    <row r="293" spans="1:4" ht="9" customHeight="1" x14ac:dyDescent="0.25">
      <c r="A293" s="1059">
        <v>605630</v>
      </c>
      <c r="B293" s="1060" t="s">
        <v>21951</v>
      </c>
      <c r="C293" s="1059" t="s">
        <v>2</v>
      </c>
      <c r="D293" s="1061">
        <v>7462.98</v>
      </c>
    </row>
    <row r="294" spans="1:4" ht="9" customHeight="1" x14ac:dyDescent="0.25">
      <c r="A294" s="1059">
        <v>605719</v>
      </c>
      <c r="B294" s="1060" t="s">
        <v>21952</v>
      </c>
      <c r="C294" s="1059" t="s">
        <v>2</v>
      </c>
      <c r="D294" s="1061">
        <v>9311.44</v>
      </c>
    </row>
    <row r="295" spans="1:4" ht="9" customHeight="1" x14ac:dyDescent="0.25">
      <c r="A295" s="1059">
        <v>605631</v>
      </c>
      <c r="B295" s="1060" t="s">
        <v>21953</v>
      </c>
      <c r="C295" s="1059" t="s">
        <v>2</v>
      </c>
      <c r="D295" s="1061">
        <v>9250.91</v>
      </c>
    </row>
    <row r="296" spans="1:4" ht="9" customHeight="1" x14ac:dyDescent="0.25">
      <c r="A296" s="1059">
        <v>605720</v>
      </c>
      <c r="B296" s="1060" t="s">
        <v>21954</v>
      </c>
      <c r="C296" s="1059" t="s">
        <v>2</v>
      </c>
      <c r="D296" s="1061">
        <v>9749.99</v>
      </c>
    </row>
    <row r="297" spans="1:4" ht="9" customHeight="1" x14ac:dyDescent="0.25">
      <c r="A297" s="1059">
        <v>605632</v>
      </c>
      <c r="B297" s="1060" t="s">
        <v>21955</v>
      </c>
      <c r="C297" s="1059" t="s">
        <v>2</v>
      </c>
      <c r="D297" s="1061">
        <v>9687.2999999999993</v>
      </c>
    </row>
    <row r="298" spans="1:4" ht="9" customHeight="1" x14ac:dyDescent="0.25">
      <c r="A298" s="1059">
        <v>605721</v>
      </c>
      <c r="B298" s="1060" t="s">
        <v>21956</v>
      </c>
      <c r="C298" s="1059" t="s">
        <v>2</v>
      </c>
      <c r="D298" s="1061">
        <v>10888</v>
      </c>
    </row>
    <row r="299" spans="1:4" ht="9" customHeight="1" x14ac:dyDescent="0.25">
      <c r="A299" s="1059">
        <v>605633</v>
      </c>
      <c r="B299" s="1060" t="s">
        <v>21957</v>
      </c>
      <c r="C299" s="1059" t="s">
        <v>2</v>
      </c>
      <c r="D299" s="1061">
        <v>10819.9</v>
      </c>
    </row>
    <row r="300" spans="1:4" ht="9" customHeight="1" x14ac:dyDescent="0.25">
      <c r="A300" s="1059">
        <v>605722</v>
      </c>
      <c r="B300" s="1060" t="s">
        <v>21958</v>
      </c>
      <c r="C300" s="1059" t="s">
        <v>2</v>
      </c>
      <c r="D300" s="1061">
        <v>11536.49</v>
      </c>
    </row>
    <row r="301" spans="1:4" ht="9" customHeight="1" x14ac:dyDescent="0.25">
      <c r="A301" s="1059">
        <v>605634</v>
      </c>
      <c r="B301" s="1060" t="s">
        <v>21959</v>
      </c>
      <c r="C301" s="1059" t="s">
        <v>2</v>
      </c>
      <c r="D301" s="1061">
        <v>11465.15</v>
      </c>
    </row>
    <row r="302" spans="1:4" ht="9" customHeight="1" x14ac:dyDescent="0.25">
      <c r="A302" s="1059">
        <v>605723</v>
      </c>
      <c r="B302" s="1060" t="s">
        <v>21960</v>
      </c>
      <c r="C302" s="1059" t="s">
        <v>2</v>
      </c>
      <c r="D302" s="1061">
        <v>13490.62</v>
      </c>
    </row>
    <row r="303" spans="1:4" ht="9" customHeight="1" x14ac:dyDescent="0.25">
      <c r="A303" s="1059">
        <v>605635</v>
      </c>
      <c r="B303" s="1060" t="s">
        <v>21961</v>
      </c>
      <c r="C303" s="1059" t="s">
        <v>2</v>
      </c>
      <c r="D303" s="1061">
        <v>13411.72</v>
      </c>
    </row>
    <row r="304" spans="1:4" ht="9" customHeight="1" x14ac:dyDescent="0.25">
      <c r="A304" s="1059">
        <v>605724</v>
      </c>
      <c r="B304" s="1060" t="s">
        <v>21962</v>
      </c>
      <c r="C304" s="1059" t="s">
        <v>2</v>
      </c>
      <c r="D304" s="1061">
        <v>15401.02</v>
      </c>
    </row>
    <row r="305" spans="1:4" ht="9" customHeight="1" x14ac:dyDescent="0.25">
      <c r="A305" s="1059">
        <v>605636</v>
      </c>
      <c r="B305" s="1060" t="s">
        <v>21963</v>
      </c>
      <c r="C305" s="1059" t="s">
        <v>2</v>
      </c>
      <c r="D305" s="1061">
        <v>15291.85</v>
      </c>
    </row>
    <row r="306" spans="1:4" ht="9" customHeight="1" x14ac:dyDescent="0.25">
      <c r="A306" s="1059">
        <v>605725</v>
      </c>
      <c r="B306" s="1060" t="s">
        <v>21964</v>
      </c>
      <c r="C306" s="1059" t="s">
        <v>2</v>
      </c>
      <c r="D306" s="1061">
        <v>16350.54</v>
      </c>
    </row>
    <row r="307" spans="1:4" ht="9" customHeight="1" x14ac:dyDescent="0.25">
      <c r="A307" s="1059">
        <v>605637</v>
      </c>
      <c r="B307" s="1060" t="s">
        <v>21965</v>
      </c>
      <c r="C307" s="1059" t="s">
        <v>2</v>
      </c>
      <c r="D307" s="1061">
        <v>16238.12</v>
      </c>
    </row>
    <row r="308" spans="1:4" ht="9" customHeight="1" x14ac:dyDescent="0.25">
      <c r="A308" s="1059">
        <v>605726</v>
      </c>
      <c r="B308" s="1060" t="s">
        <v>21966</v>
      </c>
      <c r="C308" s="1059" t="s">
        <v>2</v>
      </c>
      <c r="D308" s="1061">
        <v>17306.830000000002</v>
      </c>
    </row>
    <row r="309" spans="1:4" ht="9" customHeight="1" x14ac:dyDescent="0.25">
      <c r="A309" s="1059">
        <v>605638</v>
      </c>
      <c r="B309" s="1060" t="s">
        <v>21967</v>
      </c>
      <c r="C309" s="1059" t="s">
        <v>2</v>
      </c>
      <c r="D309" s="1061">
        <v>17190.09</v>
      </c>
    </row>
    <row r="310" spans="1:4" ht="9" customHeight="1" x14ac:dyDescent="0.25">
      <c r="A310" s="1059">
        <v>605727</v>
      </c>
      <c r="B310" s="1060" t="s">
        <v>21968</v>
      </c>
      <c r="C310" s="1059" t="s">
        <v>2</v>
      </c>
      <c r="D310" s="1061">
        <v>18550.41</v>
      </c>
    </row>
    <row r="311" spans="1:4" ht="9" customHeight="1" x14ac:dyDescent="0.25">
      <c r="A311" s="1059">
        <v>605639</v>
      </c>
      <c r="B311" s="1060" t="s">
        <v>21969</v>
      </c>
      <c r="C311" s="1059" t="s">
        <v>2</v>
      </c>
      <c r="D311" s="1061">
        <v>18428.27</v>
      </c>
    </row>
    <row r="312" spans="1:4" ht="9" customHeight="1" x14ac:dyDescent="0.25">
      <c r="A312" s="1059">
        <v>605728</v>
      </c>
      <c r="B312" s="1060" t="s">
        <v>21970</v>
      </c>
      <c r="C312" s="1059" t="s">
        <v>2</v>
      </c>
      <c r="D312" s="1061">
        <v>19244.66</v>
      </c>
    </row>
    <row r="313" spans="1:4" ht="9" customHeight="1" x14ac:dyDescent="0.25">
      <c r="A313" s="1059">
        <v>605640</v>
      </c>
      <c r="B313" s="1060" t="s">
        <v>21971</v>
      </c>
      <c r="C313" s="1059" t="s">
        <v>2</v>
      </c>
      <c r="D313" s="1061">
        <v>19119.27</v>
      </c>
    </row>
    <row r="314" spans="1:4" ht="9" customHeight="1" x14ac:dyDescent="0.25">
      <c r="A314" s="1059">
        <v>605729</v>
      </c>
      <c r="B314" s="1060" t="s">
        <v>21972</v>
      </c>
      <c r="C314" s="1059" t="s">
        <v>2</v>
      </c>
      <c r="D314" s="1061">
        <v>21139.599999999999</v>
      </c>
    </row>
    <row r="315" spans="1:4" ht="9" customHeight="1" x14ac:dyDescent="0.25">
      <c r="A315" s="1059">
        <v>605641</v>
      </c>
      <c r="B315" s="1060" t="s">
        <v>21973</v>
      </c>
      <c r="C315" s="1059" t="s">
        <v>2</v>
      </c>
      <c r="D315" s="1061">
        <v>21005.57</v>
      </c>
    </row>
    <row r="316" spans="1:4" ht="9" customHeight="1" x14ac:dyDescent="0.25">
      <c r="A316" s="1059">
        <v>605730</v>
      </c>
      <c r="B316" s="1060" t="s">
        <v>21974</v>
      </c>
      <c r="C316" s="1059" t="s">
        <v>2</v>
      </c>
      <c r="D316" s="1061">
        <v>23051.72</v>
      </c>
    </row>
    <row r="317" spans="1:4" ht="9" customHeight="1" x14ac:dyDescent="0.25">
      <c r="A317" s="1059">
        <v>605642</v>
      </c>
      <c r="B317" s="1060" t="s">
        <v>21975</v>
      </c>
      <c r="C317" s="1059" t="s">
        <v>2</v>
      </c>
      <c r="D317" s="1061">
        <v>22909.05</v>
      </c>
    </row>
    <row r="318" spans="1:4" ht="9" customHeight="1" x14ac:dyDescent="0.25">
      <c r="A318" s="1059">
        <v>605731</v>
      </c>
      <c r="B318" s="1060" t="s">
        <v>21976</v>
      </c>
      <c r="C318" s="1059" t="s">
        <v>2</v>
      </c>
      <c r="D318" s="1061">
        <v>29222.69</v>
      </c>
    </row>
    <row r="319" spans="1:4" ht="9" customHeight="1" x14ac:dyDescent="0.25">
      <c r="A319" s="1059">
        <v>605643</v>
      </c>
      <c r="B319" s="1060" t="s">
        <v>21977</v>
      </c>
      <c r="C319" s="1059" t="s">
        <v>2</v>
      </c>
      <c r="D319" s="1061">
        <v>29075.69</v>
      </c>
    </row>
    <row r="320" spans="1:4" ht="9" customHeight="1" x14ac:dyDescent="0.25">
      <c r="A320" s="1059">
        <v>605732</v>
      </c>
      <c r="B320" s="1060" t="s">
        <v>21978</v>
      </c>
      <c r="C320" s="1059" t="s">
        <v>2</v>
      </c>
      <c r="D320" s="1061">
        <v>30215.8</v>
      </c>
    </row>
    <row r="321" spans="1:4" ht="9" customHeight="1" x14ac:dyDescent="0.25">
      <c r="A321" s="1059">
        <v>605644</v>
      </c>
      <c r="B321" s="1060" t="s">
        <v>21979</v>
      </c>
      <c r="C321" s="1059" t="s">
        <v>2</v>
      </c>
      <c r="D321" s="1061">
        <v>30039.25</v>
      </c>
    </row>
    <row r="322" spans="1:4" ht="9" customHeight="1" x14ac:dyDescent="0.25">
      <c r="A322" s="1059">
        <v>605733</v>
      </c>
      <c r="B322" s="1060" t="s">
        <v>21980</v>
      </c>
      <c r="C322" s="1059" t="s">
        <v>2</v>
      </c>
      <c r="D322" s="1061">
        <v>36802.06</v>
      </c>
    </row>
    <row r="323" spans="1:4" ht="9" customHeight="1" x14ac:dyDescent="0.25">
      <c r="A323" s="1059">
        <v>605645</v>
      </c>
      <c r="B323" s="1060" t="s">
        <v>21981</v>
      </c>
      <c r="C323" s="1059" t="s">
        <v>2</v>
      </c>
      <c r="D323" s="1061">
        <v>36616.68</v>
      </c>
    </row>
    <row r="324" spans="1:4" ht="9" customHeight="1" x14ac:dyDescent="0.25">
      <c r="A324" s="1059">
        <v>605734</v>
      </c>
      <c r="B324" s="1060" t="s">
        <v>21982</v>
      </c>
      <c r="C324" s="1059" t="s">
        <v>2</v>
      </c>
      <c r="D324" s="1061">
        <v>39537.81</v>
      </c>
    </row>
    <row r="325" spans="1:4" ht="9" customHeight="1" x14ac:dyDescent="0.25">
      <c r="A325" s="1059">
        <v>605646</v>
      </c>
      <c r="B325" s="1060" t="s">
        <v>21983</v>
      </c>
      <c r="C325" s="1059" t="s">
        <v>2</v>
      </c>
      <c r="D325" s="1061">
        <v>39343.599999999999</v>
      </c>
    </row>
    <row r="326" spans="1:4" ht="9" customHeight="1" x14ac:dyDescent="0.25">
      <c r="A326" s="1059">
        <v>605735</v>
      </c>
      <c r="B326" s="1060" t="s">
        <v>21984</v>
      </c>
      <c r="C326" s="1059" t="s">
        <v>2</v>
      </c>
      <c r="D326" s="1061">
        <v>48750.92</v>
      </c>
    </row>
    <row r="327" spans="1:4" ht="9" customHeight="1" x14ac:dyDescent="0.25">
      <c r="A327" s="1059">
        <v>605647</v>
      </c>
      <c r="B327" s="1060" t="s">
        <v>21985</v>
      </c>
      <c r="C327" s="1059" t="s">
        <v>2</v>
      </c>
      <c r="D327" s="1061">
        <v>48546.63</v>
      </c>
    </row>
    <row r="328" spans="1:4" ht="9" customHeight="1" x14ac:dyDescent="0.25">
      <c r="A328" s="1059">
        <v>605736</v>
      </c>
      <c r="B328" s="1060" t="s">
        <v>21986</v>
      </c>
      <c r="C328" s="1059" t="s">
        <v>2</v>
      </c>
      <c r="D328" s="1061">
        <v>60125.33</v>
      </c>
    </row>
    <row r="329" spans="1:4" ht="9" customHeight="1" x14ac:dyDescent="0.25">
      <c r="A329" s="1059">
        <v>605648</v>
      </c>
      <c r="B329" s="1060" t="s">
        <v>21987</v>
      </c>
      <c r="C329" s="1059" t="s">
        <v>2</v>
      </c>
      <c r="D329" s="1061">
        <v>59910.95</v>
      </c>
    </row>
    <row r="330" spans="1:4" ht="9" customHeight="1" x14ac:dyDescent="0.25">
      <c r="A330" s="1059">
        <v>605737</v>
      </c>
      <c r="B330" s="1060" t="s">
        <v>21988</v>
      </c>
      <c r="C330" s="1059" t="s">
        <v>2</v>
      </c>
      <c r="D330" s="1061">
        <v>66157.86</v>
      </c>
    </row>
    <row r="331" spans="1:4" ht="9" customHeight="1" x14ac:dyDescent="0.25">
      <c r="A331" s="1059">
        <v>605649</v>
      </c>
      <c r="B331" s="1060" t="s">
        <v>21989</v>
      </c>
      <c r="C331" s="1059" t="s">
        <v>2</v>
      </c>
      <c r="D331" s="1061">
        <v>65934.66</v>
      </c>
    </row>
    <row r="332" spans="1:4" ht="9" customHeight="1" x14ac:dyDescent="0.25">
      <c r="A332" s="1059">
        <v>605738</v>
      </c>
      <c r="B332" s="1060" t="s">
        <v>21990</v>
      </c>
      <c r="C332" s="1059" t="s">
        <v>2</v>
      </c>
      <c r="D332" s="1061">
        <v>70158.600000000006</v>
      </c>
    </row>
    <row r="333" spans="1:4" ht="9" customHeight="1" x14ac:dyDescent="0.25">
      <c r="A333" s="1059">
        <v>605650</v>
      </c>
      <c r="B333" s="1060" t="s">
        <v>21991</v>
      </c>
      <c r="C333" s="1059" t="s">
        <v>2</v>
      </c>
      <c r="D333" s="1061">
        <v>69925.31</v>
      </c>
    </row>
    <row r="334" spans="1:4" ht="9" customHeight="1" x14ac:dyDescent="0.25">
      <c r="A334" s="1059">
        <v>605674</v>
      </c>
      <c r="B334" s="1060" t="s">
        <v>21992</v>
      </c>
      <c r="C334" s="1059" t="s">
        <v>2</v>
      </c>
      <c r="D334" s="1061">
        <v>7262.29</v>
      </c>
    </row>
    <row r="335" spans="1:4" ht="9" customHeight="1" x14ac:dyDescent="0.25">
      <c r="A335" s="1059">
        <v>605483</v>
      </c>
      <c r="B335" s="1060" t="s">
        <v>21993</v>
      </c>
      <c r="C335" s="1059" t="s">
        <v>2</v>
      </c>
      <c r="D335" s="1061">
        <v>7208.24</v>
      </c>
    </row>
    <row r="336" spans="1:4" ht="9" customHeight="1" x14ac:dyDescent="0.25">
      <c r="A336" s="1059">
        <v>605675</v>
      </c>
      <c r="B336" s="1060" t="s">
        <v>21994</v>
      </c>
      <c r="C336" s="1059" t="s">
        <v>2</v>
      </c>
      <c r="D336" s="1061">
        <v>9003.42</v>
      </c>
    </row>
    <row r="337" spans="1:4" ht="9" customHeight="1" x14ac:dyDescent="0.25">
      <c r="A337" s="1059">
        <v>605484</v>
      </c>
      <c r="B337" s="1060" t="s">
        <v>21995</v>
      </c>
      <c r="C337" s="1059" t="s">
        <v>2</v>
      </c>
      <c r="D337" s="1061">
        <v>8942.89</v>
      </c>
    </row>
    <row r="338" spans="1:4" ht="9" customHeight="1" x14ac:dyDescent="0.25">
      <c r="A338" s="1059">
        <v>605676</v>
      </c>
      <c r="B338" s="1060" t="s">
        <v>21996</v>
      </c>
      <c r="C338" s="1059" t="s">
        <v>2</v>
      </c>
      <c r="D338" s="1061">
        <v>9431.98</v>
      </c>
    </row>
    <row r="339" spans="1:4" ht="9" customHeight="1" x14ac:dyDescent="0.25">
      <c r="A339" s="1059">
        <v>605485</v>
      </c>
      <c r="B339" s="1060" t="s">
        <v>21997</v>
      </c>
      <c r="C339" s="1059" t="s">
        <v>2</v>
      </c>
      <c r="D339" s="1061">
        <v>9369.2900000000009</v>
      </c>
    </row>
    <row r="340" spans="1:4" ht="9" customHeight="1" x14ac:dyDescent="0.25">
      <c r="A340" s="1059">
        <v>605677</v>
      </c>
      <c r="B340" s="1060" t="s">
        <v>21998</v>
      </c>
      <c r="C340" s="1059" t="s">
        <v>2</v>
      </c>
      <c r="D340" s="1061">
        <v>10526.7</v>
      </c>
    </row>
    <row r="341" spans="1:4" ht="9" customHeight="1" x14ac:dyDescent="0.25">
      <c r="A341" s="1059">
        <v>605486</v>
      </c>
      <c r="B341" s="1060" t="s">
        <v>21999</v>
      </c>
      <c r="C341" s="1059" t="s">
        <v>2</v>
      </c>
      <c r="D341" s="1061">
        <v>10458.6</v>
      </c>
    </row>
    <row r="342" spans="1:4" ht="9" customHeight="1" x14ac:dyDescent="0.25">
      <c r="A342" s="1059">
        <v>605678</v>
      </c>
      <c r="B342" s="1060" t="s">
        <v>22000</v>
      </c>
      <c r="C342" s="1059" t="s">
        <v>2</v>
      </c>
      <c r="D342" s="1061">
        <v>11155.2</v>
      </c>
    </row>
    <row r="343" spans="1:4" ht="9" customHeight="1" x14ac:dyDescent="0.25">
      <c r="A343" s="1059">
        <v>605487</v>
      </c>
      <c r="B343" s="1060" t="s">
        <v>22001</v>
      </c>
      <c r="C343" s="1059" t="s">
        <v>2</v>
      </c>
      <c r="D343" s="1061">
        <v>11083.86</v>
      </c>
    </row>
    <row r="344" spans="1:4" ht="9" customHeight="1" x14ac:dyDescent="0.25">
      <c r="A344" s="1059">
        <v>605679</v>
      </c>
      <c r="B344" s="1060" t="s">
        <v>22002</v>
      </c>
      <c r="C344" s="1059" t="s">
        <v>2</v>
      </c>
      <c r="D344" s="1061">
        <v>13044.41</v>
      </c>
    </row>
    <row r="345" spans="1:4" ht="9" customHeight="1" x14ac:dyDescent="0.25">
      <c r="A345" s="1059">
        <v>605488</v>
      </c>
      <c r="B345" s="1060" t="s">
        <v>22003</v>
      </c>
      <c r="C345" s="1059" t="s">
        <v>2</v>
      </c>
      <c r="D345" s="1061">
        <v>12965.5</v>
      </c>
    </row>
    <row r="346" spans="1:4" ht="9" customHeight="1" x14ac:dyDescent="0.25">
      <c r="A346" s="1059">
        <v>605680</v>
      </c>
      <c r="B346" s="1060" t="s">
        <v>22004</v>
      </c>
      <c r="C346" s="1059" t="s">
        <v>2</v>
      </c>
      <c r="D346" s="1061">
        <v>14891.53</v>
      </c>
    </row>
    <row r="347" spans="1:4" ht="9" customHeight="1" x14ac:dyDescent="0.25">
      <c r="A347" s="1059">
        <v>605489</v>
      </c>
      <c r="B347" s="1060" t="s">
        <v>22005</v>
      </c>
      <c r="C347" s="1059" t="s">
        <v>2</v>
      </c>
      <c r="D347" s="1061">
        <v>14782.36</v>
      </c>
    </row>
    <row r="348" spans="1:4" ht="9" customHeight="1" x14ac:dyDescent="0.25">
      <c r="A348" s="1059">
        <v>605681</v>
      </c>
      <c r="B348" s="1060" t="s">
        <v>22006</v>
      </c>
      <c r="C348" s="1059" t="s">
        <v>2</v>
      </c>
      <c r="D348" s="1061">
        <v>15809.42</v>
      </c>
    </row>
    <row r="349" spans="1:4" ht="9" customHeight="1" x14ac:dyDescent="0.25">
      <c r="A349" s="1059">
        <v>605490</v>
      </c>
      <c r="B349" s="1060" t="s">
        <v>22007</v>
      </c>
      <c r="C349" s="1059" t="s">
        <v>2</v>
      </c>
      <c r="D349" s="1061">
        <v>15697.01</v>
      </c>
    </row>
    <row r="350" spans="1:4" ht="9" customHeight="1" x14ac:dyDescent="0.25">
      <c r="A350" s="1059">
        <v>605682</v>
      </c>
      <c r="B350" s="1060" t="s">
        <v>22008</v>
      </c>
      <c r="C350" s="1059" t="s">
        <v>2</v>
      </c>
      <c r="D350" s="1061">
        <v>16734.080000000002</v>
      </c>
    </row>
    <row r="351" spans="1:4" ht="9" customHeight="1" x14ac:dyDescent="0.25">
      <c r="A351" s="1059">
        <v>605491</v>
      </c>
      <c r="B351" s="1060" t="s">
        <v>22009</v>
      </c>
      <c r="C351" s="1059" t="s">
        <v>2</v>
      </c>
      <c r="D351" s="1061">
        <v>16617.34</v>
      </c>
    </row>
    <row r="352" spans="1:4" ht="9" customHeight="1" x14ac:dyDescent="0.25">
      <c r="A352" s="1059">
        <v>605683</v>
      </c>
      <c r="B352" s="1060" t="s">
        <v>22010</v>
      </c>
      <c r="C352" s="1059" t="s">
        <v>2</v>
      </c>
      <c r="D352" s="1061">
        <v>17936.03</v>
      </c>
    </row>
    <row r="353" spans="1:4" ht="9" customHeight="1" x14ac:dyDescent="0.25">
      <c r="A353" s="1059">
        <v>605492</v>
      </c>
      <c r="B353" s="1060" t="s">
        <v>22011</v>
      </c>
      <c r="C353" s="1059" t="s">
        <v>2</v>
      </c>
      <c r="D353" s="1061">
        <v>17813.89</v>
      </c>
    </row>
    <row r="354" spans="1:4" ht="9" customHeight="1" x14ac:dyDescent="0.25">
      <c r="A354" s="1059">
        <v>605684</v>
      </c>
      <c r="B354" s="1060" t="s">
        <v>22012</v>
      </c>
      <c r="C354" s="1059" t="s">
        <v>2</v>
      </c>
      <c r="D354" s="1061">
        <v>18608.62</v>
      </c>
    </row>
    <row r="355" spans="1:4" ht="9" customHeight="1" x14ac:dyDescent="0.25">
      <c r="A355" s="1059">
        <v>605493</v>
      </c>
      <c r="B355" s="1060" t="s">
        <v>22013</v>
      </c>
      <c r="C355" s="1059" t="s">
        <v>2</v>
      </c>
      <c r="D355" s="1061">
        <v>18483.240000000002</v>
      </c>
    </row>
    <row r="356" spans="1:4" ht="9" customHeight="1" x14ac:dyDescent="0.25">
      <c r="A356" s="1059">
        <v>605685</v>
      </c>
      <c r="B356" s="1060" t="s">
        <v>22014</v>
      </c>
      <c r="C356" s="1059" t="s">
        <v>2</v>
      </c>
      <c r="D356" s="1061">
        <v>20438.64</v>
      </c>
    </row>
    <row r="357" spans="1:4" ht="9" customHeight="1" x14ac:dyDescent="0.25">
      <c r="A357" s="1059">
        <v>605494</v>
      </c>
      <c r="B357" s="1060" t="s">
        <v>22015</v>
      </c>
      <c r="C357" s="1059" t="s">
        <v>2</v>
      </c>
      <c r="D357" s="1061">
        <v>20304.61</v>
      </c>
    </row>
    <row r="358" spans="1:4" ht="9" customHeight="1" x14ac:dyDescent="0.25">
      <c r="A358" s="1059">
        <v>605686</v>
      </c>
      <c r="B358" s="1060" t="s">
        <v>22016</v>
      </c>
      <c r="C358" s="1059" t="s">
        <v>2</v>
      </c>
      <c r="D358" s="1061">
        <v>22287.5</v>
      </c>
    </row>
    <row r="359" spans="1:4" ht="9" customHeight="1" x14ac:dyDescent="0.25">
      <c r="A359" s="1059">
        <v>605495</v>
      </c>
      <c r="B359" s="1060" t="s">
        <v>22017</v>
      </c>
      <c r="C359" s="1059" t="s">
        <v>2</v>
      </c>
      <c r="D359" s="1061">
        <v>22144.82</v>
      </c>
    </row>
    <row r="360" spans="1:4" ht="9" customHeight="1" x14ac:dyDescent="0.25">
      <c r="A360" s="1059">
        <v>605687</v>
      </c>
      <c r="B360" s="1060" t="s">
        <v>22018</v>
      </c>
      <c r="C360" s="1059" t="s">
        <v>2</v>
      </c>
      <c r="D360" s="1061">
        <v>25446.5</v>
      </c>
    </row>
    <row r="361" spans="1:4" ht="9" customHeight="1" x14ac:dyDescent="0.25">
      <c r="A361" s="1059">
        <v>605496</v>
      </c>
      <c r="B361" s="1060" t="s">
        <v>22019</v>
      </c>
      <c r="C361" s="1059" t="s">
        <v>2</v>
      </c>
      <c r="D361" s="1061">
        <v>25299.5</v>
      </c>
    </row>
    <row r="362" spans="1:4" ht="9" customHeight="1" x14ac:dyDescent="0.25">
      <c r="A362" s="1059">
        <v>605688</v>
      </c>
      <c r="B362" s="1060" t="s">
        <v>22020</v>
      </c>
      <c r="C362" s="1059" t="s">
        <v>2</v>
      </c>
      <c r="D362" s="1061">
        <v>26332.97</v>
      </c>
    </row>
    <row r="363" spans="1:4" ht="9" customHeight="1" x14ac:dyDescent="0.25">
      <c r="A363" s="1059">
        <v>605497</v>
      </c>
      <c r="B363" s="1060" t="s">
        <v>22021</v>
      </c>
      <c r="C363" s="1059" t="s">
        <v>2</v>
      </c>
      <c r="D363" s="1061">
        <v>26156.43</v>
      </c>
    </row>
    <row r="364" spans="1:4" ht="9" customHeight="1" x14ac:dyDescent="0.25">
      <c r="A364" s="1059">
        <v>605689</v>
      </c>
      <c r="B364" s="1060" t="s">
        <v>22022</v>
      </c>
      <c r="C364" s="1059" t="s">
        <v>2</v>
      </c>
      <c r="D364" s="1061">
        <v>33036.69</v>
      </c>
    </row>
    <row r="365" spans="1:4" ht="9" customHeight="1" x14ac:dyDescent="0.25">
      <c r="A365" s="1059">
        <v>605498</v>
      </c>
      <c r="B365" s="1060" t="s">
        <v>22023</v>
      </c>
      <c r="C365" s="1059" t="s">
        <v>2</v>
      </c>
      <c r="D365" s="1061">
        <v>32851.32</v>
      </c>
    </row>
    <row r="366" spans="1:4" ht="9" customHeight="1" x14ac:dyDescent="0.25">
      <c r="A366" s="1059">
        <v>605690</v>
      </c>
      <c r="B366" s="1060" t="s">
        <v>22024</v>
      </c>
      <c r="C366" s="1059" t="s">
        <v>2</v>
      </c>
      <c r="D366" s="1061">
        <v>35503.15</v>
      </c>
    </row>
    <row r="367" spans="1:4" ht="9" customHeight="1" x14ac:dyDescent="0.25">
      <c r="A367" s="1059">
        <v>605499</v>
      </c>
      <c r="B367" s="1060" t="s">
        <v>22025</v>
      </c>
      <c r="C367" s="1059" t="s">
        <v>2</v>
      </c>
      <c r="D367" s="1061">
        <v>35308.949999999997</v>
      </c>
    </row>
    <row r="368" spans="1:4" ht="9" customHeight="1" x14ac:dyDescent="0.25">
      <c r="A368" s="1059">
        <v>605691</v>
      </c>
      <c r="B368" s="1060" t="s">
        <v>22026</v>
      </c>
      <c r="C368" s="1059" t="s">
        <v>2</v>
      </c>
      <c r="D368" s="1061">
        <v>43616.33</v>
      </c>
    </row>
    <row r="369" spans="1:4" ht="9" customHeight="1" x14ac:dyDescent="0.25">
      <c r="A369" s="1059">
        <v>605500</v>
      </c>
      <c r="B369" s="1060" t="s">
        <v>22027</v>
      </c>
      <c r="C369" s="1059" t="s">
        <v>2</v>
      </c>
      <c r="D369" s="1061">
        <v>43412.04</v>
      </c>
    </row>
    <row r="370" spans="1:4" ht="9" customHeight="1" x14ac:dyDescent="0.25">
      <c r="A370" s="1059">
        <v>605692</v>
      </c>
      <c r="B370" s="1060" t="s">
        <v>22028</v>
      </c>
      <c r="C370" s="1059" t="s">
        <v>2</v>
      </c>
      <c r="D370" s="1061">
        <v>52144.56</v>
      </c>
    </row>
    <row r="371" spans="1:4" ht="9" customHeight="1" x14ac:dyDescent="0.25">
      <c r="A371" s="1059">
        <v>605501</v>
      </c>
      <c r="B371" s="1060" t="s">
        <v>22029</v>
      </c>
      <c r="C371" s="1059" t="s">
        <v>2</v>
      </c>
      <c r="D371" s="1061">
        <v>51930.18</v>
      </c>
    </row>
    <row r="372" spans="1:4" ht="9" customHeight="1" x14ac:dyDescent="0.25">
      <c r="A372" s="1059">
        <v>605693</v>
      </c>
      <c r="B372" s="1060" t="s">
        <v>22030</v>
      </c>
      <c r="C372" s="1059" t="s">
        <v>2</v>
      </c>
      <c r="D372" s="1061">
        <v>55493.1</v>
      </c>
    </row>
    <row r="373" spans="1:4" ht="9" customHeight="1" x14ac:dyDescent="0.25">
      <c r="A373" s="1059">
        <v>605502</v>
      </c>
      <c r="B373" s="1060" t="s">
        <v>22031</v>
      </c>
      <c r="C373" s="1059" t="s">
        <v>2</v>
      </c>
      <c r="D373" s="1061">
        <v>55269.89</v>
      </c>
    </row>
    <row r="374" spans="1:4" ht="9" customHeight="1" x14ac:dyDescent="0.25">
      <c r="A374" s="1059">
        <v>605694</v>
      </c>
      <c r="B374" s="1060" t="s">
        <v>22032</v>
      </c>
      <c r="C374" s="1059" t="s">
        <v>2</v>
      </c>
      <c r="D374" s="1061">
        <v>58903.57</v>
      </c>
    </row>
    <row r="375" spans="1:4" ht="9" customHeight="1" x14ac:dyDescent="0.25">
      <c r="A375" s="1059">
        <v>605503</v>
      </c>
      <c r="B375" s="1060" t="s">
        <v>22033</v>
      </c>
      <c r="C375" s="1059" t="s">
        <v>2</v>
      </c>
      <c r="D375" s="1061">
        <v>58670.27</v>
      </c>
    </row>
    <row r="376" spans="1:4" ht="18" customHeight="1" x14ac:dyDescent="0.25">
      <c r="A376" s="1059">
        <v>606433</v>
      </c>
      <c r="B376" s="1060" t="s">
        <v>22034</v>
      </c>
      <c r="C376" s="1059" t="s">
        <v>2</v>
      </c>
      <c r="D376" s="1061">
        <v>8754.14</v>
      </c>
    </row>
    <row r="377" spans="1:4" ht="18" customHeight="1" x14ac:dyDescent="0.25">
      <c r="A377" s="1059">
        <v>606343</v>
      </c>
      <c r="B377" s="1060" t="s">
        <v>22035</v>
      </c>
      <c r="C377" s="1059" t="s">
        <v>2</v>
      </c>
      <c r="D377" s="1061">
        <v>8690.3700000000008</v>
      </c>
    </row>
    <row r="378" spans="1:4" ht="18" customHeight="1" x14ac:dyDescent="0.25">
      <c r="A378" s="1059">
        <v>606434</v>
      </c>
      <c r="B378" s="1060" t="s">
        <v>22036</v>
      </c>
      <c r="C378" s="1059" t="s">
        <v>2</v>
      </c>
      <c r="D378" s="1061">
        <v>9680.43</v>
      </c>
    </row>
    <row r="379" spans="1:4" ht="18" customHeight="1" x14ac:dyDescent="0.25">
      <c r="A379" s="1059">
        <v>606344</v>
      </c>
      <c r="B379" s="1060" t="s">
        <v>22037</v>
      </c>
      <c r="C379" s="1059" t="s">
        <v>2</v>
      </c>
      <c r="D379" s="1061">
        <v>9612.33</v>
      </c>
    </row>
    <row r="380" spans="1:4" ht="18" customHeight="1" x14ac:dyDescent="0.25">
      <c r="A380" s="1059">
        <v>606435</v>
      </c>
      <c r="B380" s="1060" t="s">
        <v>22038</v>
      </c>
      <c r="C380" s="1059" t="s">
        <v>2</v>
      </c>
      <c r="D380" s="1061">
        <v>10582.38</v>
      </c>
    </row>
    <row r="381" spans="1:4" ht="18" customHeight="1" x14ac:dyDescent="0.25">
      <c r="A381" s="1059">
        <v>606345</v>
      </c>
      <c r="B381" s="1060" t="s">
        <v>22039</v>
      </c>
      <c r="C381" s="1059" t="s">
        <v>2</v>
      </c>
      <c r="D381" s="1061">
        <v>10511.04</v>
      </c>
    </row>
    <row r="382" spans="1:4" ht="18" customHeight="1" x14ac:dyDescent="0.25">
      <c r="A382" s="1059">
        <v>606436</v>
      </c>
      <c r="B382" s="1060" t="s">
        <v>22040</v>
      </c>
      <c r="C382" s="1059" t="s">
        <v>2</v>
      </c>
      <c r="D382" s="1061">
        <v>11251.44</v>
      </c>
    </row>
    <row r="383" spans="1:4" ht="18" customHeight="1" x14ac:dyDescent="0.25">
      <c r="A383" s="1059">
        <v>606346</v>
      </c>
      <c r="B383" s="1060" t="s">
        <v>22041</v>
      </c>
      <c r="C383" s="1059" t="s">
        <v>2</v>
      </c>
      <c r="D383" s="1061">
        <v>11174.7</v>
      </c>
    </row>
    <row r="384" spans="1:4" ht="18" customHeight="1" x14ac:dyDescent="0.25">
      <c r="A384" s="1059">
        <v>606437</v>
      </c>
      <c r="B384" s="1060" t="s">
        <v>22042</v>
      </c>
      <c r="C384" s="1059" t="s">
        <v>2</v>
      </c>
      <c r="D384" s="1061">
        <v>12175.8</v>
      </c>
    </row>
    <row r="385" spans="1:4" ht="18" customHeight="1" x14ac:dyDescent="0.25">
      <c r="A385" s="1059">
        <v>606347</v>
      </c>
      <c r="B385" s="1060" t="s">
        <v>22043</v>
      </c>
      <c r="C385" s="1059" t="s">
        <v>2</v>
      </c>
      <c r="D385" s="1061">
        <v>12096.53</v>
      </c>
    </row>
    <row r="386" spans="1:4" ht="18" customHeight="1" x14ac:dyDescent="0.25">
      <c r="A386" s="1059">
        <v>606438</v>
      </c>
      <c r="B386" s="1060" t="s">
        <v>22044</v>
      </c>
      <c r="C386" s="1059" t="s">
        <v>2</v>
      </c>
      <c r="D386" s="1061">
        <v>12502.28</v>
      </c>
    </row>
    <row r="387" spans="1:4" ht="18" customHeight="1" x14ac:dyDescent="0.25">
      <c r="A387" s="1059">
        <v>606348</v>
      </c>
      <c r="B387" s="1060" t="s">
        <v>22045</v>
      </c>
      <c r="C387" s="1059" t="s">
        <v>2</v>
      </c>
      <c r="D387" s="1061">
        <v>12421.21</v>
      </c>
    </row>
    <row r="388" spans="1:4" ht="18" customHeight="1" x14ac:dyDescent="0.25">
      <c r="A388" s="1059">
        <v>606439</v>
      </c>
      <c r="B388" s="1060" t="s">
        <v>22046</v>
      </c>
      <c r="C388" s="1059" t="s">
        <v>2</v>
      </c>
      <c r="D388" s="1061">
        <v>13176.52</v>
      </c>
    </row>
    <row r="389" spans="1:4" ht="18" customHeight="1" x14ac:dyDescent="0.25">
      <c r="A389" s="1059">
        <v>606349</v>
      </c>
      <c r="B389" s="1060" t="s">
        <v>22047</v>
      </c>
      <c r="C389" s="1059" t="s">
        <v>2</v>
      </c>
      <c r="D389" s="1061">
        <v>13068.43</v>
      </c>
    </row>
    <row r="390" spans="1:4" ht="18" customHeight="1" x14ac:dyDescent="0.25">
      <c r="A390" s="1059">
        <v>606440</v>
      </c>
      <c r="B390" s="1060" t="s">
        <v>22048</v>
      </c>
      <c r="C390" s="1059" t="s">
        <v>2</v>
      </c>
      <c r="D390" s="1061">
        <v>13779.57</v>
      </c>
    </row>
    <row r="391" spans="1:4" ht="18" customHeight="1" x14ac:dyDescent="0.25">
      <c r="A391" s="1059">
        <v>606350</v>
      </c>
      <c r="B391" s="1060" t="s">
        <v>22049</v>
      </c>
      <c r="C391" s="1059" t="s">
        <v>2</v>
      </c>
      <c r="D391" s="1061">
        <v>13667.16</v>
      </c>
    </row>
    <row r="392" spans="1:4" ht="18" customHeight="1" x14ac:dyDescent="0.25">
      <c r="A392" s="1059">
        <v>606441</v>
      </c>
      <c r="B392" s="1060" t="s">
        <v>22050</v>
      </c>
      <c r="C392" s="1059" t="s">
        <v>2</v>
      </c>
      <c r="D392" s="1061">
        <v>14436.63</v>
      </c>
    </row>
    <row r="393" spans="1:4" ht="18" customHeight="1" x14ac:dyDescent="0.25">
      <c r="A393" s="1059">
        <v>606351</v>
      </c>
      <c r="B393" s="1060" t="s">
        <v>22051</v>
      </c>
      <c r="C393" s="1059" t="s">
        <v>2</v>
      </c>
      <c r="D393" s="1061">
        <v>14320.97</v>
      </c>
    </row>
    <row r="394" spans="1:4" ht="18" customHeight="1" x14ac:dyDescent="0.25">
      <c r="A394" s="1059">
        <v>606442</v>
      </c>
      <c r="B394" s="1060" t="s">
        <v>22052</v>
      </c>
      <c r="C394" s="1059" t="s">
        <v>2</v>
      </c>
      <c r="D394" s="1061">
        <v>15066.05</v>
      </c>
    </row>
    <row r="395" spans="1:4" ht="18" customHeight="1" x14ac:dyDescent="0.25">
      <c r="A395" s="1059">
        <v>606352</v>
      </c>
      <c r="B395" s="1060" t="s">
        <v>22053</v>
      </c>
      <c r="C395" s="1059" t="s">
        <v>2</v>
      </c>
      <c r="D395" s="1061">
        <v>14946.07</v>
      </c>
    </row>
    <row r="396" spans="1:4" ht="18" customHeight="1" x14ac:dyDescent="0.25">
      <c r="A396" s="1059">
        <v>606443</v>
      </c>
      <c r="B396" s="1060" t="s">
        <v>22054</v>
      </c>
      <c r="C396" s="1059" t="s">
        <v>2</v>
      </c>
      <c r="D396" s="1061">
        <v>15975.32</v>
      </c>
    </row>
    <row r="397" spans="1:4" ht="18" customHeight="1" x14ac:dyDescent="0.25">
      <c r="A397" s="1059">
        <v>606353</v>
      </c>
      <c r="B397" s="1060" t="s">
        <v>22055</v>
      </c>
      <c r="C397" s="1059" t="s">
        <v>2</v>
      </c>
      <c r="D397" s="1061">
        <v>15852.1</v>
      </c>
    </row>
    <row r="398" spans="1:4" ht="18" customHeight="1" x14ac:dyDescent="0.25">
      <c r="A398" s="1059">
        <v>606444</v>
      </c>
      <c r="B398" s="1060" t="s">
        <v>22056</v>
      </c>
      <c r="C398" s="1059" t="s">
        <v>2</v>
      </c>
      <c r="D398" s="1061">
        <v>16661.27</v>
      </c>
    </row>
    <row r="399" spans="1:4" ht="18" customHeight="1" x14ac:dyDescent="0.25">
      <c r="A399" s="1059">
        <v>606354</v>
      </c>
      <c r="B399" s="1060" t="s">
        <v>22057</v>
      </c>
      <c r="C399" s="1059" t="s">
        <v>2</v>
      </c>
      <c r="D399" s="1061">
        <v>16533.73</v>
      </c>
    </row>
    <row r="400" spans="1:4" ht="18" customHeight="1" x14ac:dyDescent="0.25">
      <c r="A400" s="1059">
        <v>606445</v>
      </c>
      <c r="B400" s="1060" t="s">
        <v>22058</v>
      </c>
      <c r="C400" s="1059" t="s">
        <v>2</v>
      </c>
      <c r="D400" s="1061">
        <v>17312.61</v>
      </c>
    </row>
    <row r="401" spans="1:4" ht="18" customHeight="1" x14ac:dyDescent="0.25">
      <c r="A401" s="1059">
        <v>606355</v>
      </c>
      <c r="B401" s="1060" t="s">
        <v>22059</v>
      </c>
      <c r="C401" s="1059" t="s">
        <v>2</v>
      </c>
      <c r="D401" s="1061">
        <v>17182.900000000001</v>
      </c>
    </row>
    <row r="402" spans="1:4" ht="18" customHeight="1" x14ac:dyDescent="0.25">
      <c r="A402" s="1059">
        <v>606446</v>
      </c>
      <c r="B402" s="1060" t="s">
        <v>22060</v>
      </c>
      <c r="C402" s="1059" t="s">
        <v>2</v>
      </c>
      <c r="D402" s="1061">
        <v>17944.96</v>
      </c>
    </row>
    <row r="403" spans="1:4" ht="18" customHeight="1" x14ac:dyDescent="0.25">
      <c r="A403" s="1059">
        <v>606356</v>
      </c>
      <c r="B403" s="1060" t="s">
        <v>22061</v>
      </c>
      <c r="C403" s="1059" t="s">
        <v>2</v>
      </c>
      <c r="D403" s="1061">
        <v>17812.009999999998</v>
      </c>
    </row>
    <row r="404" spans="1:4" ht="18" customHeight="1" x14ac:dyDescent="0.25">
      <c r="A404" s="1059">
        <v>606447</v>
      </c>
      <c r="B404" s="1060" t="s">
        <v>22062</v>
      </c>
      <c r="C404" s="1059" t="s">
        <v>2</v>
      </c>
      <c r="D404" s="1061">
        <v>18637.5</v>
      </c>
    </row>
    <row r="405" spans="1:4" ht="18" customHeight="1" x14ac:dyDescent="0.25">
      <c r="A405" s="1059">
        <v>606357</v>
      </c>
      <c r="B405" s="1060" t="s">
        <v>22063</v>
      </c>
      <c r="C405" s="1059" t="s">
        <v>2</v>
      </c>
      <c r="D405" s="1061">
        <v>18476.080000000002</v>
      </c>
    </row>
    <row r="406" spans="1:4" ht="18" customHeight="1" x14ac:dyDescent="0.25">
      <c r="A406" s="1059">
        <v>606448</v>
      </c>
      <c r="B406" s="1060" t="s">
        <v>22064</v>
      </c>
      <c r="C406" s="1059" t="s">
        <v>2</v>
      </c>
      <c r="D406" s="1061">
        <v>19601.89</v>
      </c>
    </row>
    <row r="407" spans="1:4" ht="18" customHeight="1" x14ac:dyDescent="0.25">
      <c r="A407" s="1059">
        <v>606358</v>
      </c>
      <c r="B407" s="1060" t="s">
        <v>22065</v>
      </c>
      <c r="C407" s="1059" t="s">
        <v>2</v>
      </c>
      <c r="D407" s="1061">
        <v>19435.43</v>
      </c>
    </row>
    <row r="408" spans="1:4" ht="18" customHeight="1" x14ac:dyDescent="0.25">
      <c r="A408" s="1059">
        <v>606449</v>
      </c>
      <c r="B408" s="1060" t="s">
        <v>22066</v>
      </c>
      <c r="C408" s="1059" t="s">
        <v>2</v>
      </c>
      <c r="D408" s="1061">
        <v>24160.05</v>
      </c>
    </row>
    <row r="409" spans="1:4" ht="18" customHeight="1" x14ac:dyDescent="0.25">
      <c r="A409" s="1059">
        <v>606359</v>
      </c>
      <c r="B409" s="1060" t="s">
        <v>22067</v>
      </c>
      <c r="C409" s="1059" t="s">
        <v>2</v>
      </c>
      <c r="D409" s="1061">
        <v>23988.54</v>
      </c>
    </row>
    <row r="410" spans="1:4" ht="18" customHeight="1" x14ac:dyDescent="0.25">
      <c r="A410" s="1059">
        <v>606450</v>
      </c>
      <c r="B410" s="1060" t="s">
        <v>22068</v>
      </c>
      <c r="C410" s="1059" t="s">
        <v>2</v>
      </c>
      <c r="D410" s="1061">
        <v>25114.86</v>
      </c>
    </row>
    <row r="411" spans="1:4" ht="18" customHeight="1" x14ac:dyDescent="0.25">
      <c r="A411" s="1059">
        <v>606360</v>
      </c>
      <c r="B411" s="1060" t="s">
        <v>22069</v>
      </c>
      <c r="C411" s="1059" t="s">
        <v>2</v>
      </c>
      <c r="D411" s="1061">
        <v>24937.05</v>
      </c>
    </row>
    <row r="412" spans="1:4" ht="18" customHeight="1" x14ac:dyDescent="0.25">
      <c r="A412" s="1059">
        <v>606451</v>
      </c>
      <c r="B412" s="1060" t="s">
        <v>22070</v>
      </c>
      <c r="C412" s="1059" t="s">
        <v>2</v>
      </c>
      <c r="D412" s="1061">
        <v>25923.73</v>
      </c>
    </row>
    <row r="413" spans="1:4" ht="18" customHeight="1" x14ac:dyDescent="0.25">
      <c r="A413" s="1059">
        <v>606361</v>
      </c>
      <c r="B413" s="1060" t="s">
        <v>22071</v>
      </c>
      <c r="C413" s="1059" t="s">
        <v>2</v>
      </c>
      <c r="D413" s="1061">
        <v>25740.880000000001</v>
      </c>
    </row>
    <row r="414" spans="1:4" ht="18" customHeight="1" x14ac:dyDescent="0.25">
      <c r="A414" s="1059">
        <v>606452</v>
      </c>
      <c r="B414" s="1060" t="s">
        <v>22072</v>
      </c>
      <c r="C414" s="1059" t="s">
        <v>2</v>
      </c>
      <c r="D414" s="1061">
        <v>29538.2</v>
      </c>
    </row>
    <row r="415" spans="1:4" ht="18" customHeight="1" x14ac:dyDescent="0.25">
      <c r="A415" s="1059">
        <v>606362</v>
      </c>
      <c r="B415" s="1060" t="s">
        <v>22073</v>
      </c>
      <c r="C415" s="1059" t="s">
        <v>2</v>
      </c>
      <c r="D415" s="1061">
        <v>29350.31</v>
      </c>
    </row>
    <row r="416" spans="1:4" ht="18" customHeight="1" x14ac:dyDescent="0.25">
      <c r="A416" s="1059">
        <v>606453</v>
      </c>
      <c r="B416" s="1060" t="s">
        <v>22074</v>
      </c>
      <c r="C416" s="1059" t="s">
        <v>2</v>
      </c>
      <c r="D416" s="1061">
        <v>29996</v>
      </c>
    </row>
    <row r="417" spans="1:4" ht="18" customHeight="1" x14ac:dyDescent="0.25">
      <c r="A417" s="1059">
        <v>606363</v>
      </c>
      <c r="B417" s="1060" t="s">
        <v>22075</v>
      </c>
      <c r="C417" s="1059" t="s">
        <v>2</v>
      </c>
      <c r="D417" s="1061">
        <v>29804.32</v>
      </c>
    </row>
    <row r="418" spans="1:4" ht="18" customHeight="1" x14ac:dyDescent="0.25">
      <c r="A418" s="1059">
        <v>606454</v>
      </c>
      <c r="B418" s="1060" t="s">
        <v>22076</v>
      </c>
      <c r="C418" s="1059" t="s">
        <v>2</v>
      </c>
      <c r="D418" s="1061">
        <v>35808.019999999997</v>
      </c>
    </row>
    <row r="419" spans="1:4" ht="18" customHeight="1" x14ac:dyDescent="0.25">
      <c r="A419" s="1059">
        <v>606364</v>
      </c>
      <c r="B419" s="1060" t="s">
        <v>22077</v>
      </c>
      <c r="C419" s="1059" t="s">
        <v>2</v>
      </c>
      <c r="D419" s="1061">
        <v>35611.300000000003</v>
      </c>
    </row>
    <row r="420" spans="1:4" ht="18" customHeight="1" x14ac:dyDescent="0.25">
      <c r="A420" s="1059">
        <v>606455</v>
      </c>
      <c r="B420" s="1060" t="s">
        <v>22078</v>
      </c>
      <c r="C420" s="1059" t="s">
        <v>2</v>
      </c>
      <c r="D420" s="1061">
        <v>36387.699999999997</v>
      </c>
    </row>
    <row r="421" spans="1:4" ht="18" customHeight="1" x14ac:dyDescent="0.25">
      <c r="A421" s="1059">
        <v>606365</v>
      </c>
      <c r="B421" s="1060" t="s">
        <v>22079</v>
      </c>
      <c r="C421" s="1059" t="s">
        <v>2</v>
      </c>
      <c r="D421" s="1061">
        <v>36188.46</v>
      </c>
    </row>
    <row r="422" spans="1:4" ht="18" customHeight="1" x14ac:dyDescent="0.25">
      <c r="A422" s="1059">
        <v>606456</v>
      </c>
      <c r="B422" s="1060" t="s">
        <v>22080</v>
      </c>
      <c r="C422" s="1059" t="s">
        <v>2</v>
      </c>
      <c r="D422" s="1061">
        <v>37773.31</v>
      </c>
    </row>
    <row r="423" spans="1:4" ht="18" customHeight="1" x14ac:dyDescent="0.25">
      <c r="A423" s="1059">
        <v>606366</v>
      </c>
      <c r="B423" s="1060" t="s">
        <v>22081</v>
      </c>
      <c r="C423" s="1059" t="s">
        <v>2</v>
      </c>
      <c r="D423" s="1061">
        <v>37569.019999999997</v>
      </c>
    </row>
    <row r="424" spans="1:4" ht="18" customHeight="1" x14ac:dyDescent="0.25">
      <c r="A424" s="1059">
        <v>606457</v>
      </c>
      <c r="B424" s="1060" t="s">
        <v>22082</v>
      </c>
      <c r="C424" s="1059" t="s">
        <v>2</v>
      </c>
      <c r="D424" s="1061">
        <v>38386.6</v>
      </c>
    </row>
    <row r="425" spans="1:4" ht="18" customHeight="1" x14ac:dyDescent="0.25">
      <c r="A425" s="1059">
        <v>606367</v>
      </c>
      <c r="B425" s="1060" t="s">
        <v>22083</v>
      </c>
      <c r="C425" s="1059" t="s">
        <v>2</v>
      </c>
      <c r="D425" s="1061">
        <v>38178.53</v>
      </c>
    </row>
    <row r="426" spans="1:4" ht="18" customHeight="1" x14ac:dyDescent="0.25">
      <c r="A426" s="1059">
        <v>606458</v>
      </c>
      <c r="B426" s="1060" t="s">
        <v>22084</v>
      </c>
      <c r="C426" s="1059" t="s">
        <v>2</v>
      </c>
      <c r="D426" s="1061">
        <v>52174.46</v>
      </c>
    </row>
    <row r="427" spans="1:4" ht="18" customHeight="1" x14ac:dyDescent="0.25">
      <c r="A427" s="1059">
        <v>606368</v>
      </c>
      <c r="B427" s="1060" t="s">
        <v>22085</v>
      </c>
      <c r="C427" s="1059" t="s">
        <v>2</v>
      </c>
      <c r="D427" s="1061">
        <v>51962.6</v>
      </c>
    </row>
    <row r="428" spans="1:4" ht="18" customHeight="1" x14ac:dyDescent="0.25">
      <c r="A428" s="1059">
        <v>606459</v>
      </c>
      <c r="B428" s="1060" t="s">
        <v>22086</v>
      </c>
      <c r="C428" s="1059" t="s">
        <v>2</v>
      </c>
      <c r="D428" s="1061">
        <v>54314.43</v>
      </c>
    </row>
    <row r="429" spans="1:4" ht="18" customHeight="1" x14ac:dyDescent="0.25">
      <c r="A429" s="1059">
        <v>606369</v>
      </c>
      <c r="B429" s="1060" t="s">
        <v>22087</v>
      </c>
      <c r="C429" s="1059" t="s">
        <v>2</v>
      </c>
      <c r="D429" s="1061">
        <v>54097.53</v>
      </c>
    </row>
    <row r="430" spans="1:4" ht="18" customHeight="1" x14ac:dyDescent="0.25">
      <c r="A430" s="1059">
        <v>606479</v>
      </c>
      <c r="B430" s="1060" t="s">
        <v>22088</v>
      </c>
      <c r="C430" s="1059" t="s">
        <v>2</v>
      </c>
      <c r="D430" s="1061">
        <v>12298.97</v>
      </c>
    </row>
    <row r="431" spans="1:4" ht="18" customHeight="1" x14ac:dyDescent="0.25">
      <c r="A431" s="1059">
        <v>606460</v>
      </c>
      <c r="B431" s="1060" t="s">
        <v>22089</v>
      </c>
      <c r="C431" s="1059" t="s">
        <v>2</v>
      </c>
      <c r="D431" s="1061">
        <v>12218.27</v>
      </c>
    </row>
    <row r="432" spans="1:4" ht="18" customHeight="1" x14ac:dyDescent="0.25">
      <c r="A432" s="1059">
        <v>606480</v>
      </c>
      <c r="B432" s="1060" t="s">
        <v>22090</v>
      </c>
      <c r="C432" s="1059" t="s">
        <v>2</v>
      </c>
      <c r="D432" s="1061">
        <v>16015.28</v>
      </c>
    </row>
    <row r="433" spans="1:4" ht="18" customHeight="1" x14ac:dyDescent="0.25">
      <c r="A433" s="1059">
        <v>606461</v>
      </c>
      <c r="B433" s="1060" t="s">
        <v>22091</v>
      </c>
      <c r="C433" s="1059" t="s">
        <v>2</v>
      </c>
      <c r="D433" s="1061">
        <v>15916.91</v>
      </c>
    </row>
    <row r="434" spans="1:4" ht="18" customHeight="1" x14ac:dyDescent="0.25">
      <c r="A434" s="1059">
        <v>606481</v>
      </c>
      <c r="B434" s="1060" t="s">
        <v>22092</v>
      </c>
      <c r="C434" s="1059" t="s">
        <v>2</v>
      </c>
      <c r="D434" s="1061">
        <v>18634.150000000001</v>
      </c>
    </row>
    <row r="435" spans="1:4" ht="18" customHeight="1" x14ac:dyDescent="0.25">
      <c r="A435" s="1059">
        <v>606462</v>
      </c>
      <c r="B435" s="1060" t="s">
        <v>22093</v>
      </c>
      <c r="C435" s="1059" t="s">
        <v>2</v>
      </c>
      <c r="D435" s="1061">
        <v>18490.39</v>
      </c>
    </row>
    <row r="436" spans="1:4" ht="18" customHeight="1" x14ac:dyDescent="0.25">
      <c r="A436" s="1059">
        <v>606482</v>
      </c>
      <c r="B436" s="1060" t="s">
        <v>22094</v>
      </c>
      <c r="C436" s="1059" t="s">
        <v>2</v>
      </c>
      <c r="D436" s="1061">
        <v>19605.37</v>
      </c>
    </row>
    <row r="437" spans="1:4" ht="18" customHeight="1" x14ac:dyDescent="0.25">
      <c r="A437" s="1059">
        <v>606463</v>
      </c>
      <c r="B437" s="1060" t="s">
        <v>22095</v>
      </c>
      <c r="C437" s="1059" t="s">
        <v>2</v>
      </c>
      <c r="D437" s="1061">
        <v>19456.57</v>
      </c>
    </row>
    <row r="438" spans="1:4" ht="18" customHeight="1" x14ac:dyDescent="0.25">
      <c r="A438" s="1059">
        <v>606483</v>
      </c>
      <c r="B438" s="1060" t="s">
        <v>22096</v>
      </c>
      <c r="C438" s="1059" t="s">
        <v>2</v>
      </c>
      <c r="D438" s="1061">
        <v>20091.05</v>
      </c>
    </row>
    <row r="439" spans="1:4" ht="18" customHeight="1" x14ac:dyDescent="0.25">
      <c r="A439" s="1059">
        <v>606464</v>
      </c>
      <c r="B439" s="1060" t="s">
        <v>22097</v>
      </c>
      <c r="C439" s="1059" t="s">
        <v>2</v>
      </c>
      <c r="D439" s="1061">
        <v>19939.73</v>
      </c>
    </row>
    <row r="440" spans="1:4" ht="18" customHeight="1" x14ac:dyDescent="0.25">
      <c r="A440" s="1059">
        <v>606484</v>
      </c>
      <c r="B440" s="1060" t="s">
        <v>22098</v>
      </c>
      <c r="C440" s="1059" t="s">
        <v>2</v>
      </c>
      <c r="D440" s="1061">
        <v>20784.669999999998</v>
      </c>
    </row>
    <row r="441" spans="1:4" ht="18" customHeight="1" x14ac:dyDescent="0.25">
      <c r="A441" s="1059">
        <v>606465</v>
      </c>
      <c r="B441" s="1060" t="s">
        <v>22099</v>
      </c>
      <c r="C441" s="1059" t="s">
        <v>2</v>
      </c>
      <c r="D441" s="1061">
        <v>20628.3</v>
      </c>
    </row>
    <row r="442" spans="1:4" ht="18" customHeight="1" x14ac:dyDescent="0.25">
      <c r="A442" s="1059">
        <v>606485</v>
      </c>
      <c r="B442" s="1060" t="s">
        <v>22100</v>
      </c>
      <c r="C442" s="1059" t="s">
        <v>2</v>
      </c>
      <c r="D442" s="1061">
        <v>21451.26</v>
      </c>
    </row>
    <row r="443" spans="1:4" ht="18" customHeight="1" x14ac:dyDescent="0.25">
      <c r="A443" s="1059">
        <v>606466</v>
      </c>
      <c r="B443" s="1060" t="s">
        <v>22101</v>
      </c>
      <c r="C443" s="1059" t="s">
        <v>2</v>
      </c>
      <c r="D443" s="1061">
        <v>21293.63</v>
      </c>
    </row>
    <row r="444" spans="1:4" ht="18" customHeight="1" x14ac:dyDescent="0.25">
      <c r="A444" s="1059">
        <v>606486</v>
      </c>
      <c r="B444" s="1060" t="s">
        <v>22102</v>
      </c>
      <c r="C444" s="1059" t="s">
        <v>2</v>
      </c>
      <c r="D444" s="1061">
        <v>22389.61</v>
      </c>
    </row>
    <row r="445" spans="1:4" ht="18" customHeight="1" x14ac:dyDescent="0.25">
      <c r="A445" s="1059">
        <v>606467</v>
      </c>
      <c r="B445" s="1060" t="s">
        <v>22103</v>
      </c>
      <c r="C445" s="1059" t="s">
        <v>2</v>
      </c>
      <c r="D445" s="1061">
        <v>22228.19</v>
      </c>
    </row>
    <row r="446" spans="1:4" ht="18" customHeight="1" x14ac:dyDescent="0.25">
      <c r="A446" s="1059">
        <v>606487</v>
      </c>
      <c r="B446" s="1060" t="s">
        <v>22104</v>
      </c>
      <c r="C446" s="1059" t="s">
        <v>2</v>
      </c>
      <c r="D446" s="1061">
        <v>23042.67</v>
      </c>
    </row>
    <row r="447" spans="1:4" ht="18" customHeight="1" x14ac:dyDescent="0.25">
      <c r="A447" s="1059">
        <v>606468</v>
      </c>
      <c r="B447" s="1060" t="s">
        <v>22105</v>
      </c>
      <c r="C447" s="1059" t="s">
        <v>2</v>
      </c>
      <c r="D447" s="1061">
        <v>22878.73</v>
      </c>
    </row>
    <row r="448" spans="1:4" ht="18" customHeight="1" x14ac:dyDescent="0.25">
      <c r="A448" s="1059">
        <v>606488</v>
      </c>
      <c r="B448" s="1060" t="s">
        <v>22106</v>
      </c>
      <c r="C448" s="1059" t="s">
        <v>2</v>
      </c>
      <c r="D448" s="1061">
        <v>28467.5</v>
      </c>
    </row>
    <row r="449" spans="1:4" ht="18" customHeight="1" x14ac:dyDescent="0.25">
      <c r="A449" s="1059">
        <v>606469</v>
      </c>
      <c r="B449" s="1060" t="s">
        <v>22107</v>
      </c>
      <c r="C449" s="1059" t="s">
        <v>2</v>
      </c>
      <c r="D449" s="1061">
        <v>28298.52</v>
      </c>
    </row>
    <row r="450" spans="1:4" ht="18" customHeight="1" x14ac:dyDescent="0.25">
      <c r="A450" s="1059">
        <v>606489</v>
      </c>
      <c r="B450" s="1060" t="s">
        <v>22108</v>
      </c>
      <c r="C450" s="1059" t="s">
        <v>2</v>
      </c>
      <c r="D450" s="1061">
        <v>30006.57</v>
      </c>
    </row>
    <row r="451" spans="1:4" ht="18" customHeight="1" x14ac:dyDescent="0.25">
      <c r="A451" s="1059">
        <v>606470</v>
      </c>
      <c r="B451" s="1060" t="s">
        <v>22109</v>
      </c>
      <c r="C451" s="1059" t="s">
        <v>2</v>
      </c>
      <c r="D451" s="1061">
        <v>29835.06</v>
      </c>
    </row>
    <row r="452" spans="1:4" ht="18" customHeight="1" x14ac:dyDescent="0.25">
      <c r="A452" s="1059">
        <v>606490</v>
      </c>
      <c r="B452" s="1060" t="s">
        <v>22110</v>
      </c>
      <c r="C452" s="1059" t="s">
        <v>2</v>
      </c>
      <c r="D452" s="1061">
        <v>30885.65</v>
      </c>
    </row>
    <row r="453" spans="1:4" ht="18" customHeight="1" x14ac:dyDescent="0.25">
      <c r="A453" s="1059">
        <v>606471</v>
      </c>
      <c r="B453" s="1060" t="s">
        <v>22111</v>
      </c>
      <c r="C453" s="1059" t="s">
        <v>2</v>
      </c>
      <c r="D453" s="1061">
        <v>30709.11</v>
      </c>
    </row>
    <row r="454" spans="1:4" ht="18" customHeight="1" x14ac:dyDescent="0.25">
      <c r="A454" s="1059">
        <v>606491</v>
      </c>
      <c r="B454" s="1060" t="s">
        <v>22112</v>
      </c>
      <c r="C454" s="1059" t="s">
        <v>2</v>
      </c>
      <c r="D454" s="1061">
        <v>31748.21</v>
      </c>
    </row>
    <row r="455" spans="1:4" ht="18" customHeight="1" x14ac:dyDescent="0.25">
      <c r="A455" s="1059">
        <v>606472</v>
      </c>
      <c r="B455" s="1060" t="s">
        <v>22113</v>
      </c>
      <c r="C455" s="1059" t="s">
        <v>2</v>
      </c>
      <c r="D455" s="1061">
        <v>31567.88</v>
      </c>
    </row>
    <row r="456" spans="1:4" ht="18" customHeight="1" x14ac:dyDescent="0.25">
      <c r="A456" s="1059">
        <v>606492</v>
      </c>
      <c r="B456" s="1060" t="s">
        <v>22114</v>
      </c>
      <c r="C456" s="1059" t="s">
        <v>2</v>
      </c>
      <c r="D456" s="1061">
        <v>32412.81</v>
      </c>
    </row>
    <row r="457" spans="1:4" ht="18" customHeight="1" x14ac:dyDescent="0.25">
      <c r="A457" s="1059">
        <v>606473</v>
      </c>
      <c r="B457" s="1060" t="s">
        <v>22115</v>
      </c>
      <c r="C457" s="1059" t="s">
        <v>2</v>
      </c>
      <c r="D457" s="1061">
        <v>32229.96</v>
      </c>
    </row>
    <row r="458" spans="1:4" ht="18" customHeight="1" x14ac:dyDescent="0.25">
      <c r="A458" s="1059">
        <v>606493</v>
      </c>
      <c r="B458" s="1060" t="s">
        <v>22116</v>
      </c>
      <c r="C458" s="1059" t="s">
        <v>2</v>
      </c>
      <c r="D458" s="1061">
        <v>34174.36</v>
      </c>
    </row>
    <row r="459" spans="1:4" ht="18" customHeight="1" x14ac:dyDescent="0.25">
      <c r="A459" s="1059">
        <v>606474</v>
      </c>
      <c r="B459" s="1060" t="s">
        <v>22117</v>
      </c>
      <c r="C459" s="1059" t="s">
        <v>2</v>
      </c>
      <c r="D459" s="1061">
        <v>33990.25</v>
      </c>
    </row>
    <row r="460" spans="1:4" ht="18" customHeight="1" x14ac:dyDescent="0.25">
      <c r="A460" s="1059">
        <v>606494</v>
      </c>
      <c r="B460" s="1060" t="s">
        <v>22118</v>
      </c>
      <c r="C460" s="1059" t="s">
        <v>2</v>
      </c>
      <c r="D460" s="1061">
        <v>39497.279999999999</v>
      </c>
    </row>
    <row r="461" spans="1:4" ht="18" customHeight="1" x14ac:dyDescent="0.25">
      <c r="A461" s="1059">
        <v>606475</v>
      </c>
      <c r="B461" s="1060" t="s">
        <v>22119</v>
      </c>
      <c r="C461" s="1059" t="s">
        <v>2</v>
      </c>
      <c r="D461" s="1061">
        <v>39304.339999999997</v>
      </c>
    </row>
    <row r="462" spans="1:4" ht="18" customHeight="1" x14ac:dyDescent="0.25">
      <c r="A462" s="1059">
        <v>606495</v>
      </c>
      <c r="B462" s="1060" t="s">
        <v>22120</v>
      </c>
      <c r="C462" s="1059" t="s">
        <v>2</v>
      </c>
      <c r="D462" s="1061">
        <v>46492.99</v>
      </c>
    </row>
    <row r="463" spans="1:4" ht="18" customHeight="1" x14ac:dyDescent="0.25">
      <c r="A463" s="1059">
        <v>606476</v>
      </c>
      <c r="B463" s="1060" t="s">
        <v>22121</v>
      </c>
      <c r="C463" s="1059" t="s">
        <v>2</v>
      </c>
      <c r="D463" s="1061">
        <v>46295</v>
      </c>
    </row>
    <row r="464" spans="1:4" ht="18" customHeight="1" x14ac:dyDescent="0.25">
      <c r="A464" s="1059">
        <v>606496</v>
      </c>
      <c r="B464" s="1060" t="s">
        <v>22122</v>
      </c>
      <c r="C464" s="1059" t="s">
        <v>2</v>
      </c>
      <c r="D464" s="1061">
        <v>47599.05</v>
      </c>
    </row>
    <row r="465" spans="1:4" ht="18" customHeight="1" x14ac:dyDescent="0.25">
      <c r="A465" s="1059">
        <v>606477</v>
      </c>
      <c r="B465" s="1060" t="s">
        <v>22123</v>
      </c>
      <c r="C465" s="1059" t="s">
        <v>2</v>
      </c>
      <c r="D465" s="1061">
        <v>47397.29</v>
      </c>
    </row>
    <row r="466" spans="1:4" ht="18" customHeight="1" x14ac:dyDescent="0.25">
      <c r="A466" s="1059">
        <v>606497</v>
      </c>
      <c r="B466" s="1060" t="s">
        <v>22124</v>
      </c>
      <c r="C466" s="1059" t="s">
        <v>2</v>
      </c>
      <c r="D466" s="1061">
        <v>48896.77</v>
      </c>
    </row>
    <row r="467" spans="1:4" ht="18" customHeight="1" x14ac:dyDescent="0.25">
      <c r="A467" s="1059">
        <v>606478</v>
      </c>
      <c r="B467" s="1060" t="s">
        <v>22125</v>
      </c>
      <c r="C467" s="1059" t="s">
        <v>2</v>
      </c>
      <c r="D467" s="1061">
        <v>48688.7</v>
      </c>
    </row>
    <row r="468" spans="1:4" ht="18" customHeight="1" x14ac:dyDescent="0.25">
      <c r="A468" s="1059">
        <v>605835</v>
      </c>
      <c r="B468" s="1060" t="s">
        <v>22126</v>
      </c>
      <c r="C468" s="1059" t="s">
        <v>2</v>
      </c>
      <c r="D468" s="1061">
        <v>7244.73</v>
      </c>
    </row>
    <row r="469" spans="1:4" ht="18" customHeight="1" x14ac:dyDescent="0.25">
      <c r="A469" s="1059">
        <v>605571</v>
      </c>
      <c r="B469" s="1060" t="s">
        <v>22127</v>
      </c>
      <c r="C469" s="1059" t="s">
        <v>2</v>
      </c>
      <c r="D469" s="1061">
        <v>6434.91</v>
      </c>
    </row>
    <row r="470" spans="1:4" ht="18" customHeight="1" x14ac:dyDescent="0.25">
      <c r="A470" s="1059">
        <v>605850</v>
      </c>
      <c r="B470" s="1060" t="s">
        <v>22128</v>
      </c>
      <c r="C470" s="1059" t="s">
        <v>2</v>
      </c>
      <c r="D470" s="1061">
        <v>7674.29</v>
      </c>
    </row>
    <row r="471" spans="1:4" ht="18" customHeight="1" x14ac:dyDescent="0.25">
      <c r="A471" s="1059">
        <v>605582</v>
      </c>
      <c r="B471" s="1060" t="s">
        <v>22129</v>
      </c>
      <c r="C471" s="1059" t="s">
        <v>2</v>
      </c>
      <c r="D471" s="1061">
        <v>6864.47</v>
      </c>
    </row>
    <row r="472" spans="1:4" ht="18" customHeight="1" x14ac:dyDescent="0.25">
      <c r="A472" s="1059">
        <v>605889</v>
      </c>
      <c r="B472" s="1060" t="s">
        <v>22130</v>
      </c>
      <c r="C472" s="1059" t="s">
        <v>2</v>
      </c>
      <c r="D472" s="1061">
        <v>8428.51</v>
      </c>
    </row>
    <row r="473" spans="1:4" ht="18" customHeight="1" x14ac:dyDescent="0.25">
      <c r="A473" s="1059">
        <v>605593</v>
      </c>
      <c r="B473" s="1060" t="s">
        <v>22131</v>
      </c>
      <c r="C473" s="1059" t="s">
        <v>2</v>
      </c>
      <c r="D473" s="1061">
        <v>7618.69</v>
      </c>
    </row>
    <row r="474" spans="1:4" ht="18" customHeight="1" x14ac:dyDescent="0.25">
      <c r="A474" s="1059">
        <v>605739</v>
      </c>
      <c r="B474" s="1060" t="s">
        <v>22132</v>
      </c>
      <c r="C474" s="1059" t="s">
        <v>2</v>
      </c>
      <c r="D474" s="1061">
        <v>6991.4</v>
      </c>
    </row>
    <row r="475" spans="1:4" ht="18" customHeight="1" x14ac:dyDescent="0.25">
      <c r="A475" s="1059">
        <v>605504</v>
      </c>
      <c r="B475" s="1060" t="s">
        <v>22133</v>
      </c>
      <c r="C475" s="1059" t="s">
        <v>2</v>
      </c>
      <c r="D475" s="1061">
        <v>6132.34</v>
      </c>
    </row>
    <row r="476" spans="1:4" ht="18" customHeight="1" x14ac:dyDescent="0.25">
      <c r="A476" s="1059">
        <v>605781</v>
      </c>
      <c r="B476" s="1060" t="s">
        <v>22134</v>
      </c>
      <c r="C476" s="1059" t="s">
        <v>2</v>
      </c>
      <c r="D476" s="1061">
        <v>7420.96</v>
      </c>
    </row>
    <row r="477" spans="1:4" ht="18" customHeight="1" x14ac:dyDescent="0.25">
      <c r="A477" s="1059">
        <v>605524</v>
      </c>
      <c r="B477" s="1060" t="s">
        <v>22135</v>
      </c>
      <c r="C477" s="1059" t="s">
        <v>2</v>
      </c>
      <c r="D477" s="1061">
        <v>6561.9</v>
      </c>
    </row>
    <row r="478" spans="1:4" ht="18" customHeight="1" x14ac:dyDescent="0.25">
      <c r="A478" s="1059">
        <v>605815</v>
      </c>
      <c r="B478" s="1060" t="s">
        <v>22136</v>
      </c>
      <c r="C478" s="1059" t="s">
        <v>2</v>
      </c>
      <c r="D478" s="1061">
        <v>8175.18</v>
      </c>
    </row>
    <row r="479" spans="1:4" ht="18" customHeight="1" x14ac:dyDescent="0.25">
      <c r="A479" s="1059">
        <v>605544</v>
      </c>
      <c r="B479" s="1060" t="s">
        <v>22137</v>
      </c>
      <c r="C479" s="1059" t="s">
        <v>2</v>
      </c>
      <c r="D479" s="1061">
        <v>7316.12</v>
      </c>
    </row>
    <row r="480" spans="1:4" ht="18" customHeight="1" x14ac:dyDescent="0.25">
      <c r="A480" s="1059">
        <v>605836</v>
      </c>
      <c r="B480" s="1060" t="s">
        <v>22138</v>
      </c>
      <c r="C480" s="1059" t="s">
        <v>2</v>
      </c>
      <c r="D480" s="1061">
        <v>8212.43</v>
      </c>
    </row>
    <row r="481" spans="1:4" ht="18" customHeight="1" x14ac:dyDescent="0.25">
      <c r="A481" s="1059">
        <v>605572</v>
      </c>
      <c r="B481" s="1060" t="s">
        <v>22139</v>
      </c>
      <c r="C481" s="1059" t="s">
        <v>2</v>
      </c>
      <c r="D481" s="1061">
        <v>7337.27</v>
      </c>
    </row>
    <row r="482" spans="1:4" ht="18" customHeight="1" x14ac:dyDescent="0.25">
      <c r="A482" s="1059">
        <v>605851</v>
      </c>
      <c r="B482" s="1060" t="s">
        <v>22140</v>
      </c>
      <c r="C482" s="1059" t="s">
        <v>2</v>
      </c>
      <c r="D482" s="1061">
        <v>8773.48</v>
      </c>
    </row>
    <row r="483" spans="1:4" ht="18" customHeight="1" x14ac:dyDescent="0.25">
      <c r="A483" s="1059">
        <v>605583</v>
      </c>
      <c r="B483" s="1060" t="s">
        <v>22141</v>
      </c>
      <c r="C483" s="1059" t="s">
        <v>2</v>
      </c>
      <c r="D483" s="1061">
        <v>7898.33</v>
      </c>
    </row>
    <row r="484" spans="1:4" ht="18" customHeight="1" x14ac:dyDescent="0.25">
      <c r="A484" s="1059">
        <v>605890</v>
      </c>
      <c r="B484" s="1060" t="s">
        <v>22142</v>
      </c>
      <c r="C484" s="1059" t="s">
        <v>2</v>
      </c>
      <c r="D484" s="1061">
        <v>9758.59</v>
      </c>
    </row>
    <row r="485" spans="1:4" ht="18" customHeight="1" x14ac:dyDescent="0.25">
      <c r="A485" s="1059">
        <v>605594</v>
      </c>
      <c r="B485" s="1060" t="s">
        <v>22143</v>
      </c>
      <c r="C485" s="1059" t="s">
        <v>2</v>
      </c>
      <c r="D485" s="1061">
        <v>8883.43</v>
      </c>
    </row>
    <row r="486" spans="1:4" ht="18" customHeight="1" x14ac:dyDescent="0.25">
      <c r="A486" s="1059">
        <v>605740</v>
      </c>
      <c r="B486" s="1060" t="s">
        <v>22144</v>
      </c>
      <c r="C486" s="1059" t="s">
        <v>2</v>
      </c>
      <c r="D486" s="1061">
        <v>7926.9</v>
      </c>
    </row>
    <row r="487" spans="1:4" ht="18" customHeight="1" x14ac:dyDescent="0.25">
      <c r="A487" s="1059">
        <v>605505</v>
      </c>
      <c r="B487" s="1060" t="s">
        <v>22145</v>
      </c>
      <c r="C487" s="1059" t="s">
        <v>2</v>
      </c>
      <c r="D487" s="1061">
        <v>6993.74</v>
      </c>
    </row>
    <row r="488" spans="1:4" ht="18" customHeight="1" x14ac:dyDescent="0.25">
      <c r="A488" s="1059">
        <v>605782</v>
      </c>
      <c r="B488" s="1060" t="s">
        <v>22146</v>
      </c>
      <c r="C488" s="1059" t="s">
        <v>2</v>
      </c>
      <c r="D488" s="1061">
        <v>8487.9599999999991</v>
      </c>
    </row>
    <row r="489" spans="1:4" ht="18" customHeight="1" x14ac:dyDescent="0.25">
      <c r="A489" s="1059">
        <v>605525</v>
      </c>
      <c r="B489" s="1060" t="s">
        <v>22147</v>
      </c>
      <c r="C489" s="1059" t="s">
        <v>2</v>
      </c>
      <c r="D489" s="1061">
        <v>7554.8</v>
      </c>
    </row>
    <row r="490" spans="1:4" ht="18" customHeight="1" x14ac:dyDescent="0.25">
      <c r="A490" s="1059">
        <v>605816</v>
      </c>
      <c r="B490" s="1060" t="s">
        <v>22148</v>
      </c>
      <c r="C490" s="1059" t="s">
        <v>2</v>
      </c>
      <c r="D490" s="1061">
        <v>9473.06</v>
      </c>
    </row>
    <row r="491" spans="1:4" ht="18" customHeight="1" x14ac:dyDescent="0.25">
      <c r="A491" s="1059">
        <v>605545</v>
      </c>
      <c r="B491" s="1060" t="s">
        <v>22149</v>
      </c>
      <c r="C491" s="1059" t="s">
        <v>2</v>
      </c>
      <c r="D491" s="1061">
        <v>8539.9</v>
      </c>
    </row>
    <row r="492" spans="1:4" ht="18" customHeight="1" x14ac:dyDescent="0.25">
      <c r="A492" s="1059">
        <v>605837</v>
      </c>
      <c r="B492" s="1060" t="s">
        <v>22150</v>
      </c>
      <c r="C492" s="1059" t="s">
        <v>2</v>
      </c>
      <c r="D492" s="1061">
        <v>9793.7000000000007</v>
      </c>
    </row>
    <row r="493" spans="1:4" ht="18" customHeight="1" x14ac:dyDescent="0.25">
      <c r="A493" s="1059">
        <v>605573</v>
      </c>
      <c r="B493" s="1060" t="s">
        <v>22151</v>
      </c>
      <c r="C493" s="1059" t="s">
        <v>2</v>
      </c>
      <c r="D493" s="1061">
        <v>8866.7999999999993</v>
      </c>
    </row>
    <row r="494" spans="1:4" ht="18" customHeight="1" x14ac:dyDescent="0.25">
      <c r="A494" s="1059">
        <v>605852</v>
      </c>
      <c r="B494" s="1060" t="s">
        <v>22152</v>
      </c>
      <c r="C494" s="1059" t="s">
        <v>2</v>
      </c>
      <c r="D494" s="1061">
        <v>10503.79</v>
      </c>
    </row>
    <row r="495" spans="1:4" ht="18" customHeight="1" x14ac:dyDescent="0.25">
      <c r="A495" s="1059">
        <v>605584</v>
      </c>
      <c r="B495" s="1060" t="s">
        <v>22153</v>
      </c>
      <c r="C495" s="1059" t="s">
        <v>2</v>
      </c>
      <c r="D495" s="1061">
        <v>9576.89</v>
      </c>
    </row>
    <row r="496" spans="1:4" ht="18" customHeight="1" x14ac:dyDescent="0.25">
      <c r="A496" s="1059">
        <v>605891</v>
      </c>
      <c r="B496" s="1060" t="s">
        <v>22154</v>
      </c>
      <c r="C496" s="1059" t="s">
        <v>2</v>
      </c>
      <c r="D496" s="1061">
        <v>11750.56</v>
      </c>
    </row>
    <row r="497" spans="1:4" ht="18" customHeight="1" x14ac:dyDescent="0.25">
      <c r="A497" s="1059">
        <v>605595</v>
      </c>
      <c r="B497" s="1060" t="s">
        <v>22155</v>
      </c>
      <c r="C497" s="1059" t="s">
        <v>2</v>
      </c>
      <c r="D497" s="1061">
        <v>10823.65</v>
      </c>
    </row>
    <row r="498" spans="1:4" ht="18" customHeight="1" x14ac:dyDescent="0.25">
      <c r="A498" s="1059">
        <v>605741</v>
      </c>
      <c r="B498" s="1060" t="s">
        <v>22156</v>
      </c>
      <c r="C498" s="1059" t="s">
        <v>2</v>
      </c>
      <c r="D498" s="1061">
        <v>9460.94</v>
      </c>
    </row>
    <row r="499" spans="1:4" ht="18" customHeight="1" x14ac:dyDescent="0.25">
      <c r="A499" s="1059">
        <v>605506</v>
      </c>
      <c r="B499" s="1060" t="s">
        <v>22157</v>
      </c>
      <c r="C499" s="1059" t="s">
        <v>2</v>
      </c>
      <c r="D499" s="1061">
        <v>8460.2199999999993</v>
      </c>
    </row>
    <row r="500" spans="1:4" ht="18" customHeight="1" x14ac:dyDescent="0.25">
      <c r="A500" s="1059">
        <v>605783</v>
      </c>
      <c r="B500" s="1060" t="s">
        <v>22158</v>
      </c>
      <c r="C500" s="1059" t="s">
        <v>2</v>
      </c>
      <c r="D500" s="1061">
        <v>10171.030000000001</v>
      </c>
    </row>
    <row r="501" spans="1:4" ht="18" customHeight="1" x14ac:dyDescent="0.25">
      <c r="A501" s="1059">
        <v>605526</v>
      </c>
      <c r="B501" s="1060" t="s">
        <v>22159</v>
      </c>
      <c r="C501" s="1059" t="s">
        <v>2</v>
      </c>
      <c r="D501" s="1061">
        <v>9170.31</v>
      </c>
    </row>
    <row r="502" spans="1:4" ht="18" customHeight="1" x14ac:dyDescent="0.25">
      <c r="A502" s="1059">
        <v>605817</v>
      </c>
      <c r="B502" s="1060" t="s">
        <v>22160</v>
      </c>
      <c r="C502" s="1059" t="s">
        <v>2</v>
      </c>
      <c r="D502" s="1061">
        <v>11417.8</v>
      </c>
    </row>
    <row r="503" spans="1:4" ht="18" customHeight="1" x14ac:dyDescent="0.25">
      <c r="A503" s="1059">
        <v>605546</v>
      </c>
      <c r="B503" s="1060" t="s">
        <v>22161</v>
      </c>
      <c r="C503" s="1059" t="s">
        <v>2</v>
      </c>
      <c r="D503" s="1061">
        <v>10417.08</v>
      </c>
    </row>
    <row r="504" spans="1:4" ht="18" customHeight="1" x14ac:dyDescent="0.25">
      <c r="A504" s="1059">
        <v>605838</v>
      </c>
      <c r="B504" s="1060" t="s">
        <v>22162</v>
      </c>
      <c r="C504" s="1059" t="s">
        <v>2</v>
      </c>
      <c r="D504" s="1061">
        <v>11148.56</v>
      </c>
    </row>
    <row r="505" spans="1:4" ht="18" customHeight="1" x14ac:dyDescent="0.25">
      <c r="A505" s="1059">
        <v>605574</v>
      </c>
      <c r="B505" s="1060" t="s">
        <v>22163</v>
      </c>
      <c r="C505" s="1059" t="s">
        <v>2</v>
      </c>
      <c r="D505" s="1061">
        <v>10078.870000000001</v>
      </c>
    </row>
    <row r="506" spans="1:4" ht="18" customHeight="1" x14ac:dyDescent="0.25">
      <c r="A506" s="1059">
        <v>605853</v>
      </c>
      <c r="B506" s="1060" t="s">
        <v>22164</v>
      </c>
      <c r="C506" s="1059" t="s">
        <v>2</v>
      </c>
      <c r="D506" s="1061">
        <v>12025.21</v>
      </c>
    </row>
    <row r="507" spans="1:4" ht="18" customHeight="1" x14ac:dyDescent="0.25">
      <c r="A507" s="1059">
        <v>605585</v>
      </c>
      <c r="B507" s="1060" t="s">
        <v>22165</v>
      </c>
      <c r="C507" s="1059" t="s">
        <v>2</v>
      </c>
      <c r="D507" s="1061">
        <v>10955.52</v>
      </c>
    </row>
    <row r="508" spans="1:4" ht="18" customHeight="1" x14ac:dyDescent="0.25">
      <c r="A508" s="1059">
        <v>605892</v>
      </c>
      <c r="B508" s="1060" t="s">
        <v>22166</v>
      </c>
      <c r="C508" s="1059" t="s">
        <v>2</v>
      </c>
      <c r="D508" s="1061">
        <v>13564.43</v>
      </c>
    </row>
    <row r="509" spans="1:4" ht="18" customHeight="1" x14ac:dyDescent="0.25">
      <c r="A509" s="1059">
        <v>605596</v>
      </c>
      <c r="B509" s="1060" t="s">
        <v>22167</v>
      </c>
      <c r="C509" s="1059" t="s">
        <v>2</v>
      </c>
      <c r="D509" s="1061">
        <v>12494.74</v>
      </c>
    </row>
    <row r="510" spans="1:4" ht="18" customHeight="1" x14ac:dyDescent="0.25">
      <c r="A510" s="1059">
        <v>605742</v>
      </c>
      <c r="B510" s="1060" t="s">
        <v>22168</v>
      </c>
      <c r="C510" s="1059" t="s">
        <v>2</v>
      </c>
      <c r="D510" s="1061">
        <v>10768.57</v>
      </c>
    </row>
    <row r="511" spans="1:4" ht="18" customHeight="1" x14ac:dyDescent="0.25">
      <c r="A511" s="1059">
        <v>605507</v>
      </c>
      <c r="B511" s="1060" t="s">
        <v>22169</v>
      </c>
      <c r="C511" s="1059" t="s">
        <v>2</v>
      </c>
      <c r="D511" s="1061">
        <v>9615.57</v>
      </c>
    </row>
    <row r="512" spans="1:4" ht="18" customHeight="1" x14ac:dyDescent="0.25">
      <c r="A512" s="1059">
        <v>605784</v>
      </c>
      <c r="B512" s="1060" t="s">
        <v>22170</v>
      </c>
      <c r="C512" s="1059" t="s">
        <v>2</v>
      </c>
      <c r="D512" s="1061">
        <v>11645.22</v>
      </c>
    </row>
    <row r="513" spans="1:4" ht="18" customHeight="1" x14ac:dyDescent="0.25">
      <c r="A513" s="1059">
        <v>605527</v>
      </c>
      <c r="B513" s="1060" t="s">
        <v>22171</v>
      </c>
      <c r="C513" s="1059" t="s">
        <v>2</v>
      </c>
      <c r="D513" s="1061">
        <v>10492.22</v>
      </c>
    </row>
    <row r="514" spans="1:4" ht="18" customHeight="1" x14ac:dyDescent="0.25">
      <c r="A514" s="1059">
        <v>605818</v>
      </c>
      <c r="B514" s="1060" t="s">
        <v>22172</v>
      </c>
      <c r="C514" s="1059" t="s">
        <v>2</v>
      </c>
      <c r="D514" s="1061">
        <v>13184.44</v>
      </c>
    </row>
    <row r="515" spans="1:4" ht="18" customHeight="1" x14ac:dyDescent="0.25">
      <c r="A515" s="1059">
        <v>605547</v>
      </c>
      <c r="B515" s="1060" t="s">
        <v>22173</v>
      </c>
      <c r="C515" s="1059" t="s">
        <v>2</v>
      </c>
      <c r="D515" s="1061">
        <v>12031.44</v>
      </c>
    </row>
    <row r="516" spans="1:4" ht="18" customHeight="1" x14ac:dyDescent="0.25">
      <c r="A516" s="1059">
        <v>605839</v>
      </c>
      <c r="B516" s="1060" t="s">
        <v>22174</v>
      </c>
      <c r="C516" s="1059" t="s">
        <v>2</v>
      </c>
      <c r="D516" s="1061">
        <v>12570.92</v>
      </c>
    </row>
    <row r="517" spans="1:4" ht="18" customHeight="1" x14ac:dyDescent="0.25">
      <c r="A517" s="1059">
        <v>605575</v>
      </c>
      <c r="B517" s="1060" t="s">
        <v>22175</v>
      </c>
      <c r="C517" s="1059" t="s">
        <v>2</v>
      </c>
      <c r="D517" s="1061">
        <v>11394.84</v>
      </c>
    </row>
    <row r="518" spans="1:4" ht="18" customHeight="1" x14ac:dyDescent="0.25">
      <c r="A518" s="1059">
        <v>605854</v>
      </c>
      <c r="B518" s="1060" t="s">
        <v>22176</v>
      </c>
      <c r="C518" s="1059" t="s">
        <v>2</v>
      </c>
      <c r="D518" s="1061">
        <v>13631.67</v>
      </c>
    </row>
    <row r="519" spans="1:4" ht="18" customHeight="1" x14ac:dyDescent="0.25">
      <c r="A519" s="1059">
        <v>605586</v>
      </c>
      <c r="B519" s="1060" t="s">
        <v>22177</v>
      </c>
      <c r="C519" s="1059" t="s">
        <v>2</v>
      </c>
      <c r="D519" s="1061">
        <v>12455.59</v>
      </c>
    </row>
    <row r="520" spans="1:4" ht="18" customHeight="1" x14ac:dyDescent="0.25">
      <c r="A520" s="1059">
        <v>605893</v>
      </c>
      <c r="B520" s="1060" t="s">
        <v>22178</v>
      </c>
      <c r="C520" s="1059" t="s">
        <v>2</v>
      </c>
      <c r="D520" s="1061">
        <v>15494.13</v>
      </c>
    </row>
    <row r="521" spans="1:4" ht="18" customHeight="1" x14ac:dyDescent="0.25">
      <c r="A521" s="1059">
        <v>605597</v>
      </c>
      <c r="B521" s="1060" t="s">
        <v>22179</v>
      </c>
      <c r="C521" s="1059" t="s">
        <v>2</v>
      </c>
      <c r="D521" s="1061">
        <v>14318.05</v>
      </c>
    </row>
    <row r="522" spans="1:4" ht="18" customHeight="1" x14ac:dyDescent="0.25">
      <c r="A522" s="1059">
        <v>605743</v>
      </c>
      <c r="B522" s="1060" t="s">
        <v>22180</v>
      </c>
      <c r="C522" s="1059" t="s">
        <v>2</v>
      </c>
      <c r="D522" s="1061">
        <v>12152.3</v>
      </c>
    </row>
    <row r="523" spans="1:4" ht="18" customHeight="1" x14ac:dyDescent="0.25">
      <c r="A523" s="1059">
        <v>605508</v>
      </c>
      <c r="B523" s="1060" t="s">
        <v>22181</v>
      </c>
      <c r="C523" s="1059" t="s">
        <v>2</v>
      </c>
      <c r="D523" s="1061">
        <v>10884.27</v>
      </c>
    </row>
    <row r="524" spans="1:4" ht="18" customHeight="1" x14ac:dyDescent="0.25">
      <c r="A524" s="1059">
        <v>605785</v>
      </c>
      <c r="B524" s="1060" t="s">
        <v>22182</v>
      </c>
      <c r="C524" s="1059" t="s">
        <v>2</v>
      </c>
      <c r="D524" s="1061">
        <v>13213.05</v>
      </c>
    </row>
    <row r="525" spans="1:4" ht="18" customHeight="1" x14ac:dyDescent="0.25">
      <c r="A525" s="1059">
        <v>605528</v>
      </c>
      <c r="B525" s="1060" t="s">
        <v>22183</v>
      </c>
      <c r="C525" s="1059" t="s">
        <v>2</v>
      </c>
      <c r="D525" s="1061">
        <v>11945.02</v>
      </c>
    </row>
    <row r="526" spans="1:4" ht="18" customHeight="1" x14ac:dyDescent="0.25">
      <c r="A526" s="1059">
        <v>605819</v>
      </c>
      <c r="B526" s="1060" t="s">
        <v>22184</v>
      </c>
      <c r="C526" s="1059" t="s">
        <v>2</v>
      </c>
      <c r="D526" s="1061">
        <v>15075.51</v>
      </c>
    </row>
    <row r="527" spans="1:4" ht="18" customHeight="1" x14ac:dyDescent="0.25">
      <c r="A527" s="1059">
        <v>605548</v>
      </c>
      <c r="B527" s="1060" t="s">
        <v>22185</v>
      </c>
      <c r="C527" s="1059" t="s">
        <v>2</v>
      </c>
      <c r="D527" s="1061">
        <v>13807.48</v>
      </c>
    </row>
    <row r="528" spans="1:4" ht="18" customHeight="1" x14ac:dyDescent="0.25">
      <c r="A528" s="1059">
        <v>605840</v>
      </c>
      <c r="B528" s="1060" t="s">
        <v>22186</v>
      </c>
      <c r="C528" s="1059" t="s">
        <v>2</v>
      </c>
      <c r="D528" s="1061">
        <v>16266.08</v>
      </c>
    </row>
    <row r="529" spans="1:4" ht="18" customHeight="1" x14ac:dyDescent="0.25">
      <c r="A529" s="1059">
        <v>605576</v>
      </c>
      <c r="B529" s="1060" t="s">
        <v>22187</v>
      </c>
      <c r="C529" s="1059" t="s">
        <v>2</v>
      </c>
      <c r="D529" s="1061">
        <v>12880.84</v>
      </c>
    </row>
    <row r="530" spans="1:4" ht="18" customHeight="1" x14ac:dyDescent="0.25">
      <c r="A530" s="1059">
        <v>605855</v>
      </c>
      <c r="B530" s="1060" t="s">
        <v>22188</v>
      </c>
      <c r="C530" s="1059" t="s">
        <v>2</v>
      </c>
      <c r="D530" s="1061">
        <v>17528.46</v>
      </c>
    </row>
    <row r="531" spans="1:4" ht="18" customHeight="1" x14ac:dyDescent="0.25">
      <c r="A531" s="1059">
        <v>605587</v>
      </c>
      <c r="B531" s="1060" t="s">
        <v>22189</v>
      </c>
      <c r="C531" s="1059" t="s">
        <v>2</v>
      </c>
      <c r="D531" s="1061">
        <v>14143.22</v>
      </c>
    </row>
    <row r="532" spans="1:4" ht="18" customHeight="1" x14ac:dyDescent="0.25">
      <c r="A532" s="1059">
        <v>605898</v>
      </c>
      <c r="B532" s="1060" t="s">
        <v>22190</v>
      </c>
      <c r="C532" s="1059" t="s">
        <v>2</v>
      </c>
      <c r="D532" s="1061">
        <v>19744.939999999999</v>
      </c>
    </row>
    <row r="533" spans="1:4" ht="18" customHeight="1" x14ac:dyDescent="0.25">
      <c r="A533" s="1059">
        <v>605598</v>
      </c>
      <c r="B533" s="1060" t="s">
        <v>22191</v>
      </c>
      <c r="C533" s="1059" t="s">
        <v>2</v>
      </c>
      <c r="D533" s="1061">
        <v>16359.7</v>
      </c>
    </row>
    <row r="534" spans="1:4" ht="18" customHeight="1" x14ac:dyDescent="0.25">
      <c r="A534" s="1059">
        <v>605744</v>
      </c>
      <c r="B534" s="1060" t="s">
        <v>22192</v>
      </c>
      <c r="C534" s="1059" t="s">
        <v>2</v>
      </c>
      <c r="D534" s="1061">
        <v>15383.95</v>
      </c>
    </row>
    <row r="535" spans="1:4" ht="18" customHeight="1" x14ac:dyDescent="0.25">
      <c r="A535" s="1059">
        <v>605509</v>
      </c>
      <c r="B535" s="1060" t="s">
        <v>22193</v>
      </c>
      <c r="C535" s="1059" t="s">
        <v>2</v>
      </c>
      <c r="D535" s="1061">
        <v>12316.68</v>
      </c>
    </row>
    <row r="536" spans="1:4" ht="18" customHeight="1" x14ac:dyDescent="0.25">
      <c r="A536" s="1059">
        <v>605787</v>
      </c>
      <c r="B536" s="1060" t="s">
        <v>22194</v>
      </c>
      <c r="C536" s="1059" t="s">
        <v>2</v>
      </c>
      <c r="D536" s="1061">
        <v>16646.330000000002</v>
      </c>
    </row>
    <row r="537" spans="1:4" ht="18" customHeight="1" x14ac:dyDescent="0.25">
      <c r="A537" s="1059">
        <v>605529</v>
      </c>
      <c r="B537" s="1060" t="s">
        <v>22195</v>
      </c>
      <c r="C537" s="1059" t="s">
        <v>2</v>
      </c>
      <c r="D537" s="1061">
        <v>13579.06</v>
      </c>
    </row>
    <row r="538" spans="1:4" ht="18" customHeight="1" x14ac:dyDescent="0.25">
      <c r="A538" s="1059">
        <v>605820</v>
      </c>
      <c r="B538" s="1060" t="s">
        <v>22196</v>
      </c>
      <c r="C538" s="1059" t="s">
        <v>2</v>
      </c>
      <c r="D538" s="1061">
        <v>18862.810000000001</v>
      </c>
    </row>
    <row r="539" spans="1:4" ht="18" customHeight="1" x14ac:dyDescent="0.25">
      <c r="A539" s="1059">
        <v>605549</v>
      </c>
      <c r="B539" s="1060" t="s">
        <v>22197</v>
      </c>
      <c r="C539" s="1059" t="s">
        <v>2</v>
      </c>
      <c r="D539" s="1061">
        <v>15795.54</v>
      </c>
    </row>
    <row r="540" spans="1:4" ht="18" customHeight="1" x14ac:dyDescent="0.25">
      <c r="A540" s="1059">
        <v>605841</v>
      </c>
      <c r="B540" s="1060" t="s">
        <v>22198</v>
      </c>
      <c r="C540" s="1059" t="s">
        <v>2</v>
      </c>
      <c r="D540" s="1061">
        <v>17781.330000000002</v>
      </c>
    </row>
    <row r="541" spans="1:4" ht="18" customHeight="1" x14ac:dyDescent="0.25">
      <c r="A541" s="1059">
        <v>605577</v>
      </c>
      <c r="B541" s="1060" t="s">
        <v>22199</v>
      </c>
      <c r="C541" s="1059" t="s">
        <v>2</v>
      </c>
      <c r="D541" s="1061">
        <v>14081.71</v>
      </c>
    </row>
    <row r="542" spans="1:4" ht="18" customHeight="1" x14ac:dyDescent="0.25">
      <c r="A542" s="1059">
        <v>605856</v>
      </c>
      <c r="B542" s="1060" t="s">
        <v>22200</v>
      </c>
      <c r="C542" s="1059" t="s">
        <v>2</v>
      </c>
      <c r="D542" s="1061">
        <v>19262.87</v>
      </c>
    </row>
    <row r="543" spans="1:4" ht="18" customHeight="1" x14ac:dyDescent="0.25">
      <c r="A543" s="1059">
        <v>605588</v>
      </c>
      <c r="B543" s="1060" t="s">
        <v>22201</v>
      </c>
      <c r="C543" s="1059" t="s">
        <v>2</v>
      </c>
      <c r="D543" s="1061">
        <v>15563.26</v>
      </c>
    </row>
    <row r="544" spans="1:4" ht="18" customHeight="1" x14ac:dyDescent="0.25">
      <c r="A544" s="1059">
        <v>605899</v>
      </c>
      <c r="B544" s="1060" t="s">
        <v>22202</v>
      </c>
      <c r="C544" s="1059" t="s">
        <v>2</v>
      </c>
      <c r="D544" s="1061">
        <v>21864.15</v>
      </c>
    </row>
    <row r="545" spans="1:4" ht="18" customHeight="1" x14ac:dyDescent="0.25">
      <c r="A545" s="1059">
        <v>605599</v>
      </c>
      <c r="B545" s="1060" t="s">
        <v>22203</v>
      </c>
      <c r="C545" s="1059" t="s">
        <v>2</v>
      </c>
      <c r="D545" s="1061">
        <v>18164.54</v>
      </c>
    </row>
    <row r="546" spans="1:4" ht="18" customHeight="1" x14ac:dyDescent="0.25">
      <c r="A546" s="1059">
        <v>605745</v>
      </c>
      <c r="B546" s="1060" t="s">
        <v>22204</v>
      </c>
      <c r="C546" s="1059" t="s">
        <v>2</v>
      </c>
      <c r="D546" s="1061">
        <v>16826.509999999998</v>
      </c>
    </row>
    <row r="547" spans="1:4" ht="18" customHeight="1" x14ac:dyDescent="0.25">
      <c r="A547" s="1059">
        <v>605510</v>
      </c>
      <c r="B547" s="1060" t="s">
        <v>22205</v>
      </c>
      <c r="C547" s="1059" t="s">
        <v>2</v>
      </c>
      <c r="D547" s="1061">
        <v>13473.45</v>
      </c>
    </row>
    <row r="548" spans="1:4" ht="18" customHeight="1" x14ac:dyDescent="0.25">
      <c r="A548" s="1059">
        <v>605788</v>
      </c>
      <c r="B548" s="1060" t="s">
        <v>22206</v>
      </c>
      <c r="C548" s="1059" t="s">
        <v>2</v>
      </c>
      <c r="D548" s="1061">
        <v>18308.05</v>
      </c>
    </row>
    <row r="549" spans="1:4" ht="18" customHeight="1" x14ac:dyDescent="0.25">
      <c r="A549" s="1059">
        <v>605530</v>
      </c>
      <c r="B549" s="1060" t="s">
        <v>22207</v>
      </c>
      <c r="C549" s="1059" t="s">
        <v>2</v>
      </c>
      <c r="D549" s="1061">
        <v>14954.99</v>
      </c>
    </row>
    <row r="550" spans="1:4" ht="18" customHeight="1" x14ac:dyDescent="0.25">
      <c r="A550" s="1059">
        <v>605821</v>
      </c>
      <c r="B550" s="1060" t="s">
        <v>22208</v>
      </c>
      <c r="C550" s="1059" t="s">
        <v>2</v>
      </c>
      <c r="D550" s="1061">
        <v>20909.34</v>
      </c>
    </row>
    <row r="551" spans="1:4" ht="18" customHeight="1" x14ac:dyDescent="0.25">
      <c r="A551" s="1059">
        <v>605550</v>
      </c>
      <c r="B551" s="1060" t="s">
        <v>22209</v>
      </c>
      <c r="C551" s="1059" t="s">
        <v>2</v>
      </c>
      <c r="D551" s="1061">
        <v>17556.27</v>
      </c>
    </row>
    <row r="552" spans="1:4" ht="18" customHeight="1" x14ac:dyDescent="0.25">
      <c r="A552" s="1059">
        <v>605842</v>
      </c>
      <c r="B552" s="1060" t="s">
        <v>22210</v>
      </c>
      <c r="C552" s="1059" t="s">
        <v>2</v>
      </c>
      <c r="D552" s="1061">
        <v>19662.98</v>
      </c>
    </row>
    <row r="553" spans="1:4" ht="18" customHeight="1" x14ac:dyDescent="0.25">
      <c r="A553" s="1059">
        <v>605578</v>
      </c>
      <c r="B553" s="1060" t="s">
        <v>22211</v>
      </c>
      <c r="C553" s="1059" t="s">
        <v>2</v>
      </c>
      <c r="D553" s="1061">
        <v>15613.23</v>
      </c>
    </row>
    <row r="554" spans="1:4" ht="18" customHeight="1" x14ac:dyDescent="0.25">
      <c r="A554" s="1059">
        <v>605857</v>
      </c>
      <c r="B554" s="1060" t="s">
        <v>22212</v>
      </c>
      <c r="C554" s="1059" t="s">
        <v>2</v>
      </c>
      <c r="D554" s="1061">
        <v>21381.22</v>
      </c>
    </row>
    <row r="555" spans="1:4" ht="18" customHeight="1" x14ac:dyDescent="0.25">
      <c r="A555" s="1059">
        <v>605589</v>
      </c>
      <c r="B555" s="1060" t="s">
        <v>22213</v>
      </c>
      <c r="C555" s="1059" t="s">
        <v>2</v>
      </c>
      <c r="D555" s="1061">
        <v>17331.46</v>
      </c>
    </row>
    <row r="556" spans="1:4" ht="18" customHeight="1" x14ac:dyDescent="0.25">
      <c r="A556" s="1059">
        <v>605900</v>
      </c>
      <c r="B556" s="1060" t="s">
        <v>22214</v>
      </c>
      <c r="C556" s="1059" t="s">
        <v>2</v>
      </c>
      <c r="D556" s="1061">
        <v>24398.09</v>
      </c>
    </row>
    <row r="557" spans="1:4" ht="18" customHeight="1" x14ac:dyDescent="0.25">
      <c r="A557" s="1059">
        <v>605600</v>
      </c>
      <c r="B557" s="1060" t="s">
        <v>22215</v>
      </c>
      <c r="C557" s="1059" t="s">
        <v>2</v>
      </c>
      <c r="D557" s="1061">
        <v>20348.34</v>
      </c>
    </row>
    <row r="558" spans="1:4" ht="18" customHeight="1" x14ac:dyDescent="0.25">
      <c r="A558" s="1059">
        <v>605746</v>
      </c>
      <c r="B558" s="1060" t="s">
        <v>22216</v>
      </c>
      <c r="C558" s="1059" t="s">
        <v>2</v>
      </c>
      <c r="D558" s="1061">
        <v>18622.27</v>
      </c>
    </row>
    <row r="559" spans="1:4" ht="18" customHeight="1" x14ac:dyDescent="0.25">
      <c r="A559" s="1059">
        <v>605511</v>
      </c>
      <c r="B559" s="1060" t="s">
        <v>22217</v>
      </c>
      <c r="C559" s="1059" t="s">
        <v>2</v>
      </c>
      <c r="D559" s="1061">
        <v>14951.38</v>
      </c>
    </row>
    <row r="560" spans="1:4" ht="18" customHeight="1" x14ac:dyDescent="0.25">
      <c r="A560" s="1059">
        <v>605789</v>
      </c>
      <c r="B560" s="1060" t="s">
        <v>22218</v>
      </c>
      <c r="C560" s="1059" t="s">
        <v>2</v>
      </c>
      <c r="D560" s="1061">
        <v>20340.509999999998</v>
      </c>
    </row>
    <row r="561" spans="1:4" ht="18" customHeight="1" x14ac:dyDescent="0.25">
      <c r="A561" s="1059">
        <v>605531</v>
      </c>
      <c r="B561" s="1060" t="s">
        <v>22219</v>
      </c>
      <c r="C561" s="1059" t="s">
        <v>2</v>
      </c>
      <c r="D561" s="1061">
        <v>16669.61</v>
      </c>
    </row>
    <row r="562" spans="1:4" ht="18" customHeight="1" x14ac:dyDescent="0.25">
      <c r="A562" s="1059">
        <v>605822</v>
      </c>
      <c r="B562" s="1060" t="s">
        <v>22220</v>
      </c>
      <c r="C562" s="1059" t="s">
        <v>2</v>
      </c>
      <c r="D562" s="1061">
        <v>23357.38</v>
      </c>
    </row>
    <row r="563" spans="1:4" ht="18" customHeight="1" x14ac:dyDescent="0.25">
      <c r="A563" s="1059">
        <v>605551</v>
      </c>
      <c r="B563" s="1060" t="s">
        <v>22221</v>
      </c>
      <c r="C563" s="1059" t="s">
        <v>2</v>
      </c>
      <c r="D563" s="1061">
        <v>19686.490000000002</v>
      </c>
    </row>
    <row r="564" spans="1:4" ht="18" customHeight="1" x14ac:dyDescent="0.25">
      <c r="A564" s="1059">
        <v>605843</v>
      </c>
      <c r="B564" s="1060" t="s">
        <v>22222</v>
      </c>
      <c r="C564" s="1059" t="s">
        <v>2</v>
      </c>
      <c r="D564" s="1061">
        <v>21172.52</v>
      </c>
    </row>
    <row r="565" spans="1:4" ht="18" customHeight="1" x14ac:dyDescent="0.25">
      <c r="A565" s="1059">
        <v>605579</v>
      </c>
      <c r="B565" s="1060" t="s">
        <v>22223</v>
      </c>
      <c r="C565" s="1059" t="s">
        <v>2</v>
      </c>
      <c r="D565" s="1061">
        <v>16855.599999999999</v>
      </c>
    </row>
    <row r="566" spans="1:4" ht="18" customHeight="1" x14ac:dyDescent="0.25">
      <c r="A566" s="1059">
        <v>605858</v>
      </c>
      <c r="B566" s="1060" t="s">
        <v>22224</v>
      </c>
      <c r="C566" s="1059" t="s">
        <v>2</v>
      </c>
      <c r="D566" s="1061">
        <v>23144.98</v>
      </c>
    </row>
    <row r="567" spans="1:4" ht="18" customHeight="1" x14ac:dyDescent="0.25">
      <c r="A567" s="1059">
        <v>605590</v>
      </c>
      <c r="B567" s="1060" t="s">
        <v>22225</v>
      </c>
      <c r="C567" s="1059" t="s">
        <v>2</v>
      </c>
      <c r="D567" s="1061">
        <v>18828.060000000001</v>
      </c>
    </row>
    <row r="568" spans="1:4" ht="18" customHeight="1" x14ac:dyDescent="0.25">
      <c r="A568" s="1059">
        <v>605901</v>
      </c>
      <c r="B568" s="1060" t="s">
        <v>22226</v>
      </c>
      <c r="C568" s="1059" t="s">
        <v>2</v>
      </c>
      <c r="D568" s="1061">
        <v>26608.23</v>
      </c>
    </row>
    <row r="569" spans="1:4" ht="18" customHeight="1" x14ac:dyDescent="0.25">
      <c r="A569" s="1059">
        <v>605601</v>
      </c>
      <c r="B569" s="1060" t="s">
        <v>22227</v>
      </c>
      <c r="C569" s="1059" t="s">
        <v>2</v>
      </c>
      <c r="D569" s="1061">
        <v>22291.31</v>
      </c>
    </row>
    <row r="570" spans="1:4" ht="18" customHeight="1" x14ac:dyDescent="0.25">
      <c r="A570" s="1059">
        <v>605747</v>
      </c>
      <c r="B570" s="1060" t="s">
        <v>22228</v>
      </c>
      <c r="C570" s="1059" t="s">
        <v>2</v>
      </c>
      <c r="D570" s="1061">
        <v>20059.12</v>
      </c>
    </row>
    <row r="571" spans="1:4" ht="18" customHeight="1" x14ac:dyDescent="0.25">
      <c r="A571" s="1059">
        <v>605512</v>
      </c>
      <c r="B571" s="1060" t="s">
        <v>22229</v>
      </c>
      <c r="C571" s="1059" t="s">
        <v>2</v>
      </c>
      <c r="D571" s="1061">
        <v>16146.47</v>
      </c>
    </row>
    <row r="572" spans="1:4" ht="18" customHeight="1" x14ac:dyDescent="0.25">
      <c r="A572" s="1059">
        <v>605790</v>
      </c>
      <c r="B572" s="1060" t="s">
        <v>22230</v>
      </c>
      <c r="C572" s="1059" t="s">
        <v>2</v>
      </c>
      <c r="D572" s="1061">
        <v>22031.58</v>
      </c>
    </row>
    <row r="573" spans="1:4" ht="18" customHeight="1" x14ac:dyDescent="0.25">
      <c r="A573" s="1059">
        <v>605532</v>
      </c>
      <c r="B573" s="1060" t="s">
        <v>22231</v>
      </c>
      <c r="C573" s="1059" t="s">
        <v>2</v>
      </c>
      <c r="D573" s="1061">
        <v>18118.93</v>
      </c>
    </row>
    <row r="574" spans="1:4" ht="18" customHeight="1" x14ac:dyDescent="0.25">
      <c r="A574" s="1059">
        <v>605823</v>
      </c>
      <c r="B574" s="1060" t="s">
        <v>22232</v>
      </c>
      <c r="C574" s="1059" t="s">
        <v>2</v>
      </c>
      <c r="D574" s="1061">
        <v>25494.83</v>
      </c>
    </row>
    <row r="575" spans="1:4" ht="18" customHeight="1" x14ac:dyDescent="0.25">
      <c r="A575" s="1059">
        <v>605552</v>
      </c>
      <c r="B575" s="1060" t="s">
        <v>22233</v>
      </c>
      <c r="C575" s="1059" t="s">
        <v>2</v>
      </c>
      <c r="D575" s="1061">
        <v>21582.18</v>
      </c>
    </row>
    <row r="576" spans="1:4" ht="18" customHeight="1" x14ac:dyDescent="0.25">
      <c r="A576" s="1059">
        <v>605844</v>
      </c>
      <c r="B576" s="1060" t="s">
        <v>22234</v>
      </c>
      <c r="C576" s="1059" t="s">
        <v>2</v>
      </c>
      <c r="D576" s="1061">
        <v>23120.38</v>
      </c>
    </row>
    <row r="577" spans="1:4" ht="18" customHeight="1" x14ac:dyDescent="0.25">
      <c r="A577" s="1059">
        <v>605580</v>
      </c>
      <c r="B577" s="1060" t="s">
        <v>22235</v>
      </c>
      <c r="C577" s="1059" t="s">
        <v>2</v>
      </c>
      <c r="D577" s="1061">
        <v>18500.669999999998</v>
      </c>
    </row>
    <row r="578" spans="1:4" ht="18" customHeight="1" x14ac:dyDescent="0.25">
      <c r="A578" s="1059">
        <v>605887</v>
      </c>
      <c r="B578" s="1060" t="s">
        <v>22236</v>
      </c>
      <c r="C578" s="1059" t="s">
        <v>2</v>
      </c>
      <c r="D578" s="1061">
        <v>25364.61</v>
      </c>
    </row>
    <row r="579" spans="1:4" ht="18" customHeight="1" x14ac:dyDescent="0.25">
      <c r="A579" s="1059">
        <v>605591</v>
      </c>
      <c r="B579" s="1060" t="s">
        <v>22237</v>
      </c>
      <c r="C579" s="1059" t="s">
        <v>2</v>
      </c>
      <c r="D579" s="1061">
        <v>20744.900000000001</v>
      </c>
    </row>
    <row r="580" spans="1:4" ht="18" customHeight="1" x14ac:dyDescent="0.25">
      <c r="A580" s="1059">
        <v>605902</v>
      </c>
      <c r="B580" s="1060" t="s">
        <v>22238</v>
      </c>
      <c r="C580" s="1059" t="s">
        <v>2</v>
      </c>
      <c r="D580" s="1061">
        <v>29305.02</v>
      </c>
    </row>
    <row r="581" spans="1:4" ht="18" customHeight="1" x14ac:dyDescent="0.25">
      <c r="A581" s="1059">
        <v>605602</v>
      </c>
      <c r="B581" s="1060" t="s">
        <v>22239</v>
      </c>
      <c r="C581" s="1059" t="s">
        <v>2</v>
      </c>
      <c r="D581" s="1061">
        <v>24685.3</v>
      </c>
    </row>
    <row r="582" spans="1:4" ht="18" customHeight="1" x14ac:dyDescent="0.25">
      <c r="A582" s="1059">
        <v>605748</v>
      </c>
      <c r="B582" s="1060" t="s">
        <v>22240</v>
      </c>
      <c r="C582" s="1059" t="s">
        <v>2</v>
      </c>
      <c r="D582" s="1061">
        <v>21921.08</v>
      </c>
    </row>
    <row r="583" spans="1:4" ht="18" customHeight="1" x14ac:dyDescent="0.25">
      <c r="A583" s="1059">
        <v>605513</v>
      </c>
      <c r="B583" s="1060" t="s">
        <v>22241</v>
      </c>
      <c r="C583" s="1059" t="s">
        <v>2</v>
      </c>
      <c r="D583" s="1061">
        <v>17734.810000000001</v>
      </c>
    </row>
    <row r="584" spans="1:4" ht="18" customHeight="1" x14ac:dyDescent="0.25">
      <c r="A584" s="1059">
        <v>605804</v>
      </c>
      <c r="B584" s="1060" t="s">
        <v>22242</v>
      </c>
      <c r="C584" s="1059" t="s">
        <v>2</v>
      </c>
      <c r="D584" s="1061">
        <v>24165.31</v>
      </c>
    </row>
    <row r="585" spans="1:4" ht="18" customHeight="1" x14ac:dyDescent="0.25">
      <c r="A585" s="1059">
        <v>605533</v>
      </c>
      <c r="B585" s="1060" t="s">
        <v>22243</v>
      </c>
      <c r="C585" s="1059" t="s">
        <v>2</v>
      </c>
      <c r="D585" s="1061">
        <v>19979.04</v>
      </c>
    </row>
    <row r="586" spans="1:4" ht="18" customHeight="1" x14ac:dyDescent="0.25">
      <c r="A586" s="1059">
        <v>605824</v>
      </c>
      <c r="B586" s="1060" t="s">
        <v>22244</v>
      </c>
      <c r="C586" s="1059" t="s">
        <v>2</v>
      </c>
      <c r="D586" s="1061">
        <v>28105.72</v>
      </c>
    </row>
    <row r="587" spans="1:4" ht="18" customHeight="1" x14ac:dyDescent="0.25">
      <c r="A587" s="1059">
        <v>605553</v>
      </c>
      <c r="B587" s="1060" t="s">
        <v>22245</v>
      </c>
      <c r="C587" s="1059" t="s">
        <v>2</v>
      </c>
      <c r="D587" s="1061">
        <v>23919.439999999999</v>
      </c>
    </row>
    <row r="588" spans="1:4" ht="18" customHeight="1" x14ac:dyDescent="0.25">
      <c r="A588" s="1059">
        <v>605845</v>
      </c>
      <c r="B588" s="1060" t="s">
        <v>22246</v>
      </c>
      <c r="C588" s="1059" t="s">
        <v>2</v>
      </c>
      <c r="D588" s="1061">
        <v>25111.23</v>
      </c>
    </row>
    <row r="589" spans="1:4" ht="18" customHeight="1" x14ac:dyDescent="0.25">
      <c r="A589" s="1059">
        <v>605581</v>
      </c>
      <c r="B589" s="1060" t="s">
        <v>22247</v>
      </c>
      <c r="C589" s="1059" t="s">
        <v>2</v>
      </c>
      <c r="D589" s="1061">
        <v>22117.54</v>
      </c>
    </row>
    <row r="590" spans="1:4" ht="18" customHeight="1" x14ac:dyDescent="0.25">
      <c r="A590" s="1059">
        <v>605888</v>
      </c>
      <c r="B590" s="1060" t="s">
        <v>22248</v>
      </c>
      <c r="C590" s="1059" t="s">
        <v>2</v>
      </c>
      <c r="D590" s="1061">
        <v>27644.75</v>
      </c>
    </row>
    <row r="591" spans="1:4" ht="18" customHeight="1" x14ac:dyDescent="0.25">
      <c r="A591" s="1059">
        <v>605592</v>
      </c>
      <c r="B591" s="1060" t="s">
        <v>22249</v>
      </c>
      <c r="C591" s="1059" t="s">
        <v>2</v>
      </c>
      <c r="D591" s="1061">
        <v>24651.06</v>
      </c>
    </row>
    <row r="592" spans="1:4" ht="18" customHeight="1" x14ac:dyDescent="0.25">
      <c r="A592" s="1059">
        <v>605903</v>
      </c>
      <c r="B592" s="1060" t="s">
        <v>22250</v>
      </c>
      <c r="C592" s="1059" t="s">
        <v>2</v>
      </c>
      <c r="D592" s="1061">
        <v>32093.1</v>
      </c>
    </row>
    <row r="593" spans="1:4" ht="18" customHeight="1" x14ac:dyDescent="0.25">
      <c r="A593" s="1059">
        <v>605603</v>
      </c>
      <c r="B593" s="1060" t="s">
        <v>22251</v>
      </c>
      <c r="C593" s="1059" t="s">
        <v>2</v>
      </c>
      <c r="D593" s="1061">
        <v>29099.41</v>
      </c>
    </row>
    <row r="594" spans="1:4" ht="18" customHeight="1" x14ac:dyDescent="0.25">
      <c r="A594" s="1059">
        <v>605771</v>
      </c>
      <c r="B594" s="1060" t="s">
        <v>22252</v>
      </c>
      <c r="C594" s="1059" t="s">
        <v>2</v>
      </c>
      <c r="D594" s="1061">
        <v>23839.24</v>
      </c>
    </row>
    <row r="595" spans="1:4" ht="18" customHeight="1" x14ac:dyDescent="0.25">
      <c r="A595" s="1059">
        <v>605514</v>
      </c>
      <c r="B595" s="1060" t="s">
        <v>22253</v>
      </c>
      <c r="C595" s="1059" t="s">
        <v>2</v>
      </c>
      <c r="D595" s="1061">
        <v>21449.88</v>
      </c>
    </row>
    <row r="596" spans="1:4" ht="18" customHeight="1" x14ac:dyDescent="0.25">
      <c r="A596" s="1059">
        <v>605805</v>
      </c>
      <c r="B596" s="1060" t="s">
        <v>22254</v>
      </c>
      <c r="C596" s="1059" t="s">
        <v>2</v>
      </c>
      <c r="D596" s="1061">
        <v>26372.77</v>
      </c>
    </row>
    <row r="597" spans="1:4" ht="18" customHeight="1" x14ac:dyDescent="0.25">
      <c r="A597" s="1059">
        <v>605534</v>
      </c>
      <c r="B597" s="1060" t="s">
        <v>22255</v>
      </c>
      <c r="C597" s="1059" t="s">
        <v>2</v>
      </c>
      <c r="D597" s="1061">
        <v>23983.4</v>
      </c>
    </row>
    <row r="598" spans="1:4" ht="18" customHeight="1" x14ac:dyDescent="0.25">
      <c r="A598" s="1059">
        <v>605825</v>
      </c>
      <c r="B598" s="1060" t="s">
        <v>22256</v>
      </c>
      <c r="C598" s="1059" t="s">
        <v>2</v>
      </c>
      <c r="D598" s="1061">
        <v>30821.119999999999</v>
      </c>
    </row>
    <row r="599" spans="1:4" ht="18" customHeight="1" x14ac:dyDescent="0.25">
      <c r="A599" s="1059">
        <v>605554</v>
      </c>
      <c r="B599" s="1060" t="s">
        <v>22257</v>
      </c>
      <c r="C599" s="1059" t="s">
        <v>2</v>
      </c>
      <c r="D599" s="1061">
        <v>28431.75</v>
      </c>
    </row>
    <row r="600" spans="1:4" ht="18" customHeight="1" x14ac:dyDescent="0.25">
      <c r="A600" s="1059">
        <v>605772</v>
      </c>
      <c r="B600" s="1060" t="s">
        <v>22258</v>
      </c>
      <c r="C600" s="1059" t="s">
        <v>2</v>
      </c>
      <c r="D600" s="1061">
        <v>27814.03</v>
      </c>
    </row>
    <row r="601" spans="1:4" ht="18" customHeight="1" x14ac:dyDescent="0.25">
      <c r="A601" s="1059">
        <v>605515</v>
      </c>
      <c r="B601" s="1060" t="s">
        <v>22259</v>
      </c>
      <c r="C601" s="1059" t="s">
        <v>2</v>
      </c>
      <c r="D601" s="1061">
        <v>23336.080000000002</v>
      </c>
    </row>
    <row r="602" spans="1:4" ht="18" customHeight="1" x14ac:dyDescent="0.25">
      <c r="A602" s="1059">
        <v>605806</v>
      </c>
      <c r="B602" s="1060" t="s">
        <v>22260</v>
      </c>
      <c r="C602" s="1059" t="s">
        <v>2</v>
      </c>
      <c r="D602" s="1061">
        <v>30654.38</v>
      </c>
    </row>
    <row r="603" spans="1:4" ht="18" customHeight="1" x14ac:dyDescent="0.25">
      <c r="A603" s="1059">
        <v>605535</v>
      </c>
      <c r="B603" s="1060" t="s">
        <v>22261</v>
      </c>
      <c r="C603" s="1059" t="s">
        <v>2</v>
      </c>
      <c r="D603" s="1061">
        <v>26176.43</v>
      </c>
    </row>
    <row r="604" spans="1:4" ht="18" customHeight="1" x14ac:dyDescent="0.25">
      <c r="A604" s="1059">
        <v>605826</v>
      </c>
      <c r="B604" s="1060" t="s">
        <v>22262</v>
      </c>
      <c r="C604" s="1059" t="s">
        <v>2</v>
      </c>
      <c r="D604" s="1061">
        <v>35641.46</v>
      </c>
    </row>
    <row r="605" spans="1:4" ht="18" customHeight="1" x14ac:dyDescent="0.25">
      <c r="A605" s="1059">
        <v>605555</v>
      </c>
      <c r="B605" s="1060" t="s">
        <v>22263</v>
      </c>
      <c r="C605" s="1059" t="s">
        <v>2</v>
      </c>
      <c r="D605" s="1061">
        <v>31163.51</v>
      </c>
    </row>
    <row r="606" spans="1:4" ht="18" customHeight="1" x14ac:dyDescent="0.25">
      <c r="A606" s="1059">
        <v>605773</v>
      </c>
      <c r="B606" s="1060" t="s">
        <v>22264</v>
      </c>
      <c r="C606" s="1059" t="s">
        <v>2</v>
      </c>
      <c r="D606" s="1061">
        <v>29519.599999999999</v>
      </c>
    </row>
    <row r="607" spans="1:4" ht="18" customHeight="1" x14ac:dyDescent="0.25">
      <c r="A607" s="1059">
        <v>605516</v>
      </c>
      <c r="B607" s="1060" t="s">
        <v>22265</v>
      </c>
      <c r="C607" s="1059" t="s">
        <v>2</v>
      </c>
      <c r="D607" s="1061">
        <v>24743.67</v>
      </c>
    </row>
    <row r="608" spans="1:4" ht="18" customHeight="1" x14ac:dyDescent="0.25">
      <c r="A608" s="1059">
        <v>605807</v>
      </c>
      <c r="B608" s="1060" t="s">
        <v>22266</v>
      </c>
      <c r="C608" s="1059" t="s">
        <v>2</v>
      </c>
      <c r="D608" s="1061">
        <v>32684.32</v>
      </c>
    </row>
    <row r="609" spans="1:4" ht="18" customHeight="1" x14ac:dyDescent="0.25">
      <c r="A609" s="1059">
        <v>605536</v>
      </c>
      <c r="B609" s="1060" t="s">
        <v>22267</v>
      </c>
      <c r="C609" s="1059" t="s">
        <v>2</v>
      </c>
      <c r="D609" s="1061">
        <v>27908.39</v>
      </c>
    </row>
    <row r="610" spans="1:4" ht="18" customHeight="1" x14ac:dyDescent="0.25">
      <c r="A610" s="1059">
        <v>605827</v>
      </c>
      <c r="B610" s="1060" t="s">
        <v>22268</v>
      </c>
      <c r="C610" s="1059" t="s">
        <v>2</v>
      </c>
      <c r="D610" s="1061">
        <v>38240.910000000003</v>
      </c>
    </row>
    <row r="611" spans="1:4" ht="18" customHeight="1" x14ac:dyDescent="0.25">
      <c r="A611" s="1059">
        <v>605556</v>
      </c>
      <c r="B611" s="1060" t="s">
        <v>22269</v>
      </c>
      <c r="C611" s="1059" t="s">
        <v>2</v>
      </c>
      <c r="D611" s="1061">
        <v>33464.980000000003</v>
      </c>
    </row>
    <row r="612" spans="1:4" ht="18" customHeight="1" x14ac:dyDescent="0.25">
      <c r="A612" s="1059">
        <v>605774</v>
      </c>
      <c r="B612" s="1060" t="s">
        <v>22270</v>
      </c>
      <c r="C612" s="1059" t="s">
        <v>2</v>
      </c>
      <c r="D612" s="1061">
        <v>31771.05</v>
      </c>
    </row>
    <row r="613" spans="1:4" ht="18" customHeight="1" x14ac:dyDescent="0.25">
      <c r="A613" s="1059">
        <v>605517</v>
      </c>
      <c r="B613" s="1060" t="s">
        <v>22271</v>
      </c>
      <c r="C613" s="1059" t="s">
        <v>2</v>
      </c>
      <c r="D613" s="1061">
        <v>26628.32</v>
      </c>
    </row>
    <row r="614" spans="1:4" ht="18" customHeight="1" x14ac:dyDescent="0.25">
      <c r="A614" s="1059">
        <v>605808</v>
      </c>
      <c r="B614" s="1060" t="s">
        <v>22272</v>
      </c>
      <c r="C614" s="1059" t="s">
        <v>2</v>
      </c>
      <c r="D614" s="1061">
        <v>35277.660000000003</v>
      </c>
    </row>
    <row r="615" spans="1:4" ht="18" customHeight="1" x14ac:dyDescent="0.25">
      <c r="A615" s="1059">
        <v>605537</v>
      </c>
      <c r="B615" s="1060" t="s">
        <v>22273</v>
      </c>
      <c r="C615" s="1059" t="s">
        <v>2</v>
      </c>
      <c r="D615" s="1061">
        <v>30134.93</v>
      </c>
    </row>
    <row r="616" spans="1:4" ht="18" customHeight="1" x14ac:dyDescent="0.25">
      <c r="A616" s="1059">
        <v>605828</v>
      </c>
      <c r="B616" s="1060" t="s">
        <v>22274</v>
      </c>
      <c r="C616" s="1059" t="s">
        <v>2</v>
      </c>
      <c r="D616" s="1061">
        <v>41434.54</v>
      </c>
    </row>
    <row r="617" spans="1:4" ht="18" customHeight="1" x14ac:dyDescent="0.25">
      <c r="A617" s="1059">
        <v>605557</v>
      </c>
      <c r="B617" s="1060" t="s">
        <v>22275</v>
      </c>
      <c r="C617" s="1059" t="s">
        <v>2</v>
      </c>
      <c r="D617" s="1061">
        <v>36291.82</v>
      </c>
    </row>
    <row r="618" spans="1:4" ht="18" customHeight="1" x14ac:dyDescent="0.25">
      <c r="A618" s="1059">
        <v>605775</v>
      </c>
      <c r="B618" s="1060" t="s">
        <v>22276</v>
      </c>
      <c r="C618" s="1059" t="s">
        <v>2</v>
      </c>
      <c r="D618" s="1061">
        <v>33468.76</v>
      </c>
    </row>
    <row r="619" spans="1:4" ht="18" customHeight="1" x14ac:dyDescent="0.25">
      <c r="A619" s="1059">
        <v>605518</v>
      </c>
      <c r="B619" s="1060" t="s">
        <v>22277</v>
      </c>
      <c r="C619" s="1059" t="s">
        <v>2</v>
      </c>
      <c r="D619" s="1061">
        <v>28117.84</v>
      </c>
    </row>
    <row r="620" spans="1:4" ht="18" customHeight="1" x14ac:dyDescent="0.25">
      <c r="A620" s="1059">
        <v>605809</v>
      </c>
      <c r="B620" s="1060" t="s">
        <v>22278</v>
      </c>
      <c r="C620" s="1059" t="s">
        <v>2</v>
      </c>
      <c r="D620" s="1061">
        <v>37334.800000000003</v>
      </c>
    </row>
    <row r="621" spans="1:4" ht="18" customHeight="1" x14ac:dyDescent="0.25">
      <c r="A621" s="1059">
        <v>605538</v>
      </c>
      <c r="B621" s="1060" t="s">
        <v>22279</v>
      </c>
      <c r="C621" s="1059" t="s">
        <v>2</v>
      </c>
      <c r="D621" s="1061">
        <v>31983.88</v>
      </c>
    </row>
    <row r="622" spans="1:4" ht="18" customHeight="1" x14ac:dyDescent="0.25">
      <c r="A622" s="1059">
        <v>605829</v>
      </c>
      <c r="B622" s="1060" t="s">
        <v>22280</v>
      </c>
      <c r="C622" s="1059" t="s">
        <v>2</v>
      </c>
      <c r="D622" s="1061">
        <v>44122.76</v>
      </c>
    </row>
    <row r="623" spans="1:4" ht="18" customHeight="1" x14ac:dyDescent="0.25">
      <c r="A623" s="1059">
        <v>605558</v>
      </c>
      <c r="B623" s="1060" t="s">
        <v>22281</v>
      </c>
      <c r="C623" s="1059" t="s">
        <v>2</v>
      </c>
      <c r="D623" s="1061">
        <v>38771.839999999997</v>
      </c>
    </row>
    <row r="624" spans="1:4" ht="18" customHeight="1" x14ac:dyDescent="0.25">
      <c r="A624" s="1059">
        <v>605776</v>
      </c>
      <c r="B624" s="1060" t="s">
        <v>22282</v>
      </c>
      <c r="C624" s="1059" t="s">
        <v>2</v>
      </c>
      <c r="D624" s="1061">
        <v>35720.75</v>
      </c>
    </row>
    <row r="625" spans="1:4" ht="18" customHeight="1" x14ac:dyDescent="0.25">
      <c r="A625" s="1059">
        <v>605519</v>
      </c>
      <c r="B625" s="1060" t="s">
        <v>22283</v>
      </c>
      <c r="C625" s="1059" t="s">
        <v>2</v>
      </c>
      <c r="D625" s="1061">
        <v>33329.269999999997</v>
      </c>
    </row>
    <row r="626" spans="1:4" ht="18" customHeight="1" x14ac:dyDescent="0.25">
      <c r="A626" s="1059">
        <v>605810</v>
      </c>
      <c r="B626" s="1060" t="s">
        <v>22284</v>
      </c>
      <c r="C626" s="1059" t="s">
        <v>2</v>
      </c>
      <c r="D626" s="1061">
        <v>39963.75</v>
      </c>
    </row>
    <row r="627" spans="1:4" ht="18" customHeight="1" x14ac:dyDescent="0.25">
      <c r="A627" s="1059">
        <v>605539</v>
      </c>
      <c r="B627" s="1060" t="s">
        <v>22285</v>
      </c>
      <c r="C627" s="1059" t="s">
        <v>2</v>
      </c>
      <c r="D627" s="1061">
        <v>37572.269999999997</v>
      </c>
    </row>
    <row r="628" spans="1:4" ht="18" customHeight="1" x14ac:dyDescent="0.25">
      <c r="A628" s="1059">
        <v>605830</v>
      </c>
      <c r="B628" s="1060" t="s">
        <v>22286</v>
      </c>
      <c r="C628" s="1059" t="s">
        <v>2</v>
      </c>
      <c r="D628" s="1061">
        <v>47413.58</v>
      </c>
    </row>
    <row r="629" spans="1:4" ht="18" customHeight="1" x14ac:dyDescent="0.25">
      <c r="A629" s="1059">
        <v>605559</v>
      </c>
      <c r="B629" s="1060" t="s">
        <v>22287</v>
      </c>
      <c r="C629" s="1059" t="s">
        <v>2</v>
      </c>
      <c r="D629" s="1061">
        <v>45022.1</v>
      </c>
    </row>
    <row r="630" spans="1:4" ht="18" customHeight="1" x14ac:dyDescent="0.25">
      <c r="A630" s="1059">
        <v>605777</v>
      </c>
      <c r="B630" s="1060" t="s">
        <v>22288</v>
      </c>
      <c r="C630" s="1059" t="s">
        <v>2</v>
      </c>
      <c r="D630" s="1061">
        <v>38151.879999999997</v>
      </c>
    </row>
    <row r="631" spans="1:4" ht="18" customHeight="1" x14ac:dyDescent="0.25">
      <c r="A631" s="1059">
        <v>605520</v>
      </c>
      <c r="B631" s="1060" t="s">
        <v>22289</v>
      </c>
      <c r="C631" s="1059" t="s">
        <v>2</v>
      </c>
      <c r="D631" s="1061">
        <v>35593.089999999997</v>
      </c>
    </row>
    <row r="632" spans="1:4" ht="18" customHeight="1" x14ac:dyDescent="0.25">
      <c r="A632" s="1059">
        <v>605811</v>
      </c>
      <c r="B632" s="1060" t="s">
        <v>22290</v>
      </c>
      <c r="C632" s="1059" t="s">
        <v>2</v>
      </c>
      <c r="D632" s="1061">
        <v>42789.37</v>
      </c>
    </row>
    <row r="633" spans="1:4" ht="18" customHeight="1" x14ac:dyDescent="0.25">
      <c r="A633" s="1059">
        <v>605540</v>
      </c>
      <c r="B633" s="1060" t="s">
        <v>22291</v>
      </c>
      <c r="C633" s="1059" t="s">
        <v>2</v>
      </c>
      <c r="D633" s="1061">
        <v>40230.58</v>
      </c>
    </row>
    <row r="634" spans="1:4" ht="18" customHeight="1" x14ac:dyDescent="0.25">
      <c r="A634" s="1059">
        <v>605831</v>
      </c>
      <c r="B634" s="1060" t="s">
        <v>22292</v>
      </c>
      <c r="C634" s="1059" t="s">
        <v>2</v>
      </c>
      <c r="D634" s="1061">
        <v>50931.86</v>
      </c>
    </row>
    <row r="635" spans="1:4" ht="18" customHeight="1" x14ac:dyDescent="0.25">
      <c r="A635" s="1059">
        <v>605560</v>
      </c>
      <c r="B635" s="1060" t="s">
        <v>22293</v>
      </c>
      <c r="C635" s="1059" t="s">
        <v>2</v>
      </c>
      <c r="D635" s="1061">
        <v>48373.06</v>
      </c>
    </row>
    <row r="636" spans="1:4" ht="18" customHeight="1" x14ac:dyDescent="0.25">
      <c r="A636" s="1059">
        <v>605778</v>
      </c>
      <c r="B636" s="1060" t="s">
        <v>22294</v>
      </c>
      <c r="C636" s="1059" t="s">
        <v>2</v>
      </c>
      <c r="D636" s="1061">
        <v>40478.480000000003</v>
      </c>
    </row>
    <row r="637" spans="1:4" ht="18" customHeight="1" x14ac:dyDescent="0.25">
      <c r="A637" s="1059">
        <v>605521</v>
      </c>
      <c r="B637" s="1060" t="s">
        <v>22295</v>
      </c>
      <c r="C637" s="1059" t="s">
        <v>2</v>
      </c>
      <c r="D637" s="1061">
        <v>37876.589999999997</v>
      </c>
    </row>
    <row r="638" spans="1:4" ht="18" customHeight="1" x14ac:dyDescent="0.25">
      <c r="A638" s="1059">
        <v>605812</v>
      </c>
      <c r="B638" s="1060" t="s">
        <v>22296</v>
      </c>
      <c r="C638" s="1059" t="s">
        <v>2</v>
      </c>
      <c r="D638" s="1061">
        <v>45527.99</v>
      </c>
    </row>
    <row r="639" spans="1:4" ht="18" customHeight="1" x14ac:dyDescent="0.25">
      <c r="A639" s="1059">
        <v>605541</v>
      </c>
      <c r="B639" s="1060" t="s">
        <v>22297</v>
      </c>
      <c r="C639" s="1059" t="s">
        <v>2</v>
      </c>
      <c r="D639" s="1061">
        <v>42926.1</v>
      </c>
    </row>
    <row r="640" spans="1:4" ht="18" customHeight="1" x14ac:dyDescent="0.25">
      <c r="A640" s="1059">
        <v>605832</v>
      </c>
      <c r="B640" s="1060" t="s">
        <v>22298</v>
      </c>
      <c r="C640" s="1059" t="s">
        <v>2</v>
      </c>
      <c r="D640" s="1061">
        <v>54393.91</v>
      </c>
    </row>
    <row r="641" spans="1:4" ht="18" customHeight="1" x14ac:dyDescent="0.25">
      <c r="A641" s="1059">
        <v>605561</v>
      </c>
      <c r="B641" s="1060" t="s">
        <v>22299</v>
      </c>
      <c r="C641" s="1059" t="s">
        <v>2</v>
      </c>
      <c r="D641" s="1061">
        <v>51792.01</v>
      </c>
    </row>
    <row r="642" spans="1:4" ht="18" customHeight="1" x14ac:dyDescent="0.25">
      <c r="A642" s="1059">
        <v>605779</v>
      </c>
      <c r="B642" s="1060" t="s">
        <v>22300</v>
      </c>
      <c r="C642" s="1059" t="s">
        <v>2</v>
      </c>
      <c r="D642" s="1061">
        <v>45107.18</v>
      </c>
    </row>
    <row r="643" spans="1:4" ht="18" customHeight="1" x14ac:dyDescent="0.25">
      <c r="A643" s="1059">
        <v>605522</v>
      </c>
      <c r="B643" s="1060" t="s">
        <v>22301</v>
      </c>
      <c r="C643" s="1059" t="s">
        <v>2</v>
      </c>
      <c r="D643" s="1061">
        <v>42699.47</v>
      </c>
    </row>
    <row r="644" spans="1:4" ht="18" customHeight="1" x14ac:dyDescent="0.25">
      <c r="A644" s="1059">
        <v>605813</v>
      </c>
      <c r="B644" s="1060" t="s">
        <v>22302</v>
      </c>
      <c r="C644" s="1059" t="s">
        <v>2</v>
      </c>
      <c r="D644" s="1061">
        <v>50586.26</v>
      </c>
    </row>
    <row r="645" spans="1:4" ht="18" customHeight="1" x14ac:dyDescent="0.25">
      <c r="A645" s="1059">
        <v>605542</v>
      </c>
      <c r="B645" s="1060" t="s">
        <v>22303</v>
      </c>
      <c r="C645" s="1059" t="s">
        <v>2</v>
      </c>
      <c r="D645" s="1061">
        <v>48178.55</v>
      </c>
    </row>
    <row r="646" spans="1:4" ht="18" customHeight="1" x14ac:dyDescent="0.25">
      <c r="A646" s="1059">
        <v>605833</v>
      </c>
      <c r="B646" s="1060" t="s">
        <v>22304</v>
      </c>
      <c r="C646" s="1059" t="s">
        <v>2</v>
      </c>
      <c r="D646" s="1061">
        <v>60206.39</v>
      </c>
    </row>
    <row r="647" spans="1:4" ht="18" customHeight="1" x14ac:dyDescent="0.25">
      <c r="A647" s="1059">
        <v>605562</v>
      </c>
      <c r="B647" s="1060" t="s">
        <v>22305</v>
      </c>
      <c r="C647" s="1059" t="s">
        <v>2</v>
      </c>
      <c r="D647" s="1061">
        <v>57798.68</v>
      </c>
    </row>
    <row r="648" spans="1:4" ht="18" customHeight="1" x14ac:dyDescent="0.25">
      <c r="A648" s="1059">
        <v>605780</v>
      </c>
      <c r="B648" s="1060" t="s">
        <v>22306</v>
      </c>
      <c r="C648" s="1059" t="s">
        <v>2</v>
      </c>
      <c r="D648" s="1061">
        <v>49457.49</v>
      </c>
    </row>
    <row r="649" spans="1:4" ht="18" customHeight="1" x14ac:dyDescent="0.25">
      <c r="A649" s="1059">
        <v>605523</v>
      </c>
      <c r="B649" s="1060" t="s">
        <v>22307</v>
      </c>
      <c r="C649" s="1059" t="s">
        <v>2</v>
      </c>
      <c r="D649" s="1061">
        <v>45257.599999999999</v>
      </c>
    </row>
    <row r="650" spans="1:4" ht="18" customHeight="1" x14ac:dyDescent="0.25">
      <c r="A650" s="1059">
        <v>605814</v>
      </c>
      <c r="B650" s="1060" t="s">
        <v>22308</v>
      </c>
      <c r="C650" s="1059" t="s">
        <v>2</v>
      </c>
      <c r="D650" s="1061">
        <v>55383.67</v>
      </c>
    </row>
    <row r="651" spans="1:4" ht="18" customHeight="1" x14ac:dyDescent="0.25">
      <c r="A651" s="1059">
        <v>605543</v>
      </c>
      <c r="B651" s="1060" t="s">
        <v>22309</v>
      </c>
      <c r="C651" s="1059" t="s">
        <v>2</v>
      </c>
      <c r="D651" s="1061">
        <v>51183.77</v>
      </c>
    </row>
    <row r="652" spans="1:4" ht="18" customHeight="1" x14ac:dyDescent="0.25">
      <c r="A652" s="1059">
        <v>605834</v>
      </c>
      <c r="B652" s="1060" t="s">
        <v>22310</v>
      </c>
      <c r="C652" s="1059" t="s">
        <v>2</v>
      </c>
      <c r="D652" s="1061">
        <v>65788.800000000003</v>
      </c>
    </row>
    <row r="653" spans="1:4" ht="18" customHeight="1" x14ac:dyDescent="0.25">
      <c r="A653" s="1059">
        <v>605563</v>
      </c>
      <c r="B653" s="1060" t="s">
        <v>22311</v>
      </c>
      <c r="C653" s="1059" t="s">
        <v>2</v>
      </c>
      <c r="D653" s="1061">
        <v>61588.91</v>
      </c>
    </row>
    <row r="654" spans="1:4" ht="9" customHeight="1" x14ac:dyDescent="0.25">
      <c r="A654" s="1059">
        <v>605606</v>
      </c>
      <c r="B654" s="1060" t="s">
        <v>22312</v>
      </c>
      <c r="C654" s="1059" t="s">
        <v>38</v>
      </c>
      <c r="D654" s="1061">
        <v>12.02</v>
      </c>
    </row>
    <row r="655" spans="1:4" ht="9" customHeight="1" x14ac:dyDescent="0.25">
      <c r="A655" s="1059">
        <v>705314</v>
      </c>
      <c r="B655" s="1060" t="s">
        <v>22313</v>
      </c>
      <c r="C655" s="1059" t="s">
        <v>3</v>
      </c>
      <c r="D655" s="1061">
        <v>12794.02</v>
      </c>
    </row>
    <row r="656" spans="1:4" ht="9" customHeight="1" x14ac:dyDescent="0.25">
      <c r="A656" s="1059">
        <v>705312</v>
      </c>
      <c r="B656" s="1060" t="s">
        <v>22314</v>
      </c>
      <c r="C656" s="1059" t="s">
        <v>3</v>
      </c>
      <c r="D656" s="1061">
        <v>11683.74</v>
      </c>
    </row>
    <row r="657" spans="1:4" ht="9" customHeight="1" x14ac:dyDescent="0.25">
      <c r="A657" s="1059">
        <v>705316</v>
      </c>
      <c r="B657" s="1060" t="s">
        <v>22315</v>
      </c>
      <c r="C657" s="1059" t="s">
        <v>3</v>
      </c>
      <c r="D657" s="1061">
        <v>14028.71</v>
      </c>
    </row>
    <row r="658" spans="1:4" ht="9" customHeight="1" x14ac:dyDescent="0.25">
      <c r="A658" s="1059">
        <v>705315</v>
      </c>
      <c r="B658" s="1060" t="s">
        <v>22316</v>
      </c>
      <c r="C658" s="1059" t="s">
        <v>3</v>
      </c>
      <c r="D658" s="1061">
        <v>12831.14</v>
      </c>
    </row>
    <row r="659" spans="1:4" ht="9" customHeight="1" x14ac:dyDescent="0.25">
      <c r="A659" s="1059">
        <v>705318</v>
      </c>
      <c r="B659" s="1060" t="s">
        <v>22317</v>
      </c>
      <c r="C659" s="1059" t="s">
        <v>3</v>
      </c>
      <c r="D659" s="1061">
        <v>14974.18</v>
      </c>
    </row>
    <row r="660" spans="1:4" ht="9" customHeight="1" x14ac:dyDescent="0.25">
      <c r="A660" s="1059">
        <v>705317</v>
      </c>
      <c r="B660" s="1060" t="s">
        <v>22318</v>
      </c>
      <c r="C660" s="1059" t="s">
        <v>3</v>
      </c>
      <c r="D660" s="1061">
        <v>13624.53</v>
      </c>
    </row>
    <row r="661" spans="1:4" ht="9" customHeight="1" x14ac:dyDescent="0.25">
      <c r="A661" s="1059">
        <v>705320</v>
      </c>
      <c r="B661" s="1060" t="s">
        <v>22319</v>
      </c>
      <c r="C661" s="1059" t="s">
        <v>3</v>
      </c>
      <c r="D661" s="1061">
        <v>18788.740000000002</v>
      </c>
    </row>
    <row r="662" spans="1:4" ht="9" customHeight="1" x14ac:dyDescent="0.25">
      <c r="A662" s="1059">
        <v>705319</v>
      </c>
      <c r="B662" s="1060" t="s">
        <v>22320</v>
      </c>
      <c r="C662" s="1059" t="s">
        <v>3</v>
      </c>
      <c r="D662" s="1061">
        <v>17136.91</v>
      </c>
    </row>
    <row r="663" spans="1:4" ht="9" customHeight="1" x14ac:dyDescent="0.25">
      <c r="A663" s="1059">
        <v>705322</v>
      </c>
      <c r="B663" s="1060" t="s">
        <v>22321</v>
      </c>
      <c r="C663" s="1059" t="s">
        <v>3</v>
      </c>
      <c r="D663" s="1061">
        <v>19828.59</v>
      </c>
    </row>
    <row r="664" spans="1:4" ht="9" customHeight="1" x14ac:dyDescent="0.25">
      <c r="A664" s="1059">
        <v>705321</v>
      </c>
      <c r="B664" s="1060" t="s">
        <v>22322</v>
      </c>
      <c r="C664" s="1059" t="s">
        <v>3</v>
      </c>
      <c r="D664" s="1061">
        <v>17962.23</v>
      </c>
    </row>
    <row r="665" spans="1:4" ht="9" customHeight="1" x14ac:dyDescent="0.25">
      <c r="A665" s="1059">
        <v>705324</v>
      </c>
      <c r="B665" s="1060" t="s">
        <v>22323</v>
      </c>
      <c r="C665" s="1059" t="s">
        <v>3</v>
      </c>
      <c r="D665" s="1061">
        <v>21762.080000000002</v>
      </c>
    </row>
    <row r="666" spans="1:4" ht="9" customHeight="1" x14ac:dyDescent="0.25">
      <c r="A666" s="1059">
        <v>705323</v>
      </c>
      <c r="B666" s="1060" t="s">
        <v>22324</v>
      </c>
      <c r="C666" s="1059" t="s">
        <v>3</v>
      </c>
      <c r="D666" s="1061">
        <v>19762.939999999999</v>
      </c>
    </row>
    <row r="667" spans="1:4" ht="9" customHeight="1" x14ac:dyDescent="0.25">
      <c r="A667" s="1059">
        <v>705326</v>
      </c>
      <c r="B667" s="1060" t="s">
        <v>22325</v>
      </c>
      <c r="C667" s="1059" t="s">
        <v>3</v>
      </c>
      <c r="D667" s="1061">
        <v>23373.73</v>
      </c>
    </row>
    <row r="668" spans="1:4" ht="9" customHeight="1" x14ac:dyDescent="0.25">
      <c r="A668" s="1059">
        <v>705325</v>
      </c>
      <c r="B668" s="1060" t="s">
        <v>22326</v>
      </c>
      <c r="C668" s="1059" t="s">
        <v>3</v>
      </c>
      <c r="D668" s="1061">
        <v>21185.21</v>
      </c>
    </row>
    <row r="669" spans="1:4" ht="9" customHeight="1" x14ac:dyDescent="0.25">
      <c r="A669" s="1059">
        <v>705328</v>
      </c>
      <c r="B669" s="1060" t="s">
        <v>22327</v>
      </c>
      <c r="C669" s="1059" t="s">
        <v>3</v>
      </c>
      <c r="D669" s="1061">
        <v>29682.35</v>
      </c>
    </row>
    <row r="670" spans="1:4" ht="9" customHeight="1" x14ac:dyDescent="0.25">
      <c r="A670" s="1059">
        <v>705327</v>
      </c>
      <c r="B670" s="1060" t="s">
        <v>22328</v>
      </c>
      <c r="C670" s="1059" t="s">
        <v>3</v>
      </c>
      <c r="D670" s="1061">
        <v>26967.24</v>
      </c>
    </row>
    <row r="671" spans="1:4" ht="9" customHeight="1" x14ac:dyDescent="0.25">
      <c r="A671" s="1059">
        <v>705330</v>
      </c>
      <c r="B671" s="1060" t="s">
        <v>22329</v>
      </c>
      <c r="C671" s="1059" t="s">
        <v>3</v>
      </c>
      <c r="D671" s="1061">
        <v>27740.31</v>
      </c>
    </row>
    <row r="672" spans="1:4" ht="9" customHeight="1" x14ac:dyDescent="0.25">
      <c r="A672" s="1059">
        <v>705329</v>
      </c>
      <c r="B672" s="1060" t="s">
        <v>22330</v>
      </c>
      <c r="C672" s="1059" t="s">
        <v>3</v>
      </c>
      <c r="D672" s="1061">
        <v>25025.16</v>
      </c>
    </row>
    <row r="673" spans="1:4" ht="9" customHeight="1" x14ac:dyDescent="0.25">
      <c r="A673" s="1059">
        <v>705332</v>
      </c>
      <c r="B673" s="1060" t="s">
        <v>22331</v>
      </c>
      <c r="C673" s="1059" t="s">
        <v>3</v>
      </c>
      <c r="D673" s="1061">
        <v>29995.279999999999</v>
      </c>
    </row>
    <row r="674" spans="1:4" ht="9" customHeight="1" x14ac:dyDescent="0.25">
      <c r="A674" s="1059">
        <v>705331</v>
      </c>
      <c r="B674" s="1060" t="s">
        <v>22332</v>
      </c>
      <c r="C674" s="1059" t="s">
        <v>3</v>
      </c>
      <c r="D674" s="1061">
        <v>27226.28</v>
      </c>
    </row>
    <row r="675" spans="1:4" ht="9" customHeight="1" x14ac:dyDescent="0.25">
      <c r="A675" s="1059">
        <v>705334</v>
      </c>
      <c r="B675" s="1060" t="s">
        <v>22333</v>
      </c>
      <c r="C675" s="1059" t="s">
        <v>3</v>
      </c>
      <c r="D675" s="1061">
        <v>31900.91</v>
      </c>
    </row>
    <row r="676" spans="1:4" ht="9" customHeight="1" x14ac:dyDescent="0.25">
      <c r="A676" s="1059">
        <v>705333</v>
      </c>
      <c r="B676" s="1060" t="s">
        <v>22334</v>
      </c>
      <c r="C676" s="1059" t="s">
        <v>3</v>
      </c>
      <c r="D676" s="1061">
        <v>29157.41</v>
      </c>
    </row>
    <row r="677" spans="1:4" ht="9" customHeight="1" x14ac:dyDescent="0.25">
      <c r="A677" s="1059">
        <v>705336</v>
      </c>
      <c r="B677" s="1060" t="s">
        <v>22335</v>
      </c>
      <c r="C677" s="1059" t="s">
        <v>3</v>
      </c>
      <c r="D677" s="1061">
        <v>42960.89</v>
      </c>
    </row>
    <row r="678" spans="1:4" ht="9" customHeight="1" x14ac:dyDescent="0.25">
      <c r="A678" s="1059">
        <v>705335</v>
      </c>
      <c r="B678" s="1060" t="s">
        <v>22336</v>
      </c>
      <c r="C678" s="1059" t="s">
        <v>3</v>
      </c>
      <c r="D678" s="1061">
        <v>39136.85</v>
      </c>
    </row>
    <row r="679" spans="1:4" ht="9" customHeight="1" x14ac:dyDescent="0.25">
      <c r="A679" s="1059">
        <v>705338</v>
      </c>
      <c r="B679" s="1060" t="s">
        <v>22337</v>
      </c>
      <c r="C679" s="1059" t="s">
        <v>3</v>
      </c>
      <c r="D679" s="1061">
        <v>40113.07</v>
      </c>
    </row>
    <row r="680" spans="1:4" ht="9" customHeight="1" x14ac:dyDescent="0.25">
      <c r="A680" s="1059">
        <v>705337</v>
      </c>
      <c r="B680" s="1060" t="s">
        <v>22338</v>
      </c>
      <c r="C680" s="1059" t="s">
        <v>3</v>
      </c>
      <c r="D680" s="1061">
        <v>36157.39</v>
      </c>
    </row>
    <row r="681" spans="1:4" ht="9" customHeight="1" x14ac:dyDescent="0.25">
      <c r="A681" s="1059">
        <v>705340</v>
      </c>
      <c r="B681" s="1060" t="s">
        <v>22339</v>
      </c>
      <c r="C681" s="1059" t="s">
        <v>3</v>
      </c>
      <c r="D681" s="1061">
        <v>43233.17</v>
      </c>
    </row>
    <row r="682" spans="1:4" ht="9" customHeight="1" x14ac:dyDescent="0.25">
      <c r="A682" s="1059">
        <v>705339</v>
      </c>
      <c r="B682" s="1060" t="s">
        <v>22340</v>
      </c>
      <c r="C682" s="1059" t="s">
        <v>3</v>
      </c>
      <c r="D682" s="1061">
        <v>39235.97</v>
      </c>
    </row>
    <row r="683" spans="1:4" ht="9" customHeight="1" x14ac:dyDescent="0.25">
      <c r="A683" s="1059">
        <v>705342</v>
      </c>
      <c r="B683" s="1060" t="s">
        <v>22341</v>
      </c>
      <c r="C683" s="1059" t="s">
        <v>3</v>
      </c>
      <c r="D683" s="1061">
        <v>49065.36</v>
      </c>
    </row>
    <row r="684" spans="1:4" ht="9" customHeight="1" x14ac:dyDescent="0.25">
      <c r="A684" s="1059">
        <v>705341</v>
      </c>
      <c r="B684" s="1060" t="s">
        <v>22342</v>
      </c>
      <c r="C684" s="1059" t="s">
        <v>3</v>
      </c>
      <c r="D684" s="1061">
        <v>44619.73</v>
      </c>
    </row>
    <row r="685" spans="1:4" ht="9" customHeight="1" x14ac:dyDescent="0.25">
      <c r="A685" s="1059">
        <v>705344</v>
      </c>
      <c r="B685" s="1060" t="s">
        <v>22343</v>
      </c>
      <c r="C685" s="1059" t="s">
        <v>3</v>
      </c>
      <c r="D685" s="1061">
        <v>62185.67</v>
      </c>
    </row>
    <row r="686" spans="1:4" ht="9" customHeight="1" x14ac:dyDescent="0.25">
      <c r="A686" s="1059">
        <v>705343</v>
      </c>
      <c r="B686" s="1060" t="s">
        <v>22344</v>
      </c>
      <c r="C686" s="1059" t="s">
        <v>3</v>
      </c>
      <c r="D686" s="1061">
        <v>56739.46</v>
      </c>
    </row>
    <row r="687" spans="1:4" ht="9" customHeight="1" x14ac:dyDescent="0.25">
      <c r="A687" s="1059">
        <v>705225</v>
      </c>
      <c r="B687" s="1060" t="s">
        <v>22345</v>
      </c>
      <c r="C687" s="1059" t="s">
        <v>3</v>
      </c>
      <c r="D687" s="1061">
        <v>10955.77</v>
      </c>
    </row>
    <row r="688" spans="1:4" ht="9" customHeight="1" x14ac:dyDescent="0.25">
      <c r="A688" s="1059">
        <v>705224</v>
      </c>
      <c r="B688" s="1060" t="s">
        <v>22346</v>
      </c>
      <c r="C688" s="1059" t="s">
        <v>3</v>
      </c>
      <c r="D688" s="1061">
        <v>9932.7900000000009</v>
      </c>
    </row>
    <row r="689" spans="1:4" ht="9" customHeight="1" x14ac:dyDescent="0.25">
      <c r="A689" s="1059">
        <v>705227</v>
      </c>
      <c r="B689" s="1060" t="s">
        <v>22347</v>
      </c>
      <c r="C689" s="1059" t="s">
        <v>3</v>
      </c>
      <c r="D689" s="1061">
        <v>11322.88</v>
      </c>
    </row>
    <row r="690" spans="1:4" ht="9" customHeight="1" x14ac:dyDescent="0.25">
      <c r="A690" s="1059">
        <v>705226</v>
      </c>
      <c r="B690" s="1060" t="s">
        <v>22348</v>
      </c>
      <c r="C690" s="1059" t="s">
        <v>3</v>
      </c>
      <c r="D690" s="1061">
        <v>10386.07</v>
      </c>
    </row>
    <row r="691" spans="1:4" ht="9" customHeight="1" x14ac:dyDescent="0.25">
      <c r="A691" s="1059">
        <v>705229</v>
      </c>
      <c r="B691" s="1060" t="s">
        <v>22349</v>
      </c>
      <c r="C691" s="1059" t="s">
        <v>3</v>
      </c>
      <c r="D691" s="1061">
        <v>12204.32</v>
      </c>
    </row>
    <row r="692" spans="1:4" ht="9" customHeight="1" x14ac:dyDescent="0.25">
      <c r="A692" s="1059">
        <v>705228</v>
      </c>
      <c r="B692" s="1060" t="s">
        <v>22350</v>
      </c>
      <c r="C692" s="1059" t="s">
        <v>3</v>
      </c>
      <c r="D692" s="1061">
        <v>11123.02</v>
      </c>
    </row>
    <row r="693" spans="1:4" ht="9" customHeight="1" x14ac:dyDescent="0.25">
      <c r="A693" s="1059">
        <v>705231</v>
      </c>
      <c r="B693" s="1060" t="s">
        <v>22351</v>
      </c>
      <c r="C693" s="1059" t="s">
        <v>3</v>
      </c>
      <c r="D693" s="1061">
        <v>15205.65</v>
      </c>
    </row>
    <row r="694" spans="1:4" ht="9" customHeight="1" x14ac:dyDescent="0.25">
      <c r="A694" s="1059">
        <v>705230</v>
      </c>
      <c r="B694" s="1060" t="s">
        <v>22352</v>
      </c>
      <c r="C694" s="1059" t="s">
        <v>3</v>
      </c>
      <c r="D694" s="1061">
        <v>13939.5</v>
      </c>
    </row>
    <row r="695" spans="1:4" ht="9" customHeight="1" x14ac:dyDescent="0.25">
      <c r="A695" s="1059">
        <v>705233</v>
      </c>
      <c r="B695" s="1060" t="s">
        <v>22353</v>
      </c>
      <c r="C695" s="1059" t="s">
        <v>3</v>
      </c>
      <c r="D695" s="1061">
        <v>17080.689999999999</v>
      </c>
    </row>
    <row r="696" spans="1:4" ht="9" customHeight="1" x14ac:dyDescent="0.25">
      <c r="A696" s="1059">
        <v>705232</v>
      </c>
      <c r="B696" s="1060" t="s">
        <v>22354</v>
      </c>
      <c r="C696" s="1059" t="s">
        <v>3</v>
      </c>
      <c r="D696" s="1061">
        <v>15453.42</v>
      </c>
    </row>
    <row r="697" spans="1:4" ht="9" customHeight="1" x14ac:dyDescent="0.25">
      <c r="A697" s="1059">
        <v>705235</v>
      </c>
      <c r="B697" s="1060" t="s">
        <v>22355</v>
      </c>
      <c r="C697" s="1059" t="s">
        <v>3</v>
      </c>
      <c r="D697" s="1061">
        <v>17538.080000000002</v>
      </c>
    </row>
    <row r="698" spans="1:4" ht="9" customHeight="1" x14ac:dyDescent="0.25">
      <c r="A698" s="1059">
        <v>705234</v>
      </c>
      <c r="B698" s="1060" t="s">
        <v>22356</v>
      </c>
      <c r="C698" s="1059" t="s">
        <v>3</v>
      </c>
      <c r="D698" s="1061">
        <v>16021.21</v>
      </c>
    </row>
    <row r="699" spans="1:4" ht="9" customHeight="1" x14ac:dyDescent="0.25">
      <c r="A699" s="1059">
        <v>705237</v>
      </c>
      <c r="B699" s="1060" t="s">
        <v>22357</v>
      </c>
      <c r="C699" s="1059" t="s">
        <v>3</v>
      </c>
      <c r="D699" s="1061">
        <v>18986</v>
      </c>
    </row>
    <row r="700" spans="1:4" ht="9" customHeight="1" x14ac:dyDescent="0.25">
      <c r="A700" s="1059">
        <v>705236</v>
      </c>
      <c r="B700" s="1060" t="s">
        <v>22358</v>
      </c>
      <c r="C700" s="1059" t="s">
        <v>3</v>
      </c>
      <c r="D700" s="1061">
        <v>17283.689999999999</v>
      </c>
    </row>
    <row r="701" spans="1:4" ht="9" customHeight="1" x14ac:dyDescent="0.25">
      <c r="A701" s="1059">
        <v>705239</v>
      </c>
      <c r="B701" s="1060" t="s">
        <v>22359</v>
      </c>
      <c r="C701" s="1059" t="s">
        <v>3</v>
      </c>
      <c r="D701" s="1061">
        <v>24253.52</v>
      </c>
    </row>
    <row r="702" spans="1:4" ht="9" customHeight="1" x14ac:dyDescent="0.25">
      <c r="A702" s="1059">
        <v>705238</v>
      </c>
      <c r="B702" s="1060" t="s">
        <v>22360</v>
      </c>
      <c r="C702" s="1059" t="s">
        <v>3</v>
      </c>
      <c r="D702" s="1061">
        <v>22125.16</v>
      </c>
    </row>
    <row r="703" spans="1:4" ht="9" customHeight="1" x14ac:dyDescent="0.25">
      <c r="A703" s="1059">
        <v>705241</v>
      </c>
      <c r="B703" s="1060" t="s">
        <v>22361</v>
      </c>
      <c r="C703" s="1059" t="s">
        <v>3</v>
      </c>
      <c r="D703" s="1061">
        <v>23096.81</v>
      </c>
    </row>
    <row r="704" spans="1:4" ht="9" customHeight="1" x14ac:dyDescent="0.25">
      <c r="A704" s="1059">
        <v>705240</v>
      </c>
      <c r="B704" s="1060" t="s">
        <v>22362</v>
      </c>
      <c r="C704" s="1059" t="s">
        <v>3</v>
      </c>
      <c r="D704" s="1061">
        <v>20860.8</v>
      </c>
    </row>
    <row r="705" spans="1:4" ht="9" customHeight="1" x14ac:dyDescent="0.25">
      <c r="A705" s="1059">
        <v>705243</v>
      </c>
      <c r="B705" s="1060" t="s">
        <v>22363</v>
      </c>
      <c r="C705" s="1059" t="s">
        <v>3</v>
      </c>
      <c r="D705" s="1061">
        <v>24473.31</v>
      </c>
    </row>
    <row r="706" spans="1:4" ht="9" customHeight="1" x14ac:dyDescent="0.25">
      <c r="A706" s="1059">
        <v>705242</v>
      </c>
      <c r="B706" s="1060" t="s">
        <v>22364</v>
      </c>
      <c r="C706" s="1059" t="s">
        <v>3</v>
      </c>
      <c r="D706" s="1061">
        <v>22234.59</v>
      </c>
    </row>
    <row r="707" spans="1:4" ht="9" customHeight="1" x14ac:dyDescent="0.25">
      <c r="A707" s="1059">
        <v>705245</v>
      </c>
      <c r="B707" s="1060" t="s">
        <v>22365</v>
      </c>
      <c r="C707" s="1059" t="s">
        <v>3</v>
      </c>
      <c r="D707" s="1061">
        <v>27131.18</v>
      </c>
    </row>
    <row r="708" spans="1:4" ht="9" customHeight="1" x14ac:dyDescent="0.25">
      <c r="A708" s="1059">
        <v>705244</v>
      </c>
      <c r="B708" s="1060" t="s">
        <v>22366</v>
      </c>
      <c r="C708" s="1059" t="s">
        <v>3</v>
      </c>
      <c r="D708" s="1061">
        <v>24742.46</v>
      </c>
    </row>
    <row r="709" spans="1:4" ht="9" customHeight="1" x14ac:dyDescent="0.25">
      <c r="A709" s="1059">
        <v>705247</v>
      </c>
      <c r="B709" s="1060" t="s">
        <v>22367</v>
      </c>
      <c r="C709" s="1059" t="s">
        <v>3</v>
      </c>
      <c r="D709" s="1061">
        <v>34374.6</v>
      </c>
    </row>
    <row r="710" spans="1:4" ht="9" customHeight="1" x14ac:dyDescent="0.25">
      <c r="A710" s="1059">
        <v>705246</v>
      </c>
      <c r="B710" s="1060" t="s">
        <v>22368</v>
      </c>
      <c r="C710" s="1059" t="s">
        <v>3</v>
      </c>
      <c r="D710" s="1061">
        <v>31447.73</v>
      </c>
    </row>
    <row r="711" spans="1:4" ht="9" customHeight="1" x14ac:dyDescent="0.25">
      <c r="A711" s="1059">
        <v>705249</v>
      </c>
      <c r="B711" s="1060" t="s">
        <v>22369</v>
      </c>
      <c r="C711" s="1059" t="s">
        <v>3</v>
      </c>
      <c r="D711" s="1061">
        <v>32830.959999999999</v>
      </c>
    </row>
    <row r="712" spans="1:4" ht="9" customHeight="1" x14ac:dyDescent="0.25">
      <c r="A712" s="1059">
        <v>705248</v>
      </c>
      <c r="B712" s="1060" t="s">
        <v>22370</v>
      </c>
      <c r="C712" s="1059" t="s">
        <v>3</v>
      </c>
      <c r="D712" s="1061">
        <v>29588.91</v>
      </c>
    </row>
    <row r="713" spans="1:4" ht="9" customHeight="1" x14ac:dyDescent="0.25">
      <c r="A713" s="1059">
        <v>705251</v>
      </c>
      <c r="B713" s="1060" t="s">
        <v>22371</v>
      </c>
      <c r="C713" s="1059" t="s">
        <v>3</v>
      </c>
      <c r="D713" s="1061">
        <v>34740.47</v>
      </c>
    </row>
    <row r="714" spans="1:4" ht="9" customHeight="1" x14ac:dyDescent="0.25">
      <c r="A714" s="1059">
        <v>705250</v>
      </c>
      <c r="B714" s="1060" t="s">
        <v>22372</v>
      </c>
      <c r="C714" s="1059" t="s">
        <v>3</v>
      </c>
      <c r="D714" s="1061">
        <v>31493.23</v>
      </c>
    </row>
    <row r="715" spans="1:4" ht="9" customHeight="1" x14ac:dyDescent="0.25">
      <c r="A715" s="1059">
        <v>705253</v>
      </c>
      <c r="B715" s="1060" t="s">
        <v>22373</v>
      </c>
      <c r="C715" s="1059" t="s">
        <v>3</v>
      </c>
      <c r="D715" s="1061">
        <v>38004.42</v>
      </c>
    </row>
    <row r="716" spans="1:4" ht="9" customHeight="1" x14ac:dyDescent="0.25">
      <c r="A716" s="1059">
        <v>705252</v>
      </c>
      <c r="B716" s="1060" t="s">
        <v>22374</v>
      </c>
      <c r="C716" s="1059" t="s">
        <v>3</v>
      </c>
      <c r="D716" s="1061">
        <v>34472.449999999997</v>
      </c>
    </row>
    <row r="717" spans="1:4" ht="9" customHeight="1" x14ac:dyDescent="0.25">
      <c r="A717" s="1059">
        <v>705255</v>
      </c>
      <c r="B717" s="1060" t="s">
        <v>22375</v>
      </c>
      <c r="C717" s="1059" t="s">
        <v>3</v>
      </c>
      <c r="D717" s="1061">
        <v>48078.23</v>
      </c>
    </row>
    <row r="718" spans="1:4" ht="9" customHeight="1" x14ac:dyDescent="0.25">
      <c r="A718" s="1059">
        <v>705254</v>
      </c>
      <c r="B718" s="1060" t="s">
        <v>22376</v>
      </c>
      <c r="C718" s="1059" t="s">
        <v>3</v>
      </c>
      <c r="D718" s="1061">
        <v>43806.78</v>
      </c>
    </row>
    <row r="719" spans="1:4" ht="9" customHeight="1" x14ac:dyDescent="0.25">
      <c r="A719" s="1059">
        <v>705403</v>
      </c>
      <c r="B719" s="1060" t="s">
        <v>22377</v>
      </c>
      <c r="C719" s="1059" t="s">
        <v>3</v>
      </c>
      <c r="D719" s="1061">
        <v>16020.88</v>
      </c>
    </row>
    <row r="720" spans="1:4" ht="9" customHeight="1" x14ac:dyDescent="0.25">
      <c r="A720" s="1059">
        <v>705402</v>
      </c>
      <c r="B720" s="1060" t="s">
        <v>22378</v>
      </c>
      <c r="C720" s="1059" t="s">
        <v>3</v>
      </c>
      <c r="D720" s="1061">
        <v>14533.71</v>
      </c>
    </row>
    <row r="721" spans="1:4" ht="9" customHeight="1" x14ac:dyDescent="0.25">
      <c r="A721" s="1059">
        <v>705405</v>
      </c>
      <c r="B721" s="1060" t="s">
        <v>22379</v>
      </c>
      <c r="C721" s="1059" t="s">
        <v>3</v>
      </c>
      <c r="D721" s="1061">
        <v>17318.41</v>
      </c>
    </row>
    <row r="722" spans="1:4" ht="9" customHeight="1" x14ac:dyDescent="0.25">
      <c r="A722" s="1059">
        <v>705404</v>
      </c>
      <c r="B722" s="1060" t="s">
        <v>22380</v>
      </c>
      <c r="C722" s="1059" t="s">
        <v>3</v>
      </c>
      <c r="D722" s="1061">
        <v>15813.2</v>
      </c>
    </row>
    <row r="723" spans="1:4" ht="9" customHeight="1" x14ac:dyDescent="0.25">
      <c r="A723" s="1059">
        <v>705407</v>
      </c>
      <c r="B723" s="1060" t="s">
        <v>22381</v>
      </c>
      <c r="C723" s="1059" t="s">
        <v>3</v>
      </c>
      <c r="D723" s="1061">
        <v>18141.919999999998</v>
      </c>
    </row>
    <row r="724" spans="1:4" ht="9" customHeight="1" x14ac:dyDescent="0.25">
      <c r="A724" s="1059">
        <v>705406</v>
      </c>
      <c r="B724" s="1060" t="s">
        <v>22382</v>
      </c>
      <c r="C724" s="1059" t="s">
        <v>3</v>
      </c>
      <c r="D724" s="1061">
        <v>16465.400000000001</v>
      </c>
    </row>
    <row r="725" spans="1:4" ht="9" customHeight="1" x14ac:dyDescent="0.25">
      <c r="A725" s="1059">
        <v>705409</v>
      </c>
      <c r="B725" s="1060" t="s">
        <v>22383</v>
      </c>
      <c r="C725" s="1059" t="s">
        <v>3</v>
      </c>
      <c r="D725" s="1061">
        <v>22854.5</v>
      </c>
    </row>
    <row r="726" spans="1:4" ht="9" customHeight="1" x14ac:dyDescent="0.25">
      <c r="A726" s="1059">
        <v>705408</v>
      </c>
      <c r="B726" s="1060" t="s">
        <v>22384</v>
      </c>
      <c r="C726" s="1059" t="s">
        <v>3</v>
      </c>
      <c r="D726" s="1061">
        <v>20789.2</v>
      </c>
    </row>
    <row r="727" spans="1:4" ht="9" customHeight="1" x14ac:dyDescent="0.25">
      <c r="A727" s="1059">
        <v>705411</v>
      </c>
      <c r="B727" s="1060" t="s">
        <v>22385</v>
      </c>
      <c r="C727" s="1059" t="s">
        <v>3</v>
      </c>
      <c r="D727" s="1061">
        <v>24332.43</v>
      </c>
    </row>
    <row r="728" spans="1:4" ht="9" customHeight="1" x14ac:dyDescent="0.25">
      <c r="A728" s="1059">
        <v>705410</v>
      </c>
      <c r="B728" s="1060" t="s">
        <v>22386</v>
      </c>
      <c r="C728" s="1059" t="s">
        <v>3</v>
      </c>
      <c r="D728" s="1061">
        <v>21934.69</v>
      </c>
    </row>
    <row r="729" spans="1:4" ht="9" customHeight="1" x14ac:dyDescent="0.25">
      <c r="A729" s="1059">
        <v>705413</v>
      </c>
      <c r="B729" s="1060" t="s">
        <v>22387</v>
      </c>
      <c r="C729" s="1059" t="s">
        <v>3</v>
      </c>
      <c r="D729" s="1061">
        <v>26173.47</v>
      </c>
    </row>
    <row r="730" spans="1:4" ht="9" customHeight="1" x14ac:dyDescent="0.25">
      <c r="A730" s="1059">
        <v>705412</v>
      </c>
      <c r="B730" s="1060" t="s">
        <v>22388</v>
      </c>
      <c r="C730" s="1059" t="s">
        <v>3</v>
      </c>
      <c r="D730" s="1061">
        <v>23771.56</v>
      </c>
    </row>
    <row r="731" spans="1:4" ht="9" customHeight="1" x14ac:dyDescent="0.25">
      <c r="A731" s="1059">
        <v>705415</v>
      </c>
      <c r="B731" s="1060" t="s">
        <v>22389</v>
      </c>
      <c r="C731" s="1059" t="s">
        <v>3</v>
      </c>
      <c r="D731" s="1061">
        <v>28828.799999999999</v>
      </c>
    </row>
    <row r="732" spans="1:4" ht="9" customHeight="1" x14ac:dyDescent="0.25">
      <c r="A732" s="1059">
        <v>705414</v>
      </c>
      <c r="B732" s="1060" t="s">
        <v>22390</v>
      </c>
      <c r="C732" s="1059" t="s">
        <v>3</v>
      </c>
      <c r="D732" s="1061">
        <v>26122.47</v>
      </c>
    </row>
    <row r="733" spans="1:4" ht="9" customHeight="1" x14ac:dyDescent="0.25">
      <c r="A733" s="1059">
        <v>705417</v>
      </c>
      <c r="B733" s="1060" t="s">
        <v>22391</v>
      </c>
      <c r="C733" s="1059" t="s">
        <v>3</v>
      </c>
      <c r="D733" s="1061">
        <v>36523.83</v>
      </c>
    </row>
    <row r="734" spans="1:4" ht="9" customHeight="1" x14ac:dyDescent="0.25">
      <c r="A734" s="1059">
        <v>705416</v>
      </c>
      <c r="B734" s="1060" t="s">
        <v>22392</v>
      </c>
      <c r="C734" s="1059" t="s">
        <v>3</v>
      </c>
      <c r="D734" s="1061">
        <v>33192.519999999997</v>
      </c>
    </row>
    <row r="735" spans="1:4" ht="9" customHeight="1" x14ac:dyDescent="0.25">
      <c r="A735" s="1059">
        <v>705419</v>
      </c>
      <c r="B735" s="1060" t="s">
        <v>22393</v>
      </c>
      <c r="C735" s="1059" t="s">
        <v>3</v>
      </c>
      <c r="D735" s="1061">
        <v>34466.720000000001</v>
      </c>
    </row>
    <row r="736" spans="1:4" ht="9" customHeight="1" x14ac:dyDescent="0.25">
      <c r="A736" s="1059">
        <v>705418</v>
      </c>
      <c r="B736" s="1060" t="s">
        <v>22394</v>
      </c>
      <c r="C736" s="1059" t="s">
        <v>3</v>
      </c>
      <c r="D736" s="1061">
        <v>31115.02</v>
      </c>
    </row>
    <row r="737" spans="1:4" ht="9" customHeight="1" x14ac:dyDescent="0.25">
      <c r="A737" s="1059">
        <v>705421</v>
      </c>
      <c r="B737" s="1060" t="s">
        <v>22395</v>
      </c>
      <c r="C737" s="1059" t="s">
        <v>3</v>
      </c>
      <c r="D737" s="1061">
        <v>37077.800000000003</v>
      </c>
    </row>
    <row r="738" spans="1:4" ht="9" customHeight="1" x14ac:dyDescent="0.25">
      <c r="A738" s="1059">
        <v>705420</v>
      </c>
      <c r="B738" s="1060" t="s">
        <v>22396</v>
      </c>
      <c r="C738" s="1059" t="s">
        <v>3</v>
      </c>
      <c r="D738" s="1061">
        <v>33708.129999999997</v>
      </c>
    </row>
    <row r="739" spans="1:4" ht="9" customHeight="1" x14ac:dyDescent="0.25">
      <c r="A739" s="1059">
        <v>705423</v>
      </c>
      <c r="B739" s="1060" t="s">
        <v>22397</v>
      </c>
      <c r="C739" s="1059" t="s">
        <v>3</v>
      </c>
      <c r="D739" s="1061">
        <v>42203.35</v>
      </c>
    </row>
    <row r="740" spans="1:4" ht="9" customHeight="1" x14ac:dyDescent="0.25">
      <c r="A740" s="1059">
        <v>705422</v>
      </c>
      <c r="B740" s="1060" t="s">
        <v>22398</v>
      </c>
      <c r="C740" s="1059" t="s">
        <v>3</v>
      </c>
      <c r="D740" s="1061">
        <v>38433.11</v>
      </c>
    </row>
    <row r="741" spans="1:4" ht="9" customHeight="1" x14ac:dyDescent="0.25">
      <c r="A741" s="1059">
        <v>705425</v>
      </c>
      <c r="B741" s="1060" t="s">
        <v>22399</v>
      </c>
      <c r="C741" s="1059" t="s">
        <v>3</v>
      </c>
      <c r="D741" s="1061">
        <v>53439.92</v>
      </c>
    </row>
    <row r="742" spans="1:4" ht="9" customHeight="1" x14ac:dyDescent="0.25">
      <c r="A742" s="1059">
        <v>705424</v>
      </c>
      <c r="B742" s="1060" t="s">
        <v>22400</v>
      </c>
      <c r="C742" s="1059" t="s">
        <v>3</v>
      </c>
      <c r="D742" s="1061">
        <v>48813.38</v>
      </c>
    </row>
    <row r="743" spans="1:4" ht="9" customHeight="1" x14ac:dyDescent="0.25">
      <c r="A743" s="1059">
        <v>705427</v>
      </c>
      <c r="B743" s="1060" t="s">
        <v>22401</v>
      </c>
      <c r="C743" s="1059" t="s">
        <v>3</v>
      </c>
      <c r="D743" s="1061">
        <v>48738.38</v>
      </c>
    </row>
    <row r="744" spans="1:4" ht="9" customHeight="1" x14ac:dyDescent="0.25">
      <c r="A744" s="1059">
        <v>705426</v>
      </c>
      <c r="B744" s="1060" t="s">
        <v>22402</v>
      </c>
      <c r="C744" s="1059" t="s">
        <v>3</v>
      </c>
      <c r="D744" s="1061">
        <v>43891.23</v>
      </c>
    </row>
    <row r="745" spans="1:4" ht="9" customHeight="1" x14ac:dyDescent="0.25">
      <c r="A745" s="1059">
        <v>705429</v>
      </c>
      <c r="B745" s="1060" t="s">
        <v>22403</v>
      </c>
      <c r="C745" s="1059" t="s">
        <v>3</v>
      </c>
      <c r="D745" s="1061">
        <v>50422.1</v>
      </c>
    </row>
    <row r="746" spans="1:4" ht="9" customHeight="1" x14ac:dyDescent="0.25">
      <c r="A746" s="1059">
        <v>705428</v>
      </c>
      <c r="B746" s="1060" t="s">
        <v>22404</v>
      </c>
      <c r="C746" s="1059" t="s">
        <v>3</v>
      </c>
      <c r="D746" s="1061">
        <v>45650.34</v>
      </c>
    </row>
    <row r="747" spans="1:4" ht="9" customHeight="1" x14ac:dyDescent="0.25">
      <c r="A747" s="1059">
        <v>705431</v>
      </c>
      <c r="B747" s="1060" t="s">
        <v>22405</v>
      </c>
      <c r="C747" s="1059" t="s">
        <v>3</v>
      </c>
      <c r="D747" s="1061">
        <v>60694.78</v>
      </c>
    </row>
    <row r="748" spans="1:4" ht="9" customHeight="1" x14ac:dyDescent="0.25">
      <c r="A748" s="1059">
        <v>705430</v>
      </c>
      <c r="B748" s="1060" t="s">
        <v>22406</v>
      </c>
      <c r="C748" s="1059" t="s">
        <v>3</v>
      </c>
      <c r="D748" s="1061">
        <v>55369.61</v>
      </c>
    </row>
    <row r="749" spans="1:4" ht="9" customHeight="1" x14ac:dyDescent="0.25">
      <c r="A749" s="1059">
        <v>705433</v>
      </c>
      <c r="B749" s="1060" t="s">
        <v>22407</v>
      </c>
      <c r="C749" s="1059" t="s">
        <v>3</v>
      </c>
      <c r="D749" s="1061">
        <v>76972.44</v>
      </c>
    </row>
    <row r="750" spans="1:4" ht="9" customHeight="1" x14ac:dyDescent="0.25">
      <c r="A750" s="1059">
        <v>705432</v>
      </c>
      <c r="B750" s="1060" t="s">
        <v>22408</v>
      </c>
      <c r="C750" s="1059" t="s">
        <v>3</v>
      </c>
      <c r="D750" s="1061">
        <v>70376.740000000005</v>
      </c>
    </row>
    <row r="751" spans="1:4" ht="9" customHeight="1" x14ac:dyDescent="0.25">
      <c r="A751" s="1059">
        <v>705257</v>
      </c>
      <c r="B751" s="1060" t="s">
        <v>22409</v>
      </c>
      <c r="C751" s="1059" t="s">
        <v>2</v>
      </c>
      <c r="D751" s="1061">
        <v>3809.53</v>
      </c>
    </row>
    <row r="752" spans="1:4" ht="9" customHeight="1" x14ac:dyDescent="0.25">
      <c r="A752" s="1059">
        <v>705256</v>
      </c>
      <c r="B752" s="1060" t="s">
        <v>22410</v>
      </c>
      <c r="C752" s="1059" t="s">
        <v>2</v>
      </c>
      <c r="D752" s="1061">
        <v>3507.13</v>
      </c>
    </row>
    <row r="753" spans="1:4" ht="9" customHeight="1" x14ac:dyDescent="0.25">
      <c r="A753" s="1059">
        <v>705259</v>
      </c>
      <c r="B753" s="1060" t="s">
        <v>22411</v>
      </c>
      <c r="C753" s="1059" t="s">
        <v>2</v>
      </c>
      <c r="D753" s="1061">
        <v>3323.84</v>
      </c>
    </row>
    <row r="754" spans="1:4" ht="9" customHeight="1" x14ac:dyDescent="0.25">
      <c r="A754" s="1059">
        <v>705258</v>
      </c>
      <c r="B754" s="1060" t="s">
        <v>22412</v>
      </c>
      <c r="C754" s="1059" t="s">
        <v>2</v>
      </c>
      <c r="D754" s="1061">
        <v>3021.44</v>
      </c>
    </row>
    <row r="755" spans="1:4" ht="9" customHeight="1" x14ac:dyDescent="0.25">
      <c r="A755" s="1059">
        <v>705267</v>
      </c>
      <c r="B755" s="1060" t="s">
        <v>22413</v>
      </c>
      <c r="C755" s="1059" t="s">
        <v>2</v>
      </c>
      <c r="D755" s="1061">
        <v>4783.75</v>
      </c>
    </row>
    <row r="756" spans="1:4" ht="9" customHeight="1" x14ac:dyDescent="0.25">
      <c r="A756" s="1059">
        <v>705266</v>
      </c>
      <c r="B756" s="1060" t="s">
        <v>22414</v>
      </c>
      <c r="C756" s="1059" t="s">
        <v>2</v>
      </c>
      <c r="D756" s="1061">
        <v>4384.1400000000003</v>
      </c>
    </row>
    <row r="757" spans="1:4" ht="9" customHeight="1" x14ac:dyDescent="0.25">
      <c r="A757" s="1059">
        <v>705269</v>
      </c>
      <c r="B757" s="1060" t="s">
        <v>22415</v>
      </c>
      <c r="C757" s="1059" t="s">
        <v>2</v>
      </c>
      <c r="D757" s="1061">
        <v>5021.13</v>
      </c>
    </row>
    <row r="758" spans="1:4" ht="9" customHeight="1" x14ac:dyDescent="0.25">
      <c r="A758" s="1059">
        <v>705268</v>
      </c>
      <c r="B758" s="1060" t="s">
        <v>22416</v>
      </c>
      <c r="C758" s="1059" t="s">
        <v>2</v>
      </c>
      <c r="D758" s="1061">
        <v>4621.5200000000004</v>
      </c>
    </row>
    <row r="759" spans="1:4" ht="9" customHeight="1" x14ac:dyDescent="0.25">
      <c r="A759" s="1059">
        <v>705261</v>
      </c>
      <c r="B759" s="1060" t="s">
        <v>22417</v>
      </c>
      <c r="C759" s="1059" t="s">
        <v>2</v>
      </c>
      <c r="D759" s="1061">
        <v>3549.71</v>
      </c>
    </row>
    <row r="760" spans="1:4" ht="9" customHeight="1" x14ac:dyDescent="0.25">
      <c r="A760" s="1059">
        <v>705260</v>
      </c>
      <c r="B760" s="1060" t="s">
        <v>22418</v>
      </c>
      <c r="C760" s="1059" t="s">
        <v>2</v>
      </c>
      <c r="D760" s="1061">
        <v>3247.32</v>
      </c>
    </row>
    <row r="761" spans="1:4" ht="9" customHeight="1" x14ac:dyDescent="0.25">
      <c r="A761" s="1059">
        <v>705263</v>
      </c>
      <c r="B761" s="1060" t="s">
        <v>22419</v>
      </c>
      <c r="C761" s="1059" t="s">
        <v>2</v>
      </c>
      <c r="D761" s="1061">
        <v>3996.14</v>
      </c>
    </row>
    <row r="762" spans="1:4" ht="9" customHeight="1" x14ac:dyDescent="0.25">
      <c r="A762" s="1059">
        <v>705262</v>
      </c>
      <c r="B762" s="1060" t="s">
        <v>22420</v>
      </c>
      <c r="C762" s="1059" t="s">
        <v>2</v>
      </c>
      <c r="D762" s="1061">
        <v>3693.74</v>
      </c>
    </row>
    <row r="763" spans="1:4" ht="9" customHeight="1" x14ac:dyDescent="0.25">
      <c r="A763" s="1059">
        <v>705265</v>
      </c>
      <c r="B763" s="1060" t="s">
        <v>22421</v>
      </c>
      <c r="C763" s="1059" t="s">
        <v>2</v>
      </c>
      <c r="D763" s="1061">
        <v>4379.8500000000004</v>
      </c>
    </row>
    <row r="764" spans="1:4" ht="9" customHeight="1" x14ac:dyDescent="0.25">
      <c r="A764" s="1059">
        <v>705264</v>
      </c>
      <c r="B764" s="1060" t="s">
        <v>22422</v>
      </c>
      <c r="C764" s="1059" t="s">
        <v>2</v>
      </c>
      <c r="D764" s="1061">
        <v>4077.45</v>
      </c>
    </row>
    <row r="765" spans="1:4" ht="9" customHeight="1" x14ac:dyDescent="0.25">
      <c r="A765" s="1059">
        <v>705271</v>
      </c>
      <c r="B765" s="1060" t="s">
        <v>22423</v>
      </c>
      <c r="C765" s="1059" t="s">
        <v>2</v>
      </c>
      <c r="D765" s="1061">
        <v>5462.94</v>
      </c>
    </row>
    <row r="766" spans="1:4" ht="9" customHeight="1" x14ac:dyDescent="0.25">
      <c r="A766" s="1059">
        <v>705270</v>
      </c>
      <c r="B766" s="1060" t="s">
        <v>22424</v>
      </c>
      <c r="C766" s="1059" t="s">
        <v>2</v>
      </c>
      <c r="D766" s="1061">
        <v>5071.88</v>
      </c>
    </row>
    <row r="767" spans="1:4" ht="9" customHeight="1" x14ac:dyDescent="0.25">
      <c r="A767" s="1059">
        <v>705273</v>
      </c>
      <c r="B767" s="1060" t="s">
        <v>22425</v>
      </c>
      <c r="C767" s="1059" t="s">
        <v>2</v>
      </c>
      <c r="D767" s="1061">
        <v>4868.3599999999997</v>
      </c>
    </row>
    <row r="768" spans="1:4" ht="9" customHeight="1" x14ac:dyDescent="0.25">
      <c r="A768" s="1059">
        <v>705272</v>
      </c>
      <c r="B768" s="1060" t="s">
        <v>22426</v>
      </c>
      <c r="C768" s="1059" t="s">
        <v>2</v>
      </c>
      <c r="D768" s="1061">
        <v>4477.3</v>
      </c>
    </row>
    <row r="769" spans="1:4" ht="9" customHeight="1" x14ac:dyDescent="0.25">
      <c r="A769" s="1059">
        <v>705281</v>
      </c>
      <c r="B769" s="1060" t="s">
        <v>22427</v>
      </c>
      <c r="C769" s="1059" t="s">
        <v>2</v>
      </c>
      <c r="D769" s="1061">
        <v>7498.55</v>
      </c>
    </row>
    <row r="770" spans="1:4" ht="9" customHeight="1" x14ac:dyDescent="0.25">
      <c r="A770" s="1059">
        <v>705280</v>
      </c>
      <c r="B770" s="1060" t="s">
        <v>22428</v>
      </c>
      <c r="C770" s="1059" t="s">
        <v>2</v>
      </c>
      <c r="D770" s="1061">
        <v>6869.73</v>
      </c>
    </row>
    <row r="771" spans="1:4" ht="9" customHeight="1" x14ac:dyDescent="0.25">
      <c r="A771" s="1059">
        <v>705283</v>
      </c>
      <c r="B771" s="1060" t="s">
        <v>22429</v>
      </c>
      <c r="C771" s="1059" t="s">
        <v>2</v>
      </c>
      <c r="D771" s="1061">
        <v>7684.6</v>
      </c>
    </row>
    <row r="772" spans="1:4" ht="9" customHeight="1" x14ac:dyDescent="0.25">
      <c r="A772" s="1059">
        <v>705282</v>
      </c>
      <c r="B772" s="1060" t="s">
        <v>22430</v>
      </c>
      <c r="C772" s="1059" t="s">
        <v>2</v>
      </c>
      <c r="D772" s="1061">
        <v>7055.78</v>
      </c>
    </row>
    <row r="773" spans="1:4" ht="9" customHeight="1" x14ac:dyDescent="0.25">
      <c r="A773" s="1059">
        <v>705275</v>
      </c>
      <c r="B773" s="1060" t="s">
        <v>22431</v>
      </c>
      <c r="C773" s="1059" t="s">
        <v>2</v>
      </c>
      <c r="D773" s="1061">
        <v>5452.98</v>
      </c>
    </row>
    <row r="774" spans="1:4" ht="9" customHeight="1" x14ac:dyDescent="0.25">
      <c r="A774" s="1059">
        <v>705274</v>
      </c>
      <c r="B774" s="1060" t="s">
        <v>22432</v>
      </c>
      <c r="C774" s="1059" t="s">
        <v>2</v>
      </c>
      <c r="D774" s="1061">
        <v>5061.92</v>
      </c>
    </row>
    <row r="775" spans="1:4" ht="9" customHeight="1" x14ac:dyDescent="0.25">
      <c r="A775" s="1059">
        <v>705277</v>
      </c>
      <c r="B775" s="1060" t="s">
        <v>22433</v>
      </c>
      <c r="C775" s="1059" t="s">
        <v>2</v>
      </c>
      <c r="D775" s="1061">
        <v>6134.02</v>
      </c>
    </row>
    <row r="776" spans="1:4" ht="9" customHeight="1" x14ac:dyDescent="0.25">
      <c r="A776" s="1059">
        <v>705276</v>
      </c>
      <c r="B776" s="1060" t="s">
        <v>22434</v>
      </c>
      <c r="C776" s="1059" t="s">
        <v>2</v>
      </c>
      <c r="D776" s="1061">
        <v>5623.4</v>
      </c>
    </row>
    <row r="777" spans="1:4" ht="9" customHeight="1" x14ac:dyDescent="0.25">
      <c r="A777" s="1059">
        <v>705279</v>
      </c>
      <c r="B777" s="1060" t="s">
        <v>22435</v>
      </c>
      <c r="C777" s="1059" t="s">
        <v>2</v>
      </c>
      <c r="D777" s="1061">
        <v>6952.44</v>
      </c>
    </row>
    <row r="778" spans="1:4" ht="9" customHeight="1" x14ac:dyDescent="0.25">
      <c r="A778" s="1059">
        <v>705278</v>
      </c>
      <c r="B778" s="1060" t="s">
        <v>22436</v>
      </c>
      <c r="C778" s="1059" t="s">
        <v>2</v>
      </c>
      <c r="D778" s="1061">
        <v>6441.82</v>
      </c>
    </row>
    <row r="779" spans="1:4" ht="9" customHeight="1" x14ac:dyDescent="0.25">
      <c r="A779" s="1059">
        <v>705285</v>
      </c>
      <c r="B779" s="1060" t="s">
        <v>22437</v>
      </c>
      <c r="C779" s="1059" t="s">
        <v>2</v>
      </c>
      <c r="D779" s="1061">
        <v>7018.73</v>
      </c>
    </row>
    <row r="780" spans="1:4" ht="9" customHeight="1" x14ac:dyDescent="0.25">
      <c r="A780" s="1059">
        <v>705284</v>
      </c>
      <c r="B780" s="1060" t="s">
        <v>22438</v>
      </c>
      <c r="C780" s="1059" t="s">
        <v>2</v>
      </c>
      <c r="D780" s="1061">
        <v>6527.17</v>
      </c>
    </row>
    <row r="781" spans="1:4" ht="9" customHeight="1" x14ac:dyDescent="0.25">
      <c r="A781" s="1059">
        <v>705287</v>
      </c>
      <c r="B781" s="1060" t="s">
        <v>22439</v>
      </c>
      <c r="C781" s="1059" t="s">
        <v>2</v>
      </c>
      <c r="D781" s="1061">
        <v>6430.93</v>
      </c>
    </row>
    <row r="782" spans="1:4" ht="9" customHeight="1" x14ac:dyDescent="0.25">
      <c r="A782" s="1059">
        <v>705286</v>
      </c>
      <c r="B782" s="1060" t="s">
        <v>22440</v>
      </c>
      <c r="C782" s="1059" t="s">
        <v>2</v>
      </c>
      <c r="D782" s="1061">
        <v>5939.37</v>
      </c>
    </row>
    <row r="783" spans="1:4" ht="9" customHeight="1" x14ac:dyDescent="0.25">
      <c r="A783" s="1059">
        <v>705295</v>
      </c>
      <c r="B783" s="1060" t="s">
        <v>22441</v>
      </c>
      <c r="C783" s="1059" t="s">
        <v>2</v>
      </c>
      <c r="D783" s="1061">
        <v>9811.51</v>
      </c>
    </row>
    <row r="784" spans="1:4" ht="9" customHeight="1" x14ac:dyDescent="0.25">
      <c r="A784" s="1059">
        <v>705294</v>
      </c>
      <c r="B784" s="1060" t="s">
        <v>22442</v>
      </c>
      <c r="C784" s="1059" t="s">
        <v>2</v>
      </c>
      <c r="D784" s="1061">
        <v>9054.6</v>
      </c>
    </row>
    <row r="785" spans="1:4" ht="9" customHeight="1" x14ac:dyDescent="0.25">
      <c r="A785" s="1059">
        <v>705297</v>
      </c>
      <c r="B785" s="1060" t="s">
        <v>22443</v>
      </c>
      <c r="C785" s="1059" t="s">
        <v>2</v>
      </c>
      <c r="D785" s="1061">
        <v>10581.37</v>
      </c>
    </row>
    <row r="786" spans="1:4" ht="9" customHeight="1" x14ac:dyDescent="0.25">
      <c r="A786" s="1059">
        <v>705296</v>
      </c>
      <c r="B786" s="1060" t="s">
        <v>22444</v>
      </c>
      <c r="C786" s="1059" t="s">
        <v>2</v>
      </c>
      <c r="D786" s="1061">
        <v>9824.4599999999991</v>
      </c>
    </row>
    <row r="787" spans="1:4" ht="9" customHeight="1" x14ac:dyDescent="0.25">
      <c r="A787" s="1059">
        <v>705289</v>
      </c>
      <c r="B787" s="1060" t="s">
        <v>22445</v>
      </c>
      <c r="C787" s="1059" t="s">
        <v>2</v>
      </c>
      <c r="D787" s="1061">
        <v>7263.65</v>
      </c>
    </row>
    <row r="788" spans="1:4" ht="9" customHeight="1" x14ac:dyDescent="0.25">
      <c r="A788" s="1059">
        <v>705288</v>
      </c>
      <c r="B788" s="1060" t="s">
        <v>22446</v>
      </c>
      <c r="C788" s="1059" t="s">
        <v>2</v>
      </c>
      <c r="D788" s="1061">
        <v>6642.02</v>
      </c>
    </row>
    <row r="789" spans="1:4" ht="9" customHeight="1" x14ac:dyDescent="0.25">
      <c r="A789" s="1059">
        <v>705291</v>
      </c>
      <c r="B789" s="1060" t="s">
        <v>22447</v>
      </c>
      <c r="C789" s="1059" t="s">
        <v>2</v>
      </c>
      <c r="D789" s="1061">
        <v>8248.7900000000009</v>
      </c>
    </row>
    <row r="790" spans="1:4" ht="9" customHeight="1" x14ac:dyDescent="0.25">
      <c r="A790" s="1059">
        <v>705290</v>
      </c>
      <c r="B790" s="1060" t="s">
        <v>22448</v>
      </c>
      <c r="C790" s="1059" t="s">
        <v>2</v>
      </c>
      <c r="D790" s="1061">
        <v>7627.16</v>
      </c>
    </row>
    <row r="791" spans="1:4" ht="9" customHeight="1" x14ac:dyDescent="0.25">
      <c r="A791" s="1059">
        <v>705293</v>
      </c>
      <c r="B791" s="1060" t="s">
        <v>22449</v>
      </c>
      <c r="C791" s="1059" t="s">
        <v>2</v>
      </c>
      <c r="D791" s="1061">
        <v>8906.1299999999992</v>
      </c>
    </row>
    <row r="792" spans="1:4" ht="9" customHeight="1" x14ac:dyDescent="0.25">
      <c r="A792" s="1059">
        <v>705292</v>
      </c>
      <c r="B792" s="1060" t="s">
        <v>22450</v>
      </c>
      <c r="C792" s="1059" t="s">
        <v>2</v>
      </c>
      <c r="D792" s="1061">
        <v>8149.22</v>
      </c>
    </row>
    <row r="793" spans="1:4" ht="9" customHeight="1" x14ac:dyDescent="0.25">
      <c r="A793" s="1059">
        <v>705299</v>
      </c>
      <c r="B793" s="1060" t="s">
        <v>22451</v>
      </c>
      <c r="C793" s="1059" t="s">
        <v>2</v>
      </c>
      <c r="D793" s="1061">
        <v>9029.4</v>
      </c>
    </row>
    <row r="794" spans="1:4" ht="9" customHeight="1" x14ac:dyDescent="0.25">
      <c r="A794" s="1059">
        <v>705298</v>
      </c>
      <c r="B794" s="1060" t="s">
        <v>22452</v>
      </c>
      <c r="C794" s="1059" t="s">
        <v>2</v>
      </c>
      <c r="D794" s="1061">
        <v>8296.75</v>
      </c>
    </row>
    <row r="795" spans="1:4" ht="9" customHeight="1" x14ac:dyDescent="0.25">
      <c r="A795" s="1059">
        <v>705301</v>
      </c>
      <c r="B795" s="1060" t="s">
        <v>22453</v>
      </c>
      <c r="C795" s="1059" t="s">
        <v>2</v>
      </c>
      <c r="D795" s="1061">
        <v>8469.44</v>
      </c>
    </row>
    <row r="796" spans="1:4" ht="9" customHeight="1" x14ac:dyDescent="0.25">
      <c r="A796" s="1059">
        <v>705300</v>
      </c>
      <c r="B796" s="1060" t="s">
        <v>22454</v>
      </c>
      <c r="C796" s="1059" t="s">
        <v>2</v>
      </c>
      <c r="D796" s="1061">
        <v>7736.8</v>
      </c>
    </row>
    <row r="797" spans="1:4" ht="9" customHeight="1" x14ac:dyDescent="0.25">
      <c r="A797" s="1059">
        <v>705309</v>
      </c>
      <c r="B797" s="1060" t="s">
        <v>22455</v>
      </c>
      <c r="C797" s="1059" t="s">
        <v>2</v>
      </c>
      <c r="D797" s="1061">
        <v>13607.5</v>
      </c>
    </row>
    <row r="798" spans="1:4" ht="9" customHeight="1" x14ac:dyDescent="0.25">
      <c r="A798" s="1059">
        <v>705308</v>
      </c>
      <c r="B798" s="1060" t="s">
        <v>22456</v>
      </c>
      <c r="C798" s="1059" t="s">
        <v>2</v>
      </c>
      <c r="D798" s="1061">
        <v>12513.54</v>
      </c>
    </row>
    <row r="799" spans="1:4" ht="9" customHeight="1" x14ac:dyDescent="0.25">
      <c r="A799" s="1059">
        <v>705311</v>
      </c>
      <c r="B799" s="1060" t="s">
        <v>22457</v>
      </c>
      <c r="C799" s="1059" t="s">
        <v>2</v>
      </c>
      <c r="D799" s="1061">
        <v>13519.52</v>
      </c>
    </row>
    <row r="800" spans="1:4" ht="9" customHeight="1" x14ac:dyDescent="0.25">
      <c r="A800" s="1059">
        <v>705310</v>
      </c>
      <c r="B800" s="1060" t="s">
        <v>22458</v>
      </c>
      <c r="C800" s="1059" t="s">
        <v>2</v>
      </c>
      <c r="D800" s="1061">
        <v>12425.57</v>
      </c>
    </row>
    <row r="801" spans="1:4" ht="9" customHeight="1" x14ac:dyDescent="0.25">
      <c r="A801" s="1059">
        <v>705303</v>
      </c>
      <c r="B801" s="1060" t="s">
        <v>22459</v>
      </c>
      <c r="C801" s="1059" t="s">
        <v>2</v>
      </c>
      <c r="D801" s="1061">
        <v>9119.9699999999993</v>
      </c>
    </row>
    <row r="802" spans="1:4" ht="9" customHeight="1" x14ac:dyDescent="0.25">
      <c r="A802" s="1059">
        <v>705302</v>
      </c>
      <c r="B802" s="1060" t="s">
        <v>22460</v>
      </c>
      <c r="C802" s="1059" t="s">
        <v>2</v>
      </c>
      <c r="D802" s="1061">
        <v>8228.39</v>
      </c>
    </row>
    <row r="803" spans="1:4" ht="9" customHeight="1" x14ac:dyDescent="0.25">
      <c r="A803" s="1059">
        <v>705305</v>
      </c>
      <c r="B803" s="1060" t="s">
        <v>22461</v>
      </c>
      <c r="C803" s="1059" t="s">
        <v>2</v>
      </c>
      <c r="D803" s="1061">
        <v>11061.75</v>
      </c>
    </row>
    <row r="804" spans="1:4" ht="9" customHeight="1" x14ac:dyDescent="0.25">
      <c r="A804" s="1059">
        <v>705304</v>
      </c>
      <c r="B804" s="1060" t="s">
        <v>22462</v>
      </c>
      <c r="C804" s="1059" t="s">
        <v>2</v>
      </c>
      <c r="D804" s="1061">
        <v>10170.16</v>
      </c>
    </row>
    <row r="805" spans="1:4" ht="9" customHeight="1" x14ac:dyDescent="0.25">
      <c r="A805" s="1059">
        <v>705307</v>
      </c>
      <c r="B805" s="1060" t="s">
        <v>22463</v>
      </c>
      <c r="C805" s="1059" t="s">
        <v>2</v>
      </c>
      <c r="D805" s="1061">
        <v>12208.8</v>
      </c>
    </row>
    <row r="806" spans="1:4" ht="9" customHeight="1" x14ac:dyDescent="0.25">
      <c r="A806" s="1059">
        <v>705306</v>
      </c>
      <c r="B806" s="1060" t="s">
        <v>22464</v>
      </c>
      <c r="C806" s="1059" t="s">
        <v>2</v>
      </c>
      <c r="D806" s="1061">
        <v>11114.85</v>
      </c>
    </row>
    <row r="807" spans="1:4" ht="9" customHeight="1" x14ac:dyDescent="0.25">
      <c r="A807" s="1059">
        <v>705169</v>
      </c>
      <c r="B807" s="1060" t="s">
        <v>22465</v>
      </c>
      <c r="C807" s="1059" t="s">
        <v>2</v>
      </c>
      <c r="D807" s="1061">
        <v>2285.09</v>
      </c>
    </row>
    <row r="808" spans="1:4" ht="9" customHeight="1" x14ac:dyDescent="0.25">
      <c r="A808" s="1059">
        <v>705168</v>
      </c>
      <c r="B808" s="1060" t="s">
        <v>22466</v>
      </c>
      <c r="C808" s="1059" t="s">
        <v>2</v>
      </c>
      <c r="D808" s="1061">
        <v>2115.61</v>
      </c>
    </row>
    <row r="809" spans="1:4" ht="9" customHeight="1" x14ac:dyDescent="0.25">
      <c r="A809" s="1059">
        <v>705171</v>
      </c>
      <c r="B809" s="1060" t="s">
        <v>22467</v>
      </c>
      <c r="C809" s="1059" t="s">
        <v>2</v>
      </c>
      <c r="D809" s="1061">
        <v>2027.02</v>
      </c>
    </row>
    <row r="810" spans="1:4" ht="9" customHeight="1" x14ac:dyDescent="0.25">
      <c r="A810" s="1059">
        <v>705170</v>
      </c>
      <c r="B810" s="1060" t="s">
        <v>22468</v>
      </c>
      <c r="C810" s="1059" t="s">
        <v>2</v>
      </c>
      <c r="D810" s="1061">
        <v>1857.54</v>
      </c>
    </row>
    <row r="811" spans="1:4" ht="9" customHeight="1" x14ac:dyDescent="0.25">
      <c r="A811" s="1059">
        <v>705179</v>
      </c>
      <c r="B811" s="1060" t="s">
        <v>22469</v>
      </c>
      <c r="C811" s="1059" t="s">
        <v>2</v>
      </c>
      <c r="D811" s="1061">
        <v>2869.35</v>
      </c>
    </row>
    <row r="812" spans="1:4" ht="9" customHeight="1" x14ac:dyDescent="0.25">
      <c r="A812" s="1059">
        <v>705178</v>
      </c>
      <c r="B812" s="1060" t="s">
        <v>22470</v>
      </c>
      <c r="C812" s="1059" t="s">
        <v>2</v>
      </c>
      <c r="D812" s="1061">
        <v>2646.03</v>
      </c>
    </row>
    <row r="813" spans="1:4" ht="9" customHeight="1" x14ac:dyDescent="0.25">
      <c r="A813" s="1059">
        <v>705181</v>
      </c>
      <c r="B813" s="1060" t="s">
        <v>22471</v>
      </c>
      <c r="C813" s="1059" t="s">
        <v>2</v>
      </c>
      <c r="D813" s="1061">
        <v>2996.02</v>
      </c>
    </row>
    <row r="814" spans="1:4" ht="9" customHeight="1" x14ac:dyDescent="0.25">
      <c r="A814" s="1059">
        <v>705180</v>
      </c>
      <c r="B814" s="1060" t="s">
        <v>22472</v>
      </c>
      <c r="C814" s="1059" t="s">
        <v>2</v>
      </c>
      <c r="D814" s="1061">
        <v>2772.7</v>
      </c>
    </row>
    <row r="815" spans="1:4" ht="9" customHeight="1" x14ac:dyDescent="0.25">
      <c r="A815" s="1059">
        <v>705173</v>
      </c>
      <c r="B815" s="1060" t="s">
        <v>22473</v>
      </c>
      <c r="C815" s="1059" t="s">
        <v>2</v>
      </c>
      <c r="D815" s="1061">
        <v>2207</v>
      </c>
    </row>
    <row r="816" spans="1:4" ht="9" customHeight="1" x14ac:dyDescent="0.25">
      <c r="A816" s="1059">
        <v>705172</v>
      </c>
      <c r="B816" s="1060" t="s">
        <v>22474</v>
      </c>
      <c r="C816" s="1059" t="s">
        <v>2</v>
      </c>
      <c r="D816" s="1061">
        <v>2037.52</v>
      </c>
    </row>
    <row r="817" spans="1:4" ht="9" customHeight="1" x14ac:dyDescent="0.25">
      <c r="A817" s="1059">
        <v>705175</v>
      </c>
      <c r="B817" s="1060" t="s">
        <v>22475</v>
      </c>
      <c r="C817" s="1059" t="s">
        <v>2</v>
      </c>
      <c r="D817" s="1061">
        <v>2454.9299999999998</v>
      </c>
    </row>
    <row r="818" spans="1:4" ht="9" customHeight="1" x14ac:dyDescent="0.25">
      <c r="A818" s="1059">
        <v>705174</v>
      </c>
      <c r="B818" s="1060" t="s">
        <v>22476</v>
      </c>
      <c r="C818" s="1059" t="s">
        <v>2</v>
      </c>
      <c r="D818" s="1061">
        <v>2285.46</v>
      </c>
    </row>
    <row r="819" spans="1:4" ht="9" customHeight="1" x14ac:dyDescent="0.25">
      <c r="A819" s="1059">
        <v>705177</v>
      </c>
      <c r="B819" s="1060" t="s">
        <v>22477</v>
      </c>
      <c r="C819" s="1059" t="s">
        <v>2</v>
      </c>
      <c r="D819" s="1061">
        <v>2764.32</v>
      </c>
    </row>
    <row r="820" spans="1:4" ht="9" customHeight="1" x14ac:dyDescent="0.25">
      <c r="A820" s="1059">
        <v>705176</v>
      </c>
      <c r="B820" s="1060" t="s">
        <v>22478</v>
      </c>
      <c r="C820" s="1059" t="s">
        <v>2</v>
      </c>
      <c r="D820" s="1061">
        <v>2541.0100000000002</v>
      </c>
    </row>
    <row r="821" spans="1:4" ht="9" customHeight="1" x14ac:dyDescent="0.25">
      <c r="A821" s="1059">
        <v>705183</v>
      </c>
      <c r="B821" s="1060" t="s">
        <v>22479</v>
      </c>
      <c r="C821" s="1059" t="s">
        <v>2</v>
      </c>
      <c r="D821" s="1061">
        <v>3186.09</v>
      </c>
    </row>
    <row r="822" spans="1:4" ht="9" customHeight="1" x14ac:dyDescent="0.25">
      <c r="A822" s="1059">
        <v>705182</v>
      </c>
      <c r="B822" s="1060" t="s">
        <v>22480</v>
      </c>
      <c r="C822" s="1059" t="s">
        <v>2</v>
      </c>
      <c r="D822" s="1061">
        <v>2968.31</v>
      </c>
    </row>
    <row r="823" spans="1:4" ht="9" customHeight="1" x14ac:dyDescent="0.25">
      <c r="A823" s="1059">
        <v>705185</v>
      </c>
      <c r="B823" s="1060" t="s">
        <v>22481</v>
      </c>
      <c r="C823" s="1059" t="s">
        <v>2</v>
      </c>
      <c r="D823" s="1061">
        <v>2886.96</v>
      </c>
    </row>
    <row r="824" spans="1:4" ht="9" customHeight="1" x14ac:dyDescent="0.25">
      <c r="A824" s="1059">
        <v>705184</v>
      </c>
      <c r="B824" s="1060" t="s">
        <v>22482</v>
      </c>
      <c r="C824" s="1059" t="s">
        <v>2</v>
      </c>
      <c r="D824" s="1061">
        <v>2669.19</v>
      </c>
    </row>
    <row r="825" spans="1:4" ht="9" customHeight="1" x14ac:dyDescent="0.25">
      <c r="A825" s="1059">
        <v>705193</v>
      </c>
      <c r="B825" s="1060" t="s">
        <v>22483</v>
      </c>
      <c r="C825" s="1059" t="s">
        <v>2</v>
      </c>
      <c r="D825" s="1061">
        <v>4368.29</v>
      </c>
    </row>
    <row r="826" spans="1:4" ht="9" customHeight="1" x14ac:dyDescent="0.25">
      <c r="A826" s="1059">
        <v>705192</v>
      </c>
      <c r="B826" s="1060" t="s">
        <v>22484</v>
      </c>
      <c r="C826" s="1059" t="s">
        <v>2</v>
      </c>
      <c r="D826" s="1061">
        <v>4017.86</v>
      </c>
    </row>
    <row r="827" spans="1:4" ht="9" customHeight="1" x14ac:dyDescent="0.25">
      <c r="A827" s="1059">
        <v>705195</v>
      </c>
      <c r="B827" s="1060" t="s">
        <v>22485</v>
      </c>
      <c r="C827" s="1059" t="s">
        <v>2</v>
      </c>
      <c r="D827" s="1061">
        <v>4671.93</v>
      </c>
    </row>
    <row r="828" spans="1:4" ht="9" customHeight="1" x14ac:dyDescent="0.25">
      <c r="A828" s="1059">
        <v>705194</v>
      </c>
      <c r="B828" s="1060" t="s">
        <v>22486</v>
      </c>
      <c r="C828" s="1059" t="s">
        <v>2</v>
      </c>
      <c r="D828" s="1061">
        <v>4321.5</v>
      </c>
    </row>
    <row r="829" spans="1:4" ht="9" customHeight="1" x14ac:dyDescent="0.25">
      <c r="A829" s="1059">
        <v>705187</v>
      </c>
      <c r="B829" s="1060" t="s">
        <v>22487</v>
      </c>
      <c r="C829" s="1059" t="s">
        <v>2</v>
      </c>
      <c r="D829" s="1061">
        <v>3277</v>
      </c>
    </row>
    <row r="830" spans="1:4" ht="9" customHeight="1" x14ac:dyDescent="0.25">
      <c r="A830" s="1059">
        <v>705186</v>
      </c>
      <c r="B830" s="1060" t="s">
        <v>22488</v>
      </c>
      <c r="C830" s="1059" t="s">
        <v>2</v>
      </c>
      <c r="D830" s="1061">
        <v>2992.24</v>
      </c>
    </row>
    <row r="831" spans="1:4" ht="9" customHeight="1" x14ac:dyDescent="0.25">
      <c r="A831" s="1059">
        <v>705189</v>
      </c>
      <c r="B831" s="1060" t="s">
        <v>22489</v>
      </c>
      <c r="C831" s="1059" t="s">
        <v>2</v>
      </c>
      <c r="D831" s="1061">
        <v>3671.51</v>
      </c>
    </row>
    <row r="832" spans="1:4" ht="9" customHeight="1" x14ac:dyDescent="0.25">
      <c r="A832" s="1059">
        <v>705188</v>
      </c>
      <c r="B832" s="1060" t="s">
        <v>22490</v>
      </c>
      <c r="C832" s="1059" t="s">
        <v>2</v>
      </c>
      <c r="D832" s="1061">
        <v>3386.75</v>
      </c>
    </row>
    <row r="833" spans="1:4" ht="9" customHeight="1" x14ac:dyDescent="0.25">
      <c r="A833" s="1059">
        <v>705191</v>
      </c>
      <c r="B833" s="1060" t="s">
        <v>22491</v>
      </c>
      <c r="C833" s="1059" t="s">
        <v>2</v>
      </c>
      <c r="D833" s="1061">
        <v>4024.04</v>
      </c>
    </row>
    <row r="834" spans="1:4" ht="9" customHeight="1" x14ac:dyDescent="0.25">
      <c r="A834" s="1059">
        <v>705190</v>
      </c>
      <c r="B834" s="1060" t="s">
        <v>22492</v>
      </c>
      <c r="C834" s="1059" t="s">
        <v>2</v>
      </c>
      <c r="D834" s="1061">
        <v>3673.61</v>
      </c>
    </row>
    <row r="835" spans="1:4" ht="9" customHeight="1" x14ac:dyDescent="0.25">
      <c r="A835" s="1059">
        <v>705197</v>
      </c>
      <c r="B835" s="1060" t="s">
        <v>22493</v>
      </c>
      <c r="C835" s="1059" t="s">
        <v>2</v>
      </c>
      <c r="D835" s="1061">
        <v>4346.5600000000004</v>
      </c>
    </row>
    <row r="836" spans="1:4" ht="9" customHeight="1" x14ac:dyDescent="0.25">
      <c r="A836" s="1059">
        <v>705196</v>
      </c>
      <c r="B836" s="1060" t="s">
        <v>22494</v>
      </c>
      <c r="C836" s="1059" t="s">
        <v>2</v>
      </c>
      <c r="D836" s="1061">
        <v>3999.09</v>
      </c>
    </row>
    <row r="837" spans="1:4" ht="9" customHeight="1" x14ac:dyDescent="0.25">
      <c r="A837" s="1059">
        <v>705199</v>
      </c>
      <c r="B837" s="1060" t="s">
        <v>22495</v>
      </c>
      <c r="C837" s="1059" t="s">
        <v>2</v>
      </c>
      <c r="D837" s="1061">
        <v>4120.2700000000004</v>
      </c>
    </row>
    <row r="838" spans="1:4" ht="9" customHeight="1" x14ac:dyDescent="0.25">
      <c r="A838" s="1059">
        <v>705198</v>
      </c>
      <c r="B838" s="1060" t="s">
        <v>22496</v>
      </c>
      <c r="C838" s="1059" t="s">
        <v>2</v>
      </c>
      <c r="D838" s="1061">
        <v>3772.8</v>
      </c>
    </row>
    <row r="839" spans="1:4" ht="9" customHeight="1" x14ac:dyDescent="0.25">
      <c r="A839" s="1059">
        <v>705207</v>
      </c>
      <c r="B839" s="1060" t="s">
        <v>22497</v>
      </c>
      <c r="C839" s="1059" t="s">
        <v>2</v>
      </c>
      <c r="D839" s="1061">
        <v>6175.99</v>
      </c>
    </row>
    <row r="840" spans="1:4" ht="9" customHeight="1" x14ac:dyDescent="0.25">
      <c r="A840" s="1059">
        <v>705206</v>
      </c>
      <c r="B840" s="1060" t="s">
        <v>22498</v>
      </c>
      <c r="C840" s="1059" t="s">
        <v>2</v>
      </c>
      <c r="D840" s="1061">
        <v>5659.06</v>
      </c>
    </row>
    <row r="841" spans="1:4" ht="9" customHeight="1" x14ac:dyDescent="0.25">
      <c r="A841" s="1059">
        <v>705209</v>
      </c>
      <c r="B841" s="1060" t="s">
        <v>22499</v>
      </c>
      <c r="C841" s="1059" t="s">
        <v>2</v>
      </c>
      <c r="D841" s="1061">
        <v>7003.06</v>
      </c>
    </row>
    <row r="842" spans="1:4" ht="9" customHeight="1" x14ac:dyDescent="0.25">
      <c r="A842" s="1059">
        <v>705208</v>
      </c>
      <c r="B842" s="1060" t="s">
        <v>22500</v>
      </c>
      <c r="C842" s="1059" t="s">
        <v>2</v>
      </c>
      <c r="D842" s="1061">
        <v>6400.74</v>
      </c>
    </row>
    <row r="843" spans="1:4" ht="9" customHeight="1" x14ac:dyDescent="0.25">
      <c r="A843" s="1059">
        <v>705201</v>
      </c>
      <c r="B843" s="1060" t="s">
        <v>22501</v>
      </c>
      <c r="C843" s="1059" t="s">
        <v>2</v>
      </c>
      <c r="D843" s="1061">
        <v>4715.0200000000004</v>
      </c>
    </row>
    <row r="844" spans="1:4" ht="9" customHeight="1" x14ac:dyDescent="0.25">
      <c r="A844" s="1059">
        <v>705200</v>
      </c>
      <c r="B844" s="1060" t="s">
        <v>22502</v>
      </c>
      <c r="C844" s="1059" t="s">
        <v>2</v>
      </c>
      <c r="D844" s="1061">
        <v>4367.55</v>
      </c>
    </row>
    <row r="845" spans="1:4" ht="9" customHeight="1" x14ac:dyDescent="0.25">
      <c r="A845" s="1059">
        <v>705203</v>
      </c>
      <c r="B845" s="1060" t="s">
        <v>22503</v>
      </c>
      <c r="C845" s="1059" t="s">
        <v>2</v>
      </c>
      <c r="D845" s="1061">
        <v>5182.8900000000003</v>
      </c>
    </row>
    <row r="846" spans="1:4" ht="9" customHeight="1" x14ac:dyDescent="0.25">
      <c r="A846" s="1059">
        <v>705202</v>
      </c>
      <c r="B846" s="1060" t="s">
        <v>22504</v>
      </c>
      <c r="C846" s="1059" t="s">
        <v>2</v>
      </c>
      <c r="D846" s="1061">
        <v>4756.6099999999997</v>
      </c>
    </row>
    <row r="847" spans="1:4" ht="9" customHeight="1" x14ac:dyDescent="0.25">
      <c r="A847" s="1059">
        <v>705205</v>
      </c>
      <c r="B847" s="1060" t="s">
        <v>22505</v>
      </c>
      <c r="C847" s="1059" t="s">
        <v>2</v>
      </c>
      <c r="D847" s="1061">
        <v>5659.54</v>
      </c>
    </row>
    <row r="848" spans="1:4" ht="9" customHeight="1" x14ac:dyDescent="0.25">
      <c r="A848" s="1059">
        <v>705204</v>
      </c>
      <c r="B848" s="1060" t="s">
        <v>22506</v>
      </c>
      <c r="C848" s="1059" t="s">
        <v>2</v>
      </c>
      <c r="D848" s="1061">
        <v>5233.25</v>
      </c>
    </row>
    <row r="849" spans="1:4" ht="9" customHeight="1" x14ac:dyDescent="0.25">
      <c r="A849" s="1059">
        <v>705211</v>
      </c>
      <c r="B849" s="1060" t="s">
        <v>22507</v>
      </c>
      <c r="C849" s="1059" t="s">
        <v>2</v>
      </c>
      <c r="D849" s="1061">
        <v>5553.14</v>
      </c>
    </row>
    <row r="850" spans="1:4" ht="9" customHeight="1" x14ac:dyDescent="0.25">
      <c r="A850" s="1059">
        <v>705210</v>
      </c>
      <c r="B850" s="1060" t="s">
        <v>22508</v>
      </c>
      <c r="C850" s="1059" t="s">
        <v>2</v>
      </c>
      <c r="D850" s="1061">
        <v>5052.2700000000004</v>
      </c>
    </row>
    <row r="851" spans="1:4" ht="9" customHeight="1" x14ac:dyDescent="0.25">
      <c r="A851" s="1059">
        <v>705213</v>
      </c>
      <c r="B851" s="1060" t="s">
        <v>22509</v>
      </c>
      <c r="C851" s="1059" t="s">
        <v>2</v>
      </c>
      <c r="D851" s="1061">
        <v>5485.06</v>
      </c>
    </row>
    <row r="852" spans="1:4" ht="9" customHeight="1" x14ac:dyDescent="0.25">
      <c r="A852" s="1059">
        <v>705212</v>
      </c>
      <c r="B852" s="1060" t="s">
        <v>22510</v>
      </c>
      <c r="C852" s="1059" t="s">
        <v>2</v>
      </c>
      <c r="D852" s="1061">
        <v>4984.1899999999996</v>
      </c>
    </row>
    <row r="853" spans="1:4" ht="9" customHeight="1" x14ac:dyDescent="0.25">
      <c r="A853" s="1059">
        <v>705221</v>
      </c>
      <c r="B853" s="1060" t="s">
        <v>22511</v>
      </c>
      <c r="C853" s="1059" t="s">
        <v>2</v>
      </c>
      <c r="D853" s="1061">
        <v>8481.2900000000009</v>
      </c>
    </row>
    <row r="854" spans="1:4" ht="9" customHeight="1" x14ac:dyDescent="0.25">
      <c r="A854" s="1059">
        <v>705220</v>
      </c>
      <c r="B854" s="1060" t="s">
        <v>22512</v>
      </c>
      <c r="C854" s="1059" t="s">
        <v>2</v>
      </c>
      <c r="D854" s="1061">
        <v>7778.1</v>
      </c>
    </row>
    <row r="855" spans="1:4" ht="9" customHeight="1" x14ac:dyDescent="0.25">
      <c r="A855" s="1059">
        <v>705223</v>
      </c>
      <c r="B855" s="1060" t="s">
        <v>22513</v>
      </c>
      <c r="C855" s="1059" t="s">
        <v>2</v>
      </c>
      <c r="D855" s="1061">
        <v>9167.43</v>
      </c>
    </row>
    <row r="856" spans="1:4" ht="9" customHeight="1" x14ac:dyDescent="0.25">
      <c r="A856" s="1059">
        <v>705222</v>
      </c>
      <c r="B856" s="1060" t="s">
        <v>22514</v>
      </c>
      <c r="C856" s="1059" t="s">
        <v>2</v>
      </c>
      <c r="D856" s="1061">
        <v>8357.83</v>
      </c>
    </row>
    <row r="857" spans="1:4" ht="9" customHeight="1" x14ac:dyDescent="0.25">
      <c r="A857" s="1059">
        <v>705215</v>
      </c>
      <c r="B857" s="1060" t="s">
        <v>22515</v>
      </c>
      <c r="C857" s="1059" t="s">
        <v>2</v>
      </c>
      <c r="D857" s="1061">
        <v>6487.96</v>
      </c>
    </row>
    <row r="858" spans="1:4" ht="9" customHeight="1" x14ac:dyDescent="0.25">
      <c r="A858" s="1059">
        <v>705214</v>
      </c>
      <c r="B858" s="1060" t="s">
        <v>22516</v>
      </c>
      <c r="C858" s="1059" t="s">
        <v>2</v>
      </c>
      <c r="D858" s="1061">
        <v>5881.98</v>
      </c>
    </row>
    <row r="859" spans="1:4" ht="9" customHeight="1" x14ac:dyDescent="0.25">
      <c r="A859" s="1059">
        <v>705217</v>
      </c>
      <c r="B859" s="1060" t="s">
        <v>22517</v>
      </c>
      <c r="C859" s="1059" t="s">
        <v>2</v>
      </c>
      <c r="D859" s="1061">
        <v>7191.66</v>
      </c>
    </row>
    <row r="860" spans="1:4" ht="9" customHeight="1" x14ac:dyDescent="0.25">
      <c r="A860" s="1059">
        <v>705216</v>
      </c>
      <c r="B860" s="1060" t="s">
        <v>22518</v>
      </c>
      <c r="C860" s="1059" t="s">
        <v>2</v>
      </c>
      <c r="D860" s="1061">
        <v>6585.68</v>
      </c>
    </row>
    <row r="861" spans="1:4" ht="9" customHeight="1" x14ac:dyDescent="0.25">
      <c r="A861" s="1059">
        <v>705219</v>
      </c>
      <c r="B861" s="1060" t="s">
        <v>22519</v>
      </c>
      <c r="C861" s="1059" t="s">
        <v>2</v>
      </c>
      <c r="D861" s="1061">
        <v>7831.44</v>
      </c>
    </row>
    <row r="862" spans="1:4" ht="9" customHeight="1" x14ac:dyDescent="0.25">
      <c r="A862" s="1059">
        <v>705218</v>
      </c>
      <c r="B862" s="1060" t="s">
        <v>22520</v>
      </c>
      <c r="C862" s="1059" t="s">
        <v>2</v>
      </c>
      <c r="D862" s="1061">
        <v>7128.25</v>
      </c>
    </row>
    <row r="863" spans="1:4" ht="9" customHeight="1" x14ac:dyDescent="0.25">
      <c r="A863" s="1059">
        <v>705346</v>
      </c>
      <c r="B863" s="1060" t="s">
        <v>22521</v>
      </c>
      <c r="C863" s="1059" t="s">
        <v>2</v>
      </c>
      <c r="D863" s="1061">
        <v>5239.04</v>
      </c>
    </row>
    <row r="864" spans="1:4" ht="9" customHeight="1" x14ac:dyDescent="0.25">
      <c r="A864" s="1059">
        <v>705345</v>
      </c>
      <c r="B864" s="1060" t="s">
        <v>22522</v>
      </c>
      <c r="C864" s="1059" t="s">
        <v>2</v>
      </c>
      <c r="D864" s="1061">
        <v>4803.71</v>
      </c>
    </row>
    <row r="865" spans="1:4" ht="9" customHeight="1" x14ac:dyDescent="0.25">
      <c r="A865" s="1059">
        <v>705348</v>
      </c>
      <c r="B865" s="1060" t="s">
        <v>22523</v>
      </c>
      <c r="C865" s="1059" t="s">
        <v>2</v>
      </c>
      <c r="D865" s="1061">
        <v>4715.93</v>
      </c>
    </row>
    <row r="866" spans="1:4" ht="9" customHeight="1" x14ac:dyDescent="0.25">
      <c r="A866" s="1059">
        <v>705347</v>
      </c>
      <c r="B866" s="1060" t="s">
        <v>22524</v>
      </c>
      <c r="C866" s="1059" t="s">
        <v>2</v>
      </c>
      <c r="D866" s="1061">
        <v>4280.6000000000004</v>
      </c>
    </row>
    <row r="867" spans="1:4" ht="9" customHeight="1" x14ac:dyDescent="0.25">
      <c r="A867" s="1059">
        <v>705356</v>
      </c>
      <c r="B867" s="1060" t="s">
        <v>22525</v>
      </c>
      <c r="C867" s="1059" t="s">
        <v>2</v>
      </c>
      <c r="D867" s="1061">
        <v>6961.85</v>
      </c>
    </row>
    <row r="868" spans="1:4" ht="9" customHeight="1" x14ac:dyDescent="0.25">
      <c r="A868" s="1059">
        <v>705355</v>
      </c>
      <c r="B868" s="1060" t="s">
        <v>22526</v>
      </c>
      <c r="C868" s="1059" t="s">
        <v>2</v>
      </c>
      <c r="D868" s="1061">
        <v>6383.35</v>
      </c>
    </row>
    <row r="869" spans="1:4" ht="9" customHeight="1" x14ac:dyDescent="0.25">
      <c r="A869" s="1059">
        <v>705358</v>
      </c>
      <c r="B869" s="1060" t="s">
        <v>22527</v>
      </c>
      <c r="C869" s="1059" t="s">
        <v>2</v>
      </c>
      <c r="D869" s="1061">
        <v>7067.9</v>
      </c>
    </row>
    <row r="870" spans="1:4" ht="9" customHeight="1" x14ac:dyDescent="0.25">
      <c r="A870" s="1059">
        <v>705357</v>
      </c>
      <c r="B870" s="1060" t="s">
        <v>22528</v>
      </c>
      <c r="C870" s="1059" t="s">
        <v>2</v>
      </c>
      <c r="D870" s="1061">
        <v>6489.41</v>
      </c>
    </row>
    <row r="871" spans="1:4" ht="9" customHeight="1" x14ac:dyDescent="0.25">
      <c r="A871" s="1059">
        <v>705350</v>
      </c>
      <c r="B871" s="1060" t="s">
        <v>22529</v>
      </c>
      <c r="C871" s="1059" t="s">
        <v>2</v>
      </c>
      <c r="D871" s="1061">
        <v>5143.4799999999996</v>
      </c>
    </row>
    <row r="872" spans="1:4" ht="9" customHeight="1" x14ac:dyDescent="0.25">
      <c r="A872" s="1059">
        <v>705349</v>
      </c>
      <c r="B872" s="1060" t="s">
        <v>22530</v>
      </c>
      <c r="C872" s="1059" t="s">
        <v>2</v>
      </c>
      <c r="D872" s="1061">
        <v>4708.16</v>
      </c>
    </row>
    <row r="873" spans="1:4" ht="9" customHeight="1" x14ac:dyDescent="0.25">
      <c r="A873" s="1059">
        <v>705352</v>
      </c>
      <c r="B873" s="1060" t="s">
        <v>22531</v>
      </c>
      <c r="C873" s="1059" t="s">
        <v>2</v>
      </c>
      <c r="D873" s="1061">
        <v>5508.65</v>
      </c>
    </row>
    <row r="874" spans="1:4" ht="9" customHeight="1" x14ac:dyDescent="0.25">
      <c r="A874" s="1059">
        <v>705351</v>
      </c>
      <c r="B874" s="1060" t="s">
        <v>22532</v>
      </c>
      <c r="C874" s="1059" t="s">
        <v>2</v>
      </c>
      <c r="D874" s="1061">
        <v>5073.33</v>
      </c>
    </row>
    <row r="875" spans="1:4" ht="9" customHeight="1" x14ac:dyDescent="0.25">
      <c r="A875" s="1059">
        <v>705354</v>
      </c>
      <c r="B875" s="1060" t="s">
        <v>22533</v>
      </c>
      <c r="C875" s="1059" t="s">
        <v>2</v>
      </c>
      <c r="D875" s="1061">
        <v>6060.66</v>
      </c>
    </row>
    <row r="876" spans="1:4" ht="9" customHeight="1" x14ac:dyDescent="0.25">
      <c r="A876" s="1059">
        <v>705353</v>
      </c>
      <c r="B876" s="1060" t="s">
        <v>22534</v>
      </c>
      <c r="C876" s="1059" t="s">
        <v>2</v>
      </c>
      <c r="D876" s="1061">
        <v>5625.34</v>
      </c>
    </row>
    <row r="877" spans="1:4" ht="9" customHeight="1" x14ac:dyDescent="0.25">
      <c r="A877" s="1059">
        <v>705360</v>
      </c>
      <c r="B877" s="1060" t="s">
        <v>22535</v>
      </c>
      <c r="C877" s="1059" t="s">
        <v>2</v>
      </c>
      <c r="D877" s="1061">
        <v>7516.57</v>
      </c>
    </row>
    <row r="878" spans="1:4" ht="9" customHeight="1" x14ac:dyDescent="0.25">
      <c r="A878" s="1059">
        <v>705359</v>
      </c>
      <c r="B878" s="1060" t="s">
        <v>22536</v>
      </c>
      <c r="C878" s="1059" t="s">
        <v>2</v>
      </c>
      <c r="D878" s="1061">
        <v>6954.8</v>
      </c>
    </row>
    <row r="879" spans="1:4" ht="9" customHeight="1" x14ac:dyDescent="0.25">
      <c r="A879" s="1059">
        <v>705362</v>
      </c>
      <c r="B879" s="1060" t="s">
        <v>22537</v>
      </c>
      <c r="C879" s="1059" t="s">
        <v>2</v>
      </c>
      <c r="D879" s="1061">
        <v>6841.55</v>
      </c>
    </row>
    <row r="880" spans="1:4" ht="9" customHeight="1" x14ac:dyDescent="0.25">
      <c r="A880" s="1059">
        <v>705361</v>
      </c>
      <c r="B880" s="1060" t="s">
        <v>22538</v>
      </c>
      <c r="C880" s="1059" t="s">
        <v>2</v>
      </c>
      <c r="D880" s="1061">
        <v>6279.78</v>
      </c>
    </row>
    <row r="881" spans="1:4" ht="9" customHeight="1" x14ac:dyDescent="0.25">
      <c r="A881" s="1059">
        <v>705370</v>
      </c>
      <c r="B881" s="1060" t="s">
        <v>22539</v>
      </c>
      <c r="C881" s="1059" t="s">
        <v>2</v>
      </c>
      <c r="D881" s="1061">
        <v>10212.51</v>
      </c>
    </row>
    <row r="882" spans="1:4" ht="9" customHeight="1" x14ac:dyDescent="0.25">
      <c r="A882" s="1059">
        <v>705369</v>
      </c>
      <c r="B882" s="1060" t="s">
        <v>22540</v>
      </c>
      <c r="C882" s="1059" t="s">
        <v>2</v>
      </c>
      <c r="D882" s="1061">
        <v>9317.09</v>
      </c>
    </row>
    <row r="883" spans="1:4" ht="9" customHeight="1" x14ac:dyDescent="0.25">
      <c r="A883" s="1059">
        <v>705372</v>
      </c>
      <c r="B883" s="1060" t="s">
        <v>22541</v>
      </c>
      <c r="C883" s="1059" t="s">
        <v>2</v>
      </c>
      <c r="D883" s="1061">
        <v>10873.54</v>
      </c>
    </row>
    <row r="884" spans="1:4" ht="9" customHeight="1" x14ac:dyDescent="0.25">
      <c r="A884" s="1059">
        <v>705371</v>
      </c>
      <c r="B884" s="1060" t="s">
        <v>22542</v>
      </c>
      <c r="C884" s="1059" t="s">
        <v>2</v>
      </c>
      <c r="D884" s="1061">
        <v>9978.1200000000008</v>
      </c>
    </row>
    <row r="885" spans="1:4" ht="9" customHeight="1" x14ac:dyDescent="0.25">
      <c r="A885" s="1059">
        <v>705364</v>
      </c>
      <c r="B885" s="1060" t="s">
        <v>22543</v>
      </c>
      <c r="C885" s="1059" t="s">
        <v>2</v>
      </c>
      <c r="D885" s="1061">
        <v>7744.43</v>
      </c>
    </row>
    <row r="886" spans="1:4" ht="9" customHeight="1" x14ac:dyDescent="0.25">
      <c r="A886" s="1059">
        <v>705363</v>
      </c>
      <c r="B886" s="1060" t="s">
        <v>22544</v>
      </c>
      <c r="C886" s="1059" t="s">
        <v>2</v>
      </c>
      <c r="D886" s="1061">
        <v>7182.65</v>
      </c>
    </row>
    <row r="887" spans="1:4" ht="9" customHeight="1" x14ac:dyDescent="0.25">
      <c r="A887" s="1059">
        <v>705366</v>
      </c>
      <c r="B887" s="1060" t="s">
        <v>22545</v>
      </c>
      <c r="C887" s="1059" t="s">
        <v>2</v>
      </c>
      <c r="D887" s="1061">
        <v>8467.14</v>
      </c>
    </row>
    <row r="888" spans="1:4" ht="9" customHeight="1" x14ac:dyDescent="0.25">
      <c r="A888" s="1059">
        <v>705365</v>
      </c>
      <c r="B888" s="1060" t="s">
        <v>22546</v>
      </c>
      <c r="C888" s="1059" t="s">
        <v>2</v>
      </c>
      <c r="D888" s="1061">
        <v>7729.34</v>
      </c>
    </row>
    <row r="889" spans="1:4" ht="9" customHeight="1" x14ac:dyDescent="0.25">
      <c r="A889" s="1059">
        <v>705368</v>
      </c>
      <c r="B889" s="1060" t="s">
        <v>22547</v>
      </c>
      <c r="C889" s="1059" t="s">
        <v>2</v>
      </c>
      <c r="D889" s="1061">
        <v>9488.31</v>
      </c>
    </row>
    <row r="890" spans="1:4" ht="9" customHeight="1" x14ac:dyDescent="0.25">
      <c r="A890" s="1059">
        <v>705367</v>
      </c>
      <c r="B890" s="1060" t="s">
        <v>22548</v>
      </c>
      <c r="C890" s="1059" t="s">
        <v>2</v>
      </c>
      <c r="D890" s="1061">
        <v>8750.51</v>
      </c>
    </row>
    <row r="891" spans="1:4" ht="9" customHeight="1" x14ac:dyDescent="0.25">
      <c r="A891" s="1059">
        <v>705374</v>
      </c>
      <c r="B891" s="1060" t="s">
        <v>22549</v>
      </c>
      <c r="C891" s="1059" t="s">
        <v>2</v>
      </c>
      <c r="D891" s="1061">
        <v>9919.5400000000009</v>
      </c>
    </row>
    <row r="892" spans="1:4" ht="9" customHeight="1" x14ac:dyDescent="0.25">
      <c r="A892" s="1059">
        <v>705373</v>
      </c>
      <c r="B892" s="1060" t="s">
        <v>22550</v>
      </c>
      <c r="C892" s="1059" t="s">
        <v>2</v>
      </c>
      <c r="D892" s="1061">
        <v>9206.39</v>
      </c>
    </row>
    <row r="893" spans="1:4" ht="9" customHeight="1" x14ac:dyDescent="0.25">
      <c r="A893" s="1059">
        <v>705376</v>
      </c>
      <c r="B893" s="1060" t="s">
        <v>22551</v>
      </c>
      <c r="C893" s="1059" t="s">
        <v>2</v>
      </c>
      <c r="D893" s="1061">
        <v>8894.24</v>
      </c>
    </row>
    <row r="894" spans="1:4" ht="9" customHeight="1" x14ac:dyDescent="0.25">
      <c r="A894" s="1059">
        <v>705375</v>
      </c>
      <c r="B894" s="1060" t="s">
        <v>22552</v>
      </c>
      <c r="C894" s="1059" t="s">
        <v>2</v>
      </c>
      <c r="D894" s="1061">
        <v>8181.09</v>
      </c>
    </row>
    <row r="895" spans="1:4" ht="9" customHeight="1" x14ac:dyDescent="0.25">
      <c r="A895" s="1059">
        <v>705384</v>
      </c>
      <c r="B895" s="1060" t="s">
        <v>22553</v>
      </c>
      <c r="C895" s="1059" t="s">
        <v>2</v>
      </c>
      <c r="D895" s="1061">
        <v>13504.55</v>
      </c>
    </row>
    <row r="896" spans="1:4" ht="9" customHeight="1" x14ac:dyDescent="0.25">
      <c r="A896" s="1059">
        <v>705383</v>
      </c>
      <c r="B896" s="1060" t="s">
        <v>22554</v>
      </c>
      <c r="C896" s="1059" t="s">
        <v>2</v>
      </c>
      <c r="D896" s="1061">
        <v>12415.68</v>
      </c>
    </row>
    <row r="897" spans="1:4" ht="9" customHeight="1" x14ac:dyDescent="0.25">
      <c r="A897" s="1059">
        <v>705386</v>
      </c>
      <c r="B897" s="1060" t="s">
        <v>22555</v>
      </c>
      <c r="C897" s="1059" t="s">
        <v>2</v>
      </c>
      <c r="D897" s="1061">
        <v>14554.1</v>
      </c>
    </row>
    <row r="898" spans="1:4" ht="9" customHeight="1" x14ac:dyDescent="0.25">
      <c r="A898" s="1059">
        <v>705385</v>
      </c>
      <c r="B898" s="1060" t="s">
        <v>22556</v>
      </c>
      <c r="C898" s="1059" t="s">
        <v>2</v>
      </c>
      <c r="D898" s="1061">
        <v>13465.23</v>
      </c>
    </row>
    <row r="899" spans="1:4" ht="9" customHeight="1" x14ac:dyDescent="0.25">
      <c r="A899" s="1059">
        <v>705378</v>
      </c>
      <c r="B899" s="1060" t="s">
        <v>22557</v>
      </c>
      <c r="C899" s="1059" t="s">
        <v>2</v>
      </c>
      <c r="D899" s="1061">
        <v>10110.89</v>
      </c>
    </row>
    <row r="900" spans="1:4" ht="9" customHeight="1" x14ac:dyDescent="0.25">
      <c r="A900" s="1059">
        <v>705377</v>
      </c>
      <c r="B900" s="1060" t="s">
        <v>22558</v>
      </c>
      <c r="C900" s="1059" t="s">
        <v>2</v>
      </c>
      <c r="D900" s="1061">
        <v>9212.51</v>
      </c>
    </row>
    <row r="901" spans="1:4" ht="9" customHeight="1" x14ac:dyDescent="0.25">
      <c r="A901" s="1059">
        <v>705380</v>
      </c>
      <c r="B901" s="1060" t="s">
        <v>22559</v>
      </c>
      <c r="C901" s="1059" t="s">
        <v>2</v>
      </c>
      <c r="D901" s="1061">
        <v>11464.7</v>
      </c>
    </row>
    <row r="902" spans="1:4" ht="9" customHeight="1" x14ac:dyDescent="0.25">
      <c r="A902" s="1059">
        <v>705379</v>
      </c>
      <c r="B902" s="1060" t="s">
        <v>22560</v>
      </c>
      <c r="C902" s="1059" t="s">
        <v>2</v>
      </c>
      <c r="D902" s="1061">
        <v>10566.32</v>
      </c>
    </row>
    <row r="903" spans="1:4" ht="9" customHeight="1" x14ac:dyDescent="0.25">
      <c r="A903" s="1059">
        <v>705382</v>
      </c>
      <c r="B903" s="1060" t="s">
        <v>22561</v>
      </c>
      <c r="C903" s="1059" t="s">
        <v>2</v>
      </c>
      <c r="D903" s="1061">
        <v>12633.43</v>
      </c>
    </row>
    <row r="904" spans="1:4" ht="9" customHeight="1" x14ac:dyDescent="0.25">
      <c r="A904" s="1059">
        <v>705381</v>
      </c>
      <c r="B904" s="1060" t="s">
        <v>22562</v>
      </c>
      <c r="C904" s="1059" t="s">
        <v>2</v>
      </c>
      <c r="D904" s="1061">
        <v>11544.56</v>
      </c>
    </row>
    <row r="905" spans="1:4" ht="9" customHeight="1" x14ac:dyDescent="0.25">
      <c r="A905" s="1059">
        <v>705388</v>
      </c>
      <c r="B905" s="1060" t="s">
        <v>22563</v>
      </c>
      <c r="C905" s="1059" t="s">
        <v>2</v>
      </c>
      <c r="D905" s="1061">
        <v>12467.01</v>
      </c>
    </row>
    <row r="906" spans="1:4" ht="9" customHeight="1" x14ac:dyDescent="0.25">
      <c r="A906" s="1059">
        <v>705387</v>
      </c>
      <c r="B906" s="1060" t="s">
        <v>22564</v>
      </c>
      <c r="C906" s="1059" t="s">
        <v>2</v>
      </c>
      <c r="D906" s="1061">
        <v>11409.32</v>
      </c>
    </row>
    <row r="907" spans="1:4" ht="9" customHeight="1" x14ac:dyDescent="0.25">
      <c r="A907" s="1059">
        <v>705389</v>
      </c>
      <c r="B907" s="1060" t="s">
        <v>22565</v>
      </c>
      <c r="C907" s="1059" t="s">
        <v>2</v>
      </c>
      <c r="D907" s="1061">
        <v>10684</v>
      </c>
    </row>
    <row r="908" spans="1:4" ht="9" customHeight="1" x14ac:dyDescent="0.25">
      <c r="A908" s="1059">
        <v>705390</v>
      </c>
      <c r="B908" s="1060" t="s">
        <v>22566</v>
      </c>
      <c r="C908" s="1059" t="s">
        <v>2</v>
      </c>
      <c r="D908" s="1061">
        <v>11741.69</v>
      </c>
    </row>
    <row r="909" spans="1:4" ht="9" customHeight="1" x14ac:dyDescent="0.25">
      <c r="A909" s="1059">
        <v>705399</v>
      </c>
      <c r="B909" s="1060" t="s">
        <v>22567</v>
      </c>
      <c r="C909" s="1059" t="s">
        <v>2</v>
      </c>
      <c r="D909" s="1061">
        <v>18108.38</v>
      </c>
    </row>
    <row r="910" spans="1:4" ht="9" customHeight="1" x14ac:dyDescent="0.25">
      <c r="A910" s="1059">
        <v>705398</v>
      </c>
      <c r="B910" s="1060" t="s">
        <v>22568</v>
      </c>
      <c r="C910" s="1059" t="s">
        <v>2</v>
      </c>
      <c r="D910" s="1061">
        <v>16525.14</v>
      </c>
    </row>
    <row r="911" spans="1:4" ht="9" customHeight="1" x14ac:dyDescent="0.25">
      <c r="A911" s="1059">
        <v>705401</v>
      </c>
      <c r="B911" s="1060" t="s">
        <v>22569</v>
      </c>
      <c r="C911" s="1059" t="s">
        <v>2</v>
      </c>
      <c r="D911" s="1061">
        <v>19529.759999999998</v>
      </c>
    </row>
    <row r="912" spans="1:4" ht="9" customHeight="1" x14ac:dyDescent="0.25">
      <c r="A912" s="1059">
        <v>705400</v>
      </c>
      <c r="B912" s="1060" t="s">
        <v>22570</v>
      </c>
      <c r="C912" s="1059" t="s">
        <v>2</v>
      </c>
      <c r="D912" s="1061">
        <v>17946.52</v>
      </c>
    </row>
    <row r="913" spans="1:4" ht="9" customHeight="1" x14ac:dyDescent="0.25">
      <c r="A913" s="1059">
        <v>705392</v>
      </c>
      <c r="B913" s="1060" t="s">
        <v>22571</v>
      </c>
      <c r="C913" s="1059" t="s">
        <v>2</v>
      </c>
      <c r="D913" s="1061">
        <v>13395.3</v>
      </c>
    </row>
    <row r="914" spans="1:4" ht="9" customHeight="1" x14ac:dyDescent="0.25">
      <c r="A914" s="1059">
        <v>705391</v>
      </c>
      <c r="B914" s="1060" t="s">
        <v>22572</v>
      </c>
      <c r="C914" s="1059" t="s">
        <v>2</v>
      </c>
      <c r="D914" s="1061">
        <v>12114.27</v>
      </c>
    </row>
    <row r="915" spans="1:4" ht="9" customHeight="1" x14ac:dyDescent="0.25">
      <c r="A915" s="1059">
        <v>705395</v>
      </c>
      <c r="B915" s="1060" t="s">
        <v>22573</v>
      </c>
      <c r="C915" s="1059" t="s">
        <v>2</v>
      </c>
      <c r="D915" s="1061">
        <v>15280.9</v>
      </c>
    </row>
    <row r="916" spans="1:4" ht="9" customHeight="1" x14ac:dyDescent="0.25">
      <c r="A916" s="1059">
        <v>705394</v>
      </c>
      <c r="B916" s="1060" t="s">
        <v>22574</v>
      </c>
      <c r="C916" s="1059" t="s">
        <v>2</v>
      </c>
      <c r="D916" s="1061">
        <v>13999.86</v>
      </c>
    </row>
    <row r="917" spans="1:4" ht="9" customHeight="1" x14ac:dyDescent="0.25">
      <c r="A917" s="1059">
        <v>705397</v>
      </c>
      <c r="B917" s="1060" t="s">
        <v>22575</v>
      </c>
      <c r="C917" s="1059" t="s">
        <v>2</v>
      </c>
      <c r="D917" s="1061">
        <v>16751.43</v>
      </c>
    </row>
    <row r="918" spans="1:4" ht="9" customHeight="1" x14ac:dyDescent="0.25">
      <c r="A918" s="1059">
        <v>705396</v>
      </c>
      <c r="B918" s="1060" t="s">
        <v>22576</v>
      </c>
      <c r="C918" s="1059" t="s">
        <v>2</v>
      </c>
      <c r="D918" s="1061">
        <v>15168.18</v>
      </c>
    </row>
    <row r="919" spans="1:4" ht="9" customHeight="1" x14ac:dyDescent="0.25">
      <c r="A919" s="1059">
        <v>804213</v>
      </c>
      <c r="B919" s="1060" t="s">
        <v>22577</v>
      </c>
      <c r="C919" s="1059" t="s">
        <v>3</v>
      </c>
      <c r="D919" s="1061">
        <v>1451.87</v>
      </c>
    </row>
    <row r="920" spans="1:4" ht="9" customHeight="1" x14ac:dyDescent="0.25">
      <c r="A920" s="1059">
        <v>804212</v>
      </c>
      <c r="B920" s="1060" t="s">
        <v>22578</v>
      </c>
      <c r="C920" s="1059" t="s">
        <v>3</v>
      </c>
      <c r="D920" s="1061">
        <v>1194.6400000000001</v>
      </c>
    </row>
    <row r="921" spans="1:4" ht="9" customHeight="1" x14ac:dyDescent="0.25">
      <c r="A921" s="1059">
        <v>804217</v>
      </c>
      <c r="B921" s="1060" t="s">
        <v>22579</v>
      </c>
      <c r="C921" s="1059" t="s">
        <v>3</v>
      </c>
      <c r="D921" s="1061">
        <v>1460.06</v>
      </c>
    </row>
    <row r="922" spans="1:4" ht="9" customHeight="1" x14ac:dyDescent="0.25">
      <c r="A922" s="1059">
        <v>804216</v>
      </c>
      <c r="B922" s="1060" t="s">
        <v>22580</v>
      </c>
      <c r="C922" s="1059" t="s">
        <v>3</v>
      </c>
      <c r="D922" s="1061">
        <v>1202.31</v>
      </c>
    </row>
    <row r="923" spans="1:4" ht="9" customHeight="1" x14ac:dyDescent="0.25">
      <c r="A923" s="1059">
        <v>804219</v>
      </c>
      <c r="B923" s="1060" t="s">
        <v>22581</v>
      </c>
      <c r="C923" s="1059" t="s">
        <v>3</v>
      </c>
      <c r="D923" s="1061">
        <v>1470.39</v>
      </c>
    </row>
    <row r="924" spans="1:4" ht="9" customHeight="1" x14ac:dyDescent="0.25">
      <c r="A924" s="1059">
        <v>804218</v>
      </c>
      <c r="B924" s="1060" t="s">
        <v>22582</v>
      </c>
      <c r="C924" s="1059" t="s">
        <v>3</v>
      </c>
      <c r="D924" s="1061">
        <v>1212.1099999999999</v>
      </c>
    </row>
    <row r="925" spans="1:4" ht="9" customHeight="1" x14ac:dyDescent="0.25">
      <c r="A925" s="1059">
        <v>804221</v>
      </c>
      <c r="B925" s="1060" t="s">
        <v>22583</v>
      </c>
      <c r="C925" s="1059" t="s">
        <v>3</v>
      </c>
      <c r="D925" s="1061">
        <v>1487.05</v>
      </c>
    </row>
    <row r="926" spans="1:4" ht="9" customHeight="1" x14ac:dyDescent="0.25">
      <c r="A926" s="1059">
        <v>804220</v>
      </c>
      <c r="B926" s="1060" t="s">
        <v>22584</v>
      </c>
      <c r="C926" s="1059" t="s">
        <v>3</v>
      </c>
      <c r="D926" s="1061">
        <v>1227.8499999999999</v>
      </c>
    </row>
    <row r="927" spans="1:4" ht="9" customHeight="1" x14ac:dyDescent="0.25">
      <c r="A927" s="1059">
        <v>804223</v>
      </c>
      <c r="B927" s="1060" t="s">
        <v>22585</v>
      </c>
      <c r="C927" s="1059" t="s">
        <v>3</v>
      </c>
      <c r="D927" s="1061">
        <v>1508.86</v>
      </c>
    </row>
    <row r="928" spans="1:4" ht="9" customHeight="1" x14ac:dyDescent="0.25">
      <c r="A928" s="1059">
        <v>804222</v>
      </c>
      <c r="B928" s="1060" t="s">
        <v>22586</v>
      </c>
      <c r="C928" s="1059" t="s">
        <v>3</v>
      </c>
      <c r="D928" s="1061">
        <v>1248.48</v>
      </c>
    </row>
    <row r="929" spans="1:4" ht="9" customHeight="1" x14ac:dyDescent="0.25">
      <c r="A929" s="1059">
        <v>804225</v>
      </c>
      <c r="B929" s="1060" t="s">
        <v>22587</v>
      </c>
      <c r="C929" s="1059" t="s">
        <v>3</v>
      </c>
      <c r="D929" s="1061">
        <v>1537.55</v>
      </c>
    </row>
    <row r="930" spans="1:4" ht="9" customHeight="1" x14ac:dyDescent="0.25">
      <c r="A930" s="1059">
        <v>804224</v>
      </c>
      <c r="B930" s="1060" t="s">
        <v>22588</v>
      </c>
      <c r="C930" s="1059" t="s">
        <v>3</v>
      </c>
      <c r="D930" s="1061">
        <v>1275.8499999999999</v>
      </c>
    </row>
    <row r="931" spans="1:4" ht="9" customHeight="1" x14ac:dyDescent="0.25">
      <c r="A931" s="1059">
        <v>804227</v>
      </c>
      <c r="B931" s="1060" t="s">
        <v>22589</v>
      </c>
      <c r="C931" s="1059" t="s">
        <v>3</v>
      </c>
      <c r="D931" s="1061">
        <v>1576.4</v>
      </c>
    </row>
    <row r="932" spans="1:4" ht="9" customHeight="1" x14ac:dyDescent="0.25">
      <c r="A932" s="1059">
        <v>804226</v>
      </c>
      <c r="B932" s="1060" t="s">
        <v>22590</v>
      </c>
      <c r="C932" s="1059" t="s">
        <v>3</v>
      </c>
      <c r="D932" s="1061">
        <v>1313.12</v>
      </c>
    </row>
    <row r="933" spans="1:4" ht="9" customHeight="1" x14ac:dyDescent="0.25">
      <c r="A933" s="1059">
        <v>804229</v>
      </c>
      <c r="B933" s="1060" t="s">
        <v>22591</v>
      </c>
      <c r="C933" s="1059" t="s">
        <v>3</v>
      </c>
      <c r="D933" s="1061">
        <v>1627.11</v>
      </c>
    </row>
    <row r="934" spans="1:4" ht="9" customHeight="1" x14ac:dyDescent="0.25">
      <c r="A934" s="1059">
        <v>804228</v>
      </c>
      <c r="B934" s="1060" t="s">
        <v>22592</v>
      </c>
      <c r="C934" s="1059" t="s">
        <v>3</v>
      </c>
      <c r="D934" s="1061">
        <v>1362.13</v>
      </c>
    </row>
    <row r="935" spans="1:4" ht="9" customHeight="1" x14ac:dyDescent="0.25">
      <c r="A935" s="1059">
        <v>804231</v>
      </c>
      <c r="B935" s="1060" t="s">
        <v>22593</v>
      </c>
      <c r="C935" s="1059" t="s">
        <v>3</v>
      </c>
      <c r="D935" s="1061">
        <v>1696.56</v>
      </c>
    </row>
    <row r="936" spans="1:4" ht="9" customHeight="1" x14ac:dyDescent="0.25">
      <c r="A936" s="1059">
        <v>804230</v>
      </c>
      <c r="B936" s="1060" t="s">
        <v>22594</v>
      </c>
      <c r="C936" s="1059" t="s">
        <v>3</v>
      </c>
      <c r="D936" s="1061">
        <v>1429.6</v>
      </c>
    </row>
    <row r="937" spans="1:4" ht="9" customHeight="1" x14ac:dyDescent="0.25">
      <c r="A937" s="1059">
        <v>804215</v>
      </c>
      <c r="B937" s="1060" t="s">
        <v>22595</v>
      </c>
      <c r="C937" s="1059" t="s">
        <v>3</v>
      </c>
      <c r="D937" s="1061">
        <v>1453.74</v>
      </c>
    </row>
    <row r="938" spans="1:4" ht="9" customHeight="1" x14ac:dyDescent="0.25">
      <c r="A938" s="1059">
        <v>804214</v>
      </c>
      <c r="B938" s="1060" t="s">
        <v>22596</v>
      </c>
      <c r="C938" s="1059" t="s">
        <v>3</v>
      </c>
      <c r="D938" s="1061">
        <v>1196.3800000000001</v>
      </c>
    </row>
    <row r="939" spans="1:4" ht="9" customHeight="1" x14ac:dyDescent="0.25">
      <c r="A939" s="1059">
        <v>804417</v>
      </c>
      <c r="B939" s="1060" t="s">
        <v>22597</v>
      </c>
      <c r="C939" s="1059" t="s">
        <v>3</v>
      </c>
      <c r="D939" s="1061">
        <v>3756.3</v>
      </c>
    </row>
    <row r="940" spans="1:4" ht="9" customHeight="1" x14ac:dyDescent="0.25">
      <c r="A940" s="1059">
        <v>804233</v>
      </c>
      <c r="B940" s="1060" t="s">
        <v>22598</v>
      </c>
      <c r="C940" s="1059" t="s">
        <v>3</v>
      </c>
      <c r="D940" s="1061">
        <v>2160.8000000000002</v>
      </c>
    </row>
    <row r="941" spans="1:4" ht="9" customHeight="1" x14ac:dyDescent="0.25">
      <c r="A941" s="1059">
        <v>804416</v>
      </c>
      <c r="B941" s="1060" t="s">
        <v>22599</v>
      </c>
      <c r="C941" s="1059" t="s">
        <v>3</v>
      </c>
      <c r="D941" s="1061">
        <v>3085.16</v>
      </c>
    </row>
    <row r="942" spans="1:4" ht="9" customHeight="1" x14ac:dyDescent="0.25">
      <c r="A942" s="1059">
        <v>804232</v>
      </c>
      <c r="B942" s="1060" t="s">
        <v>22600</v>
      </c>
      <c r="C942" s="1059" t="s">
        <v>3</v>
      </c>
      <c r="D942" s="1061">
        <v>1761.61</v>
      </c>
    </row>
    <row r="943" spans="1:4" ht="9" customHeight="1" x14ac:dyDescent="0.25">
      <c r="A943" s="1059">
        <v>804237</v>
      </c>
      <c r="B943" s="1060" t="s">
        <v>22601</v>
      </c>
      <c r="C943" s="1059" t="s">
        <v>3</v>
      </c>
      <c r="D943" s="1061">
        <v>2173.17</v>
      </c>
    </row>
    <row r="944" spans="1:4" ht="9" customHeight="1" x14ac:dyDescent="0.25">
      <c r="A944" s="1059">
        <v>804236</v>
      </c>
      <c r="B944" s="1060" t="s">
        <v>22602</v>
      </c>
      <c r="C944" s="1059" t="s">
        <v>3</v>
      </c>
      <c r="D944" s="1061">
        <v>1773.06</v>
      </c>
    </row>
    <row r="945" spans="1:4" ht="9" customHeight="1" x14ac:dyDescent="0.25">
      <c r="A945" s="1059">
        <v>804419</v>
      </c>
      <c r="B945" s="1060" t="s">
        <v>22603</v>
      </c>
      <c r="C945" s="1059" t="s">
        <v>3</v>
      </c>
      <c r="D945" s="1061">
        <v>3929.56</v>
      </c>
    </row>
    <row r="946" spans="1:4" ht="9" customHeight="1" x14ac:dyDescent="0.25">
      <c r="A946" s="1059">
        <v>804239</v>
      </c>
      <c r="B946" s="1060" t="s">
        <v>22604</v>
      </c>
      <c r="C946" s="1059" t="s">
        <v>3</v>
      </c>
      <c r="D946" s="1061">
        <v>2189.27</v>
      </c>
    </row>
    <row r="947" spans="1:4" ht="9" customHeight="1" x14ac:dyDescent="0.25">
      <c r="A947" s="1059">
        <v>804418</v>
      </c>
      <c r="B947" s="1060" t="s">
        <v>22605</v>
      </c>
      <c r="C947" s="1059" t="s">
        <v>3</v>
      </c>
      <c r="D947" s="1061">
        <v>3226.36</v>
      </c>
    </row>
    <row r="948" spans="1:4" ht="9" customHeight="1" x14ac:dyDescent="0.25">
      <c r="A948" s="1059">
        <v>804238</v>
      </c>
      <c r="B948" s="1060" t="s">
        <v>22606</v>
      </c>
      <c r="C948" s="1059" t="s">
        <v>3</v>
      </c>
      <c r="D948" s="1061">
        <v>1787.98</v>
      </c>
    </row>
    <row r="949" spans="1:4" ht="9" customHeight="1" x14ac:dyDescent="0.25">
      <c r="A949" s="1059">
        <v>804241</v>
      </c>
      <c r="B949" s="1060" t="s">
        <v>22607</v>
      </c>
      <c r="C949" s="1059" t="s">
        <v>3</v>
      </c>
      <c r="D949" s="1061">
        <v>2212.41</v>
      </c>
    </row>
    <row r="950" spans="1:4" ht="9" customHeight="1" x14ac:dyDescent="0.25">
      <c r="A950" s="1059">
        <v>804240</v>
      </c>
      <c r="B950" s="1060" t="s">
        <v>22608</v>
      </c>
      <c r="C950" s="1059" t="s">
        <v>3</v>
      </c>
      <c r="D950" s="1061">
        <v>1809.55</v>
      </c>
    </row>
    <row r="951" spans="1:4" ht="9" customHeight="1" x14ac:dyDescent="0.25">
      <c r="A951" s="1059">
        <v>804243</v>
      </c>
      <c r="B951" s="1060" t="s">
        <v>22609</v>
      </c>
      <c r="C951" s="1059" t="s">
        <v>3</v>
      </c>
      <c r="D951" s="1061">
        <v>2244.02</v>
      </c>
    </row>
    <row r="952" spans="1:4" ht="9" customHeight="1" x14ac:dyDescent="0.25">
      <c r="A952" s="1059">
        <v>804242</v>
      </c>
      <c r="B952" s="1060" t="s">
        <v>22610</v>
      </c>
      <c r="C952" s="1059" t="s">
        <v>3</v>
      </c>
      <c r="D952" s="1061">
        <v>1839.18</v>
      </c>
    </row>
    <row r="953" spans="1:4" ht="9" customHeight="1" x14ac:dyDescent="0.25">
      <c r="A953" s="1059">
        <v>804421</v>
      </c>
      <c r="B953" s="1060" t="s">
        <v>22611</v>
      </c>
      <c r="C953" s="1059" t="s">
        <v>3</v>
      </c>
      <c r="D953" s="1061">
        <v>4385.34</v>
      </c>
    </row>
    <row r="954" spans="1:4" ht="9" customHeight="1" x14ac:dyDescent="0.25">
      <c r="A954" s="1059">
        <v>804245</v>
      </c>
      <c r="B954" s="1060" t="s">
        <v>22612</v>
      </c>
      <c r="C954" s="1059" t="s">
        <v>3</v>
      </c>
      <c r="D954" s="1061">
        <v>2286.66</v>
      </c>
    </row>
    <row r="955" spans="1:4" ht="9" customHeight="1" x14ac:dyDescent="0.25">
      <c r="A955" s="1059">
        <v>804420</v>
      </c>
      <c r="B955" s="1060" t="s">
        <v>22613</v>
      </c>
      <c r="C955" s="1059" t="s">
        <v>3</v>
      </c>
      <c r="D955" s="1061">
        <v>3598.41</v>
      </c>
    </row>
    <row r="956" spans="1:4" ht="9" customHeight="1" x14ac:dyDescent="0.25">
      <c r="A956" s="1059">
        <v>804244</v>
      </c>
      <c r="B956" s="1060" t="s">
        <v>22614</v>
      </c>
      <c r="C956" s="1059" t="s">
        <v>3</v>
      </c>
      <c r="D956" s="1061">
        <v>1879.33</v>
      </c>
    </row>
    <row r="957" spans="1:4" ht="9" customHeight="1" x14ac:dyDescent="0.25">
      <c r="A957" s="1059">
        <v>804247</v>
      </c>
      <c r="B957" s="1060" t="s">
        <v>22615</v>
      </c>
      <c r="C957" s="1059" t="s">
        <v>3</v>
      </c>
      <c r="D957" s="1061">
        <v>2342.33</v>
      </c>
    </row>
    <row r="958" spans="1:4" ht="9" customHeight="1" x14ac:dyDescent="0.25">
      <c r="A958" s="1059">
        <v>804246</v>
      </c>
      <c r="B958" s="1060" t="s">
        <v>22616</v>
      </c>
      <c r="C958" s="1059" t="s">
        <v>3</v>
      </c>
      <c r="D958" s="1061">
        <v>1932.24</v>
      </c>
    </row>
    <row r="959" spans="1:4" ht="9" customHeight="1" x14ac:dyDescent="0.25">
      <c r="A959" s="1059">
        <v>804249</v>
      </c>
      <c r="B959" s="1060" t="s">
        <v>22617</v>
      </c>
      <c r="C959" s="1059" t="s">
        <v>3</v>
      </c>
      <c r="D959" s="1061">
        <v>2416.9</v>
      </c>
    </row>
    <row r="960" spans="1:4" ht="9" customHeight="1" x14ac:dyDescent="0.25">
      <c r="A960" s="1059">
        <v>804248</v>
      </c>
      <c r="B960" s="1060" t="s">
        <v>22618</v>
      </c>
      <c r="C960" s="1059" t="s">
        <v>3</v>
      </c>
      <c r="D960" s="1061">
        <v>2003.52</v>
      </c>
    </row>
    <row r="961" spans="1:4" ht="9" customHeight="1" x14ac:dyDescent="0.25">
      <c r="A961" s="1059">
        <v>804423</v>
      </c>
      <c r="B961" s="1060" t="s">
        <v>22619</v>
      </c>
      <c r="C961" s="1059" t="s">
        <v>3</v>
      </c>
      <c r="D961" s="1061">
        <v>5431.16</v>
      </c>
    </row>
    <row r="962" spans="1:4" ht="9" customHeight="1" x14ac:dyDescent="0.25">
      <c r="A962" s="1059">
        <v>804251</v>
      </c>
      <c r="B962" s="1060" t="s">
        <v>22620</v>
      </c>
      <c r="C962" s="1059" t="s">
        <v>3</v>
      </c>
      <c r="D962" s="1061">
        <v>2516.19</v>
      </c>
    </row>
    <row r="963" spans="1:4" ht="9" customHeight="1" x14ac:dyDescent="0.25">
      <c r="A963" s="1059">
        <v>804422</v>
      </c>
      <c r="B963" s="1060" t="s">
        <v>22621</v>
      </c>
      <c r="C963" s="1059" t="s">
        <v>3</v>
      </c>
      <c r="D963" s="1061">
        <v>4449.3100000000004</v>
      </c>
    </row>
    <row r="964" spans="1:4" ht="9" customHeight="1" x14ac:dyDescent="0.25">
      <c r="A964" s="1059">
        <v>804250</v>
      </c>
      <c r="B964" s="1060" t="s">
        <v>22622</v>
      </c>
      <c r="C964" s="1059" t="s">
        <v>3</v>
      </c>
      <c r="D964" s="1061">
        <v>2099.39</v>
      </c>
    </row>
    <row r="965" spans="1:4" ht="9" customHeight="1" x14ac:dyDescent="0.25">
      <c r="A965" s="1059">
        <v>804235</v>
      </c>
      <c r="B965" s="1060" t="s">
        <v>22623</v>
      </c>
      <c r="C965" s="1059" t="s">
        <v>3</v>
      </c>
      <c r="D965" s="1061">
        <v>2163.8200000000002</v>
      </c>
    </row>
    <row r="966" spans="1:4" ht="9" customHeight="1" x14ac:dyDescent="0.25">
      <c r="A966" s="1059">
        <v>804234</v>
      </c>
      <c r="B966" s="1060" t="s">
        <v>22624</v>
      </c>
      <c r="C966" s="1059" t="s">
        <v>3</v>
      </c>
      <c r="D966" s="1061">
        <v>1764.37</v>
      </c>
    </row>
    <row r="967" spans="1:4" ht="9" customHeight="1" x14ac:dyDescent="0.25">
      <c r="A967" s="1059">
        <v>804425</v>
      </c>
      <c r="B967" s="1060" t="s">
        <v>22625</v>
      </c>
      <c r="C967" s="1059" t="s">
        <v>3</v>
      </c>
      <c r="D967" s="1061">
        <v>5459.53</v>
      </c>
    </row>
    <row r="968" spans="1:4" ht="9" customHeight="1" x14ac:dyDescent="0.25">
      <c r="A968" s="1059">
        <v>804253</v>
      </c>
      <c r="B968" s="1060" t="s">
        <v>22626</v>
      </c>
      <c r="C968" s="1059" t="s">
        <v>3</v>
      </c>
      <c r="D968" s="1061">
        <v>3008.73</v>
      </c>
    </row>
    <row r="969" spans="1:4" ht="9" customHeight="1" x14ac:dyDescent="0.25">
      <c r="A969" s="1059">
        <v>804424</v>
      </c>
      <c r="B969" s="1060" t="s">
        <v>22627</v>
      </c>
      <c r="C969" s="1059" t="s">
        <v>3</v>
      </c>
      <c r="D969" s="1061">
        <v>4422.6000000000004</v>
      </c>
    </row>
    <row r="970" spans="1:4" ht="9" customHeight="1" x14ac:dyDescent="0.25">
      <c r="A970" s="1059">
        <v>804252</v>
      </c>
      <c r="B970" s="1060" t="s">
        <v>22628</v>
      </c>
      <c r="C970" s="1059" t="s">
        <v>3</v>
      </c>
      <c r="D970" s="1061">
        <v>2429.34</v>
      </c>
    </row>
    <row r="971" spans="1:4" ht="9" customHeight="1" x14ac:dyDescent="0.25">
      <c r="A971" s="1059">
        <v>804257</v>
      </c>
      <c r="B971" s="1060" t="s">
        <v>22629</v>
      </c>
      <c r="C971" s="1059" t="s">
        <v>3</v>
      </c>
      <c r="D971" s="1061">
        <v>3027.04</v>
      </c>
    </row>
    <row r="972" spans="1:4" ht="9" customHeight="1" x14ac:dyDescent="0.25">
      <c r="A972" s="1059">
        <v>804256</v>
      </c>
      <c r="B972" s="1060" t="s">
        <v>22630</v>
      </c>
      <c r="C972" s="1059" t="s">
        <v>3</v>
      </c>
      <c r="D972" s="1061">
        <v>2445.81</v>
      </c>
    </row>
    <row r="973" spans="1:4" ht="9" customHeight="1" x14ac:dyDescent="0.25">
      <c r="A973" s="1059">
        <v>804427</v>
      </c>
      <c r="B973" s="1060" t="s">
        <v>22631</v>
      </c>
      <c r="C973" s="1059" t="s">
        <v>3</v>
      </c>
      <c r="D973" s="1061">
        <v>5724.42</v>
      </c>
    </row>
    <row r="974" spans="1:4" ht="9" customHeight="1" x14ac:dyDescent="0.25">
      <c r="A974" s="1059">
        <v>804259</v>
      </c>
      <c r="B974" s="1060" t="s">
        <v>22632</v>
      </c>
      <c r="C974" s="1059" t="s">
        <v>3</v>
      </c>
      <c r="D974" s="1061">
        <v>3050.24</v>
      </c>
    </row>
    <row r="975" spans="1:4" ht="9" customHeight="1" x14ac:dyDescent="0.25">
      <c r="A975" s="1059">
        <v>804426</v>
      </c>
      <c r="B975" s="1060" t="s">
        <v>22633</v>
      </c>
      <c r="C975" s="1059" t="s">
        <v>3</v>
      </c>
      <c r="D975" s="1061">
        <v>4634.92</v>
      </c>
    </row>
    <row r="976" spans="1:4" ht="9" customHeight="1" x14ac:dyDescent="0.25">
      <c r="A976" s="1059">
        <v>804258</v>
      </c>
      <c r="B976" s="1060" t="s">
        <v>22634</v>
      </c>
      <c r="C976" s="1059" t="s">
        <v>3</v>
      </c>
      <c r="D976" s="1061">
        <v>2466.7800000000002</v>
      </c>
    </row>
    <row r="977" spans="1:4" ht="9" customHeight="1" x14ac:dyDescent="0.25">
      <c r="A977" s="1059">
        <v>804261</v>
      </c>
      <c r="B977" s="1060" t="s">
        <v>22635</v>
      </c>
      <c r="C977" s="1059" t="s">
        <v>3</v>
      </c>
      <c r="D977" s="1061">
        <v>3084.39</v>
      </c>
    </row>
    <row r="978" spans="1:4" ht="9" customHeight="1" x14ac:dyDescent="0.25">
      <c r="A978" s="1059">
        <v>804260</v>
      </c>
      <c r="B978" s="1060" t="s">
        <v>22636</v>
      </c>
      <c r="C978" s="1059" t="s">
        <v>3</v>
      </c>
      <c r="D978" s="1061">
        <v>2497.77</v>
      </c>
    </row>
    <row r="979" spans="1:4" ht="9" customHeight="1" x14ac:dyDescent="0.25">
      <c r="A979" s="1059">
        <v>804263</v>
      </c>
      <c r="B979" s="1060" t="s">
        <v>22637</v>
      </c>
      <c r="C979" s="1059" t="s">
        <v>3</v>
      </c>
      <c r="D979" s="1061">
        <v>3130.9</v>
      </c>
    </row>
    <row r="980" spans="1:4" ht="9" customHeight="1" x14ac:dyDescent="0.25">
      <c r="A980" s="1059">
        <v>804262</v>
      </c>
      <c r="B980" s="1060" t="s">
        <v>22638</v>
      </c>
      <c r="C980" s="1059" t="s">
        <v>3</v>
      </c>
      <c r="D980" s="1061">
        <v>2540.21</v>
      </c>
    </row>
    <row r="981" spans="1:4" ht="9" customHeight="1" x14ac:dyDescent="0.25">
      <c r="A981" s="1059">
        <v>804429</v>
      </c>
      <c r="B981" s="1060" t="s">
        <v>22639</v>
      </c>
      <c r="C981" s="1059" t="s">
        <v>3</v>
      </c>
      <c r="D981" s="1061">
        <v>6390.6</v>
      </c>
    </row>
    <row r="982" spans="1:4" ht="9" customHeight="1" x14ac:dyDescent="0.25">
      <c r="A982" s="1059">
        <v>804265</v>
      </c>
      <c r="B982" s="1060" t="s">
        <v>22640</v>
      </c>
      <c r="C982" s="1059" t="s">
        <v>3</v>
      </c>
      <c r="D982" s="1061">
        <v>3192.91</v>
      </c>
    </row>
    <row r="983" spans="1:4" ht="9" customHeight="1" x14ac:dyDescent="0.25">
      <c r="A983" s="1059">
        <v>804428</v>
      </c>
      <c r="B983" s="1060" t="s">
        <v>22641</v>
      </c>
      <c r="C983" s="1059" t="s">
        <v>3</v>
      </c>
      <c r="D983" s="1061">
        <v>5170.18</v>
      </c>
    </row>
    <row r="984" spans="1:4" ht="9" customHeight="1" x14ac:dyDescent="0.25">
      <c r="A984" s="1059">
        <v>804264</v>
      </c>
      <c r="B984" s="1060" t="s">
        <v>22642</v>
      </c>
      <c r="C984" s="1059" t="s">
        <v>3</v>
      </c>
      <c r="D984" s="1061">
        <v>2597.35</v>
      </c>
    </row>
    <row r="985" spans="1:4" ht="9" customHeight="1" x14ac:dyDescent="0.25">
      <c r="A985" s="1059">
        <v>804267</v>
      </c>
      <c r="B985" s="1060" t="s">
        <v>22643</v>
      </c>
      <c r="C985" s="1059" t="s">
        <v>3</v>
      </c>
      <c r="D985" s="1061">
        <v>3272.12</v>
      </c>
    </row>
    <row r="986" spans="1:4" ht="9" customHeight="1" x14ac:dyDescent="0.25">
      <c r="A986" s="1059">
        <v>804266</v>
      </c>
      <c r="B986" s="1060" t="s">
        <v>22644</v>
      </c>
      <c r="C986" s="1059" t="s">
        <v>3</v>
      </c>
      <c r="D986" s="1061">
        <v>2671.04</v>
      </c>
    </row>
    <row r="987" spans="1:4" ht="9" customHeight="1" x14ac:dyDescent="0.25">
      <c r="A987" s="1059">
        <v>804269</v>
      </c>
      <c r="B987" s="1060" t="s">
        <v>22645</v>
      </c>
      <c r="C987" s="1059" t="s">
        <v>3</v>
      </c>
      <c r="D987" s="1061">
        <v>3377.26</v>
      </c>
    </row>
    <row r="988" spans="1:4" ht="9" customHeight="1" x14ac:dyDescent="0.25">
      <c r="A988" s="1059">
        <v>804268</v>
      </c>
      <c r="B988" s="1060" t="s">
        <v>22646</v>
      </c>
      <c r="C988" s="1059" t="s">
        <v>3</v>
      </c>
      <c r="D988" s="1061">
        <v>2769.74</v>
      </c>
    </row>
    <row r="989" spans="1:4" ht="9" customHeight="1" x14ac:dyDescent="0.25">
      <c r="A989" s="1059">
        <v>804431</v>
      </c>
      <c r="B989" s="1060" t="s">
        <v>22647</v>
      </c>
      <c r="C989" s="1059" t="s">
        <v>3</v>
      </c>
      <c r="D989" s="1061">
        <v>7927</v>
      </c>
    </row>
    <row r="990" spans="1:4" ht="9" customHeight="1" x14ac:dyDescent="0.25">
      <c r="A990" s="1059">
        <v>804271</v>
      </c>
      <c r="B990" s="1060" t="s">
        <v>22648</v>
      </c>
      <c r="C990" s="1059" t="s">
        <v>3</v>
      </c>
      <c r="D990" s="1061">
        <v>3517.45</v>
      </c>
    </row>
    <row r="991" spans="1:4" ht="9" customHeight="1" x14ac:dyDescent="0.25">
      <c r="A991" s="1059">
        <v>804430</v>
      </c>
      <c r="B991" s="1060" t="s">
        <v>22649</v>
      </c>
      <c r="C991" s="1059" t="s">
        <v>3</v>
      </c>
      <c r="D991" s="1061">
        <v>6401.38</v>
      </c>
    </row>
    <row r="992" spans="1:4" ht="9" customHeight="1" x14ac:dyDescent="0.25">
      <c r="A992" s="1059">
        <v>804270</v>
      </c>
      <c r="B992" s="1060" t="s">
        <v>22650</v>
      </c>
      <c r="C992" s="1059" t="s">
        <v>3</v>
      </c>
      <c r="D992" s="1061">
        <v>2902.83</v>
      </c>
    </row>
    <row r="993" spans="1:4" ht="9" customHeight="1" x14ac:dyDescent="0.25">
      <c r="A993" s="1059">
        <v>804255</v>
      </c>
      <c r="B993" s="1060" t="s">
        <v>22651</v>
      </c>
      <c r="C993" s="1059" t="s">
        <v>3</v>
      </c>
      <c r="D993" s="1061">
        <v>3013.35</v>
      </c>
    </row>
    <row r="994" spans="1:4" ht="9" customHeight="1" x14ac:dyDescent="0.25">
      <c r="A994" s="1059">
        <v>804254</v>
      </c>
      <c r="B994" s="1060" t="s">
        <v>22652</v>
      </c>
      <c r="C994" s="1059" t="s">
        <v>3</v>
      </c>
      <c r="D994" s="1061">
        <v>2433.44</v>
      </c>
    </row>
    <row r="995" spans="1:4" ht="9" customHeight="1" x14ac:dyDescent="0.25">
      <c r="A995" s="1059">
        <v>804433</v>
      </c>
      <c r="B995" s="1060" t="s">
        <v>22653</v>
      </c>
      <c r="C995" s="1059" t="s">
        <v>3</v>
      </c>
      <c r="D995" s="1061">
        <v>9682.99</v>
      </c>
    </row>
    <row r="996" spans="1:4" ht="9" customHeight="1" x14ac:dyDescent="0.25">
      <c r="A996" s="1059">
        <v>804273</v>
      </c>
      <c r="B996" s="1060" t="s">
        <v>22654</v>
      </c>
      <c r="C996" s="1059" t="s">
        <v>3</v>
      </c>
      <c r="D996" s="1061">
        <v>5172.88</v>
      </c>
    </row>
    <row r="997" spans="1:4" ht="9" customHeight="1" x14ac:dyDescent="0.25">
      <c r="A997" s="1059">
        <v>804432</v>
      </c>
      <c r="B997" s="1060" t="s">
        <v>22655</v>
      </c>
      <c r="C997" s="1059" t="s">
        <v>3</v>
      </c>
      <c r="D997" s="1061">
        <v>7693.25</v>
      </c>
    </row>
    <row r="998" spans="1:4" ht="9" customHeight="1" x14ac:dyDescent="0.25">
      <c r="A998" s="1059">
        <v>804272</v>
      </c>
      <c r="B998" s="1060" t="s">
        <v>22656</v>
      </c>
      <c r="C998" s="1059" t="s">
        <v>3</v>
      </c>
      <c r="D998" s="1061">
        <v>4136.4799999999996</v>
      </c>
    </row>
    <row r="999" spans="1:4" ht="9" customHeight="1" x14ac:dyDescent="0.25">
      <c r="A999" s="1059">
        <v>804277</v>
      </c>
      <c r="B999" s="1060" t="s">
        <v>22657</v>
      </c>
      <c r="C999" s="1059" t="s">
        <v>3</v>
      </c>
      <c r="D999" s="1061">
        <v>5200.6000000000004</v>
      </c>
    </row>
    <row r="1000" spans="1:4" ht="9" customHeight="1" x14ac:dyDescent="0.25">
      <c r="A1000" s="1059">
        <v>804276</v>
      </c>
      <c r="B1000" s="1060" t="s">
        <v>22658</v>
      </c>
      <c r="C1000" s="1059" t="s">
        <v>3</v>
      </c>
      <c r="D1000" s="1061">
        <v>4161.04</v>
      </c>
    </row>
    <row r="1001" spans="1:4" ht="9" customHeight="1" x14ac:dyDescent="0.25">
      <c r="A1001" s="1059">
        <v>804435</v>
      </c>
      <c r="B1001" s="1060" t="s">
        <v>22659</v>
      </c>
      <c r="C1001" s="1059" t="s">
        <v>3</v>
      </c>
      <c r="D1001" s="1061">
        <v>10163.469999999999</v>
      </c>
    </row>
    <row r="1002" spans="1:4" ht="9" customHeight="1" x14ac:dyDescent="0.25">
      <c r="A1002" s="1059">
        <v>804279</v>
      </c>
      <c r="B1002" s="1060" t="s">
        <v>22660</v>
      </c>
      <c r="C1002" s="1059" t="s">
        <v>3</v>
      </c>
      <c r="D1002" s="1061">
        <v>5235.25</v>
      </c>
    </row>
    <row r="1003" spans="1:4" ht="9" customHeight="1" x14ac:dyDescent="0.25">
      <c r="A1003" s="1059">
        <v>804434</v>
      </c>
      <c r="B1003" s="1060" t="s">
        <v>22661</v>
      </c>
      <c r="C1003" s="1059" t="s">
        <v>3</v>
      </c>
      <c r="D1003" s="1061">
        <v>8071.99</v>
      </c>
    </row>
    <row r="1004" spans="1:4" ht="9" customHeight="1" x14ac:dyDescent="0.25">
      <c r="A1004" s="1059">
        <v>804278</v>
      </c>
      <c r="B1004" s="1060" t="s">
        <v>22662</v>
      </c>
      <c r="C1004" s="1059" t="s">
        <v>3</v>
      </c>
      <c r="D1004" s="1061">
        <v>4191.74</v>
      </c>
    </row>
    <row r="1005" spans="1:4" ht="9" customHeight="1" x14ac:dyDescent="0.25">
      <c r="A1005" s="1059">
        <v>804281</v>
      </c>
      <c r="B1005" s="1060" t="s">
        <v>22663</v>
      </c>
      <c r="C1005" s="1059" t="s">
        <v>3</v>
      </c>
      <c r="D1005" s="1061">
        <v>5286.17</v>
      </c>
    </row>
    <row r="1006" spans="1:4" ht="9" customHeight="1" x14ac:dyDescent="0.25">
      <c r="A1006" s="1059">
        <v>804280</v>
      </c>
      <c r="B1006" s="1060" t="s">
        <v>22664</v>
      </c>
      <c r="C1006" s="1059" t="s">
        <v>3</v>
      </c>
      <c r="D1006" s="1061">
        <v>4237.28</v>
      </c>
    </row>
    <row r="1007" spans="1:4" ht="9" customHeight="1" x14ac:dyDescent="0.25">
      <c r="A1007" s="1059">
        <v>804283</v>
      </c>
      <c r="B1007" s="1060" t="s">
        <v>22665</v>
      </c>
      <c r="C1007" s="1059" t="s">
        <v>3</v>
      </c>
      <c r="D1007" s="1061">
        <v>5355.5</v>
      </c>
    </row>
    <row r="1008" spans="1:4" ht="9" customHeight="1" x14ac:dyDescent="0.25">
      <c r="A1008" s="1059">
        <v>804282</v>
      </c>
      <c r="B1008" s="1060" t="s">
        <v>22666</v>
      </c>
      <c r="C1008" s="1059" t="s">
        <v>3</v>
      </c>
      <c r="D1008" s="1061">
        <v>4299.78</v>
      </c>
    </row>
    <row r="1009" spans="1:4" ht="9" customHeight="1" x14ac:dyDescent="0.25">
      <c r="A1009" s="1059">
        <v>804437</v>
      </c>
      <c r="B1009" s="1060" t="s">
        <v>22667</v>
      </c>
      <c r="C1009" s="1059" t="s">
        <v>3</v>
      </c>
      <c r="D1009" s="1061">
        <v>11384.23</v>
      </c>
    </row>
    <row r="1010" spans="1:4" ht="9" customHeight="1" x14ac:dyDescent="0.25">
      <c r="A1010" s="1059">
        <v>804285</v>
      </c>
      <c r="B1010" s="1060" t="s">
        <v>22668</v>
      </c>
      <c r="C1010" s="1059" t="s">
        <v>3</v>
      </c>
      <c r="D1010" s="1061">
        <v>5446.55</v>
      </c>
    </row>
    <row r="1011" spans="1:4" ht="9" customHeight="1" x14ac:dyDescent="0.25">
      <c r="A1011" s="1059">
        <v>804436</v>
      </c>
      <c r="B1011" s="1060" t="s">
        <v>22669</v>
      </c>
      <c r="C1011" s="1059" t="s">
        <v>3</v>
      </c>
      <c r="D1011" s="1061">
        <v>9034.61</v>
      </c>
    </row>
    <row r="1012" spans="1:4" ht="9" customHeight="1" x14ac:dyDescent="0.25">
      <c r="A1012" s="1059">
        <v>804284</v>
      </c>
      <c r="B1012" s="1060" t="s">
        <v>22670</v>
      </c>
      <c r="C1012" s="1059" t="s">
        <v>3</v>
      </c>
      <c r="D1012" s="1061">
        <v>4382.41</v>
      </c>
    </row>
    <row r="1013" spans="1:4" ht="9" customHeight="1" x14ac:dyDescent="0.25">
      <c r="A1013" s="1059">
        <v>804287</v>
      </c>
      <c r="B1013" s="1060" t="s">
        <v>22671</v>
      </c>
      <c r="C1013" s="1059" t="s">
        <v>3</v>
      </c>
      <c r="D1013" s="1061">
        <v>5564.42</v>
      </c>
    </row>
    <row r="1014" spans="1:4" ht="9" customHeight="1" x14ac:dyDescent="0.25">
      <c r="A1014" s="1059">
        <v>804286</v>
      </c>
      <c r="B1014" s="1060" t="s">
        <v>22672</v>
      </c>
      <c r="C1014" s="1059" t="s">
        <v>3</v>
      </c>
      <c r="D1014" s="1061">
        <v>4490.68</v>
      </c>
    </row>
    <row r="1015" spans="1:4" ht="9" customHeight="1" x14ac:dyDescent="0.25">
      <c r="A1015" s="1059">
        <v>804289</v>
      </c>
      <c r="B1015" s="1060" t="s">
        <v>22673</v>
      </c>
      <c r="C1015" s="1059" t="s">
        <v>3</v>
      </c>
      <c r="D1015" s="1061">
        <v>5718.55</v>
      </c>
    </row>
    <row r="1016" spans="1:4" ht="9" customHeight="1" x14ac:dyDescent="0.25">
      <c r="A1016" s="1059">
        <v>804288</v>
      </c>
      <c r="B1016" s="1060" t="s">
        <v>22674</v>
      </c>
      <c r="C1016" s="1059" t="s">
        <v>3</v>
      </c>
      <c r="D1016" s="1061">
        <v>4633.7700000000004</v>
      </c>
    </row>
    <row r="1017" spans="1:4" ht="9" customHeight="1" x14ac:dyDescent="0.25">
      <c r="A1017" s="1059">
        <v>804439</v>
      </c>
      <c r="B1017" s="1060" t="s">
        <v>22675</v>
      </c>
      <c r="C1017" s="1059" t="s">
        <v>3</v>
      </c>
      <c r="D1017" s="1061">
        <v>14182.49</v>
      </c>
    </row>
    <row r="1018" spans="1:4" ht="9" customHeight="1" x14ac:dyDescent="0.25">
      <c r="A1018" s="1059">
        <v>804291</v>
      </c>
      <c r="B1018" s="1060" t="s">
        <v>22676</v>
      </c>
      <c r="C1018" s="1059" t="s">
        <v>3</v>
      </c>
      <c r="D1018" s="1061">
        <v>5921.9</v>
      </c>
    </row>
    <row r="1019" spans="1:4" ht="9" customHeight="1" x14ac:dyDescent="0.25">
      <c r="A1019" s="1059">
        <v>804438</v>
      </c>
      <c r="B1019" s="1060" t="s">
        <v>22677</v>
      </c>
      <c r="C1019" s="1059" t="s">
        <v>3</v>
      </c>
      <c r="D1019" s="1061">
        <v>11235.34</v>
      </c>
    </row>
    <row r="1020" spans="1:4" ht="9" customHeight="1" x14ac:dyDescent="0.25">
      <c r="A1020" s="1059">
        <v>804290</v>
      </c>
      <c r="B1020" s="1060" t="s">
        <v>22678</v>
      </c>
      <c r="C1020" s="1059" t="s">
        <v>3</v>
      </c>
      <c r="D1020" s="1061">
        <v>4825.03</v>
      </c>
    </row>
    <row r="1021" spans="1:4" ht="9" customHeight="1" x14ac:dyDescent="0.25">
      <c r="A1021" s="1059">
        <v>804275</v>
      </c>
      <c r="B1021" s="1060" t="s">
        <v>22679</v>
      </c>
      <c r="C1021" s="1059" t="s">
        <v>3</v>
      </c>
      <c r="D1021" s="1061">
        <v>5179.8100000000004</v>
      </c>
    </row>
    <row r="1022" spans="1:4" ht="9" customHeight="1" x14ac:dyDescent="0.25">
      <c r="A1022" s="1059">
        <v>804274</v>
      </c>
      <c r="B1022" s="1060" t="s">
        <v>22680</v>
      </c>
      <c r="C1022" s="1059" t="s">
        <v>3</v>
      </c>
      <c r="D1022" s="1061">
        <v>4142.62</v>
      </c>
    </row>
    <row r="1023" spans="1:4" ht="9" customHeight="1" x14ac:dyDescent="0.25">
      <c r="A1023" s="1059">
        <v>804061</v>
      </c>
      <c r="B1023" s="1060" t="s">
        <v>22681</v>
      </c>
      <c r="C1023" s="1059" t="s">
        <v>3</v>
      </c>
      <c r="D1023" s="1061">
        <v>350</v>
      </c>
    </row>
    <row r="1024" spans="1:4" ht="9" customHeight="1" x14ac:dyDescent="0.25">
      <c r="A1024" s="1059">
        <v>804060</v>
      </c>
      <c r="B1024" s="1060" t="s">
        <v>22682</v>
      </c>
      <c r="C1024" s="1059" t="s">
        <v>3</v>
      </c>
      <c r="D1024" s="1061">
        <v>294.39999999999998</v>
      </c>
    </row>
    <row r="1025" spans="1:4" ht="9" customHeight="1" x14ac:dyDescent="0.25">
      <c r="A1025" s="1059">
        <v>804065</v>
      </c>
      <c r="B1025" s="1060" t="s">
        <v>22683</v>
      </c>
      <c r="C1025" s="1059" t="s">
        <v>3</v>
      </c>
      <c r="D1025" s="1061">
        <v>351.43</v>
      </c>
    </row>
    <row r="1026" spans="1:4" ht="9" customHeight="1" x14ac:dyDescent="0.25">
      <c r="A1026" s="1059">
        <v>804064</v>
      </c>
      <c r="B1026" s="1060" t="s">
        <v>22684</v>
      </c>
      <c r="C1026" s="1059" t="s">
        <v>3</v>
      </c>
      <c r="D1026" s="1061">
        <v>295.83</v>
      </c>
    </row>
    <row r="1027" spans="1:4" ht="9" customHeight="1" x14ac:dyDescent="0.25">
      <c r="A1027" s="1059">
        <v>804067</v>
      </c>
      <c r="B1027" s="1060" t="s">
        <v>22685</v>
      </c>
      <c r="C1027" s="1059" t="s">
        <v>3</v>
      </c>
      <c r="D1027" s="1061">
        <v>352.86</v>
      </c>
    </row>
    <row r="1028" spans="1:4" ht="9" customHeight="1" x14ac:dyDescent="0.25">
      <c r="A1028" s="1059">
        <v>804066</v>
      </c>
      <c r="B1028" s="1060" t="s">
        <v>22686</v>
      </c>
      <c r="C1028" s="1059" t="s">
        <v>3</v>
      </c>
      <c r="D1028" s="1061">
        <v>297.26</v>
      </c>
    </row>
    <row r="1029" spans="1:4" ht="9" customHeight="1" x14ac:dyDescent="0.25">
      <c r="A1029" s="1059">
        <v>804069</v>
      </c>
      <c r="B1029" s="1060" t="s">
        <v>22687</v>
      </c>
      <c r="C1029" s="1059" t="s">
        <v>3</v>
      </c>
      <c r="D1029" s="1061">
        <v>355.44</v>
      </c>
    </row>
    <row r="1030" spans="1:4" ht="9" customHeight="1" x14ac:dyDescent="0.25">
      <c r="A1030" s="1059">
        <v>804068</v>
      </c>
      <c r="B1030" s="1060" t="s">
        <v>22688</v>
      </c>
      <c r="C1030" s="1059" t="s">
        <v>3</v>
      </c>
      <c r="D1030" s="1061">
        <v>299.70999999999998</v>
      </c>
    </row>
    <row r="1031" spans="1:4" ht="9" customHeight="1" x14ac:dyDescent="0.25">
      <c r="A1031" s="1059">
        <v>804071</v>
      </c>
      <c r="B1031" s="1060" t="s">
        <v>22689</v>
      </c>
      <c r="C1031" s="1059" t="s">
        <v>3</v>
      </c>
      <c r="D1031" s="1061">
        <v>359.01</v>
      </c>
    </row>
    <row r="1032" spans="1:4" ht="9" customHeight="1" x14ac:dyDescent="0.25">
      <c r="A1032" s="1059">
        <v>804070</v>
      </c>
      <c r="B1032" s="1060" t="s">
        <v>22690</v>
      </c>
      <c r="C1032" s="1059" t="s">
        <v>3</v>
      </c>
      <c r="D1032" s="1061">
        <v>303.27999999999997</v>
      </c>
    </row>
    <row r="1033" spans="1:4" ht="9" customHeight="1" x14ac:dyDescent="0.25">
      <c r="A1033" s="1059">
        <v>804073</v>
      </c>
      <c r="B1033" s="1060" t="s">
        <v>22691</v>
      </c>
      <c r="C1033" s="1059" t="s">
        <v>3</v>
      </c>
      <c r="D1033" s="1061">
        <v>363.74</v>
      </c>
    </row>
    <row r="1034" spans="1:4" ht="9" customHeight="1" x14ac:dyDescent="0.25">
      <c r="A1034" s="1059">
        <v>804072</v>
      </c>
      <c r="B1034" s="1060" t="s">
        <v>22692</v>
      </c>
      <c r="C1034" s="1059" t="s">
        <v>3</v>
      </c>
      <c r="D1034" s="1061">
        <v>307.87</v>
      </c>
    </row>
    <row r="1035" spans="1:4" ht="9" customHeight="1" x14ac:dyDescent="0.25">
      <c r="A1035" s="1059">
        <v>804075</v>
      </c>
      <c r="B1035" s="1060" t="s">
        <v>22693</v>
      </c>
      <c r="C1035" s="1059" t="s">
        <v>3</v>
      </c>
      <c r="D1035" s="1061">
        <v>370.16</v>
      </c>
    </row>
    <row r="1036" spans="1:4" ht="9" customHeight="1" x14ac:dyDescent="0.25">
      <c r="A1036" s="1059">
        <v>804074</v>
      </c>
      <c r="B1036" s="1060" t="s">
        <v>22694</v>
      </c>
      <c r="C1036" s="1059" t="s">
        <v>3</v>
      </c>
      <c r="D1036" s="1061">
        <v>314.3</v>
      </c>
    </row>
    <row r="1037" spans="1:4" ht="9" customHeight="1" x14ac:dyDescent="0.25">
      <c r="A1037" s="1059">
        <v>804077</v>
      </c>
      <c r="B1037" s="1060" t="s">
        <v>22695</v>
      </c>
      <c r="C1037" s="1059" t="s">
        <v>3</v>
      </c>
      <c r="D1037" s="1061">
        <v>378.46</v>
      </c>
    </row>
    <row r="1038" spans="1:4" ht="9" customHeight="1" x14ac:dyDescent="0.25">
      <c r="A1038" s="1059">
        <v>804076</v>
      </c>
      <c r="B1038" s="1060" t="s">
        <v>22696</v>
      </c>
      <c r="C1038" s="1059" t="s">
        <v>3</v>
      </c>
      <c r="D1038" s="1061">
        <v>322.45999999999998</v>
      </c>
    </row>
    <row r="1039" spans="1:4" ht="9" customHeight="1" x14ac:dyDescent="0.25">
      <c r="A1039" s="1059">
        <v>804079</v>
      </c>
      <c r="B1039" s="1060" t="s">
        <v>22697</v>
      </c>
      <c r="C1039" s="1059" t="s">
        <v>3</v>
      </c>
      <c r="D1039" s="1061">
        <v>391.04</v>
      </c>
    </row>
    <row r="1040" spans="1:4" ht="9" customHeight="1" x14ac:dyDescent="0.25">
      <c r="A1040" s="1059">
        <v>804078</v>
      </c>
      <c r="B1040" s="1060" t="s">
        <v>22698</v>
      </c>
      <c r="C1040" s="1059" t="s">
        <v>3</v>
      </c>
      <c r="D1040" s="1061">
        <v>334.91</v>
      </c>
    </row>
    <row r="1041" spans="1:4" ht="9" customHeight="1" x14ac:dyDescent="0.25">
      <c r="A1041" s="1059">
        <v>804063</v>
      </c>
      <c r="B1041" s="1060" t="s">
        <v>22699</v>
      </c>
      <c r="C1041" s="1059" t="s">
        <v>3</v>
      </c>
      <c r="D1041" s="1061">
        <v>350.72</v>
      </c>
    </row>
    <row r="1042" spans="1:4" ht="9" customHeight="1" x14ac:dyDescent="0.25">
      <c r="A1042" s="1059">
        <v>804062</v>
      </c>
      <c r="B1042" s="1060" t="s">
        <v>22700</v>
      </c>
      <c r="C1042" s="1059" t="s">
        <v>3</v>
      </c>
      <c r="D1042" s="1061">
        <v>295.12</v>
      </c>
    </row>
    <row r="1043" spans="1:4" ht="9" customHeight="1" x14ac:dyDescent="0.25">
      <c r="A1043" s="1059">
        <v>804377</v>
      </c>
      <c r="B1043" s="1060" t="s">
        <v>22701</v>
      </c>
      <c r="C1043" s="1059" t="s">
        <v>3</v>
      </c>
      <c r="D1043" s="1061">
        <v>1040.28</v>
      </c>
    </row>
    <row r="1044" spans="1:4" ht="9" customHeight="1" x14ac:dyDescent="0.25">
      <c r="A1044" s="1059">
        <v>804081</v>
      </c>
      <c r="B1044" s="1060" t="s">
        <v>22702</v>
      </c>
      <c r="C1044" s="1059" t="s">
        <v>3</v>
      </c>
      <c r="D1044" s="1061">
        <v>708.65</v>
      </c>
    </row>
    <row r="1045" spans="1:4" ht="9" customHeight="1" x14ac:dyDescent="0.25">
      <c r="A1045" s="1059">
        <v>804376</v>
      </c>
      <c r="B1045" s="1060" t="s">
        <v>22703</v>
      </c>
      <c r="C1045" s="1059" t="s">
        <v>3</v>
      </c>
      <c r="D1045" s="1061">
        <v>888.73</v>
      </c>
    </row>
    <row r="1046" spans="1:4" ht="9" customHeight="1" x14ac:dyDescent="0.25">
      <c r="A1046" s="1059">
        <v>804080</v>
      </c>
      <c r="B1046" s="1060" t="s">
        <v>22704</v>
      </c>
      <c r="C1046" s="1059" t="s">
        <v>3</v>
      </c>
      <c r="D1046" s="1061">
        <v>586.15</v>
      </c>
    </row>
    <row r="1047" spans="1:4" ht="9" customHeight="1" x14ac:dyDescent="0.25">
      <c r="A1047" s="1059">
        <v>804085</v>
      </c>
      <c r="B1047" s="1060" t="s">
        <v>22705</v>
      </c>
      <c r="C1047" s="1059" t="s">
        <v>3</v>
      </c>
      <c r="D1047" s="1061">
        <v>711.23</v>
      </c>
    </row>
    <row r="1048" spans="1:4" ht="9" customHeight="1" x14ac:dyDescent="0.25">
      <c r="A1048" s="1059">
        <v>804084</v>
      </c>
      <c r="B1048" s="1060" t="s">
        <v>22706</v>
      </c>
      <c r="C1048" s="1059" t="s">
        <v>3</v>
      </c>
      <c r="D1048" s="1061">
        <v>588.6</v>
      </c>
    </row>
    <row r="1049" spans="1:4" ht="9" customHeight="1" x14ac:dyDescent="0.25">
      <c r="A1049" s="1059">
        <v>804379</v>
      </c>
      <c r="B1049" s="1060" t="s">
        <v>22707</v>
      </c>
      <c r="C1049" s="1059" t="s">
        <v>3</v>
      </c>
      <c r="D1049" s="1061">
        <v>881.15</v>
      </c>
    </row>
    <row r="1050" spans="1:4" ht="9" customHeight="1" x14ac:dyDescent="0.25">
      <c r="A1050" s="1059">
        <v>804087</v>
      </c>
      <c r="B1050" s="1060" t="s">
        <v>22708</v>
      </c>
      <c r="C1050" s="1059" t="s">
        <v>3</v>
      </c>
      <c r="D1050" s="1061">
        <v>714.09</v>
      </c>
    </row>
    <row r="1051" spans="1:4" ht="9" customHeight="1" x14ac:dyDescent="0.25">
      <c r="A1051" s="1059">
        <v>804378</v>
      </c>
      <c r="B1051" s="1060" t="s">
        <v>22709</v>
      </c>
      <c r="C1051" s="1059" t="s">
        <v>3</v>
      </c>
      <c r="D1051" s="1061">
        <v>721.06</v>
      </c>
    </row>
    <row r="1052" spans="1:4" ht="9" customHeight="1" x14ac:dyDescent="0.25">
      <c r="A1052" s="1059">
        <v>804086</v>
      </c>
      <c r="B1052" s="1060" t="s">
        <v>22710</v>
      </c>
      <c r="C1052" s="1059" t="s">
        <v>3</v>
      </c>
      <c r="D1052" s="1061">
        <v>591.45000000000005</v>
      </c>
    </row>
    <row r="1053" spans="1:4" ht="9" customHeight="1" x14ac:dyDescent="0.25">
      <c r="A1053" s="1059">
        <v>804089</v>
      </c>
      <c r="B1053" s="1060" t="s">
        <v>22711</v>
      </c>
      <c r="C1053" s="1059" t="s">
        <v>3</v>
      </c>
      <c r="D1053" s="1061">
        <v>718.81</v>
      </c>
    </row>
    <row r="1054" spans="1:4" ht="9" customHeight="1" x14ac:dyDescent="0.25">
      <c r="A1054" s="1059">
        <v>804088</v>
      </c>
      <c r="B1054" s="1060" t="s">
        <v>22712</v>
      </c>
      <c r="C1054" s="1059" t="s">
        <v>3</v>
      </c>
      <c r="D1054" s="1061">
        <v>596.04999999999995</v>
      </c>
    </row>
    <row r="1055" spans="1:4" ht="9" customHeight="1" x14ac:dyDescent="0.25">
      <c r="A1055" s="1059">
        <v>804091</v>
      </c>
      <c r="B1055" s="1060" t="s">
        <v>22713</v>
      </c>
      <c r="C1055" s="1059" t="s">
        <v>3</v>
      </c>
      <c r="D1055" s="1061">
        <v>724.96</v>
      </c>
    </row>
    <row r="1056" spans="1:4" ht="9" customHeight="1" x14ac:dyDescent="0.25">
      <c r="A1056" s="1059">
        <v>804090</v>
      </c>
      <c r="B1056" s="1060" t="s">
        <v>22714</v>
      </c>
      <c r="C1056" s="1059" t="s">
        <v>3</v>
      </c>
      <c r="D1056" s="1061">
        <v>602.07000000000005</v>
      </c>
    </row>
    <row r="1057" spans="1:4" ht="9" customHeight="1" x14ac:dyDescent="0.25">
      <c r="A1057" s="1059">
        <v>804381</v>
      </c>
      <c r="B1057" s="1060" t="s">
        <v>22715</v>
      </c>
      <c r="C1057" s="1059" t="s">
        <v>3</v>
      </c>
      <c r="D1057" s="1061">
        <v>1230.32</v>
      </c>
    </row>
    <row r="1058" spans="1:4" ht="9" customHeight="1" x14ac:dyDescent="0.25">
      <c r="A1058" s="1059">
        <v>804093</v>
      </c>
      <c r="B1058" s="1060" t="s">
        <v>22716</v>
      </c>
      <c r="C1058" s="1059" t="s">
        <v>3</v>
      </c>
      <c r="D1058" s="1061">
        <v>733.7</v>
      </c>
    </row>
    <row r="1059" spans="1:4" ht="9" customHeight="1" x14ac:dyDescent="0.25">
      <c r="A1059" s="1059">
        <v>804380</v>
      </c>
      <c r="B1059" s="1060" t="s">
        <v>22717</v>
      </c>
      <c r="C1059" s="1059" t="s">
        <v>3</v>
      </c>
      <c r="D1059" s="1061">
        <v>1048.94</v>
      </c>
    </row>
    <row r="1060" spans="1:4" ht="9" customHeight="1" x14ac:dyDescent="0.25">
      <c r="A1060" s="1059">
        <v>804092</v>
      </c>
      <c r="B1060" s="1060" t="s">
        <v>22718</v>
      </c>
      <c r="C1060" s="1059" t="s">
        <v>3</v>
      </c>
      <c r="D1060" s="1061">
        <v>610.54</v>
      </c>
    </row>
    <row r="1061" spans="1:4" ht="9" customHeight="1" x14ac:dyDescent="0.25">
      <c r="A1061" s="1059">
        <v>804095</v>
      </c>
      <c r="B1061" s="1060" t="s">
        <v>22719</v>
      </c>
      <c r="C1061" s="1059" t="s">
        <v>3</v>
      </c>
      <c r="D1061" s="1061">
        <v>745.56</v>
      </c>
    </row>
    <row r="1062" spans="1:4" ht="9" customHeight="1" x14ac:dyDescent="0.25">
      <c r="A1062" s="1059">
        <v>804094</v>
      </c>
      <c r="B1062" s="1060" t="s">
        <v>22720</v>
      </c>
      <c r="C1062" s="1059" t="s">
        <v>3</v>
      </c>
      <c r="D1062" s="1061">
        <v>622.27</v>
      </c>
    </row>
    <row r="1063" spans="1:4" ht="9" customHeight="1" x14ac:dyDescent="0.25">
      <c r="A1063" s="1059">
        <v>804097</v>
      </c>
      <c r="B1063" s="1060" t="s">
        <v>22721</v>
      </c>
      <c r="C1063" s="1059" t="s">
        <v>3</v>
      </c>
      <c r="D1063" s="1061">
        <v>760.73</v>
      </c>
    </row>
    <row r="1064" spans="1:4" ht="9" customHeight="1" x14ac:dyDescent="0.25">
      <c r="A1064" s="1059">
        <v>804096</v>
      </c>
      <c r="B1064" s="1060" t="s">
        <v>22722</v>
      </c>
      <c r="C1064" s="1059" t="s">
        <v>3</v>
      </c>
      <c r="D1064" s="1061">
        <v>637.16999999999996</v>
      </c>
    </row>
    <row r="1065" spans="1:4" ht="9" customHeight="1" x14ac:dyDescent="0.25">
      <c r="A1065" s="1059">
        <v>804383</v>
      </c>
      <c r="B1065" s="1060" t="s">
        <v>22723</v>
      </c>
      <c r="C1065" s="1059" t="s">
        <v>3</v>
      </c>
      <c r="D1065" s="1061">
        <v>1521.76</v>
      </c>
    </row>
    <row r="1066" spans="1:4" ht="9" customHeight="1" x14ac:dyDescent="0.25">
      <c r="A1066" s="1059">
        <v>804099</v>
      </c>
      <c r="B1066" s="1060" t="s">
        <v>22724</v>
      </c>
      <c r="C1066" s="1059" t="s">
        <v>3</v>
      </c>
      <c r="D1066" s="1061">
        <v>782.31</v>
      </c>
    </row>
    <row r="1067" spans="1:4" ht="9" customHeight="1" x14ac:dyDescent="0.25">
      <c r="A1067" s="1059">
        <v>804382</v>
      </c>
      <c r="B1067" s="1060" t="s">
        <v>22725</v>
      </c>
      <c r="C1067" s="1059" t="s">
        <v>3</v>
      </c>
      <c r="D1067" s="1061">
        <v>1295.42</v>
      </c>
    </row>
    <row r="1068" spans="1:4" ht="9" customHeight="1" x14ac:dyDescent="0.25">
      <c r="A1068" s="1059">
        <v>804098</v>
      </c>
      <c r="B1068" s="1060" t="s">
        <v>22726</v>
      </c>
      <c r="C1068" s="1059" t="s">
        <v>3</v>
      </c>
      <c r="D1068" s="1061">
        <v>658.5</v>
      </c>
    </row>
    <row r="1069" spans="1:4" ht="9" customHeight="1" x14ac:dyDescent="0.25">
      <c r="A1069" s="1059">
        <v>804083</v>
      </c>
      <c r="B1069" s="1060" t="s">
        <v>22727</v>
      </c>
      <c r="C1069" s="1059" t="s">
        <v>3</v>
      </c>
      <c r="D1069" s="1061">
        <v>709.36</v>
      </c>
    </row>
    <row r="1070" spans="1:4" ht="9" customHeight="1" x14ac:dyDescent="0.25">
      <c r="A1070" s="1059">
        <v>804082</v>
      </c>
      <c r="B1070" s="1060" t="s">
        <v>22728</v>
      </c>
      <c r="C1070" s="1059" t="s">
        <v>3</v>
      </c>
      <c r="D1070" s="1061">
        <v>586.86</v>
      </c>
    </row>
    <row r="1071" spans="1:4" ht="9" customHeight="1" x14ac:dyDescent="0.25">
      <c r="A1071" s="1059">
        <v>804385</v>
      </c>
      <c r="B1071" s="1060" t="s">
        <v>22729</v>
      </c>
      <c r="C1071" s="1059" t="s">
        <v>3</v>
      </c>
      <c r="D1071" s="1061">
        <v>1741.04</v>
      </c>
    </row>
    <row r="1072" spans="1:4" ht="9" customHeight="1" x14ac:dyDescent="0.25">
      <c r="A1072" s="1059">
        <v>804101</v>
      </c>
      <c r="B1072" s="1060" t="s">
        <v>22730</v>
      </c>
      <c r="C1072" s="1059" t="s">
        <v>3</v>
      </c>
      <c r="D1072" s="1061">
        <v>1201.46</v>
      </c>
    </row>
    <row r="1073" spans="1:4" ht="9" customHeight="1" x14ac:dyDescent="0.25">
      <c r="A1073" s="1059">
        <v>804384</v>
      </c>
      <c r="B1073" s="1060" t="s">
        <v>22731</v>
      </c>
      <c r="C1073" s="1059" t="s">
        <v>3</v>
      </c>
      <c r="D1073" s="1061">
        <v>1459.76</v>
      </c>
    </row>
    <row r="1074" spans="1:4" ht="9" customHeight="1" x14ac:dyDescent="0.25">
      <c r="A1074" s="1059">
        <v>804100</v>
      </c>
      <c r="B1074" s="1060" t="s">
        <v>22732</v>
      </c>
      <c r="C1074" s="1059" t="s">
        <v>3</v>
      </c>
      <c r="D1074" s="1061">
        <v>988.66</v>
      </c>
    </row>
    <row r="1075" spans="1:4" ht="9" customHeight="1" x14ac:dyDescent="0.25">
      <c r="A1075" s="1059">
        <v>804105</v>
      </c>
      <c r="B1075" s="1060" t="s">
        <v>22733</v>
      </c>
      <c r="C1075" s="1059" t="s">
        <v>3</v>
      </c>
      <c r="D1075" s="1061">
        <v>1205.47</v>
      </c>
    </row>
    <row r="1076" spans="1:4" ht="9" customHeight="1" x14ac:dyDescent="0.25">
      <c r="A1076" s="1059">
        <v>804104</v>
      </c>
      <c r="B1076" s="1060" t="s">
        <v>22734</v>
      </c>
      <c r="C1076" s="1059" t="s">
        <v>3</v>
      </c>
      <c r="D1076" s="1061">
        <v>992.54</v>
      </c>
    </row>
    <row r="1077" spans="1:4" ht="9" customHeight="1" x14ac:dyDescent="0.25">
      <c r="A1077" s="1059">
        <v>804387</v>
      </c>
      <c r="B1077" s="1060" t="s">
        <v>22735</v>
      </c>
      <c r="C1077" s="1059" t="s">
        <v>3</v>
      </c>
      <c r="D1077" s="1061">
        <v>1834.82</v>
      </c>
    </row>
    <row r="1078" spans="1:4" ht="9" customHeight="1" x14ac:dyDescent="0.25">
      <c r="A1078" s="1059">
        <v>804107</v>
      </c>
      <c r="B1078" s="1060" t="s">
        <v>22736</v>
      </c>
      <c r="C1078" s="1059" t="s">
        <v>3</v>
      </c>
      <c r="D1078" s="1061">
        <v>1210.9100000000001</v>
      </c>
    </row>
    <row r="1079" spans="1:4" ht="9" customHeight="1" x14ac:dyDescent="0.25">
      <c r="A1079" s="1059">
        <v>804386</v>
      </c>
      <c r="B1079" s="1060" t="s">
        <v>22737</v>
      </c>
      <c r="C1079" s="1059" t="s">
        <v>3</v>
      </c>
      <c r="D1079" s="1061">
        <v>1537.5</v>
      </c>
    </row>
    <row r="1080" spans="1:4" ht="9" customHeight="1" x14ac:dyDescent="0.25">
      <c r="A1080" s="1059">
        <v>804106</v>
      </c>
      <c r="B1080" s="1060" t="s">
        <v>22738</v>
      </c>
      <c r="C1080" s="1059" t="s">
        <v>3</v>
      </c>
      <c r="D1080" s="1061">
        <v>997.85</v>
      </c>
    </row>
    <row r="1081" spans="1:4" ht="9" customHeight="1" x14ac:dyDescent="0.25">
      <c r="A1081" s="1059">
        <v>804109</v>
      </c>
      <c r="B1081" s="1060" t="s">
        <v>22739</v>
      </c>
      <c r="C1081" s="1059" t="s">
        <v>3</v>
      </c>
      <c r="D1081" s="1061">
        <v>1219.21</v>
      </c>
    </row>
    <row r="1082" spans="1:4" ht="9" customHeight="1" x14ac:dyDescent="0.25">
      <c r="A1082" s="1059">
        <v>804108</v>
      </c>
      <c r="B1082" s="1060" t="s">
        <v>22740</v>
      </c>
      <c r="C1082" s="1059" t="s">
        <v>3</v>
      </c>
      <c r="D1082" s="1061">
        <v>1006.01</v>
      </c>
    </row>
    <row r="1083" spans="1:4" ht="9" customHeight="1" x14ac:dyDescent="0.25">
      <c r="A1083" s="1059">
        <v>804111</v>
      </c>
      <c r="B1083" s="1060" t="s">
        <v>22741</v>
      </c>
      <c r="C1083" s="1059" t="s">
        <v>3</v>
      </c>
      <c r="D1083" s="1061">
        <v>1230.0899999999999</v>
      </c>
    </row>
    <row r="1084" spans="1:4" ht="9" customHeight="1" x14ac:dyDescent="0.25">
      <c r="A1084" s="1059">
        <v>804110</v>
      </c>
      <c r="B1084" s="1060" t="s">
        <v>22742</v>
      </c>
      <c r="C1084" s="1059" t="s">
        <v>3</v>
      </c>
      <c r="D1084" s="1061">
        <v>1016.63</v>
      </c>
    </row>
    <row r="1085" spans="1:4" ht="9" customHeight="1" x14ac:dyDescent="0.25">
      <c r="A1085" s="1059">
        <v>804389</v>
      </c>
      <c r="B1085" s="1060" t="s">
        <v>22743</v>
      </c>
      <c r="C1085" s="1059" t="s">
        <v>3</v>
      </c>
      <c r="D1085" s="1061">
        <v>2049.7600000000002</v>
      </c>
    </row>
    <row r="1086" spans="1:4" ht="9" customHeight="1" x14ac:dyDescent="0.25">
      <c r="A1086" s="1059">
        <v>804113</v>
      </c>
      <c r="B1086" s="1060" t="s">
        <v>22744</v>
      </c>
      <c r="C1086" s="1059" t="s">
        <v>3</v>
      </c>
      <c r="D1086" s="1061">
        <v>1244.97</v>
      </c>
    </row>
    <row r="1087" spans="1:4" ht="9" customHeight="1" x14ac:dyDescent="0.25">
      <c r="A1087" s="1059">
        <v>804388</v>
      </c>
      <c r="B1087" s="1060" t="s">
        <v>22745</v>
      </c>
      <c r="C1087" s="1059" t="s">
        <v>3</v>
      </c>
      <c r="D1087" s="1061">
        <v>1716.04</v>
      </c>
    </row>
    <row r="1088" spans="1:4" ht="9" customHeight="1" x14ac:dyDescent="0.25">
      <c r="A1088" s="1059">
        <v>804112</v>
      </c>
      <c r="B1088" s="1060" t="s">
        <v>22746</v>
      </c>
      <c r="C1088" s="1059" t="s">
        <v>3</v>
      </c>
      <c r="D1088" s="1061">
        <v>1031.1199999999999</v>
      </c>
    </row>
    <row r="1089" spans="1:4" ht="9" customHeight="1" x14ac:dyDescent="0.25">
      <c r="A1089" s="1059">
        <v>804115</v>
      </c>
      <c r="B1089" s="1060" t="s">
        <v>22747</v>
      </c>
      <c r="C1089" s="1059" t="s">
        <v>3</v>
      </c>
      <c r="D1089" s="1061">
        <v>1265.57</v>
      </c>
    </row>
    <row r="1090" spans="1:4" ht="9" customHeight="1" x14ac:dyDescent="0.25">
      <c r="A1090" s="1059">
        <v>804114</v>
      </c>
      <c r="B1090" s="1060" t="s">
        <v>22748</v>
      </c>
      <c r="C1090" s="1059" t="s">
        <v>3</v>
      </c>
      <c r="D1090" s="1061">
        <v>1051.33</v>
      </c>
    </row>
    <row r="1091" spans="1:4" ht="9" customHeight="1" x14ac:dyDescent="0.25">
      <c r="A1091" s="1059">
        <v>804117</v>
      </c>
      <c r="B1091" s="1060" t="s">
        <v>22749</v>
      </c>
      <c r="C1091" s="1059" t="s">
        <v>3</v>
      </c>
      <c r="D1091" s="1061">
        <v>1292.5999999999999</v>
      </c>
    </row>
    <row r="1092" spans="1:4" ht="9" customHeight="1" x14ac:dyDescent="0.25">
      <c r="A1092" s="1059">
        <v>804116</v>
      </c>
      <c r="B1092" s="1060" t="s">
        <v>22750</v>
      </c>
      <c r="C1092" s="1059" t="s">
        <v>3</v>
      </c>
      <c r="D1092" s="1061">
        <v>1077.96</v>
      </c>
    </row>
    <row r="1093" spans="1:4" ht="9" customHeight="1" x14ac:dyDescent="0.25">
      <c r="A1093" s="1059">
        <v>804391</v>
      </c>
      <c r="B1093" s="1060" t="s">
        <v>22751</v>
      </c>
      <c r="C1093" s="1059" t="s">
        <v>3</v>
      </c>
      <c r="D1093" s="1061">
        <v>2545.8200000000002</v>
      </c>
    </row>
    <row r="1094" spans="1:4" ht="9" customHeight="1" x14ac:dyDescent="0.25">
      <c r="A1094" s="1059">
        <v>804119</v>
      </c>
      <c r="B1094" s="1060" t="s">
        <v>22752</v>
      </c>
      <c r="C1094" s="1059" t="s">
        <v>3</v>
      </c>
      <c r="D1094" s="1061">
        <v>1329.62</v>
      </c>
    </row>
    <row r="1095" spans="1:4" ht="9" customHeight="1" x14ac:dyDescent="0.25">
      <c r="A1095" s="1059">
        <v>804390</v>
      </c>
      <c r="B1095" s="1060" t="s">
        <v>22753</v>
      </c>
      <c r="C1095" s="1059" t="s">
        <v>3</v>
      </c>
      <c r="D1095" s="1061">
        <v>2126.7800000000002</v>
      </c>
    </row>
    <row r="1096" spans="1:4" ht="9" customHeight="1" x14ac:dyDescent="0.25">
      <c r="A1096" s="1059">
        <v>804118</v>
      </c>
      <c r="B1096" s="1060" t="s">
        <v>22754</v>
      </c>
      <c r="C1096" s="1059" t="s">
        <v>3</v>
      </c>
      <c r="D1096" s="1061">
        <v>1114.5899999999999</v>
      </c>
    </row>
    <row r="1097" spans="1:4" ht="9" customHeight="1" x14ac:dyDescent="0.25">
      <c r="A1097" s="1059">
        <v>804103</v>
      </c>
      <c r="B1097" s="1060" t="s">
        <v>22755</v>
      </c>
      <c r="C1097" s="1059" t="s">
        <v>3</v>
      </c>
      <c r="D1097" s="1061">
        <v>1202.8900000000001</v>
      </c>
    </row>
    <row r="1098" spans="1:4" ht="9" customHeight="1" x14ac:dyDescent="0.25">
      <c r="A1098" s="1059">
        <v>804102</v>
      </c>
      <c r="B1098" s="1060" t="s">
        <v>22756</v>
      </c>
      <c r="C1098" s="1059" t="s">
        <v>3</v>
      </c>
      <c r="D1098" s="1061">
        <v>990.09</v>
      </c>
    </row>
    <row r="1099" spans="1:4" ht="9" customHeight="1" x14ac:dyDescent="0.25">
      <c r="A1099" s="1059">
        <v>804393</v>
      </c>
      <c r="B1099" s="1060" t="s">
        <v>22757</v>
      </c>
      <c r="C1099" s="1059" t="s">
        <v>3</v>
      </c>
      <c r="D1099" s="1061">
        <v>2692.21</v>
      </c>
    </row>
    <row r="1100" spans="1:4" ht="9" customHeight="1" x14ac:dyDescent="0.25">
      <c r="A1100" s="1059">
        <v>804121</v>
      </c>
      <c r="B1100" s="1060" t="s">
        <v>22758</v>
      </c>
      <c r="C1100" s="1059" t="s">
        <v>3</v>
      </c>
      <c r="D1100" s="1061">
        <v>1799.55</v>
      </c>
    </row>
    <row r="1101" spans="1:4" ht="9" customHeight="1" x14ac:dyDescent="0.25">
      <c r="A1101" s="1059">
        <v>804392</v>
      </c>
      <c r="B1101" s="1060" t="s">
        <v>22759</v>
      </c>
      <c r="C1101" s="1059" t="s">
        <v>3</v>
      </c>
      <c r="D1101" s="1061">
        <v>2223.36</v>
      </c>
    </row>
    <row r="1102" spans="1:4" ht="9" customHeight="1" x14ac:dyDescent="0.25">
      <c r="A1102" s="1059">
        <v>804120</v>
      </c>
      <c r="B1102" s="1060" t="s">
        <v>22760</v>
      </c>
      <c r="C1102" s="1059" t="s">
        <v>3</v>
      </c>
      <c r="D1102" s="1061">
        <v>1469.11</v>
      </c>
    </row>
    <row r="1103" spans="1:4" ht="9" customHeight="1" x14ac:dyDescent="0.25">
      <c r="A1103" s="1059">
        <v>804125</v>
      </c>
      <c r="B1103" s="1060" t="s">
        <v>22761</v>
      </c>
      <c r="C1103" s="1059" t="s">
        <v>3</v>
      </c>
      <c r="D1103" s="1061">
        <v>1804.99</v>
      </c>
    </row>
    <row r="1104" spans="1:4" ht="9" customHeight="1" x14ac:dyDescent="0.25">
      <c r="A1104" s="1059">
        <v>804124</v>
      </c>
      <c r="B1104" s="1060" t="s">
        <v>22762</v>
      </c>
      <c r="C1104" s="1059" t="s">
        <v>3</v>
      </c>
      <c r="D1104" s="1061">
        <v>1474.42</v>
      </c>
    </row>
    <row r="1105" spans="1:4" ht="9" customHeight="1" x14ac:dyDescent="0.25">
      <c r="A1105" s="1059">
        <v>804395</v>
      </c>
      <c r="B1105" s="1060" t="s">
        <v>22763</v>
      </c>
      <c r="C1105" s="1059" t="s">
        <v>3</v>
      </c>
      <c r="D1105" s="1061">
        <v>2828.1</v>
      </c>
    </row>
    <row r="1106" spans="1:4" ht="9" customHeight="1" x14ac:dyDescent="0.25">
      <c r="A1106" s="1059">
        <v>804127</v>
      </c>
      <c r="B1106" s="1060" t="s">
        <v>22764</v>
      </c>
      <c r="C1106" s="1059" t="s">
        <v>3</v>
      </c>
      <c r="D1106" s="1061">
        <v>1813.01</v>
      </c>
    </row>
    <row r="1107" spans="1:4" ht="9" customHeight="1" x14ac:dyDescent="0.25">
      <c r="A1107" s="1059">
        <v>804394</v>
      </c>
      <c r="B1107" s="1060" t="s">
        <v>22765</v>
      </c>
      <c r="C1107" s="1059" t="s">
        <v>3</v>
      </c>
      <c r="D1107" s="1061">
        <v>2334.2800000000002</v>
      </c>
    </row>
    <row r="1108" spans="1:4" ht="9" customHeight="1" x14ac:dyDescent="0.25">
      <c r="A1108" s="1059">
        <v>804126</v>
      </c>
      <c r="B1108" s="1060" t="s">
        <v>22766</v>
      </c>
      <c r="C1108" s="1059" t="s">
        <v>3</v>
      </c>
      <c r="D1108" s="1061">
        <v>1482.18</v>
      </c>
    </row>
    <row r="1109" spans="1:4" ht="9" customHeight="1" x14ac:dyDescent="0.25">
      <c r="A1109" s="1059">
        <v>804129</v>
      </c>
      <c r="B1109" s="1060" t="s">
        <v>22767</v>
      </c>
      <c r="C1109" s="1059" t="s">
        <v>3</v>
      </c>
      <c r="D1109" s="1061">
        <v>1824.33</v>
      </c>
    </row>
    <row r="1110" spans="1:4" ht="9" customHeight="1" x14ac:dyDescent="0.25">
      <c r="A1110" s="1059">
        <v>804128</v>
      </c>
      <c r="B1110" s="1060" t="s">
        <v>22768</v>
      </c>
      <c r="C1110" s="1059" t="s">
        <v>3</v>
      </c>
      <c r="D1110" s="1061">
        <v>1493.1</v>
      </c>
    </row>
    <row r="1111" spans="1:4" ht="9" customHeight="1" x14ac:dyDescent="0.25">
      <c r="A1111" s="1059">
        <v>804131</v>
      </c>
      <c r="B1111" s="1060" t="s">
        <v>22769</v>
      </c>
      <c r="C1111" s="1059" t="s">
        <v>3</v>
      </c>
      <c r="D1111" s="1061">
        <v>1839.93</v>
      </c>
    </row>
    <row r="1112" spans="1:4" ht="9" customHeight="1" x14ac:dyDescent="0.25">
      <c r="A1112" s="1059">
        <v>804130</v>
      </c>
      <c r="B1112" s="1060" t="s">
        <v>22770</v>
      </c>
      <c r="C1112" s="1059" t="s">
        <v>3</v>
      </c>
      <c r="D1112" s="1061">
        <v>1508.31</v>
      </c>
    </row>
    <row r="1113" spans="1:4" ht="9" customHeight="1" x14ac:dyDescent="0.25">
      <c r="A1113" s="1059">
        <v>804397</v>
      </c>
      <c r="B1113" s="1060" t="s">
        <v>22771</v>
      </c>
      <c r="C1113" s="1059" t="s">
        <v>3</v>
      </c>
      <c r="D1113" s="1061">
        <v>3152.71</v>
      </c>
    </row>
    <row r="1114" spans="1:4" ht="9" customHeight="1" x14ac:dyDescent="0.25">
      <c r="A1114" s="1059">
        <v>804133</v>
      </c>
      <c r="B1114" s="1060" t="s">
        <v>22772</v>
      </c>
      <c r="C1114" s="1059" t="s">
        <v>3</v>
      </c>
      <c r="D1114" s="1061">
        <v>1861.69</v>
      </c>
    </row>
    <row r="1115" spans="1:4" ht="9" customHeight="1" x14ac:dyDescent="0.25">
      <c r="A1115" s="1059">
        <v>804396</v>
      </c>
      <c r="B1115" s="1060" t="s">
        <v>22773</v>
      </c>
      <c r="C1115" s="1059" t="s">
        <v>3</v>
      </c>
      <c r="D1115" s="1061">
        <v>2600</v>
      </c>
    </row>
    <row r="1116" spans="1:4" ht="9" customHeight="1" x14ac:dyDescent="0.25">
      <c r="A1116" s="1059">
        <v>804132</v>
      </c>
      <c r="B1116" s="1060" t="s">
        <v>22774</v>
      </c>
      <c r="C1116" s="1059" t="s">
        <v>3</v>
      </c>
      <c r="D1116" s="1061">
        <v>1529.54</v>
      </c>
    </row>
    <row r="1117" spans="1:4" ht="9" customHeight="1" x14ac:dyDescent="0.25">
      <c r="A1117" s="1059">
        <v>804135</v>
      </c>
      <c r="B1117" s="1060" t="s">
        <v>22775</v>
      </c>
      <c r="C1117" s="1059" t="s">
        <v>3</v>
      </c>
      <c r="D1117" s="1061">
        <v>1889.87</v>
      </c>
    </row>
    <row r="1118" spans="1:4" ht="9" customHeight="1" x14ac:dyDescent="0.25">
      <c r="A1118" s="1059">
        <v>804134</v>
      </c>
      <c r="B1118" s="1060" t="s">
        <v>22776</v>
      </c>
      <c r="C1118" s="1059" t="s">
        <v>3</v>
      </c>
      <c r="D1118" s="1061">
        <v>1557.19</v>
      </c>
    </row>
    <row r="1119" spans="1:4" ht="9" customHeight="1" x14ac:dyDescent="0.25">
      <c r="A1119" s="1059">
        <v>804137</v>
      </c>
      <c r="B1119" s="1060" t="s">
        <v>22777</v>
      </c>
      <c r="C1119" s="1059" t="s">
        <v>3</v>
      </c>
      <c r="D1119" s="1061">
        <v>1857.8</v>
      </c>
    </row>
    <row r="1120" spans="1:4" ht="9" customHeight="1" x14ac:dyDescent="0.25">
      <c r="A1120" s="1059">
        <v>804136</v>
      </c>
      <c r="B1120" s="1060" t="s">
        <v>22778</v>
      </c>
      <c r="C1120" s="1059" t="s">
        <v>3</v>
      </c>
      <c r="D1120" s="1061">
        <v>1524.47</v>
      </c>
    </row>
    <row r="1121" spans="1:4" ht="9" customHeight="1" x14ac:dyDescent="0.25">
      <c r="A1121" s="1059">
        <v>804399</v>
      </c>
      <c r="B1121" s="1060" t="s">
        <v>22779</v>
      </c>
      <c r="C1121" s="1059" t="s">
        <v>3</v>
      </c>
      <c r="D1121" s="1061">
        <v>3925.85</v>
      </c>
    </row>
    <row r="1122" spans="1:4" ht="9" customHeight="1" x14ac:dyDescent="0.25">
      <c r="A1122" s="1059">
        <v>804139</v>
      </c>
      <c r="B1122" s="1060" t="s">
        <v>22780</v>
      </c>
      <c r="C1122" s="1059" t="s">
        <v>3</v>
      </c>
      <c r="D1122" s="1061">
        <v>1982.54</v>
      </c>
    </row>
    <row r="1123" spans="1:4" ht="9" customHeight="1" x14ac:dyDescent="0.25">
      <c r="A1123" s="1059">
        <v>804398</v>
      </c>
      <c r="B1123" s="1060" t="s">
        <v>22781</v>
      </c>
      <c r="C1123" s="1059" t="s">
        <v>3</v>
      </c>
      <c r="D1123" s="1061">
        <v>3230.14</v>
      </c>
    </row>
    <row r="1124" spans="1:4" ht="9" customHeight="1" x14ac:dyDescent="0.25">
      <c r="A1124" s="1059">
        <v>804138</v>
      </c>
      <c r="B1124" s="1060" t="s">
        <v>22782</v>
      </c>
      <c r="C1124" s="1059" t="s">
        <v>3</v>
      </c>
      <c r="D1124" s="1061">
        <v>1648.42</v>
      </c>
    </row>
    <row r="1125" spans="1:4" ht="9" customHeight="1" x14ac:dyDescent="0.25">
      <c r="A1125" s="1059">
        <v>804123</v>
      </c>
      <c r="B1125" s="1060" t="s">
        <v>22783</v>
      </c>
      <c r="C1125" s="1059" t="s">
        <v>3</v>
      </c>
      <c r="D1125" s="1061">
        <v>1800.26</v>
      </c>
    </row>
    <row r="1126" spans="1:4" ht="9" customHeight="1" x14ac:dyDescent="0.25">
      <c r="A1126" s="1059">
        <v>804122</v>
      </c>
      <c r="B1126" s="1060" t="s">
        <v>22784</v>
      </c>
      <c r="C1126" s="1059" t="s">
        <v>3</v>
      </c>
      <c r="D1126" s="1061">
        <v>1469.82</v>
      </c>
    </row>
    <row r="1127" spans="1:4" ht="9" customHeight="1" x14ac:dyDescent="0.25">
      <c r="A1127" s="1059">
        <v>804401</v>
      </c>
      <c r="B1127" s="1060" t="s">
        <v>22785</v>
      </c>
      <c r="C1127" s="1059" t="s">
        <v>3</v>
      </c>
      <c r="D1127" s="1061">
        <v>3901.95</v>
      </c>
    </row>
    <row r="1128" spans="1:4" ht="9" customHeight="1" x14ac:dyDescent="0.25">
      <c r="A1128" s="1059">
        <v>804141</v>
      </c>
      <c r="B1128" s="1060" t="s">
        <v>22786</v>
      </c>
      <c r="C1128" s="1059" t="s">
        <v>3</v>
      </c>
      <c r="D1128" s="1061">
        <v>2504.31</v>
      </c>
    </row>
    <row r="1129" spans="1:4" ht="9" customHeight="1" x14ac:dyDescent="0.25">
      <c r="A1129" s="1059">
        <v>804400</v>
      </c>
      <c r="B1129" s="1060" t="s">
        <v>22787</v>
      </c>
      <c r="C1129" s="1059" t="s">
        <v>3</v>
      </c>
      <c r="D1129" s="1061">
        <v>3178.24</v>
      </c>
    </row>
    <row r="1130" spans="1:4" ht="9" customHeight="1" x14ac:dyDescent="0.25">
      <c r="A1130" s="1059">
        <v>804140</v>
      </c>
      <c r="B1130" s="1060" t="s">
        <v>22788</v>
      </c>
      <c r="C1130" s="1059" t="s">
        <v>3</v>
      </c>
      <c r="D1130" s="1061">
        <v>2026.13</v>
      </c>
    </row>
    <row r="1131" spans="1:4" ht="9" customHeight="1" x14ac:dyDescent="0.25">
      <c r="A1131" s="1059">
        <v>804145</v>
      </c>
      <c r="B1131" s="1060" t="s">
        <v>22789</v>
      </c>
      <c r="C1131" s="1059" t="s">
        <v>3</v>
      </c>
      <c r="D1131" s="1061">
        <v>2513.2199999999998</v>
      </c>
    </row>
    <row r="1132" spans="1:4" ht="9" customHeight="1" x14ac:dyDescent="0.25">
      <c r="A1132" s="1059">
        <v>804144</v>
      </c>
      <c r="B1132" s="1060" t="s">
        <v>22790</v>
      </c>
      <c r="C1132" s="1059" t="s">
        <v>3</v>
      </c>
      <c r="D1132" s="1061">
        <v>2034.51</v>
      </c>
    </row>
    <row r="1133" spans="1:4" ht="9" customHeight="1" x14ac:dyDescent="0.25">
      <c r="A1133" s="1059">
        <v>804403</v>
      </c>
      <c r="B1133" s="1060" t="s">
        <v>22791</v>
      </c>
      <c r="C1133" s="1059" t="s">
        <v>3</v>
      </c>
      <c r="D1133" s="1061">
        <v>4109.92</v>
      </c>
    </row>
    <row r="1134" spans="1:4" ht="9" customHeight="1" x14ac:dyDescent="0.25">
      <c r="A1134" s="1059">
        <v>804147</v>
      </c>
      <c r="B1134" s="1060" t="s">
        <v>22792</v>
      </c>
      <c r="C1134" s="1059" t="s">
        <v>3</v>
      </c>
      <c r="D1134" s="1061">
        <v>2524.2600000000002</v>
      </c>
    </row>
    <row r="1135" spans="1:4" ht="9" customHeight="1" x14ac:dyDescent="0.25">
      <c r="A1135" s="1059">
        <v>804402</v>
      </c>
      <c r="B1135" s="1060" t="s">
        <v>22793</v>
      </c>
      <c r="C1135" s="1059" t="s">
        <v>3</v>
      </c>
      <c r="D1135" s="1061">
        <v>3345.07</v>
      </c>
    </row>
    <row r="1136" spans="1:4" ht="9" customHeight="1" x14ac:dyDescent="0.25">
      <c r="A1136" s="1059">
        <v>804146</v>
      </c>
      <c r="B1136" s="1060" t="s">
        <v>22794</v>
      </c>
      <c r="C1136" s="1059" t="s">
        <v>3</v>
      </c>
      <c r="D1136" s="1061">
        <v>2045.03</v>
      </c>
    </row>
    <row r="1137" spans="1:4" ht="9" customHeight="1" x14ac:dyDescent="0.25">
      <c r="A1137" s="1059">
        <v>804149</v>
      </c>
      <c r="B1137" s="1060" t="s">
        <v>22795</v>
      </c>
      <c r="C1137" s="1059" t="s">
        <v>3</v>
      </c>
      <c r="D1137" s="1061">
        <v>2540.91</v>
      </c>
    </row>
    <row r="1138" spans="1:4" ht="9" customHeight="1" x14ac:dyDescent="0.25">
      <c r="A1138" s="1059">
        <v>804148</v>
      </c>
      <c r="B1138" s="1060" t="s">
        <v>22796</v>
      </c>
      <c r="C1138" s="1059" t="s">
        <v>3</v>
      </c>
      <c r="D1138" s="1061">
        <v>2060.7600000000002</v>
      </c>
    </row>
    <row r="1139" spans="1:4" ht="9" customHeight="1" x14ac:dyDescent="0.25">
      <c r="A1139" s="1059">
        <v>804151</v>
      </c>
      <c r="B1139" s="1060" t="s">
        <v>22797</v>
      </c>
      <c r="C1139" s="1059" t="s">
        <v>3</v>
      </c>
      <c r="D1139" s="1061">
        <v>2563.7199999999998</v>
      </c>
    </row>
    <row r="1140" spans="1:4" ht="9" customHeight="1" x14ac:dyDescent="0.25">
      <c r="A1140" s="1059">
        <v>804150</v>
      </c>
      <c r="B1140" s="1060" t="s">
        <v>22798</v>
      </c>
      <c r="C1140" s="1059" t="s">
        <v>3</v>
      </c>
      <c r="D1140" s="1061">
        <v>2082.52</v>
      </c>
    </row>
    <row r="1141" spans="1:4" ht="9" customHeight="1" x14ac:dyDescent="0.25">
      <c r="A1141" s="1059">
        <v>804405</v>
      </c>
      <c r="B1141" s="1060" t="s">
        <v>22799</v>
      </c>
      <c r="C1141" s="1059" t="s">
        <v>3</v>
      </c>
      <c r="D1141" s="1061">
        <v>4595.26</v>
      </c>
    </row>
    <row r="1142" spans="1:4" ht="9" customHeight="1" x14ac:dyDescent="0.25">
      <c r="A1142" s="1059">
        <v>804153</v>
      </c>
      <c r="B1142" s="1060" t="s">
        <v>22800</v>
      </c>
      <c r="C1142" s="1059" t="s">
        <v>3</v>
      </c>
      <c r="D1142" s="1061">
        <v>2594.5500000000002</v>
      </c>
    </row>
    <row r="1143" spans="1:4" ht="9" customHeight="1" x14ac:dyDescent="0.25">
      <c r="A1143" s="1059">
        <v>804404</v>
      </c>
      <c r="B1143" s="1060" t="s">
        <v>22801</v>
      </c>
      <c r="C1143" s="1059" t="s">
        <v>3</v>
      </c>
      <c r="D1143" s="1061">
        <v>3736.17</v>
      </c>
    </row>
    <row r="1144" spans="1:4" ht="9" customHeight="1" x14ac:dyDescent="0.25">
      <c r="A1144" s="1059">
        <v>804152</v>
      </c>
      <c r="B1144" s="1060" t="s">
        <v>22802</v>
      </c>
      <c r="C1144" s="1059" t="s">
        <v>3</v>
      </c>
      <c r="D1144" s="1061">
        <v>2112.0300000000002</v>
      </c>
    </row>
    <row r="1145" spans="1:4" ht="9" customHeight="1" x14ac:dyDescent="0.25">
      <c r="A1145" s="1059">
        <v>804155</v>
      </c>
      <c r="B1145" s="1060" t="s">
        <v>22803</v>
      </c>
      <c r="C1145" s="1059" t="s">
        <v>3</v>
      </c>
      <c r="D1145" s="1061">
        <v>2634.38</v>
      </c>
    </row>
    <row r="1146" spans="1:4" ht="9" customHeight="1" x14ac:dyDescent="0.25">
      <c r="A1146" s="1059">
        <v>804154</v>
      </c>
      <c r="B1146" s="1060" t="s">
        <v>22804</v>
      </c>
      <c r="C1146" s="1059" t="s">
        <v>3</v>
      </c>
      <c r="D1146" s="1061">
        <v>2150.42</v>
      </c>
    </row>
    <row r="1147" spans="1:4" ht="9" customHeight="1" x14ac:dyDescent="0.25">
      <c r="A1147" s="1059">
        <v>804157</v>
      </c>
      <c r="B1147" s="1060" t="s">
        <v>22805</v>
      </c>
      <c r="C1147" s="1059" t="s">
        <v>3</v>
      </c>
      <c r="D1147" s="1061">
        <v>2689.38</v>
      </c>
    </row>
    <row r="1148" spans="1:4" ht="9" customHeight="1" x14ac:dyDescent="0.25">
      <c r="A1148" s="1059">
        <v>804156</v>
      </c>
      <c r="B1148" s="1060" t="s">
        <v>22806</v>
      </c>
      <c r="C1148" s="1059" t="s">
        <v>3</v>
      </c>
      <c r="D1148" s="1061">
        <v>2203.71</v>
      </c>
    </row>
    <row r="1149" spans="1:4" ht="9" customHeight="1" x14ac:dyDescent="0.25">
      <c r="A1149" s="1059">
        <v>804407</v>
      </c>
      <c r="B1149" s="1060" t="s">
        <v>22807</v>
      </c>
      <c r="C1149" s="1059" t="s">
        <v>3</v>
      </c>
      <c r="D1149" s="1061">
        <v>5729.13</v>
      </c>
    </row>
    <row r="1150" spans="1:4" ht="9" customHeight="1" x14ac:dyDescent="0.25">
      <c r="A1150" s="1059">
        <v>804159</v>
      </c>
      <c r="B1150" s="1060" t="s">
        <v>22808</v>
      </c>
      <c r="C1150" s="1059" t="s">
        <v>3</v>
      </c>
      <c r="D1150" s="1061">
        <v>2762.67</v>
      </c>
    </row>
    <row r="1151" spans="1:4" ht="9" customHeight="1" x14ac:dyDescent="0.25">
      <c r="A1151" s="1059">
        <v>804406</v>
      </c>
      <c r="B1151" s="1060" t="s">
        <v>22809</v>
      </c>
      <c r="C1151" s="1059" t="s">
        <v>3</v>
      </c>
      <c r="D1151" s="1061">
        <v>4645.67</v>
      </c>
    </row>
    <row r="1152" spans="1:4" ht="9" customHeight="1" x14ac:dyDescent="0.25">
      <c r="A1152" s="1059">
        <v>804158</v>
      </c>
      <c r="B1152" s="1060" t="s">
        <v>22810</v>
      </c>
      <c r="C1152" s="1059" t="s">
        <v>3</v>
      </c>
      <c r="D1152" s="1061">
        <v>2275.16</v>
      </c>
    </row>
    <row r="1153" spans="1:4" ht="9" customHeight="1" x14ac:dyDescent="0.25">
      <c r="A1153" s="1059">
        <v>804143</v>
      </c>
      <c r="B1153" s="1060" t="s">
        <v>22811</v>
      </c>
      <c r="C1153" s="1059" t="s">
        <v>3</v>
      </c>
      <c r="D1153" s="1061">
        <v>2506.89</v>
      </c>
    </row>
    <row r="1154" spans="1:4" ht="9" customHeight="1" x14ac:dyDescent="0.25">
      <c r="A1154" s="1059">
        <v>804142</v>
      </c>
      <c r="B1154" s="1060" t="s">
        <v>22812</v>
      </c>
      <c r="C1154" s="1059" t="s">
        <v>3</v>
      </c>
      <c r="D1154" s="1061">
        <v>2028.58</v>
      </c>
    </row>
    <row r="1155" spans="1:4" ht="9" customHeight="1" x14ac:dyDescent="0.25">
      <c r="A1155" s="1059">
        <v>804409</v>
      </c>
      <c r="B1155" s="1060" t="s">
        <v>22813</v>
      </c>
      <c r="C1155" s="1059" t="s">
        <v>3</v>
      </c>
      <c r="D1155" s="1061">
        <v>7089.38</v>
      </c>
    </row>
    <row r="1156" spans="1:4" ht="9" customHeight="1" x14ac:dyDescent="0.25">
      <c r="A1156" s="1059">
        <v>804161</v>
      </c>
      <c r="B1156" s="1060" t="s">
        <v>22814</v>
      </c>
      <c r="C1156" s="1059" t="s">
        <v>3</v>
      </c>
      <c r="D1156" s="1061">
        <v>4315.8999999999996</v>
      </c>
    </row>
    <row r="1157" spans="1:4" ht="9" customHeight="1" x14ac:dyDescent="0.25">
      <c r="A1157" s="1059">
        <v>804408</v>
      </c>
      <c r="B1157" s="1060" t="s">
        <v>22815</v>
      </c>
      <c r="C1157" s="1059" t="s">
        <v>3</v>
      </c>
      <c r="D1157" s="1061">
        <v>5668.51</v>
      </c>
    </row>
    <row r="1158" spans="1:4" ht="9" customHeight="1" x14ac:dyDescent="0.25">
      <c r="A1158" s="1059">
        <v>804160</v>
      </c>
      <c r="B1158" s="1060" t="s">
        <v>22816</v>
      </c>
      <c r="C1158" s="1059" t="s">
        <v>3</v>
      </c>
      <c r="D1158" s="1061">
        <v>3463.25</v>
      </c>
    </row>
    <row r="1159" spans="1:4" ht="9" customHeight="1" x14ac:dyDescent="0.25">
      <c r="A1159" s="1059">
        <v>804165</v>
      </c>
      <c r="B1159" s="1060" t="s">
        <v>22817</v>
      </c>
      <c r="C1159" s="1059" t="s">
        <v>3</v>
      </c>
      <c r="D1159" s="1061">
        <v>4328.1000000000004</v>
      </c>
    </row>
    <row r="1160" spans="1:4" ht="9" customHeight="1" x14ac:dyDescent="0.25">
      <c r="A1160" s="1059">
        <v>804164</v>
      </c>
      <c r="B1160" s="1060" t="s">
        <v>22818</v>
      </c>
      <c r="C1160" s="1059" t="s">
        <v>3</v>
      </c>
      <c r="D1160" s="1061">
        <v>3474.79</v>
      </c>
    </row>
    <row r="1161" spans="1:4" ht="9" customHeight="1" x14ac:dyDescent="0.25">
      <c r="A1161" s="1059">
        <v>804411</v>
      </c>
      <c r="B1161" s="1060" t="s">
        <v>22819</v>
      </c>
      <c r="C1161" s="1059" t="s">
        <v>3</v>
      </c>
      <c r="D1161" s="1061">
        <v>7478.12</v>
      </c>
    </row>
    <row r="1162" spans="1:4" ht="9" customHeight="1" x14ac:dyDescent="0.25">
      <c r="A1162" s="1059">
        <v>804167</v>
      </c>
      <c r="B1162" s="1060" t="s">
        <v>22820</v>
      </c>
      <c r="C1162" s="1059" t="s">
        <v>3</v>
      </c>
      <c r="D1162" s="1061">
        <v>4344.04</v>
      </c>
    </row>
    <row r="1163" spans="1:4" ht="9" customHeight="1" x14ac:dyDescent="0.25">
      <c r="A1163" s="1059">
        <v>804410</v>
      </c>
      <c r="B1163" s="1060" t="s">
        <v>22821</v>
      </c>
      <c r="C1163" s="1059" t="s">
        <v>3</v>
      </c>
      <c r="D1163" s="1061">
        <v>5975.63</v>
      </c>
    </row>
    <row r="1164" spans="1:4" ht="9" customHeight="1" x14ac:dyDescent="0.25">
      <c r="A1164" s="1059">
        <v>804166</v>
      </c>
      <c r="B1164" s="1060" t="s">
        <v>22822</v>
      </c>
      <c r="C1164" s="1059" t="s">
        <v>3</v>
      </c>
      <c r="D1164" s="1061">
        <v>3489.81</v>
      </c>
    </row>
    <row r="1165" spans="1:4" ht="9" customHeight="1" x14ac:dyDescent="0.25">
      <c r="A1165" s="1059">
        <v>804169</v>
      </c>
      <c r="B1165" s="1060" t="s">
        <v>22823</v>
      </c>
      <c r="C1165" s="1059" t="s">
        <v>3</v>
      </c>
      <c r="D1165" s="1061">
        <v>4367.28</v>
      </c>
    </row>
    <row r="1166" spans="1:4" ht="9" customHeight="1" x14ac:dyDescent="0.25">
      <c r="A1166" s="1059">
        <v>804168</v>
      </c>
      <c r="B1166" s="1060" t="s">
        <v>22824</v>
      </c>
      <c r="C1166" s="1059" t="s">
        <v>3</v>
      </c>
      <c r="D1166" s="1061">
        <v>3511.87</v>
      </c>
    </row>
    <row r="1167" spans="1:4" ht="9" customHeight="1" x14ac:dyDescent="0.25">
      <c r="A1167" s="1059">
        <v>804171</v>
      </c>
      <c r="B1167" s="1060" t="s">
        <v>22825</v>
      </c>
      <c r="C1167" s="1059" t="s">
        <v>3</v>
      </c>
      <c r="D1167" s="1061">
        <v>4398.99</v>
      </c>
    </row>
    <row r="1168" spans="1:4" ht="9" customHeight="1" x14ac:dyDescent="0.25">
      <c r="A1168" s="1059">
        <v>804170</v>
      </c>
      <c r="B1168" s="1060" t="s">
        <v>22826</v>
      </c>
      <c r="C1168" s="1059" t="s">
        <v>3</v>
      </c>
      <c r="D1168" s="1061">
        <v>3542</v>
      </c>
    </row>
    <row r="1169" spans="1:4" ht="9" customHeight="1" x14ac:dyDescent="0.25">
      <c r="A1169" s="1059">
        <v>804413</v>
      </c>
      <c r="B1169" s="1060" t="s">
        <v>22827</v>
      </c>
      <c r="C1169" s="1059" t="s">
        <v>3</v>
      </c>
      <c r="D1169" s="1061">
        <v>8383</v>
      </c>
    </row>
    <row r="1170" spans="1:4" ht="9" customHeight="1" x14ac:dyDescent="0.25">
      <c r="A1170" s="1059">
        <v>804173</v>
      </c>
      <c r="B1170" s="1060" t="s">
        <v>22828</v>
      </c>
      <c r="C1170" s="1059" t="s">
        <v>3</v>
      </c>
      <c r="D1170" s="1061">
        <v>4441.58</v>
      </c>
    </row>
    <row r="1171" spans="1:4" ht="9" customHeight="1" x14ac:dyDescent="0.25">
      <c r="A1171" s="1059">
        <v>804412</v>
      </c>
      <c r="B1171" s="1060" t="s">
        <v>22829</v>
      </c>
      <c r="C1171" s="1059" t="s">
        <v>3</v>
      </c>
      <c r="D1171" s="1061">
        <v>6691.63</v>
      </c>
    </row>
    <row r="1172" spans="1:4" ht="9" customHeight="1" x14ac:dyDescent="0.25">
      <c r="A1172" s="1059">
        <v>804172</v>
      </c>
      <c r="B1172" s="1060" t="s">
        <v>22830</v>
      </c>
      <c r="C1172" s="1059" t="s">
        <v>3</v>
      </c>
      <c r="D1172" s="1061">
        <v>3582.75</v>
      </c>
    </row>
    <row r="1173" spans="1:4" ht="9" customHeight="1" x14ac:dyDescent="0.25">
      <c r="A1173" s="1059">
        <v>804175</v>
      </c>
      <c r="B1173" s="1060" t="s">
        <v>22831</v>
      </c>
      <c r="C1173" s="1059" t="s">
        <v>3</v>
      </c>
      <c r="D1173" s="1061">
        <v>4498.6099999999997</v>
      </c>
    </row>
    <row r="1174" spans="1:4" ht="9" customHeight="1" x14ac:dyDescent="0.25">
      <c r="A1174" s="1059">
        <v>804174</v>
      </c>
      <c r="B1174" s="1060" t="s">
        <v>22832</v>
      </c>
      <c r="C1174" s="1059" t="s">
        <v>3</v>
      </c>
      <c r="D1174" s="1061">
        <v>3637.68</v>
      </c>
    </row>
    <row r="1175" spans="1:4" ht="9" customHeight="1" x14ac:dyDescent="0.25">
      <c r="A1175" s="1059">
        <v>804177</v>
      </c>
      <c r="B1175" s="1060" t="s">
        <v>22833</v>
      </c>
      <c r="C1175" s="1059" t="s">
        <v>3</v>
      </c>
      <c r="D1175" s="1061">
        <v>4574.82</v>
      </c>
    </row>
    <row r="1176" spans="1:4" ht="9" customHeight="1" x14ac:dyDescent="0.25">
      <c r="A1176" s="1059">
        <v>804176</v>
      </c>
      <c r="B1176" s="1060" t="s">
        <v>22834</v>
      </c>
      <c r="C1176" s="1059" t="s">
        <v>3</v>
      </c>
      <c r="D1176" s="1061">
        <v>3711.39</v>
      </c>
    </row>
    <row r="1177" spans="1:4" ht="9" customHeight="1" x14ac:dyDescent="0.25">
      <c r="A1177" s="1059">
        <v>804415</v>
      </c>
      <c r="B1177" s="1060" t="s">
        <v>22835</v>
      </c>
      <c r="C1177" s="1059" t="s">
        <v>3</v>
      </c>
      <c r="D1177" s="1061">
        <v>10515.07</v>
      </c>
    </row>
    <row r="1178" spans="1:4" ht="9" customHeight="1" x14ac:dyDescent="0.25">
      <c r="A1178" s="1059">
        <v>804179</v>
      </c>
      <c r="B1178" s="1060" t="s">
        <v>22836</v>
      </c>
      <c r="C1178" s="1059" t="s">
        <v>3</v>
      </c>
      <c r="D1178" s="1061">
        <v>4679.04</v>
      </c>
    </row>
    <row r="1179" spans="1:4" ht="9" customHeight="1" x14ac:dyDescent="0.25">
      <c r="A1179" s="1059">
        <v>804414</v>
      </c>
      <c r="B1179" s="1060" t="s">
        <v>22837</v>
      </c>
      <c r="C1179" s="1059" t="s">
        <v>3</v>
      </c>
      <c r="D1179" s="1061">
        <v>8372.2000000000007</v>
      </c>
    </row>
    <row r="1180" spans="1:4" ht="9" customHeight="1" x14ac:dyDescent="0.25">
      <c r="A1180" s="1059">
        <v>804178</v>
      </c>
      <c r="B1180" s="1060" t="s">
        <v>22838</v>
      </c>
      <c r="C1180" s="1059" t="s">
        <v>3</v>
      </c>
      <c r="D1180" s="1061">
        <v>3812.85</v>
      </c>
    </row>
    <row r="1181" spans="1:4" ht="9" customHeight="1" x14ac:dyDescent="0.25">
      <c r="A1181" s="1059">
        <v>804163</v>
      </c>
      <c r="B1181" s="1060" t="s">
        <v>22839</v>
      </c>
      <c r="C1181" s="1059" t="s">
        <v>3</v>
      </c>
      <c r="D1181" s="1061">
        <v>4319.2</v>
      </c>
    </row>
    <row r="1182" spans="1:4" ht="9" customHeight="1" x14ac:dyDescent="0.25">
      <c r="A1182" s="1059">
        <v>804162</v>
      </c>
      <c r="B1182" s="1060" t="s">
        <v>22840</v>
      </c>
      <c r="C1182" s="1059" t="s">
        <v>3</v>
      </c>
      <c r="D1182" s="1061">
        <v>3466.41</v>
      </c>
    </row>
    <row r="1183" spans="1:4" ht="9" customHeight="1" x14ac:dyDescent="0.25">
      <c r="A1183" s="1059">
        <v>804441</v>
      </c>
      <c r="B1183" s="1060" t="s">
        <v>22841</v>
      </c>
      <c r="C1183" s="1059" t="s">
        <v>3</v>
      </c>
      <c r="D1183" s="1061">
        <v>4820.3900000000003</v>
      </c>
    </row>
    <row r="1184" spans="1:4" ht="9" customHeight="1" x14ac:dyDescent="0.25">
      <c r="A1184" s="1059">
        <v>804317</v>
      </c>
      <c r="B1184" s="1060" t="s">
        <v>22842</v>
      </c>
      <c r="C1184" s="1059" t="s">
        <v>3</v>
      </c>
      <c r="D1184" s="1061">
        <v>2632.71</v>
      </c>
    </row>
    <row r="1185" spans="1:4" ht="9" customHeight="1" x14ac:dyDescent="0.25">
      <c r="A1185" s="1059">
        <v>804440</v>
      </c>
      <c r="B1185" s="1060" t="s">
        <v>22843</v>
      </c>
      <c r="C1185" s="1059" t="s">
        <v>3</v>
      </c>
      <c r="D1185" s="1061">
        <v>3946.97</v>
      </c>
    </row>
    <row r="1186" spans="1:4" ht="9" customHeight="1" x14ac:dyDescent="0.25">
      <c r="A1186" s="1059">
        <v>804316</v>
      </c>
      <c r="B1186" s="1060" t="s">
        <v>22844</v>
      </c>
      <c r="C1186" s="1059" t="s">
        <v>3</v>
      </c>
      <c r="D1186" s="1061">
        <v>2131.79</v>
      </c>
    </row>
    <row r="1187" spans="1:4" ht="9" customHeight="1" x14ac:dyDescent="0.25">
      <c r="A1187" s="1059">
        <v>804321</v>
      </c>
      <c r="B1187" s="1060" t="s">
        <v>22845</v>
      </c>
      <c r="C1187" s="1059" t="s">
        <v>3</v>
      </c>
      <c r="D1187" s="1061">
        <v>2650.85</v>
      </c>
    </row>
    <row r="1188" spans="1:4" ht="9" customHeight="1" x14ac:dyDescent="0.25">
      <c r="A1188" s="1059">
        <v>804320</v>
      </c>
      <c r="B1188" s="1060" t="s">
        <v>22846</v>
      </c>
      <c r="C1188" s="1059" t="s">
        <v>3</v>
      </c>
      <c r="D1188" s="1061">
        <v>2148.36</v>
      </c>
    </row>
    <row r="1189" spans="1:4" ht="9" customHeight="1" x14ac:dyDescent="0.25">
      <c r="A1189" s="1059">
        <v>804443</v>
      </c>
      <c r="B1189" s="1060" t="s">
        <v>22847</v>
      </c>
      <c r="C1189" s="1059" t="s">
        <v>3</v>
      </c>
      <c r="D1189" s="1061">
        <v>5030.58</v>
      </c>
    </row>
    <row r="1190" spans="1:4" ht="9" customHeight="1" x14ac:dyDescent="0.25">
      <c r="A1190" s="1059">
        <v>804323</v>
      </c>
      <c r="B1190" s="1060" t="s">
        <v>22848</v>
      </c>
      <c r="C1190" s="1059" t="s">
        <v>3</v>
      </c>
      <c r="D1190" s="1061">
        <v>2675.04</v>
      </c>
    </row>
    <row r="1191" spans="1:4" ht="9" customHeight="1" x14ac:dyDescent="0.25">
      <c r="A1191" s="1059">
        <v>804442</v>
      </c>
      <c r="B1191" s="1060" t="s">
        <v>22849</v>
      </c>
      <c r="C1191" s="1059" t="s">
        <v>3</v>
      </c>
      <c r="D1191" s="1061">
        <v>4118.13</v>
      </c>
    </row>
    <row r="1192" spans="1:4" ht="9" customHeight="1" x14ac:dyDescent="0.25">
      <c r="A1192" s="1059">
        <v>804322</v>
      </c>
      <c r="B1192" s="1060" t="s">
        <v>22850</v>
      </c>
      <c r="C1192" s="1059" t="s">
        <v>3</v>
      </c>
      <c r="D1192" s="1061">
        <v>2170.44</v>
      </c>
    </row>
    <row r="1193" spans="1:4" ht="9" customHeight="1" x14ac:dyDescent="0.25">
      <c r="A1193" s="1059">
        <v>804325</v>
      </c>
      <c r="B1193" s="1060" t="s">
        <v>22851</v>
      </c>
      <c r="C1193" s="1059" t="s">
        <v>3</v>
      </c>
      <c r="D1193" s="1061">
        <v>2710</v>
      </c>
    </row>
    <row r="1194" spans="1:4" ht="9" customHeight="1" x14ac:dyDescent="0.25">
      <c r="A1194" s="1059">
        <v>804324</v>
      </c>
      <c r="B1194" s="1060" t="s">
        <v>22852</v>
      </c>
      <c r="C1194" s="1059" t="s">
        <v>3</v>
      </c>
      <c r="D1194" s="1061">
        <v>2202.65</v>
      </c>
    </row>
    <row r="1195" spans="1:4" ht="9" customHeight="1" x14ac:dyDescent="0.25">
      <c r="A1195" s="1059">
        <v>804327</v>
      </c>
      <c r="B1195" s="1060" t="s">
        <v>22853</v>
      </c>
      <c r="C1195" s="1059" t="s">
        <v>3</v>
      </c>
      <c r="D1195" s="1061">
        <v>2758.05</v>
      </c>
    </row>
    <row r="1196" spans="1:4" ht="9" customHeight="1" x14ac:dyDescent="0.25">
      <c r="A1196" s="1059">
        <v>804326</v>
      </c>
      <c r="B1196" s="1060" t="s">
        <v>22854</v>
      </c>
      <c r="C1196" s="1059" t="s">
        <v>3</v>
      </c>
      <c r="D1196" s="1061">
        <v>2247.0100000000002</v>
      </c>
    </row>
    <row r="1197" spans="1:4" ht="9" customHeight="1" x14ac:dyDescent="0.25">
      <c r="A1197" s="1059">
        <v>804445</v>
      </c>
      <c r="B1197" s="1060" t="s">
        <v>22855</v>
      </c>
      <c r="C1197" s="1059" t="s">
        <v>3</v>
      </c>
      <c r="D1197" s="1061">
        <v>5614.5</v>
      </c>
    </row>
    <row r="1198" spans="1:4" ht="9" customHeight="1" x14ac:dyDescent="0.25">
      <c r="A1198" s="1059">
        <v>804329</v>
      </c>
      <c r="B1198" s="1060" t="s">
        <v>22856</v>
      </c>
      <c r="C1198" s="1059" t="s">
        <v>3</v>
      </c>
      <c r="D1198" s="1061">
        <v>2821.86</v>
      </c>
    </row>
    <row r="1199" spans="1:4" ht="9" customHeight="1" x14ac:dyDescent="0.25">
      <c r="A1199" s="1059">
        <v>804444</v>
      </c>
      <c r="B1199" s="1060" t="s">
        <v>22857</v>
      </c>
      <c r="C1199" s="1059" t="s">
        <v>3</v>
      </c>
      <c r="D1199" s="1061">
        <v>4593.74</v>
      </c>
    </row>
    <row r="1200" spans="1:4" ht="9" customHeight="1" x14ac:dyDescent="0.25">
      <c r="A1200" s="1059">
        <v>804328</v>
      </c>
      <c r="B1200" s="1060" t="s">
        <v>22858</v>
      </c>
      <c r="C1200" s="1059" t="s">
        <v>3</v>
      </c>
      <c r="D1200" s="1061">
        <v>2306.4899999999998</v>
      </c>
    </row>
    <row r="1201" spans="1:4" ht="9" customHeight="1" x14ac:dyDescent="0.25">
      <c r="A1201" s="1059">
        <v>804331</v>
      </c>
      <c r="B1201" s="1060" t="s">
        <v>22859</v>
      </c>
      <c r="C1201" s="1059" t="s">
        <v>3</v>
      </c>
      <c r="D1201" s="1061">
        <v>2904.31</v>
      </c>
    </row>
    <row r="1202" spans="1:4" ht="9" customHeight="1" x14ac:dyDescent="0.25">
      <c r="A1202" s="1059">
        <v>804330</v>
      </c>
      <c r="B1202" s="1060" t="s">
        <v>22860</v>
      </c>
      <c r="C1202" s="1059" t="s">
        <v>3</v>
      </c>
      <c r="D1202" s="1061">
        <v>2383.9299999999998</v>
      </c>
    </row>
    <row r="1203" spans="1:4" ht="9" customHeight="1" x14ac:dyDescent="0.25">
      <c r="A1203" s="1059">
        <v>804333</v>
      </c>
      <c r="B1203" s="1060" t="s">
        <v>22861</v>
      </c>
      <c r="C1203" s="1059" t="s">
        <v>3</v>
      </c>
      <c r="D1203" s="1061">
        <v>3014.38</v>
      </c>
    </row>
    <row r="1204" spans="1:4" ht="9" customHeight="1" x14ac:dyDescent="0.25">
      <c r="A1204" s="1059">
        <v>804332</v>
      </c>
      <c r="B1204" s="1060" t="s">
        <v>22862</v>
      </c>
      <c r="C1204" s="1059" t="s">
        <v>3</v>
      </c>
      <c r="D1204" s="1061">
        <v>2488.23</v>
      </c>
    </row>
    <row r="1205" spans="1:4" ht="9" customHeight="1" x14ac:dyDescent="0.25">
      <c r="A1205" s="1059">
        <v>804447</v>
      </c>
      <c r="B1205" s="1060" t="s">
        <v>22863</v>
      </c>
      <c r="C1205" s="1059" t="s">
        <v>3</v>
      </c>
      <c r="D1205" s="1061">
        <v>6946.98</v>
      </c>
    </row>
    <row r="1206" spans="1:4" ht="9" customHeight="1" x14ac:dyDescent="0.25">
      <c r="A1206" s="1059">
        <v>804335</v>
      </c>
      <c r="B1206" s="1060" t="s">
        <v>22864</v>
      </c>
      <c r="C1206" s="1059" t="s">
        <v>3</v>
      </c>
      <c r="D1206" s="1061">
        <v>3159.78</v>
      </c>
    </row>
    <row r="1207" spans="1:4" ht="9" customHeight="1" x14ac:dyDescent="0.25">
      <c r="A1207" s="1059">
        <v>804446</v>
      </c>
      <c r="B1207" s="1060" t="s">
        <v>22865</v>
      </c>
      <c r="C1207" s="1059" t="s">
        <v>3</v>
      </c>
      <c r="D1207" s="1061">
        <v>5678.19</v>
      </c>
    </row>
    <row r="1208" spans="1:4" ht="9" customHeight="1" x14ac:dyDescent="0.25">
      <c r="A1208" s="1059">
        <v>804334</v>
      </c>
      <c r="B1208" s="1060" t="s">
        <v>22866</v>
      </c>
      <c r="C1208" s="1059" t="s">
        <v>3</v>
      </c>
      <c r="D1208" s="1061">
        <v>2627.32</v>
      </c>
    </row>
    <row r="1209" spans="1:4" ht="9" customHeight="1" x14ac:dyDescent="0.25">
      <c r="A1209" s="1059">
        <v>804319</v>
      </c>
      <c r="B1209" s="1060" t="s">
        <v>22867</v>
      </c>
      <c r="C1209" s="1059" t="s">
        <v>3</v>
      </c>
      <c r="D1209" s="1061">
        <v>2636.89</v>
      </c>
    </row>
    <row r="1210" spans="1:4" ht="9" customHeight="1" x14ac:dyDescent="0.25">
      <c r="A1210" s="1059">
        <v>804318</v>
      </c>
      <c r="B1210" s="1060" t="s">
        <v>22868</v>
      </c>
      <c r="C1210" s="1059" t="s">
        <v>3</v>
      </c>
      <c r="D1210" s="1061">
        <v>2135.5700000000002</v>
      </c>
    </row>
    <row r="1211" spans="1:4" ht="9" customHeight="1" x14ac:dyDescent="0.25">
      <c r="A1211" s="1059">
        <v>804449</v>
      </c>
      <c r="B1211" s="1060" t="s">
        <v>22869</v>
      </c>
      <c r="C1211" s="1059" t="s">
        <v>3</v>
      </c>
      <c r="D1211" s="1061">
        <v>7016.4</v>
      </c>
    </row>
    <row r="1212" spans="1:4" ht="9" customHeight="1" x14ac:dyDescent="0.25">
      <c r="A1212" s="1059">
        <v>804337</v>
      </c>
      <c r="B1212" s="1060" t="s">
        <v>22870</v>
      </c>
      <c r="C1212" s="1059" t="s">
        <v>3</v>
      </c>
      <c r="D1212" s="1061">
        <v>3613.1</v>
      </c>
    </row>
    <row r="1213" spans="1:4" ht="9" customHeight="1" x14ac:dyDescent="0.25">
      <c r="A1213" s="1059">
        <v>804448</v>
      </c>
      <c r="B1213" s="1060" t="s">
        <v>22871</v>
      </c>
      <c r="C1213" s="1059" t="s">
        <v>3</v>
      </c>
      <c r="D1213" s="1061">
        <v>5666.25</v>
      </c>
    </row>
    <row r="1214" spans="1:4" ht="9" customHeight="1" x14ac:dyDescent="0.25">
      <c r="A1214" s="1059">
        <v>804336</v>
      </c>
      <c r="B1214" s="1060" t="s">
        <v>22872</v>
      </c>
      <c r="C1214" s="1059" t="s">
        <v>3</v>
      </c>
      <c r="D1214" s="1061">
        <v>2890.57</v>
      </c>
    </row>
    <row r="1215" spans="1:4" ht="9" customHeight="1" x14ac:dyDescent="0.25">
      <c r="A1215" s="1059">
        <v>804341</v>
      </c>
      <c r="B1215" s="1060" t="s">
        <v>22873</v>
      </c>
      <c r="C1215" s="1059" t="s">
        <v>3</v>
      </c>
      <c r="D1215" s="1061">
        <v>3640.81</v>
      </c>
    </row>
    <row r="1216" spans="1:4" ht="9" customHeight="1" x14ac:dyDescent="0.25">
      <c r="A1216" s="1059">
        <v>804340</v>
      </c>
      <c r="B1216" s="1060" t="s">
        <v>22874</v>
      </c>
      <c r="C1216" s="1059" t="s">
        <v>3</v>
      </c>
      <c r="D1216" s="1061">
        <v>2915.13</v>
      </c>
    </row>
    <row r="1217" spans="1:4" ht="9" customHeight="1" x14ac:dyDescent="0.25">
      <c r="A1217" s="1059">
        <v>804451</v>
      </c>
      <c r="B1217" s="1060" t="s">
        <v>22875</v>
      </c>
      <c r="C1217" s="1059" t="s">
        <v>3</v>
      </c>
      <c r="D1217" s="1061">
        <v>7338.93</v>
      </c>
    </row>
    <row r="1218" spans="1:4" ht="9" customHeight="1" x14ac:dyDescent="0.25">
      <c r="A1218" s="1059">
        <v>804343</v>
      </c>
      <c r="B1218" s="1060" t="s">
        <v>22876</v>
      </c>
      <c r="C1218" s="1059" t="s">
        <v>3</v>
      </c>
      <c r="D1218" s="1061">
        <v>3676.17</v>
      </c>
    </row>
    <row r="1219" spans="1:4" ht="9" customHeight="1" x14ac:dyDescent="0.25">
      <c r="A1219" s="1059">
        <v>804450</v>
      </c>
      <c r="B1219" s="1060" t="s">
        <v>22877</v>
      </c>
      <c r="C1219" s="1059" t="s">
        <v>3</v>
      </c>
      <c r="D1219" s="1061">
        <v>5924.76</v>
      </c>
    </row>
    <row r="1220" spans="1:4" ht="9" customHeight="1" x14ac:dyDescent="0.25">
      <c r="A1220" s="1059">
        <v>804342</v>
      </c>
      <c r="B1220" s="1060" t="s">
        <v>22878</v>
      </c>
      <c r="C1220" s="1059" t="s">
        <v>3</v>
      </c>
      <c r="D1220" s="1061">
        <v>2946.55</v>
      </c>
    </row>
    <row r="1221" spans="1:4" ht="9" customHeight="1" x14ac:dyDescent="0.25">
      <c r="A1221" s="1059">
        <v>804345</v>
      </c>
      <c r="B1221" s="1060" t="s">
        <v>22879</v>
      </c>
      <c r="C1221" s="1059" t="s">
        <v>3</v>
      </c>
      <c r="D1221" s="1061">
        <v>3727.81</v>
      </c>
    </row>
    <row r="1222" spans="1:4" ht="9" customHeight="1" x14ac:dyDescent="0.25">
      <c r="A1222" s="1059">
        <v>804344</v>
      </c>
      <c r="B1222" s="1060" t="s">
        <v>22880</v>
      </c>
      <c r="C1222" s="1059" t="s">
        <v>3</v>
      </c>
      <c r="D1222" s="1061">
        <v>2992.8</v>
      </c>
    </row>
    <row r="1223" spans="1:4" ht="9" customHeight="1" x14ac:dyDescent="0.25">
      <c r="A1223" s="1059">
        <v>804347</v>
      </c>
      <c r="B1223" s="1060" t="s">
        <v>22881</v>
      </c>
      <c r="C1223" s="1059" t="s">
        <v>3</v>
      </c>
      <c r="D1223" s="1061">
        <v>3798.3</v>
      </c>
    </row>
    <row r="1224" spans="1:4" ht="9" customHeight="1" x14ac:dyDescent="0.25">
      <c r="A1224" s="1059">
        <v>804346</v>
      </c>
      <c r="B1224" s="1060" t="s">
        <v>22882</v>
      </c>
      <c r="C1224" s="1059" t="s">
        <v>3</v>
      </c>
      <c r="D1224" s="1061">
        <v>3056.32</v>
      </c>
    </row>
    <row r="1225" spans="1:4" ht="9" customHeight="1" x14ac:dyDescent="0.25">
      <c r="A1225" s="1059">
        <v>804453</v>
      </c>
      <c r="B1225" s="1060" t="s">
        <v>22883</v>
      </c>
      <c r="C1225" s="1059" t="s">
        <v>3</v>
      </c>
      <c r="D1225" s="1061">
        <v>8183.15</v>
      </c>
    </row>
    <row r="1226" spans="1:4" ht="9" customHeight="1" x14ac:dyDescent="0.25">
      <c r="A1226" s="1059">
        <v>804349</v>
      </c>
      <c r="B1226" s="1060" t="s">
        <v>22884</v>
      </c>
      <c r="C1226" s="1059" t="s">
        <v>3</v>
      </c>
      <c r="D1226" s="1061">
        <v>3890.78</v>
      </c>
    </row>
    <row r="1227" spans="1:4" ht="9" customHeight="1" x14ac:dyDescent="0.25">
      <c r="A1227" s="1059">
        <v>804452</v>
      </c>
      <c r="B1227" s="1060" t="s">
        <v>22885</v>
      </c>
      <c r="C1227" s="1059" t="s">
        <v>3</v>
      </c>
      <c r="D1227" s="1061">
        <v>6600.75</v>
      </c>
    </row>
    <row r="1228" spans="1:4" ht="9" customHeight="1" x14ac:dyDescent="0.25">
      <c r="A1228" s="1059">
        <v>804348</v>
      </c>
      <c r="B1228" s="1060" t="s">
        <v>22886</v>
      </c>
      <c r="C1228" s="1059" t="s">
        <v>3</v>
      </c>
      <c r="D1228" s="1061">
        <v>3140.39</v>
      </c>
    </row>
    <row r="1229" spans="1:4" ht="9" customHeight="1" x14ac:dyDescent="0.25">
      <c r="A1229" s="1059">
        <v>804351</v>
      </c>
      <c r="B1229" s="1060" t="s">
        <v>22887</v>
      </c>
      <c r="C1229" s="1059" t="s">
        <v>3</v>
      </c>
      <c r="D1229" s="1061">
        <v>4009.8</v>
      </c>
    </row>
    <row r="1230" spans="1:4" ht="9" customHeight="1" x14ac:dyDescent="0.25">
      <c r="A1230" s="1059">
        <v>804350</v>
      </c>
      <c r="B1230" s="1060" t="s">
        <v>22888</v>
      </c>
      <c r="C1230" s="1059" t="s">
        <v>3</v>
      </c>
      <c r="D1230" s="1061">
        <v>3249.68</v>
      </c>
    </row>
    <row r="1231" spans="1:4" ht="9" customHeight="1" x14ac:dyDescent="0.25">
      <c r="A1231" s="1059">
        <v>804353</v>
      </c>
      <c r="B1231" s="1060" t="s">
        <v>22889</v>
      </c>
      <c r="C1231" s="1059" t="s">
        <v>3</v>
      </c>
      <c r="D1231" s="1061">
        <v>4166.07</v>
      </c>
    </row>
    <row r="1232" spans="1:4" ht="9" customHeight="1" x14ac:dyDescent="0.25">
      <c r="A1232" s="1059">
        <v>804352</v>
      </c>
      <c r="B1232" s="1060" t="s">
        <v>22890</v>
      </c>
      <c r="C1232" s="1059" t="s">
        <v>3</v>
      </c>
      <c r="D1232" s="1061">
        <v>3394.91</v>
      </c>
    </row>
    <row r="1233" spans="1:4" ht="9" customHeight="1" x14ac:dyDescent="0.25">
      <c r="A1233" s="1059">
        <v>804455</v>
      </c>
      <c r="B1233" s="1060" t="s">
        <v>22891</v>
      </c>
      <c r="C1233" s="1059" t="s">
        <v>3</v>
      </c>
      <c r="D1233" s="1061">
        <v>10132.299999999999</v>
      </c>
    </row>
    <row r="1234" spans="1:4" ht="9" customHeight="1" x14ac:dyDescent="0.25">
      <c r="A1234" s="1059">
        <v>804355</v>
      </c>
      <c r="B1234" s="1060" t="s">
        <v>22892</v>
      </c>
      <c r="C1234" s="1059" t="s">
        <v>3</v>
      </c>
      <c r="D1234" s="1061">
        <v>4371.7299999999996</v>
      </c>
    </row>
    <row r="1235" spans="1:4" ht="9" customHeight="1" x14ac:dyDescent="0.25">
      <c r="A1235" s="1059">
        <v>804454</v>
      </c>
      <c r="B1235" s="1060" t="s">
        <v>22893</v>
      </c>
      <c r="C1235" s="1059" t="s">
        <v>3</v>
      </c>
      <c r="D1235" s="1061">
        <v>8162.94</v>
      </c>
    </row>
    <row r="1236" spans="1:4" ht="9" customHeight="1" x14ac:dyDescent="0.25">
      <c r="A1236" s="1059">
        <v>804354</v>
      </c>
      <c r="B1236" s="1060" t="s">
        <v>22894</v>
      </c>
      <c r="C1236" s="1059" t="s">
        <v>3</v>
      </c>
      <c r="D1236" s="1061">
        <v>3588.22</v>
      </c>
    </row>
    <row r="1237" spans="1:4" ht="9" customHeight="1" x14ac:dyDescent="0.25">
      <c r="A1237" s="1059">
        <v>804339</v>
      </c>
      <c r="B1237" s="1060" t="s">
        <v>22895</v>
      </c>
      <c r="C1237" s="1059" t="s">
        <v>3</v>
      </c>
      <c r="D1237" s="1061">
        <v>3620.03</v>
      </c>
    </row>
    <row r="1238" spans="1:4" ht="9" customHeight="1" x14ac:dyDescent="0.25">
      <c r="A1238" s="1059">
        <v>804338</v>
      </c>
      <c r="B1238" s="1060" t="s">
        <v>22896</v>
      </c>
      <c r="C1238" s="1059" t="s">
        <v>3</v>
      </c>
      <c r="D1238" s="1061">
        <v>2896.71</v>
      </c>
    </row>
    <row r="1239" spans="1:4" ht="9" customHeight="1" x14ac:dyDescent="0.25">
      <c r="A1239" s="1059">
        <v>804457</v>
      </c>
      <c r="B1239" s="1060" t="s">
        <v>22897</v>
      </c>
      <c r="C1239" s="1059" t="s">
        <v>3</v>
      </c>
      <c r="D1239" s="1061">
        <v>12322.21</v>
      </c>
    </row>
    <row r="1240" spans="1:4" ht="9" customHeight="1" x14ac:dyDescent="0.25">
      <c r="A1240" s="1059">
        <v>804357</v>
      </c>
      <c r="B1240" s="1060" t="s">
        <v>22898</v>
      </c>
      <c r="C1240" s="1059" t="s">
        <v>3</v>
      </c>
      <c r="D1240" s="1061">
        <v>6107.6</v>
      </c>
    </row>
    <row r="1241" spans="1:4" ht="9" customHeight="1" x14ac:dyDescent="0.25">
      <c r="A1241" s="1059">
        <v>804456</v>
      </c>
      <c r="B1241" s="1060" t="s">
        <v>22899</v>
      </c>
      <c r="C1241" s="1059" t="s">
        <v>3</v>
      </c>
      <c r="D1241" s="1061">
        <v>9757.02</v>
      </c>
    </row>
    <row r="1242" spans="1:4" ht="9" customHeight="1" x14ac:dyDescent="0.25">
      <c r="A1242" s="1059">
        <v>804356</v>
      </c>
      <c r="B1242" s="1060" t="s">
        <v>22900</v>
      </c>
      <c r="C1242" s="1059" t="s">
        <v>3</v>
      </c>
      <c r="D1242" s="1061">
        <v>4828.29</v>
      </c>
    </row>
    <row r="1243" spans="1:4" ht="9" customHeight="1" x14ac:dyDescent="0.25">
      <c r="A1243" s="1059">
        <v>804361</v>
      </c>
      <c r="B1243" s="1060" t="s">
        <v>22901</v>
      </c>
      <c r="C1243" s="1059" t="s">
        <v>3</v>
      </c>
      <c r="D1243" s="1061">
        <v>6150.39</v>
      </c>
    </row>
    <row r="1244" spans="1:4" ht="9" customHeight="1" x14ac:dyDescent="0.25">
      <c r="A1244" s="1059">
        <v>804360</v>
      </c>
      <c r="B1244" s="1060" t="s">
        <v>22902</v>
      </c>
      <c r="C1244" s="1059" t="s">
        <v>3</v>
      </c>
      <c r="D1244" s="1061">
        <v>4865.57</v>
      </c>
    </row>
    <row r="1245" spans="1:4" ht="9" customHeight="1" x14ac:dyDescent="0.25">
      <c r="A1245" s="1059">
        <v>804459</v>
      </c>
      <c r="B1245" s="1060" t="s">
        <v>22903</v>
      </c>
      <c r="C1245" s="1059" t="s">
        <v>3</v>
      </c>
      <c r="D1245" s="1061">
        <v>12896.45</v>
      </c>
    </row>
    <row r="1246" spans="1:4" ht="9" customHeight="1" x14ac:dyDescent="0.25">
      <c r="A1246" s="1059">
        <v>804363</v>
      </c>
      <c r="B1246" s="1060" t="s">
        <v>22904</v>
      </c>
      <c r="C1246" s="1059" t="s">
        <v>3</v>
      </c>
      <c r="D1246" s="1061">
        <v>6205.17</v>
      </c>
    </row>
    <row r="1247" spans="1:4" ht="9" customHeight="1" x14ac:dyDescent="0.25">
      <c r="A1247" s="1059">
        <v>804458</v>
      </c>
      <c r="B1247" s="1060" t="s">
        <v>22905</v>
      </c>
      <c r="C1247" s="1059" t="s">
        <v>3</v>
      </c>
      <c r="D1247" s="1061">
        <v>10209.030000000001</v>
      </c>
    </row>
    <row r="1248" spans="1:4" ht="9" customHeight="1" x14ac:dyDescent="0.25">
      <c r="A1248" s="1059">
        <v>804362</v>
      </c>
      <c r="B1248" s="1060" t="s">
        <v>22906</v>
      </c>
      <c r="C1248" s="1059" t="s">
        <v>3</v>
      </c>
      <c r="D1248" s="1061">
        <v>4913.38</v>
      </c>
    </row>
    <row r="1249" spans="1:4" ht="9" customHeight="1" x14ac:dyDescent="0.25">
      <c r="A1249" s="1059">
        <v>804365</v>
      </c>
      <c r="B1249" s="1060" t="s">
        <v>22907</v>
      </c>
      <c r="C1249" s="1059" t="s">
        <v>3</v>
      </c>
      <c r="D1249" s="1061">
        <v>6284.21</v>
      </c>
    </row>
    <row r="1250" spans="1:4" ht="9" customHeight="1" x14ac:dyDescent="0.25">
      <c r="A1250" s="1059">
        <v>804364</v>
      </c>
      <c r="B1250" s="1060" t="s">
        <v>22908</v>
      </c>
      <c r="C1250" s="1059" t="s">
        <v>3</v>
      </c>
      <c r="D1250" s="1061">
        <v>4982.6899999999996</v>
      </c>
    </row>
    <row r="1251" spans="1:4" ht="9" customHeight="1" x14ac:dyDescent="0.25">
      <c r="A1251" s="1059">
        <v>804367</v>
      </c>
      <c r="B1251" s="1060" t="s">
        <v>22909</v>
      </c>
      <c r="C1251" s="1059" t="s">
        <v>3</v>
      </c>
      <c r="D1251" s="1061">
        <v>6391.34</v>
      </c>
    </row>
    <row r="1252" spans="1:4" ht="9" customHeight="1" x14ac:dyDescent="0.25">
      <c r="A1252" s="1059">
        <v>804366</v>
      </c>
      <c r="B1252" s="1060" t="s">
        <v>22910</v>
      </c>
      <c r="C1252" s="1059" t="s">
        <v>3</v>
      </c>
      <c r="D1252" s="1061">
        <v>5077.47</v>
      </c>
    </row>
    <row r="1253" spans="1:4" ht="9" customHeight="1" x14ac:dyDescent="0.25">
      <c r="A1253" s="1059">
        <v>804461</v>
      </c>
      <c r="B1253" s="1060" t="s">
        <v>22911</v>
      </c>
      <c r="C1253" s="1059" t="s">
        <v>3</v>
      </c>
      <c r="D1253" s="1061">
        <v>14421.27</v>
      </c>
    </row>
    <row r="1254" spans="1:4" ht="9" customHeight="1" x14ac:dyDescent="0.25">
      <c r="A1254" s="1059">
        <v>804369</v>
      </c>
      <c r="B1254" s="1060" t="s">
        <v>22912</v>
      </c>
      <c r="C1254" s="1059" t="s">
        <v>3</v>
      </c>
      <c r="D1254" s="1061">
        <v>6530.85</v>
      </c>
    </row>
    <row r="1255" spans="1:4" ht="9" customHeight="1" x14ac:dyDescent="0.25">
      <c r="A1255" s="1059">
        <v>804460</v>
      </c>
      <c r="B1255" s="1060" t="s">
        <v>22913</v>
      </c>
      <c r="C1255" s="1059" t="s">
        <v>3</v>
      </c>
      <c r="D1255" s="1061">
        <v>11409.32</v>
      </c>
    </row>
    <row r="1256" spans="1:4" ht="9" customHeight="1" x14ac:dyDescent="0.25">
      <c r="A1256" s="1059">
        <v>804371</v>
      </c>
      <c r="B1256" s="1060" t="s">
        <v>22914</v>
      </c>
      <c r="C1256" s="1059" t="s">
        <v>3</v>
      </c>
      <c r="D1256" s="1061">
        <v>6710.43</v>
      </c>
    </row>
    <row r="1257" spans="1:4" ht="9" customHeight="1" x14ac:dyDescent="0.25">
      <c r="A1257" s="1059">
        <v>804370</v>
      </c>
      <c r="B1257" s="1060" t="s">
        <v>22915</v>
      </c>
      <c r="C1257" s="1059" t="s">
        <v>3</v>
      </c>
      <c r="D1257" s="1061">
        <v>5364.22</v>
      </c>
    </row>
    <row r="1258" spans="1:4" ht="9" customHeight="1" x14ac:dyDescent="0.25">
      <c r="A1258" s="1059">
        <v>804373</v>
      </c>
      <c r="B1258" s="1060" t="s">
        <v>22916</v>
      </c>
      <c r="C1258" s="1059" t="s">
        <v>3</v>
      </c>
      <c r="D1258" s="1061">
        <v>6941.77</v>
      </c>
    </row>
    <row r="1259" spans="1:4" ht="9" customHeight="1" x14ac:dyDescent="0.25">
      <c r="A1259" s="1059">
        <v>804372</v>
      </c>
      <c r="B1259" s="1060" t="s">
        <v>22917</v>
      </c>
      <c r="C1259" s="1059" t="s">
        <v>3</v>
      </c>
      <c r="D1259" s="1061">
        <v>5575.98</v>
      </c>
    </row>
    <row r="1260" spans="1:4" ht="9" customHeight="1" x14ac:dyDescent="0.25">
      <c r="A1260" s="1059">
        <v>804463</v>
      </c>
      <c r="B1260" s="1060" t="s">
        <v>22918</v>
      </c>
      <c r="C1260" s="1059" t="s">
        <v>3</v>
      </c>
      <c r="D1260" s="1061">
        <v>17915.82</v>
      </c>
    </row>
    <row r="1261" spans="1:4" ht="9" customHeight="1" x14ac:dyDescent="0.25">
      <c r="A1261" s="1059">
        <v>804375</v>
      </c>
      <c r="B1261" s="1060" t="s">
        <v>22919</v>
      </c>
      <c r="C1261" s="1059" t="s">
        <v>3</v>
      </c>
      <c r="D1261" s="1061">
        <v>7245.58</v>
      </c>
    </row>
    <row r="1262" spans="1:4" ht="9" customHeight="1" x14ac:dyDescent="0.25">
      <c r="A1262" s="1059">
        <v>804462</v>
      </c>
      <c r="B1262" s="1060" t="s">
        <v>22920</v>
      </c>
      <c r="C1262" s="1059" t="s">
        <v>3</v>
      </c>
      <c r="D1262" s="1061">
        <v>14154.53</v>
      </c>
    </row>
    <row r="1263" spans="1:4" ht="9" customHeight="1" x14ac:dyDescent="0.25">
      <c r="A1263" s="1059">
        <v>804374</v>
      </c>
      <c r="B1263" s="1060" t="s">
        <v>22921</v>
      </c>
      <c r="C1263" s="1059" t="s">
        <v>3</v>
      </c>
      <c r="D1263" s="1061">
        <v>5857.97</v>
      </c>
    </row>
    <row r="1264" spans="1:4" ht="9" customHeight="1" x14ac:dyDescent="0.25">
      <c r="A1264" s="1059">
        <v>804359</v>
      </c>
      <c r="B1264" s="1060" t="s">
        <v>22922</v>
      </c>
      <c r="C1264" s="1059" t="s">
        <v>3</v>
      </c>
      <c r="D1264" s="1061">
        <v>6118.43</v>
      </c>
    </row>
    <row r="1265" spans="1:4" ht="9" customHeight="1" x14ac:dyDescent="0.25">
      <c r="A1265" s="1059">
        <v>804358</v>
      </c>
      <c r="B1265" s="1060" t="s">
        <v>22923</v>
      </c>
      <c r="C1265" s="1059" t="s">
        <v>3</v>
      </c>
      <c r="D1265" s="1061">
        <v>4837.8100000000004</v>
      </c>
    </row>
    <row r="1266" spans="1:4" ht="9" customHeight="1" x14ac:dyDescent="0.25">
      <c r="A1266" s="1059">
        <v>804368</v>
      </c>
      <c r="B1266" s="1060" t="s">
        <v>22924</v>
      </c>
      <c r="C1266" s="1059" t="s">
        <v>3</v>
      </c>
      <c r="D1266" s="1061">
        <v>5202</v>
      </c>
    </row>
    <row r="1267" spans="1:4" ht="9" customHeight="1" x14ac:dyDescent="0.25">
      <c r="A1267" s="1059">
        <v>804465</v>
      </c>
      <c r="B1267" s="1060" t="s">
        <v>22925</v>
      </c>
      <c r="C1267" s="1059" t="s">
        <v>2</v>
      </c>
      <c r="D1267" s="1061">
        <v>123.84</v>
      </c>
    </row>
    <row r="1268" spans="1:4" ht="9" customHeight="1" x14ac:dyDescent="0.25">
      <c r="A1268" s="1059">
        <v>804464</v>
      </c>
      <c r="B1268" s="1060" t="s">
        <v>22926</v>
      </c>
      <c r="C1268" s="1059" t="s">
        <v>2</v>
      </c>
      <c r="D1268" s="1061">
        <v>106.11</v>
      </c>
    </row>
    <row r="1269" spans="1:4" ht="9" customHeight="1" x14ac:dyDescent="0.25">
      <c r="A1269" s="1059">
        <v>804475</v>
      </c>
      <c r="B1269" s="1060" t="s">
        <v>22927</v>
      </c>
      <c r="C1269" s="1059" t="s">
        <v>2</v>
      </c>
      <c r="D1269" s="1061">
        <v>136.78</v>
      </c>
    </row>
    <row r="1270" spans="1:4" ht="9" customHeight="1" x14ac:dyDescent="0.25">
      <c r="A1270" s="1059">
        <v>804474</v>
      </c>
      <c r="B1270" s="1060" t="s">
        <v>22928</v>
      </c>
      <c r="C1270" s="1059" t="s">
        <v>2</v>
      </c>
      <c r="D1270" s="1061">
        <v>119.06</v>
      </c>
    </row>
    <row r="1271" spans="1:4" ht="9" customHeight="1" x14ac:dyDescent="0.25">
      <c r="A1271" s="1059">
        <v>804485</v>
      </c>
      <c r="B1271" s="1060" t="s">
        <v>22929</v>
      </c>
      <c r="C1271" s="1059" t="s">
        <v>2</v>
      </c>
      <c r="D1271" s="1061">
        <v>201.44</v>
      </c>
    </row>
    <row r="1272" spans="1:4" ht="9" customHeight="1" x14ac:dyDescent="0.25">
      <c r="A1272" s="1059">
        <v>804484</v>
      </c>
      <c r="B1272" s="1060" t="s">
        <v>22930</v>
      </c>
      <c r="C1272" s="1059" t="s">
        <v>2</v>
      </c>
      <c r="D1272" s="1061">
        <v>183.81</v>
      </c>
    </row>
    <row r="1273" spans="1:4" ht="9" customHeight="1" x14ac:dyDescent="0.25">
      <c r="A1273" s="1059">
        <v>804495</v>
      </c>
      <c r="B1273" s="1060" t="s">
        <v>22931</v>
      </c>
      <c r="C1273" s="1059" t="s">
        <v>2</v>
      </c>
      <c r="D1273" s="1061">
        <v>251.38</v>
      </c>
    </row>
    <row r="1274" spans="1:4" ht="9" customHeight="1" x14ac:dyDescent="0.25">
      <c r="A1274" s="1059">
        <v>804494</v>
      </c>
      <c r="B1274" s="1060" t="s">
        <v>22932</v>
      </c>
      <c r="C1274" s="1059" t="s">
        <v>2</v>
      </c>
      <c r="D1274" s="1061">
        <v>230.48</v>
      </c>
    </row>
    <row r="1275" spans="1:4" ht="9" customHeight="1" x14ac:dyDescent="0.25">
      <c r="A1275" s="1059">
        <v>804467</v>
      </c>
      <c r="B1275" s="1060" t="s">
        <v>22933</v>
      </c>
      <c r="C1275" s="1059" t="s">
        <v>2</v>
      </c>
      <c r="D1275" s="1061">
        <v>187.78</v>
      </c>
    </row>
    <row r="1276" spans="1:4" ht="9" customHeight="1" x14ac:dyDescent="0.25">
      <c r="A1276" s="1059">
        <v>804466</v>
      </c>
      <c r="B1276" s="1060" t="s">
        <v>22934</v>
      </c>
      <c r="C1276" s="1059" t="s">
        <v>2</v>
      </c>
      <c r="D1276" s="1061">
        <v>159.54</v>
      </c>
    </row>
    <row r="1277" spans="1:4" ht="9" customHeight="1" x14ac:dyDescent="0.25">
      <c r="A1277" s="1059">
        <v>804477</v>
      </c>
      <c r="B1277" s="1060" t="s">
        <v>22935</v>
      </c>
      <c r="C1277" s="1059" t="s">
        <v>2</v>
      </c>
      <c r="D1277" s="1061">
        <v>239.51</v>
      </c>
    </row>
    <row r="1278" spans="1:4" ht="9" customHeight="1" x14ac:dyDescent="0.25">
      <c r="A1278" s="1059">
        <v>804476</v>
      </c>
      <c r="B1278" s="1060" t="s">
        <v>22936</v>
      </c>
      <c r="C1278" s="1059" t="s">
        <v>2</v>
      </c>
      <c r="D1278" s="1061">
        <v>211.34</v>
      </c>
    </row>
    <row r="1279" spans="1:4" ht="9" customHeight="1" x14ac:dyDescent="0.25">
      <c r="A1279" s="1059">
        <v>804487</v>
      </c>
      <c r="B1279" s="1060" t="s">
        <v>22937</v>
      </c>
      <c r="C1279" s="1059" t="s">
        <v>2</v>
      </c>
      <c r="D1279" s="1061">
        <v>341.71</v>
      </c>
    </row>
    <row r="1280" spans="1:4" ht="9" customHeight="1" x14ac:dyDescent="0.25">
      <c r="A1280" s="1059">
        <v>804486</v>
      </c>
      <c r="B1280" s="1060" t="s">
        <v>22938</v>
      </c>
      <c r="C1280" s="1059" t="s">
        <v>2</v>
      </c>
      <c r="D1280" s="1061">
        <v>310.18</v>
      </c>
    </row>
    <row r="1281" spans="1:4" ht="9" customHeight="1" x14ac:dyDescent="0.25">
      <c r="A1281" s="1059">
        <v>804497</v>
      </c>
      <c r="B1281" s="1060" t="s">
        <v>22939</v>
      </c>
      <c r="C1281" s="1059" t="s">
        <v>2</v>
      </c>
      <c r="D1281" s="1061">
        <v>402.97</v>
      </c>
    </row>
    <row r="1282" spans="1:4" ht="9" customHeight="1" x14ac:dyDescent="0.25">
      <c r="A1282" s="1059">
        <v>804496</v>
      </c>
      <c r="B1282" s="1060" t="s">
        <v>22940</v>
      </c>
      <c r="C1282" s="1059" t="s">
        <v>2</v>
      </c>
      <c r="D1282" s="1061">
        <v>364.79</v>
      </c>
    </row>
    <row r="1283" spans="1:4" ht="9" customHeight="1" x14ac:dyDescent="0.25">
      <c r="A1283" s="1059">
        <v>804469</v>
      </c>
      <c r="B1283" s="1060" t="s">
        <v>22941</v>
      </c>
      <c r="C1283" s="1059" t="s">
        <v>2</v>
      </c>
      <c r="D1283" s="1061">
        <v>331.01</v>
      </c>
    </row>
    <row r="1284" spans="1:4" ht="9" customHeight="1" x14ac:dyDescent="0.25">
      <c r="A1284" s="1059">
        <v>804468</v>
      </c>
      <c r="B1284" s="1060" t="s">
        <v>22942</v>
      </c>
      <c r="C1284" s="1059" t="s">
        <v>2</v>
      </c>
      <c r="D1284" s="1061">
        <v>292.29000000000002</v>
      </c>
    </row>
    <row r="1285" spans="1:4" ht="9" customHeight="1" x14ac:dyDescent="0.25">
      <c r="A1285" s="1059">
        <v>804479</v>
      </c>
      <c r="B1285" s="1060" t="s">
        <v>22943</v>
      </c>
      <c r="C1285" s="1059" t="s">
        <v>2</v>
      </c>
      <c r="D1285" s="1061">
        <v>382.74</v>
      </c>
    </row>
    <row r="1286" spans="1:4" ht="9" customHeight="1" x14ac:dyDescent="0.25">
      <c r="A1286" s="1059">
        <v>804478</v>
      </c>
      <c r="B1286" s="1060" t="s">
        <v>22944</v>
      </c>
      <c r="C1286" s="1059" t="s">
        <v>2</v>
      </c>
      <c r="D1286" s="1061">
        <v>344.09</v>
      </c>
    </row>
    <row r="1287" spans="1:4" ht="9" customHeight="1" x14ac:dyDescent="0.25">
      <c r="A1287" s="1059">
        <v>804489</v>
      </c>
      <c r="B1287" s="1060" t="s">
        <v>22945</v>
      </c>
      <c r="C1287" s="1059" t="s">
        <v>2</v>
      </c>
      <c r="D1287" s="1061">
        <v>483.51</v>
      </c>
    </row>
    <row r="1288" spans="1:4" ht="9" customHeight="1" x14ac:dyDescent="0.25">
      <c r="A1288" s="1059">
        <v>804488</v>
      </c>
      <c r="B1288" s="1060" t="s">
        <v>22946</v>
      </c>
      <c r="C1288" s="1059" t="s">
        <v>2</v>
      </c>
      <c r="D1288" s="1061">
        <v>434.18</v>
      </c>
    </row>
    <row r="1289" spans="1:4" ht="9" customHeight="1" x14ac:dyDescent="0.25">
      <c r="A1289" s="1059">
        <v>804499</v>
      </c>
      <c r="B1289" s="1060" t="s">
        <v>22947</v>
      </c>
      <c r="C1289" s="1059" t="s">
        <v>2</v>
      </c>
      <c r="D1289" s="1061">
        <v>614.96</v>
      </c>
    </row>
    <row r="1290" spans="1:4" ht="9" customHeight="1" x14ac:dyDescent="0.25">
      <c r="A1290" s="1059">
        <v>804498</v>
      </c>
      <c r="B1290" s="1060" t="s">
        <v>22948</v>
      </c>
      <c r="C1290" s="1059" t="s">
        <v>2</v>
      </c>
      <c r="D1290" s="1061">
        <v>557.41999999999996</v>
      </c>
    </row>
    <row r="1291" spans="1:4" ht="9" customHeight="1" x14ac:dyDescent="0.25">
      <c r="A1291" s="1059">
        <v>804471</v>
      </c>
      <c r="B1291" s="1060" t="s">
        <v>22949</v>
      </c>
      <c r="C1291" s="1059" t="s">
        <v>2</v>
      </c>
      <c r="D1291" s="1061">
        <v>448.65</v>
      </c>
    </row>
    <row r="1292" spans="1:4" ht="9" customHeight="1" x14ac:dyDescent="0.25">
      <c r="A1292" s="1059">
        <v>804470</v>
      </c>
      <c r="B1292" s="1060" t="s">
        <v>22950</v>
      </c>
      <c r="C1292" s="1059" t="s">
        <v>2</v>
      </c>
      <c r="D1292" s="1061">
        <v>392.26</v>
      </c>
    </row>
    <row r="1293" spans="1:4" ht="9" customHeight="1" x14ac:dyDescent="0.25">
      <c r="A1293" s="1059">
        <v>804481</v>
      </c>
      <c r="B1293" s="1060" t="s">
        <v>22951</v>
      </c>
      <c r="C1293" s="1059" t="s">
        <v>2</v>
      </c>
      <c r="D1293" s="1061">
        <v>565.04999999999995</v>
      </c>
    </row>
    <row r="1294" spans="1:4" ht="9" customHeight="1" x14ac:dyDescent="0.25">
      <c r="A1294" s="1059">
        <v>804480</v>
      </c>
      <c r="B1294" s="1060" t="s">
        <v>22952</v>
      </c>
      <c r="C1294" s="1059" t="s">
        <v>2</v>
      </c>
      <c r="D1294" s="1061">
        <v>508.82</v>
      </c>
    </row>
    <row r="1295" spans="1:4" ht="9" customHeight="1" x14ac:dyDescent="0.25">
      <c r="A1295" s="1059">
        <v>804491</v>
      </c>
      <c r="B1295" s="1060" t="s">
        <v>22953</v>
      </c>
      <c r="C1295" s="1059" t="s">
        <v>2</v>
      </c>
      <c r="D1295" s="1061">
        <v>745.27</v>
      </c>
    </row>
    <row r="1296" spans="1:4" ht="9" customHeight="1" x14ac:dyDescent="0.25">
      <c r="A1296" s="1059">
        <v>804490</v>
      </c>
      <c r="B1296" s="1060" t="s">
        <v>22954</v>
      </c>
      <c r="C1296" s="1059" t="s">
        <v>2</v>
      </c>
      <c r="D1296" s="1061">
        <v>670.16</v>
      </c>
    </row>
    <row r="1297" spans="1:4" ht="9" customHeight="1" x14ac:dyDescent="0.25">
      <c r="A1297" s="1059">
        <v>804501</v>
      </c>
      <c r="B1297" s="1060" t="s">
        <v>22955</v>
      </c>
      <c r="C1297" s="1059" t="s">
        <v>2</v>
      </c>
      <c r="D1297" s="1061">
        <v>895.84</v>
      </c>
    </row>
    <row r="1298" spans="1:4" ht="9" customHeight="1" x14ac:dyDescent="0.25">
      <c r="A1298" s="1059">
        <v>804500</v>
      </c>
      <c r="B1298" s="1060" t="s">
        <v>22956</v>
      </c>
      <c r="C1298" s="1059" t="s">
        <v>2</v>
      </c>
      <c r="D1298" s="1061">
        <v>810.7</v>
      </c>
    </row>
    <row r="1299" spans="1:4" ht="9" customHeight="1" x14ac:dyDescent="0.25">
      <c r="A1299" s="1059">
        <v>804473</v>
      </c>
      <c r="B1299" s="1060" t="s">
        <v>22957</v>
      </c>
      <c r="C1299" s="1059" t="s">
        <v>2</v>
      </c>
      <c r="D1299" s="1061">
        <v>723.84</v>
      </c>
    </row>
    <row r="1300" spans="1:4" ht="9" customHeight="1" x14ac:dyDescent="0.25">
      <c r="A1300" s="1059">
        <v>804472</v>
      </c>
      <c r="B1300" s="1060" t="s">
        <v>22958</v>
      </c>
      <c r="C1300" s="1059" t="s">
        <v>2</v>
      </c>
      <c r="D1300" s="1061">
        <v>635.78</v>
      </c>
    </row>
    <row r="1301" spans="1:4" ht="9" customHeight="1" x14ac:dyDescent="0.25">
      <c r="A1301" s="1059">
        <v>804483</v>
      </c>
      <c r="B1301" s="1060" t="s">
        <v>22959</v>
      </c>
      <c r="C1301" s="1059" t="s">
        <v>2</v>
      </c>
      <c r="D1301" s="1061">
        <v>904.92</v>
      </c>
    </row>
    <row r="1302" spans="1:4" ht="9" customHeight="1" x14ac:dyDescent="0.25">
      <c r="A1302" s="1059">
        <v>804482</v>
      </c>
      <c r="B1302" s="1060" t="s">
        <v>22960</v>
      </c>
      <c r="C1302" s="1059" t="s">
        <v>2</v>
      </c>
      <c r="D1302" s="1061">
        <v>817.09</v>
      </c>
    </row>
    <row r="1303" spans="1:4" ht="9" customHeight="1" x14ac:dyDescent="0.25">
      <c r="A1303" s="1059">
        <v>804493</v>
      </c>
      <c r="B1303" s="1060" t="s">
        <v>22961</v>
      </c>
      <c r="C1303" s="1059" t="s">
        <v>2</v>
      </c>
      <c r="D1303" s="1061">
        <v>1195.1199999999999</v>
      </c>
    </row>
    <row r="1304" spans="1:4" ht="9" customHeight="1" x14ac:dyDescent="0.25">
      <c r="A1304" s="1059">
        <v>804492</v>
      </c>
      <c r="B1304" s="1060" t="s">
        <v>22962</v>
      </c>
      <c r="C1304" s="1059" t="s">
        <v>2</v>
      </c>
      <c r="D1304" s="1061">
        <v>1078.8599999999999</v>
      </c>
    </row>
    <row r="1305" spans="1:4" ht="9" customHeight="1" x14ac:dyDescent="0.25">
      <c r="A1305" s="1059">
        <v>804503</v>
      </c>
      <c r="B1305" s="1060" t="s">
        <v>22963</v>
      </c>
      <c r="C1305" s="1059" t="s">
        <v>2</v>
      </c>
      <c r="D1305" s="1061">
        <v>1429.09</v>
      </c>
    </row>
    <row r="1306" spans="1:4" ht="9" customHeight="1" x14ac:dyDescent="0.25">
      <c r="A1306" s="1059">
        <v>804502</v>
      </c>
      <c r="B1306" s="1060" t="s">
        <v>22964</v>
      </c>
      <c r="C1306" s="1059" t="s">
        <v>2</v>
      </c>
      <c r="D1306" s="1061">
        <v>1308.9100000000001</v>
      </c>
    </row>
    <row r="1307" spans="1:4" ht="9" customHeight="1" x14ac:dyDescent="0.25">
      <c r="A1307" s="1059">
        <v>804180</v>
      </c>
      <c r="B1307" s="1060" t="s">
        <v>22965</v>
      </c>
      <c r="C1307" s="1059" t="s">
        <v>2</v>
      </c>
      <c r="D1307" s="1061">
        <v>959.89</v>
      </c>
    </row>
    <row r="1308" spans="1:4" ht="9" customHeight="1" x14ac:dyDescent="0.25">
      <c r="A1308" s="1059">
        <v>804181</v>
      </c>
      <c r="B1308" s="1060" t="s">
        <v>22966</v>
      </c>
      <c r="C1308" s="1059" t="s">
        <v>2</v>
      </c>
      <c r="D1308" s="1061">
        <v>1044.22</v>
      </c>
    </row>
    <row r="1309" spans="1:4" ht="9" customHeight="1" x14ac:dyDescent="0.25">
      <c r="A1309" s="1059">
        <v>804182</v>
      </c>
      <c r="B1309" s="1060" t="s">
        <v>22967</v>
      </c>
      <c r="C1309" s="1059" t="s">
        <v>2</v>
      </c>
      <c r="D1309" s="1061">
        <v>1000.04</v>
      </c>
    </row>
    <row r="1310" spans="1:4" ht="9" customHeight="1" x14ac:dyDescent="0.25">
      <c r="A1310" s="1059">
        <v>804183</v>
      </c>
      <c r="B1310" s="1060" t="s">
        <v>22968</v>
      </c>
      <c r="C1310" s="1059" t="s">
        <v>2</v>
      </c>
      <c r="D1310" s="1061">
        <v>1084.3699999999999</v>
      </c>
    </row>
    <row r="1311" spans="1:4" ht="9" customHeight="1" x14ac:dyDescent="0.25">
      <c r="A1311" s="1059">
        <v>804184</v>
      </c>
      <c r="B1311" s="1060" t="s">
        <v>22969</v>
      </c>
      <c r="C1311" s="1059" t="s">
        <v>2</v>
      </c>
      <c r="D1311" s="1061">
        <v>1136.7</v>
      </c>
    </row>
    <row r="1312" spans="1:4" ht="9" customHeight="1" x14ac:dyDescent="0.25">
      <c r="A1312" s="1059">
        <v>804185</v>
      </c>
      <c r="B1312" s="1060" t="s">
        <v>22970</v>
      </c>
      <c r="C1312" s="1059" t="s">
        <v>2</v>
      </c>
      <c r="D1312" s="1061">
        <v>1221.03</v>
      </c>
    </row>
    <row r="1313" spans="1:4" ht="9" customHeight="1" x14ac:dyDescent="0.25">
      <c r="A1313" s="1059">
        <v>804186</v>
      </c>
      <c r="B1313" s="1060" t="s">
        <v>22971</v>
      </c>
      <c r="C1313" s="1059" t="s">
        <v>2</v>
      </c>
      <c r="D1313" s="1061">
        <v>1219.8</v>
      </c>
    </row>
    <row r="1314" spans="1:4" ht="9" customHeight="1" x14ac:dyDescent="0.25">
      <c r="A1314" s="1059">
        <v>804187</v>
      </c>
      <c r="B1314" s="1060" t="s">
        <v>22972</v>
      </c>
      <c r="C1314" s="1059" t="s">
        <v>2</v>
      </c>
      <c r="D1314" s="1061">
        <v>1304.1300000000001</v>
      </c>
    </row>
    <row r="1315" spans="1:4" ht="9" customHeight="1" x14ac:dyDescent="0.25">
      <c r="A1315" s="1059">
        <v>804188</v>
      </c>
      <c r="B1315" s="1060" t="s">
        <v>22973</v>
      </c>
      <c r="C1315" s="1059" t="s">
        <v>2</v>
      </c>
      <c r="D1315" s="1061">
        <v>1359.4</v>
      </c>
    </row>
    <row r="1316" spans="1:4" ht="9" customHeight="1" x14ac:dyDescent="0.25">
      <c r="A1316" s="1059">
        <v>804189</v>
      </c>
      <c r="B1316" s="1060" t="s">
        <v>22974</v>
      </c>
      <c r="C1316" s="1059" t="s">
        <v>2</v>
      </c>
      <c r="D1316" s="1061">
        <v>1472.19</v>
      </c>
    </row>
    <row r="1317" spans="1:4" ht="9" customHeight="1" x14ac:dyDescent="0.25">
      <c r="A1317" s="1059">
        <v>804190</v>
      </c>
      <c r="B1317" s="1060" t="s">
        <v>22975</v>
      </c>
      <c r="C1317" s="1059" t="s">
        <v>2</v>
      </c>
      <c r="D1317" s="1061">
        <v>1414.09</v>
      </c>
    </row>
    <row r="1318" spans="1:4" ht="9" customHeight="1" x14ac:dyDescent="0.25">
      <c r="A1318" s="1059">
        <v>804191</v>
      </c>
      <c r="B1318" s="1060" t="s">
        <v>22976</v>
      </c>
      <c r="C1318" s="1059" t="s">
        <v>2</v>
      </c>
      <c r="D1318" s="1061">
        <v>1526.89</v>
      </c>
    </row>
    <row r="1319" spans="1:4" ht="9" customHeight="1" x14ac:dyDescent="0.25">
      <c r="A1319" s="1059">
        <v>804192</v>
      </c>
      <c r="B1319" s="1060" t="s">
        <v>22977</v>
      </c>
      <c r="C1319" s="1059" t="s">
        <v>2</v>
      </c>
      <c r="D1319" s="1061">
        <v>1518.33</v>
      </c>
    </row>
    <row r="1320" spans="1:4" ht="9" customHeight="1" x14ac:dyDescent="0.25">
      <c r="A1320" s="1059">
        <v>804193</v>
      </c>
      <c r="B1320" s="1060" t="s">
        <v>22978</v>
      </c>
      <c r="C1320" s="1059" t="s">
        <v>2</v>
      </c>
      <c r="D1320" s="1061">
        <v>1631.12</v>
      </c>
    </row>
    <row r="1321" spans="1:4" ht="9" customHeight="1" x14ac:dyDescent="0.25">
      <c r="A1321" s="1059">
        <v>804194</v>
      </c>
      <c r="B1321" s="1060" t="s">
        <v>22979</v>
      </c>
      <c r="C1321" s="1059" t="s">
        <v>2</v>
      </c>
      <c r="D1321" s="1061">
        <v>1698.46</v>
      </c>
    </row>
    <row r="1322" spans="1:4" ht="9" customHeight="1" x14ac:dyDescent="0.25">
      <c r="A1322" s="1059">
        <v>804195</v>
      </c>
      <c r="B1322" s="1060" t="s">
        <v>22980</v>
      </c>
      <c r="C1322" s="1059" t="s">
        <v>2</v>
      </c>
      <c r="D1322" s="1061">
        <v>1811.25</v>
      </c>
    </row>
    <row r="1323" spans="1:4" ht="9" customHeight="1" x14ac:dyDescent="0.25">
      <c r="A1323" s="1059">
        <v>804196</v>
      </c>
      <c r="B1323" s="1060" t="s">
        <v>22981</v>
      </c>
      <c r="C1323" s="1059" t="s">
        <v>2</v>
      </c>
      <c r="D1323" s="1061">
        <v>1858.81</v>
      </c>
    </row>
    <row r="1324" spans="1:4" ht="9" customHeight="1" x14ac:dyDescent="0.25">
      <c r="A1324" s="1059">
        <v>804197</v>
      </c>
      <c r="B1324" s="1060" t="s">
        <v>22982</v>
      </c>
      <c r="C1324" s="1059" t="s">
        <v>2</v>
      </c>
      <c r="D1324" s="1061">
        <v>2002.62</v>
      </c>
    </row>
    <row r="1325" spans="1:4" ht="9" customHeight="1" x14ac:dyDescent="0.25">
      <c r="A1325" s="1059">
        <v>804198</v>
      </c>
      <c r="B1325" s="1060" t="s">
        <v>22983</v>
      </c>
      <c r="C1325" s="1059" t="s">
        <v>2</v>
      </c>
      <c r="D1325" s="1061">
        <v>1899.78</v>
      </c>
    </row>
    <row r="1326" spans="1:4" ht="9" customHeight="1" x14ac:dyDescent="0.25">
      <c r="A1326" s="1059">
        <v>804199</v>
      </c>
      <c r="B1326" s="1060" t="s">
        <v>22984</v>
      </c>
      <c r="C1326" s="1059" t="s">
        <v>2</v>
      </c>
      <c r="D1326" s="1061">
        <v>2043.59</v>
      </c>
    </row>
    <row r="1327" spans="1:4" ht="9" customHeight="1" x14ac:dyDescent="0.25">
      <c r="A1327" s="1059">
        <v>804200</v>
      </c>
      <c r="B1327" s="1060" t="s">
        <v>22985</v>
      </c>
      <c r="C1327" s="1059" t="s">
        <v>2</v>
      </c>
      <c r="D1327" s="1061">
        <v>2063.42</v>
      </c>
    </row>
    <row r="1328" spans="1:4" ht="9" customHeight="1" x14ac:dyDescent="0.25">
      <c r="A1328" s="1059">
        <v>804201</v>
      </c>
      <c r="B1328" s="1060" t="s">
        <v>22986</v>
      </c>
      <c r="C1328" s="1059" t="s">
        <v>2</v>
      </c>
      <c r="D1328" s="1061">
        <v>2207.23</v>
      </c>
    </row>
    <row r="1329" spans="1:4" ht="9" customHeight="1" x14ac:dyDescent="0.25">
      <c r="A1329" s="1059">
        <v>804202</v>
      </c>
      <c r="B1329" s="1060" t="s">
        <v>22987</v>
      </c>
      <c r="C1329" s="1059" t="s">
        <v>2</v>
      </c>
      <c r="D1329" s="1061">
        <v>2388.63</v>
      </c>
    </row>
    <row r="1330" spans="1:4" ht="9" customHeight="1" x14ac:dyDescent="0.25">
      <c r="A1330" s="1059">
        <v>804203</v>
      </c>
      <c r="B1330" s="1060" t="s">
        <v>22988</v>
      </c>
      <c r="C1330" s="1059" t="s">
        <v>2</v>
      </c>
      <c r="D1330" s="1061">
        <v>2532.4299999999998</v>
      </c>
    </row>
    <row r="1331" spans="1:4" ht="9" customHeight="1" x14ac:dyDescent="0.25">
      <c r="A1331" s="1059">
        <v>804204</v>
      </c>
      <c r="B1331" s="1060" t="s">
        <v>22989</v>
      </c>
      <c r="C1331" s="1059" t="s">
        <v>2</v>
      </c>
      <c r="D1331" s="1061">
        <v>2600.08</v>
      </c>
    </row>
    <row r="1332" spans="1:4" ht="9" customHeight="1" x14ac:dyDescent="0.25">
      <c r="A1332" s="1059">
        <v>804205</v>
      </c>
      <c r="B1332" s="1060" t="s">
        <v>22990</v>
      </c>
      <c r="C1332" s="1059" t="s">
        <v>2</v>
      </c>
      <c r="D1332" s="1061">
        <v>2785.82</v>
      </c>
    </row>
    <row r="1333" spans="1:4" ht="9" customHeight="1" x14ac:dyDescent="0.25">
      <c r="A1333" s="1059">
        <v>804206</v>
      </c>
      <c r="B1333" s="1060" t="s">
        <v>22991</v>
      </c>
      <c r="C1333" s="1059" t="s">
        <v>2</v>
      </c>
      <c r="D1333" s="1061">
        <v>2641.93</v>
      </c>
    </row>
    <row r="1334" spans="1:4" ht="9" customHeight="1" x14ac:dyDescent="0.25">
      <c r="A1334" s="1059">
        <v>804207</v>
      </c>
      <c r="B1334" s="1060" t="s">
        <v>22992</v>
      </c>
      <c r="C1334" s="1059" t="s">
        <v>2</v>
      </c>
      <c r="D1334" s="1061">
        <v>2827.67</v>
      </c>
    </row>
    <row r="1335" spans="1:4" ht="9" customHeight="1" x14ac:dyDescent="0.25">
      <c r="A1335" s="1059">
        <v>804208</v>
      </c>
      <c r="B1335" s="1060" t="s">
        <v>22993</v>
      </c>
      <c r="C1335" s="1059" t="s">
        <v>2</v>
      </c>
      <c r="D1335" s="1061">
        <v>3108.78</v>
      </c>
    </row>
    <row r="1336" spans="1:4" ht="9" customHeight="1" x14ac:dyDescent="0.25">
      <c r="A1336" s="1059">
        <v>804209</v>
      </c>
      <c r="B1336" s="1060" t="s">
        <v>22994</v>
      </c>
      <c r="C1336" s="1059" t="s">
        <v>2</v>
      </c>
      <c r="D1336" s="1061">
        <v>3294.52</v>
      </c>
    </row>
    <row r="1337" spans="1:4" ht="9" customHeight="1" x14ac:dyDescent="0.25">
      <c r="A1337" s="1059">
        <v>804210</v>
      </c>
      <c r="B1337" s="1060" t="s">
        <v>22995</v>
      </c>
      <c r="C1337" s="1059" t="s">
        <v>2</v>
      </c>
      <c r="D1337" s="1061">
        <v>3266.36</v>
      </c>
    </row>
    <row r="1338" spans="1:4" ht="9" customHeight="1" x14ac:dyDescent="0.25">
      <c r="A1338" s="1059">
        <v>804211</v>
      </c>
      <c r="B1338" s="1060" t="s">
        <v>22996</v>
      </c>
      <c r="C1338" s="1059" t="s">
        <v>2</v>
      </c>
      <c r="D1338" s="1061">
        <v>3452.1</v>
      </c>
    </row>
    <row r="1339" spans="1:4" ht="9" customHeight="1" x14ac:dyDescent="0.25">
      <c r="A1339" s="1059">
        <v>804012</v>
      </c>
      <c r="B1339" s="1060" t="s">
        <v>22997</v>
      </c>
      <c r="C1339" s="1059" t="s">
        <v>2</v>
      </c>
      <c r="D1339" s="1061">
        <v>207.39</v>
      </c>
    </row>
    <row r="1340" spans="1:4" ht="9" customHeight="1" x14ac:dyDescent="0.25">
      <c r="A1340" s="1059">
        <v>804013</v>
      </c>
      <c r="B1340" s="1060" t="s">
        <v>22998</v>
      </c>
      <c r="C1340" s="1059" t="s">
        <v>2</v>
      </c>
      <c r="D1340" s="1061">
        <v>227.92</v>
      </c>
    </row>
    <row r="1341" spans="1:4" ht="9" customHeight="1" x14ac:dyDescent="0.25">
      <c r="A1341" s="1059">
        <v>804014</v>
      </c>
      <c r="B1341" s="1060" t="s">
        <v>22999</v>
      </c>
      <c r="C1341" s="1059" t="s">
        <v>2</v>
      </c>
      <c r="D1341" s="1061">
        <v>228.37</v>
      </c>
    </row>
    <row r="1342" spans="1:4" ht="9" customHeight="1" x14ac:dyDescent="0.25">
      <c r="A1342" s="1059">
        <v>804015</v>
      </c>
      <c r="B1342" s="1060" t="s">
        <v>23000</v>
      </c>
      <c r="C1342" s="1059" t="s">
        <v>2</v>
      </c>
      <c r="D1342" s="1061">
        <v>248.89</v>
      </c>
    </row>
    <row r="1343" spans="1:4" ht="9" customHeight="1" x14ac:dyDescent="0.25">
      <c r="A1343" s="1059">
        <v>804016</v>
      </c>
      <c r="B1343" s="1060" t="s">
        <v>23001</v>
      </c>
      <c r="C1343" s="1059" t="s">
        <v>2</v>
      </c>
      <c r="D1343" s="1061">
        <v>230.45</v>
      </c>
    </row>
    <row r="1344" spans="1:4" ht="9" customHeight="1" x14ac:dyDescent="0.25">
      <c r="A1344" s="1059">
        <v>804017</v>
      </c>
      <c r="B1344" s="1060" t="s">
        <v>23002</v>
      </c>
      <c r="C1344" s="1059" t="s">
        <v>2</v>
      </c>
      <c r="D1344" s="1061">
        <v>250.97</v>
      </c>
    </row>
    <row r="1345" spans="1:4" ht="9" customHeight="1" x14ac:dyDescent="0.25">
      <c r="A1345" s="1059">
        <v>804018</v>
      </c>
      <c r="B1345" s="1060" t="s">
        <v>23003</v>
      </c>
      <c r="C1345" s="1059" t="s">
        <v>2</v>
      </c>
      <c r="D1345" s="1061">
        <v>307.24</v>
      </c>
    </row>
    <row r="1346" spans="1:4" ht="9" customHeight="1" x14ac:dyDescent="0.25">
      <c r="A1346" s="1059">
        <v>804019</v>
      </c>
      <c r="B1346" s="1060" t="s">
        <v>23004</v>
      </c>
      <c r="C1346" s="1059" t="s">
        <v>2</v>
      </c>
      <c r="D1346" s="1061">
        <v>327.77</v>
      </c>
    </row>
    <row r="1347" spans="1:4" ht="9" customHeight="1" x14ac:dyDescent="0.25">
      <c r="A1347" s="1059">
        <v>804020</v>
      </c>
      <c r="B1347" s="1060" t="s">
        <v>23005</v>
      </c>
      <c r="C1347" s="1059" t="s">
        <v>2</v>
      </c>
      <c r="D1347" s="1061">
        <v>337.25</v>
      </c>
    </row>
    <row r="1348" spans="1:4" ht="9" customHeight="1" x14ac:dyDescent="0.25">
      <c r="A1348" s="1059">
        <v>804021</v>
      </c>
      <c r="B1348" s="1060" t="s">
        <v>23006</v>
      </c>
      <c r="C1348" s="1059" t="s">
        <v>2</v>
      </c>
      <c r="D1348" s="1061">
        <v>368.09</v>
      </c>
    </row>
    <row r="1349" spans="1:4" ht="9" customHeight="1" x14ac:dyDescent="0.25">
      <c r="A1349" s="1059">
        <v>804022</v>
      </c>
      <c r="B1349" s="1060" t="s">
        <v>23007</v>
      </c>
      <c r="C1349" s="1059" t="s">
        <v>2</v>
      </c>
      <c r="D1349" s="1061">
        <v>370.14</v>
      </c>
    </row>
    <row r="1350" spans="1:4" ht="9" customHeight="1" x14ac:dyDescent="0.25">
      <c r="A1350" s="1059">
        <v>804023</v>
      </c>
      <c r="B1350" s="1060" t="s">
        <v>23008</v>
      </c>
      <c r="C1350" s="1059" t="s">
        <v>2</v>
      </c>
      <c r="D1350" s="1061">
        <v>400.98</v>
      </c>
    </row>
    <row r="1351" spans="1:4" ht="9" customHeight="1" x14ac:dyDescent="0.25">
      <c r="A1351" s="1059">
        <v>804024</v>
      </c>
      <c r="B1351" s="1060" t="s">
        <v>23009</v>
      </c>
      <c r="C1351" s="1059" t="s">
        <v>2</v>
      </c>
      <c r="D1351" s="1061">
        <v>381.81</v>
      </c>
    </row>
    <row r="1352" spans="1:4" ht="9" customHeight="1" x14ac:dyDescent="0.25">
      <c r="A1352" s="1059">
        <v>804025</v>
      </c>
      <c r="B1352" s="1060" t="s">
        <v>23010</v>
      </c>
      <c r="C1352" s="1059" t="s">
        <v>2</v>
      </c>
      <c r="D1352" s="1061">
        <v>412.65</v>
      </c>
    </row>
    <row r="1353" spans="1:4" ht="9" customHeight="1" x14ac:dyDescent="0.25">
      <c r="A1353" s="1059">
        <v>804026</v>
      </c>
      <c r="B1353" s="1060" t="s">
        <v>23011</v>
      </c>
      <c r="C1353" s="1059" t="s">
        <v>2</v>
      </c>
      <c r="D1353" s="1061">
        <v>464.86</v>
      </c>
    </row>
    <row r="1354" spans="1:4" ht="9" customHeight="1" x14ac:dyDescent="0.25">
      <c r="A1354" s="1059">
        <v>804027</v>
      </c>
      <c r="B1354" s="1060" t="s">
        <v>23012</v>
      </c>
      <c r="C1354" s="1059" t="s">
        <v>2</v>
      </c>
      <c r="D1354" s="1061">
        <v>495.7</v>
      </c>
    </row>
    <row r="1355" spans="1:4" ht="9" customHeight="1" x14ac:dyDescent="0.25">
      <c r="A1355" s="1059">
        <v>804028</v>
      </c>
      <c r="B1355" s="1060" t="s">
        <v>23013</v>
      </c>
      <c r="C1355" s="1059" t="s">
        <v>2</v>
      </c>
      <c r="D1355" s="1061">
        <v>504.94</v>
      </c>
    </row>
    <row r="1356" spans="1:4" ht="9" customHeight="1" x14ac:dyDescent="0.25">
      <c r="A1356" s="1059">
        <v>804029</v>
      </c>
      <c r="B1356" s="1060" t="s">
        <v>23014</v>
      </c>
      <c r="C1356" s="1059" t="s">
        <v>2</v>
      </c>
      <c r="D1356" s="1061">
        <v>547.1</v>
      </c>
    </row>
    <row r="1357" spans="1:4" ht="9" customHeight="1" x14ac:dyDescent="0.25">
      <c r="A1357" s="1059">
        <v>804030</v>
      </c>
      <c r="B1357" s="1060" t="s">
        <v>23015</v>
      </c>
      <c r="C1357" s="1059" t="s">
        <v>2</v>
      </c>
      <c r="D1357" s="1061">
        <v>525.01</v>
      </c>
    </row>
    <row r="1358" spans="1:4" ht="9" customHeight="1" x14ac:dyDescent="0.25">
      <c r="A1358" s="1059">
        <v>804031</v>
      </c>
      <c r="B1358" s="1060" t="s">
        <v>23016</v>
      </c>
      <c r="C1358" s="1059" t="s">
        <v>2</v>
      </c>
      <c r="D1358" s="1061">
        <v>567.16999999999996</v>
      </c>
    </row>
    <row r="1359" spans="1:4" ht="9" customHeight="1" x14ac:dyDescent="0.25">
      <c r="A1359" s="1059">
        <v>804032</v>
      </c>
      <c r="B1359" s="1060" t="s">
        <v>23017</v>
      </c>
      <c r="C1359" s="1059" t="s">
        <v>2</v>
      </c>
      <c r="D1359" s="1061">
        <v>593.34</v>
      </c>
    </row>
    <row r="1360" spans="1:4" ht="9" customHeight="1" x14ac:dyDescent="0.25">
      <c r="A1360" s="1059">
        <v>804033</v>
      </c>
      <c r="B1360" s="1060" t="s">
        <v>23018</v>
      </c>
      <c r="C1360" s="1059" t="s">
        <v>2</v>
      </c>
      <c r="D1360" s="1061">
        <v>635.5</v>
      </c>
    </row>
    <row r="1361" spans="1:4" ht="9" customHeight="1" x14ac:dyDescent="0.25">
      <c r="A1361" s="1059">
        <v>804034</v>
      </c>
      <c r="B1361" s="1060" t="s">
        <v>23019</v>
      </c>
      <c r="C1361" s="1059" t="s">
        <v>2</v>
      </c>
      <c r="D1361" s="1061">
        <v>634.89</v>
      </c>
    </row>
    <row r="1362" spans="1:4" ht="9" customHeight="1" x14ac:dyDescent="0.25">
      <c r="A1362" s="1059">
        <v>804035</v>
      </c>
      <c r="B1362" s="1060" t="s">
        <v>23020</v>
      </c>
      <c r="C1362" s="1059" t="s">
        <v>2</v>
      </c>
      <c r="D1362" s="1061">
        <v>677.05</v>
      </c>
    </row>
    <row r="1363" spans="1:4" ht="9" customHeight="1" x14ac:dyDescent="0.25">
      <c r="A1363" s="1059">
        <v>804036</v>
      </c>
      <c r="B1363" s="1060" t="s">
        <v>23021</v>
      </c>
      <c r="C1363" s="1059" t="s">
        <v>2</v>
      </c>
      <c r="D1363" s="1061">
        <v>705.76</v>
      </c>
    </row>
    <row r="1364" spans="1:4" ht="9" customHeight="1" x14ac:dyDescent="0.25">
      <c r="A1364" s="1059">
        <v>804037</v>
      </c>
      <c r="B1364" s="1060" t="s">
        <v>23022</v>
      </c>
      <c r="C1364" s="1059" t="s">
        <v>2</v>
      </c>
      <c r="D1364" s="1061">
        <v>760.81</v>
      </c>
    </row>
    <row r="1365" spans="1:4" ht="9" customHeight="1" x14ac:dyDescent="0.25">
      <c r="A1365" s="1059">
        <v>804038</v>
      </c>
      <c r="B1365" s="1060" t="s">
        <v>23023</v>
      </c>
      <c r="C1365" s="1059" t="s">
        <v>2</v>
      </c>
      <c r="D1365" s="1061">
        <v>733.1</v>
      </c>
    </row>
    <row r="1366" spans="1:4" ht="9" customHeight="1" x14ac:dyDescent="0.25">
      <c r="A1366" s="1059">
        <v>804039</v>
      </c>
      <c r="B1366" s="1060" t="s">
        <v>23024</v>
      </c>
      <c r="C1366" s="1059" t="s">
        <v>2</v>
      </c>
      <c r="D1366" s="1061">
        <v>788.16</v>
      </c>
    </row>
    <row r="1367" spans="1:4" ht="9" customHeight="1" x14ac:dyDescent="0.25">
      <c r="A1367" s="1059">
        <v>804040</v>
      </c>
      <c r="B1367" s="1060" t="s">
        <v>23025</v>
      </c>
      <c r="C1367" s="1059" t="s">
        <v>2</v>
      </c>
      <c r="D1367" s="1061">
        <v>785.22</v>
      </c>
    </row>
    <row r="1368" spans="1:4" ht="9" customHeight="1" x14ac:dyDescent="0.25">
      <c r="A1368" s="1059">
        <v>804041</v>
      </c>
      <c r="B1368" s="1060" t="s">
        <v>23026</v>
      </c>
      <c r="C1368" s="1059" t="s">
        <v>2</v>
      </c>
      <c r="D1368" s="1061">
        <v>840.28</v>
      </c>
    </row>
    <row r="1369" spans="1:4" ht="9" customHeight="1" x14ac:dyDescent="0.25">
      <c r="A1369" s="1059">
        <v>804042</v>
      </c>
      <c r="B1369" s="1060" t="s">
        <v>23027</v>
      </c>
      <c r="C1369" s="1059" t="s">
        <v>2</v>
      </c>
      <c r="D1369" s="1061">
        <v>875.29</v>
      </c>
    </row>
    <row r="1370" spans="1:4" ht="9" customHeight="1" x14ac:dyDescent="0.25">
      <c r="A1370" s="1059">
        <v>804043</v>
      </c>
      <c r="B1370" s="1060" t="s">
        <v>23028</v>
      </c>
      <c r="C1370" s="1059" t="s">
        <v>2</v>
      </c>
      <c r="D1370" s="1061">
        <v>930.34</v>
      </c>
    </row>
    <row r="1371" spans="1:4" ht="9" customHeight="1" x14ac:dyDescent="0.25">
      <c r="A1371" s="1059">
        <v>804044</v>
      </c>
      <c r="B1371" s="1060" t="s">
        <v>23029</v>
      </c>
      <c r="C1371" s="1059" t="s">
        <v>2</v>
      </c>
      <c r="D1371" s="1061">
        <v>955.78</v>
      </c>
    </row>
    <row r="1372" spans="1:4" ht="9" customHeight="1" x14ac:dyDescent="0.25">
      <c r="A1372" s="1059">
        <v>804045</v>
      </c>
      <c r="B1372" s="1060" t="s">
        <v>23030</v>
      </c>
      <c r="C1372" s="1059" t="s">
        <v>2</v>
      </c>
      <c r="D1372" s="1061">
        <v>1024.5899999999999</v>
      </c>
    </row>
    <row r="1373" spans="1:4" ht="9" customHeight="1" x14ac:dyDescent="0.25">
      <c r="A1373" s="1059">
        <v>804046</v>
      </c>
      <c r="B1373" s="1060" t="s">
        <v>23031</v>
      </c>
      <c r="C1373" s="1059" t="s">
        <v>2</v>
      </c>
      <c r="D1373" s="1061">
        <v>976.26</v>
      </c>
    </row>
    <row r="1374" spans="1:4" ht="9" customHeight="1" x14ac:dyDescent="0.25">
      <c r="A1374" s="1059">
        <v>804047</v>
      </c>
      <c r="B1374" s="1060" t="s">
        <v>23032</v>
      </c>
      <c r="C1374" s="1059" t="s">
        <v>2</v>
      </c>
      <c r="D1374" s="1061">
        <v>1045.08</v>
      </c>
    </row>
    <row r="1375" spans="1:4" ht="9" customHeight="1" x14ac:dyDescent="0.25">
      <c r="A1375" s="1059">
        <v>804048</v>
      </c>
      <c r="B1375" s="1060" t="s">
        <v>23033</v>
      </c>
      <c r="C1375" s="1059" t="s">
        <v>2</v>
      </c>
      <c r="D1375" s="1061">
        <v>1058.08</v>
      </c>
    </row>
    <row r="1376" spans="1:4" ht="9" customHeight="1" x14ac:dyDescent="0.25">
      <c r="A1376" s="1059">
        <v>804049</v>
      </c>
      <c r="B1376" s="1060" t="s">
        <v>23034</v>
      </c>
      <c r="C1376" s="1059" t="s">
        <v>2</v>
      </c>
      <c r="D1376" s="1061">
        <v>1126.9000000000001</v>
      </c>
    </row>
    <row r="1377" spans="1:4" ht="9" customHeight="1" x14ac:dyDescent="0.25">
      <c r="A1377" s="1059">
        <v>804050</v>
      </c>
      <c r="B1377" s="1060" t="s">
        <v>23035</v>
      </c>
      <c r="C1377" s="1059" t="s">
        <v>2</v>
      </c>
      <c r="D1377" s="1061">
        <v>1220.68</v>
      </c>
    </row>
    <row r="1378" spans="1:4" ht="9" customHeight="1" x14ac:dyDescent="0.25">
      <c r="A1378" s="1059">
        <v>804051</v>
      </c>
      <c r="B1378" s="1060" t="s">
        <v>23036</v>
      </c>
      <c r="C1378" s="1059" t="s">
        <v>2</v>
      </c>
      <c r="D1378" s="1061">
        <v>1289.5</v>
      </c>
    </row>
    <row r="1379" spans="1:4" ht="9" customHeight="1" x14ac:dyDescent="0.25">
      <c r="A1379" s="1059">
        <v>804052</v>
      </c>
      <c r="B1379" s="1060" t="s">
        <v>23037</v>
      </c>
      <c r="C1379" s="1059" t="s">
        <v>2</v>
      </c>
      <c r="D1379" s="1061">
        <v>1329.48</v>
      </c>
    </row>
    <row r="1380" spans="1:4" ht="9" customHeight="1" x14ac:dyDescent="0.25">
      <c r="A1380" s="1059">
        <v>804053</v>
      </c>
      <c r="B1380" s="1060" t="s">
        <v>23038</v>
      </c>
      <c r="C1380" s="1059" t="s">
        <v>2</v>
      </c>
      <c r="D1380" s="1061">
        <v>1418.99</v>
      </c>
    </row>
    <row r="1381" spans="1:4" ht="9" customHeight="1" x14ac:dyDescent="0.25">
      <c r="A1381" s="1059">
        <v>804054</v>
      </c>
      <c r="B1381" s="1060" t="s">
        <v>23039</v>
      </c>
      <c r="C1381" s="1059" t="s">
        <v>2</v>
      </c>
      <c r="D1381" s="1061">
        <v>1350.41</v>
      </c>
    </row>
    <row r="1382" spans="1:4" ht="9" customHeight="1" x14ac:dyDescent="0.25">
      <c r="A1382" s="1059">
        <v>804055</v>
      </c>
      <c r="B1382" s="1060" t="s">
        <v>23040</v>
      </c>
      <c r="C1382" s="1059" t="s">
        <v>2</v>
      </c>
      <c r="D1382" s="1061">
        <v>1439.91</v>
      </c>
    </row>
    <row r="1383" spans="1:4" ht="9" customHeight="1" x14ac:dyDescent="0.25">
      <c r="A1383" s="1059">
        <v>804056</v>
      </c>
      <c r="B1383" s="1060" t="s">
        <v>23041</v>
      </c>
      <c r="C1383" s="1059" t="s">
        <v>2</v>
      </c>
      <c r="D1383" s="1061">
        <v>1583.83</v>
      </c>
    </row>
    <row r="1384" spans="1:4" ht="9" customHeight="1" x14ac:dyDescent="0.25">
      <c r="A1384" s="1059">
        <v>804057</v>
      </c>
      <c r="B1384" s="1060" t="s">
        <v>23042</v>
      </c>
      <c r="C1384" s="1059" t="s">
        <v>2</v>
      </c>
      <c r="D1384" s="1061">
        <v>1673.34</v>
      </c>
    </row>
    <row r="1385" spans="1:4" ht="9" customHeight="1" x14ac:dyDescent="0.25">
      <c r="A1385" s="1059">
        <v>804058</v>
      </c>
      <c r="B1385" s="1060" t="s">
        <v>23043</v>
      </c>
      <c r="C1385" s="1059" t="s">
        <v>2</v>
      </c>
      <c r="D1385" s="1061">
        <v>1662.62</v>
      </c>
    </row>
    <row r="1386" spans="1:4" ht="9" customHeight="1" x14ac:dyDescent="0.25">
      <c r="A1386" s="1059">
        <v>804059</v>
      </c>
      <c r="B1386" s="1060" t="s">
        <v>23044</v>
      </c>
      <c r="C1386" s="1059" t="s">
        <v>2</v>
      </c>
      <c r="D1386" s="1061">
        <v>1752.13</v>
      </c>
    </row>
    <row r="1387" spans="1:4" ht="9" customHeight="1" x14ac:dyDescent="0.25">
      <c r="A1387" s="1059">
        <v>804292</v>
      </c>
      <c r="B1387" s="1060" t="s">
        <v>23045</v>
      </c>
      <c r="C1387" s="1059" t="s">
        <v>2</v>
      </c>
      <c r="D1387" s="1061">
        <v>2013.04</v>
      </c>
    </row>
    <row r="1388" spans="1:4" ht="9" customHeight="1" x14ac:dyDescent="0.25">
      <c r="A1388" s="1059">
        <v>804293</v>
      </c>
      <c r="B1388" s="1060" t="s">
        <v>23046</v>
      </c>
      <c r="C1388" s="1059" t="s">
        <v>2</v>
      </c>
      <c r="D1388" s="1061">
        <v>2183.58</v>
      </c>
    </row>
    <row r="1389" spans="1:4" ht="9" customHeight="1" x14ac:dyDescent="0.25">
      <c r="A1389" s="1059">
        <v>804294</v>
      </c>
      <c r="B1389" s="1060" t="s">
        <v>23047</v>
      </c>
      <c r="C1389" s="1059" t="s">
        <v>2</v>
      </c>
      <c r="D1389" s="1061">
        <v>2095.08</v>
      </c>
    </row>
    <row r="1390" spans="1:4" ht="9" customHeight="1" x14ac:dyDescent="0.25">
      <c r="A1390" s="1059">
        <v>804295</v>
      </c>
      <c r="B1390" s="1060" t="s">
        <v>23048</v>
      </c>
      <c r="C1390" s="1059" t="s">
        <v>2</v>
      </c>
      <c r="D1390" s="1061">
        <v>2265.62</v>
      </c>
    </row>
    <row r="1391" spans="1:4" ht="9" customHeight="1" x14ac:dyDescent="0.25">
      <c r="A1391" s="1059">
        <v>804296</v>
      </c>
      <c r="B1391" s="1060" t="s">
        <v>23049</v>
      </c>
      <c r="C1391" s="1059" t="s">
        <v>2</v>
      </c>
      <c r="D1391" s="1061">
        <v>2251.44</v>
      </c>
    </row>
    <row r="1392" spans="1:4" ht="9" customHeight="1" x14ac:dyDescent="0.25">
      <c r="A1392" s="1059">
        <v>804297</v>
      </c>
      <c r="B1392" s="1060" t="s">
        <v>23050</v>
      </c>
      <c r="C1392" s="1059" t="s">
        <v>2</v>
      </c>
      <c r="D1392" s="1061">
        <v>2421.9699999999998</v>
      </c>
    </row>
    <row r="1393" spans="1:4" ht="9" customHeight="1" x14ac:dyDescent="0.25">
      <c r="A1393" s="1059">
        <v>804298</v>
      </c>
      <c r="B1393" s="1060" t="s">
        <v>23051</v>
      </c>
      <c r="C1393" s="1059" t="s">
        <v>2</v>
      </c>
      <c r="D1393" s="1061">
        <v>2521.63</v>
      </c>
    </row>
    <row r="1394" spans="1:4" ht="9" customHeight="1" x14ac:dyDescent="0.25">
      <c r="A1394" s="1059">
        <v>804299</v>
      </c>
      <c r="B1394" s="1060" t="s">
        <v>23052</v>
      </c>
      <c r="C1394" s="1059" t="s">
        <v>2</v>
      </c>
      <c r="D1394" s="1061">
        <v>2692.17</v>
      </c>
    </row>
    <row r="1395" spans="1:4" ht="9" customHeight="1" x14ac:dyDescent="0.25">
      <c r="A1395" s="1059">
        <v>804300</v>
      </c>
      <c r="B1395" s="1060" t="s">
        <v>23053</v>
      </c>
      <c r="C1395" s="1059" t="s">
        <v>2</v>
      </c>
      <c r="D1395" s="1061">
        <v>2761.6</v>
      </c>
    </row>
    <row r="1396" spans="1:4" ht="9" customHeight="1" x14ac:dyDescent="0.25">
      <c r="A1396" s="1059">
        <v>804301</v>
      </c>
      <c r="B1396" s="1060" t="s">
        <v>23054</v>
      </c>
      <c r="C1396" s="1059" t="s">
        <v>2</v>
      </c>
      <c r="D1396" s="1061">
        <v>2980.27</v>
      </c>
    </row>
    <row r="1397" spans="1:4" ht="9" customHeight="1" x14ac:dyDescent="0.25">
      <c r="A1397" s="1059">
        <v>804302</v>
      </c>
      <c r="B1397" s="1060" t="s">
        <v>23055</v>
      </c>
      <c r="C1397" s="1059" t="s">
        <v>2</v>
      </c>
      <c r="D1397" s="1061">
        <v>2823.05</v>
      </c>
    </row>
    <row r="1398" spans="1:4" ht="9" customHeight="1" x14ac:dyDescent="0.25">
      <c r="A1398" s="1059">
        <v>804303</v>
      </c>
      <c r="B1398" s="1060" t="s">
        <v>23056</v>
      </c>
      <c r="C1398" s="1059" t="s">
        <v>2</v>
      </c>
      <c r="D1398" s="1061">
        <v>3041.72</v>
      </c>
    </row>
    <row r="1399" spans="1:4" ht="9" customHeight="1" x14ac:dyDescent="0.25">
      <c r="A1399" s="1059">
        <v>804304</v>
      </c>
      <c r="B1399" s="1060" t="s">
        <v>23057</v>
      </c>
      <c r="C1399" s="1059" t="s">
        <v>2</v>
      </c>
      <c r="D1399" s="1061">
        <v>3068.51</v>
      </c>
    </row>
    <row r="1400" spans="1:4" ht="9" customHeight="1" x14ac:dyDescent="0.25">
      <c r="A1400" s="1059">
        <v>804305</v>
      </c>
      <c r="B1400" s="1060" t="s">
        <v>23058</v>
      </c>
      <c r="C1400" s="1059" t="s">
        <v>2</v>
      </c>
      <c r="D1400" s="1061">
        <v>3287.18</v>
      </c>
    </row>
    <row r="1401" spans="1:4" ht="9" customHeight="1" x14ac:dyDescent="0.25">
      <c r="A1401" s="1059">
        <v>804306</v>
      </c>
      <c r="B1401" s="1060" t="s">
        <v>23059</v>
      </c>
      <c r="C1401" s="1059" t="s">
        <v>2</v>
      </c>
      <c r="D1401" s="1061">
        <v>3556.32</v>
      </c>
    </row>
    <row r="1402" spans="1:4" ht="9" customHeight="1" x14ac:dyDescent="0.25">
      <c r="A1402" s="1059">
        <v>804307</v>
      </c>
      <c r="B1402" s="1060" t="s">
        <v>23060</v>
      </c>
      <c r="C1402" s="1059" t="s">
        <v>2</v>
      </c>
      <c r="D1402" s="1061">
        <v>3774.99</v>
      </c>
    </row>
    <row r="1403" spans="1:4" ht="9" customHeight="1" x14ac:dyDescent="0.25">
      <c r="A1403" s="1059">
        <v>804308</v>
      </c>
      <c r="B1403" s="1060" t="s">
        <v>23061</v>
      </c>
      <c r="C1403" s="1059" t="s">
        <v>2</v>
      </c>
      <c r="D1403" s="1061">
        <v>3870.93</v>
      </c>
    </row>
    <row r="1404" spans="1:4" ht="9" customHeight="1" x14ac:dyDescent="0.25">
      <c r="A1404" s="1059">
        <v>804309</v>
      </c>
      <c r="B1404" s="1060" t="s">
        <v>23062</v>
      </c>
      <c r="C1404" s="1059" t="s">
        <v>2</v>
      </c>
      <c r="D1404" s="1061">
        <v>4153.03</v>
      </c>
    </row>
    <row r="1405" spans="1:4" ht="9" customHeight="1" x14ac:dyDescent="0.25">
      <c r="A1405" s="1059">
        <v>804310</v>
      </c>
      <c r="B1405" s="1060" t="s">
        <v>23063</v>
      </c>
      <c r="C1405" s="1059" t="s">
        <v>2</v>
      </c>
      <c r="D1405" s="1061">
        <v>3933.71</v>
      </c>
    </row>
    <row r="1406" spans="1:4" ht="9" customHeight="1" x14ac:dyDescent="0.25">
      <c r="A1406" s="1059">
        <v>804311</v>
      </c>
      <c r="B1406" s="1060" t="s">
        <v>23064</v>
      </c>
      <c r="C1406" s="1059" t="s">
        <v>2</v>
      </c>
      <c r="D1406" s="1061">
        <v>4215.8100000000004</v>
      </c>
    </row>
    <row r="1407" spans="1:4" ht="9" customHeight="1" x14ac:dyDescent="0.25">
      <c r="A1407" s="1059">
        <v>804312</v>
      </c>
      <c r="B1407" s="1060" t="s">
        <v>23065</v>
      </c>
      <c r="C1407" s="1059" t="s">
        <v>2</v>
      </c>
      <c r="D1407" s="1061">
        <v>4633.99</v>
      </c>
    </row>
    <row r="1408" spans="1:4" ht="9" customHeight="1" x14ac:dyDescent="0.25">
      <c r="A1408" s="1059">
        <v>804313</v>
      </c>
      <c r="B1408" s="1060" t="s">
        <v>23066</v>
      </c>
      <c r="C1408" s="1059" t="s">
        <v>2</v>
      </c>
      <c r="D1408" s="1061">
        <v>4916.09</v>
      </c>
    </row>
    <row r="1409" spans="1:4" ht="9" customHeight="1" x14ac:dyDescent="0.25">
      <c r="A1409" s="1059">
        <v>804314</v>
      </c>
      <c r="B1409" s="1060" t="s">
        <v>23067</v>
      </c>
      <c r="C1409" s="1059" t="s">
        <v>2</v>
      </c>
      <c r="D1409" s="1061">
        <v>4870.3599999999997</v>
      </c>
    </row>
    <row r="1410" spans="1:4" ht="9" customHeight="1" x14ac:dyDescent="0.25">
      <c r="A1410" s="1059">
        <v>804315</v>
      </c>
      <c r="B1410" s="1060" t="s">
        <v>23068</v>
      </c>
      <c r="C1410" s="1059" t="s">
        <v>2</v>
      </c>
      <c r="D1410" s="1061">
        <v>5152.46</v>
      </c>
    </row>
    <row r="1411" spans="1:4" ht="9" customHeight="1" x14ac:dyDescent="0.25">
      <c r="A1411" s="1059">
        <v>805446</v>
      </c>
      <c r="B1411" s="1060" t="s">
        <v>23069</v>
      </c>
      <c r="C1411" s="1059" t="s">
        <v>3</v>
      </c>
      <c r="D1411" s="1061">
        <v>38.78</v>
      </c>
    </row>
    <row r="1412" spans="1:4" ht="9" customHeight="1" x14ac:dyDescent="0.25">
      <c r="A1412" s="1059">
        <v>805447</v>
      </c>
      <c r="B1412" s="1060" t="s">
        <v>23070</v>
      </c>
      <c r="C1412" s="1059" t="s">
        <v>3</v>
      </c>
      <c r="D1412" s="1061">
        <v>51.68</v>
      </c>
    </row>
    <row r="1413" spans="1:4" ht="9" customHeight="1" x14ac:dyDescent="0.25">
      <c r="A1413" s="1059">
        <v>805448</v>
      </c>
      <c r="B1413" s="1060" t="s">
        <v>23071</v>
      </c>
      <c r="C1413" s="1059" t="s">
        <v>3</v>
      </c>
      <c r="D1413" s="1061">
        <v>46.48</v>
      </c>
    </row>
    <row r="1414" spans="1:4" ht="9" customHeight="1" x14ac:dyDescent="0.25">
      <c r="A1414" s="1059">
        <v>805449</v>
      </c>
      <c r="B1414" s="1060" t="s">
        <v>23072</v>
      </c>
      <c r="C1414" s="1059" t="s">
        <v>3</v>
      </c>
      <c r="D1414" s="1061">
        <v>61.94</v>
      </c>
    </row>
    <row r="1415" spans="1:4" ht="9" customHeight="1" x14ac:dyDescent="0.25">
      <c r="A1415" s="1059">
        <v>805450</v>
      </c>
      <c r="B1415" s="1060" t="s">
        <v>23073</v>
      </c>
      <c r="C1415" s="1059" t="s">
        <v>3</v>
      </c>
      <c r="D1415" s="1061">
        <v>53.94</v>
      </c>
    </row>
    <row r="1416" spans="1:4" ht="9" customHeight="1" x14ac:dyDescent="0.25">
      <c r="A1416" s="1059">
        <v>805451</v>
      </c>
      <c r="B1416" s="1060" t="s">
        <v>23074</v>
      </c>
      <c r="C1416" s="1059" t="s">
        <v>3</v>
      </c>
      <c r="D1416" s="1061">
        <v>71.81</v>
      </c>
    </row>
    <row r="1417" spans="1:4" ht="9" customHeight="1" x14ac:dyDescent="0.25">
      <c r="A1417" s="1059">
        <v>805452</v>
      </c>
      <c r="B1417" s="1060" t="s">
        <v>23075</v>
      </c>
      <c r="C1417" s="1059" t="s">
        <v>3</v>
      </c>
      <c r="D1417" s="1061">
        <v>63.15</v>
      </c>
    </row>
    <row r="1418" spans="1:4" ht="9" customHeight="1" x14ac:dyDescent="0.25">
      <c r="A1418" s="1059">
        <v>805453</v>
      </c>
      <c r="B1418" s="1060" t="s">
        <v>23076</v>
      </c>
      <c r="C1418" s="1059" t="s">
        <v>3</v>
      </c>
      <c r="D1418" s="1061">
        <v>84.38</v>
      </c>
    </row>
    <row r="1419" spans="1:4" ht="9" customHeight="1" x14ac:dyDescent="0.25">
      <c r="A1419" s="1059">
        <v>805434</v>
      </c>
      <c r="B1419" s="1060" t="s">
        <v>23077</v>
      </c>
      <c r="C1419" s="1059" t="s">
        <v>3</v>
      </c>
      <c r="D1419" s="1061">
        <v>13.16</v>
      </c>
    </row>
    <row r="1420" spans="1:4" ht="9" customHeight="1" x14ac:dyDescent="0.25">
      <c r="A1420" s="1059">
        <v>805435</v>
      </c>
      <c r="B1420" s="1060" t="s">
        <v>23078</v>
      </c>
      <c r="C1420" s="1059" t="s">
        <v>3</v>
      </c>
      <c r="D1420" s="1061">
        <v>17.059999999999999</v>
      </c>
    </row>
    <row r="1421" spans="1:4" ht="9" customHeight="1" x14ac:dyDescent="0.25">
      <c r="A1421" s="1059">
        <v>805436</v>
      </c>
      <c r="B1421" s="1060" t="s">
        <v>23079</v>
      </c>
      <c r="C1421" s="1059" t="s">
        <v>3</v>
      </c>
      <c r="D1421" s="1061">
        <v>15.41</v>
      </c>
    </row>
    <row r="1422" spans="1:4" ht="9" customHeight="1" x14ac:dyDescent="0.25">
      <c r="A1422" s="1059">
        <v>805437</v>
      </c>
      <c r="B1422" s="1060" t="s">
        <v>23080</v>
      </c>
      <c r="C1422" s="1059" t="s">
        <v>3</v>
      </c>
      <c r="D1422" s="1061">
        <v>20.52</v>
      </c>
    </row>
    <row r="1423" spans="1:4" ht="9" customHeight="1" x14ac:dyDescent="0.25">
      <c r="A1423" s="1059">
        <v>805438</v>
      </c>
      <c r="B1423" s="1060" t="s">
        <v>23081</v>
      </c>
      <c r="C1423" s="1059" t="s">
        <v>3</v>
      </c>
      <c r="D1423" s="1061">
        <v>20.86</v>
      </c>
    </row>
    <row r="1424" spans="1:4" ht="9" customHeight="1" x14ac:dyDescent="0.25">
      <c r="A1424" s="1059">
        <v>805439</v>
      </c>
      <c r="B1424" s="1060" t="s">
        <v>23082</v>
      </c>
      <c r="C1424" s="1059" t="s">
        <v>3</v>
      </c>
      <c r="D1424" s="1061">
        <v>27.31</v>
      </c>
    </row>
    <row r="1425" spans="1:4" ht="9" customHeight="1" x14ac:dyDescent="0.25">
      <c r="A1425" s="1059">
        <v>805440</v>
      </c>
      <c r="B1425" s="1060" t="s">
        <v>23083</v>
      </c>
      <c r="C1425" s="1059" t="s">
        <v>3</v>
      </c>
      <c r="D1425" s="1061">
        <v>23.37</v>
      </c>
    </row>
    <row r="1426" spans="1:4" ht="9" customHeight="1" x14ac:dyDescent="0.25">
      <c r="A1426" s="1059">
        <v>805441</v>
      </c>
      <c r="B1426" s="1060" t="s">
        <v>23084</v>
      </c>
      <c r="C1426" s="1059" t="s">
        <v>3</v>
      </c>
      <c r="D1426" s="1061">
        <v>31.16</v>
      </c>
    </row>
    <row r="1427" spans="1:4" ht="9" customHeight="1" x14ac:dyDescent="0.25">
      <c r="A1427" s="1059">
        <v>805442</v>
      </c>
      <c r="B1427" s="1060" t="s">
        <v>23085</v>
      </c>
      <c r="C1427" s="1059" t="s">
        <v>3</v>
      </c>
      <c r="D1427" s="1061">
        <v>28.32</v>
      </c>
    </row>
    <row r="1428" spans="1:4" ht="9" customHeight="1" x14ac:dyDescent="0.25">
      <c r="A1428" s="1059">
        <v>805443</v>
      </c>
      <c r="B1428" s="1060" t="s">
        <v>23086</v>
      </c>
      <c r="C1428" s="1059" t="s">
        <v>3</v>
      </c>
      <c r="D1428" s="1061">
        <v>37.19</v>
      </c>
    </row>
    <row r="1429" spans="1:4" ht="9" customHeight="1" x14ac:dyDescent="0.25">
      <c r="A1429" s="1059">
        <v>805444</v>
      </c>
      <c r="B1429" s="1060" t="s">
        <v>23087</v>
      </c>
      <c r="C1429" s="1059" t="s">
        <v>3</v>
      </c>
      <c r="D1429" s="1061">
        <v>31.57</v>
      </c>
    </row>
    <row r="1430" spans="1:4" ht="9" customHeight="1" x14ac:dyDescent="0.25">
      <c r="A1430" s="1059">
        <v>805445</v>
      </c>
      <c r="B1430" s="1060" t="s">
        <v>23088</v>
      </c>
      <c r="C1430" s="1059" t="s">
        <v>3</v>
      </c>
      <c r="D1430" s="1061">
        <v>42.19</v>
      </c>
    </row>
    <row r="1431" spans="1:4" ht="9" customHeight="1" x14ac:dyDescent="0.25">
      <c r="A1431" s="1059">
        <v>805454</v>
      </c>
      <c r="B1431" s="1060" t="s">
        <v>23089</v>
      </c>
      <c r="C1431" s="1059" t="s">
        <v>3</v>
      </c>
      <c r="D1431" s="1061">
        <v>69.849999999999994</v>
      </c>
    </row>
    <row r="1432" spans="1:4" ht="9" customHeight="1" x14ac:dyDescent="0.25">
      <c r="A1432" s="1059">
        <v>805455</v>
      </c>
      <c r="B1432" s="1060" t="s">
        <v>23090</v>
      </c>
      <c r="C1432" s="1059" t="s">
        <v>3</v>
      </c>
      <c r="D1432" s="1061">
        <v>93.1</v>
      </c>
    </row>
    <row r="1433" spans="1:4" ht="9" customHeight="1" x14ac:dyDescent="0.25">
      <c r="A1433" s="1059">
        <v>805456</v>
      </c>
      <c r="B1433" s="1060" t="s">
        <v>23091</v>
      </c>
      <c r="C1433" s="1059" t="s">
        <v>3</v>
      </c>
      <c r="D1433" s="1061">
        <v>79.31</v>
      </c>
    </row>
    <row r="1434" spans="1:4" ht="9" customHeight="1" x14ac:dyDescent="0.25">
      <c r="A1434" s="1059">
        <v>805457</v>
      </c>
      <c r="B1434" s="1060" t="s">
        <v>23092</v>
      </c>
      <c r="C1434" s="1059" t="s">
        <v>3</v>
      </c>
      <c r="D1434" s="1061">
        <v>106.06</v>
      </c>
    </row>
    <row r="1435" spans="1:4" ht="9" customHeight="1" x14ac:dyDescent="0.25">
      <c r="A1435" s="1059">
        <v>805458</v>
      </c>
      <c r="B1435" s="1060" t="s">
        <v>23093</v>
      </c>
      <c r="C1435" s="1059" t="s">
        <v>3</v>
      </c>
      <c r="D1435" s="1061">
        <v>94.97</v>
      </c>
    </row>
    <row r="1436" spans="1:4" ht="9" customHeight="1" x14ac:dyDescent="0.25">
      <c r="A1436" s="1059">
        <v>805459</v>
      </c>
      <c r="B1436" s="1060" t="s">
        <v>23094</v>
      </c>
      <c r="C1436" s="1059" t="s">
        <v>3</v>
      </c>
      <c r="D1436" s="1061">
        <v>126.96</v>
      </c>
    </row>
    <row r="1437" spans="1:4" ht="9" customHeight="1" x14ac:dyDescent="0.25">
      <c r="A1437" s="1059">
        <v>909620</v>
      </c>
      <c r="B1437" s="1060" t="s">
        <v>23095</v>
      </c>
      <c r="C1437" s="1059" t="s">
        <v>39</v>
      </c>
      <c r="D1437" s="1061">
        <v>112.14</v>
      </c>
    </row>
    <row r="1438" spans="1:4" ht="9" customHeight="1" x14ac:dyDescent="0.25">
      <c r="A1438" s="1059">
        <v>909621</v>
      </c>
      <c r="B1438" s="1060" t="s">
        <v>23096</v>
      </c>
      <c r="C1438" s="1059" t="s">
        <v>39</v>
      </c>
      <c r="D1438" s="1061">
        <v>110.58</v>
      </c>
    </row>
    <row r="1439" spans="1:4" ht="9" customHeight="1" x14ac:dyDescent="0.25">
      <c r="A1439" s="1059">
        <v>903860</v>
      </c>
      <c r="B1439" s="1060" t="s">
        <v>23097</v>
      </c>
      <c r="C1439" s="1059" t="s">
        <v>39</v>
      </c>
      <c r="D1439" s="1061">
        <v>3</v>
      </c>
    </row>
    <row r="1440" spans="1:4" ht="9" customHeight="1" x14ac:dyDescent="0.25">
      <c r="A1440" s="1059">
        <v>903818</v>
      </c>
      <c r="B1440" s="1060" t="s">
        <v>23098</v>
      </c>
      <c r="C1440" s="1059" t="s">
        <v>39</v>
      </c>
      <c r="D1440" s="1061">
        <v>15.24</v>
      </c>
    </row>
    <row r="1441" spans="1:4" ht="9" customHeight="1" x14ac:dyDescent="0.25">
      <c r="A1441" s="1059">
        <v>903802</v>
      </c>
      <c r="B1441" s="1060" t="s">
        <v>23099</v>
      </c>
      <c r="C1441" s="1059" t="s">
        <v>3</v>
      </c>
      <c r="D1441" s="1061">
        <v>14283.72</v>
      </c>
    </row>
    <row r="1442" spans="1:4" ht="9" customHeight="1" x14ac:dyDescent="0.25">
      <c r="A1442" s="1059">
        <v>919113</v>
      </c>
      <c r="B1442" s="1060" t="s">
        <v>23100</v>
      </c>
      <c r="C1442" s="1059" t="s">
        <v>2</v>
      </c>
      <c r="D1442" s="1061">
        <v>45.46</v>
      </c>
    </row>
    <row r="1443" spans="1:4" ht="9" customHeight="1" x14ac:dyDescent="0.25">
      <c r="A1443" s="1059">
        <v>903788</v>
      </c>
      <c r="B1443" s="1060" t="s">
        <v>23101</v>
      </c>
      <c r="C1443" s="1059" t="s">
        <v>39</v>
      </c>
      <c r="D1443" s="1061">
        <v>4.04</v>
      </c>
    </row>
    <row r="1444" spans="1:4" ht="9" customHeight="1" x14ac:dyDescent="0.25">
      <c r="A1444" s="1059">
        <v>919247</v>
      </c>
      <c r="B1444" s="1060" t="s">
        <v>23102</v>
      </c>
      <c r="C1444" s="1059" t="s">
        <v>39</v>
      </c>
      <c r="D1444" s="1061">
        <v>45.18</v>
      </c>
    </row>
    <row r="1445" spans="1:4" ht="9" customHeight="1" x14ac:dyDescent="0.25">
      <c r="A1445" s="1059">
        <v>919016</v>
      </c>
      <c r="B1445" s="1060" t="s">
        <v>23103</v>
      </c>
      <c r="C1445" s="1059" t="s">
        <v>3</v>
      </c>
      <c r="D1445" s="1061">
        <v>7461.53</v>
      </c>
    </row>
    <row r="1446" spans="1:4" ht="9" customHeight="1" x14ac:dyDescent="0.25">
      <c r="A1446" s="1059">
        <v>919079</v>
      </c>
      <c r="B1446" s="1060" t="s">
        <v>23104</v>
      </c>
      <c r="C1446" s="1059" t="s">
        <v>39</v>
      </c>
      <c r="D1446" s="1061">
        <v>110.69</v>
      </c>
    </row>
    <row r="1447" spans="1:4" ht="9" customHeight="1" x14ac:dyDescent="0.25">
      <c r="A1447" s="1059">
        <v>919250</v>
      </c>
      <c r="B1447" s="1060" t="s">
        <v>23105</v>
      </c>
      <c r="C1447" s="1059" t="s">
        <v>3</v>
      </c>
      <c r="D1447" s="1061">
        <v>499.61</v>
      </c>
    </row>
    <row r="1448" spans="1:4" ht="9" customHeight="1" x14ac:dyDescent="0.25">
      <c r="A1448" s="1059">
        <v>903807</v>
      </c>
      <c r="B1448" s="1060" t="s">
        <v>23106</v>
      </c>
      <c r="C1448" s="1059" t="s">
        <v>3</v>
      </c>
      <c r="D1448" s="1061">
        <v>101716.29</v>
      </c>
    </row>
    <row r="1449" spans="1:4" ht="9" customHeight="1" x14ac:dyDescent="0.25">
      <c r="A1449" s="1059">
        <v>903806</v>
      </c>
      <c r="B1449" s="1060" t="s">
        <v>23107</v>
      </c>
      <c r="C1449" s="1059" t="s">
        <v>3</v>
      </c>
      <c r="D1449" s="1061">
        <v>169445.64</v>
      </c>
    </row>
    <row r="1450" spans="1:4" ht="9" customHeight="1" x14ac:dyDescent="0.25">
      <c r="A1450" s="1059">
        <v>903804</v>
      </c>
      <c r="B1450" s="1060" t="s">
        <v>23108</v>
      </c>
      <c r="C1450" s="1059" t="s">
        <v>3</v>
      </c>
      <c r="D1450" s="1061">
        <v>61914.879999999997</v>
      </c>
    </row>
    <row r="1451" spans="1:4" ht="9" customHeight="1" x14ac:dyDescent="0.25">
      <c r="A1451" s="1059">
        <v>903805</v>
      </c>
      <c r="B1451" s="1060" t="s">
        <v>23109</v>
      </c>
      <c r="C1451" s="1059" t="s">
        <v>3</v>
      </c>
      <c r="D1451" s="1061">
        <v>72760.070000000007</v>
      </c>
    </row>
    <row r="1452" spans="1:4" ht="9" customHeight="1" x14ac:dyDescent="0.25">
      <c r="A1452" s="1059">
        <v>903810</v>
      </c>
      <c r="B1452" s="1060" t="s">
        <v>23110</v>
      </c>
      <c r="C1452" s="1059" t="s">
        <v>3</v>
      </c>
      <c r="D1452" s="1061">
        <v>182245.47</v>
      </c>
    </row>
    <row r="1453" spans="1:4" ht="9" customHeight="1" x14ac:dyDescent="0.25">
      <c r="A1453" s="1059">
        <v>903809</v>
      </c>
      <c r="B1453" s="1060" t="s">
        <v>23111</v>
      </c>
      <c r="C1453" s="1059" t="s">
        <v>3</v>
      </c>
      <c r="D1453" s="1061">
        <v>115661.77</v>
      </c>
    </row>
    <row r="1454" spans="1:4" ht="9" customHeight="1" x14ac:dyDescent="0.25">
      <c r="A1454" s="1059">
        <v>903808</v>
      </c>
      <c r="B1454" s="1060" t="s">
        <v>23112</v>
      </c>
      <c r="C1454" s="1059" t="s">
        <v>3</v>
      </c>
      <c r="D1454" s="1061">
        <v>103943.91</v>
      </c>
    </row>
    <row r="1455" spans="1:4" ht="9" customHeight="1" x14ac:dyDescent="0.25">
      <c r="A1455" s="1059">
        <v>903845</v>
      </c>
      <c r="B1455" s="1060" t="s">
        <v>23113</v>
      </c>
      <c r="C1455" s="1059" t="s">
        <v>38</v>
      </c>
      <c r="D1455" s="1061">
        <v>133.32</v>
      </c>
    </row>
    <row r="1456" spans="1:4" ht="9" customHeight="1" x14ac:dyDescent="0.25">
      <c r="A1456" s="1059">
        <v>903789</v>
      </c>
      <c r="B1456" s="1060" t="s">
        <v>23114</v>
      </c>
      <c r="C1456" s="1059" t="s">
        <v>39</v>
      </c>
      <c r="D1456" s="1061">
        <v>30.81</v>
      </c>
    </row>
    <row r="1457" spans="1:4" ht="18" customHeight="1" x14ac:dyDescent="0.25">
      <c r="A1457" s="1059">
        <v>919009</v>
      </c>
      <c r="B1457" s="1060" t="s">
        <v>23115</v>
      </c>
      <c r="C1457" s="1059" t="s">
        <v>3</v>
      </c>
      <c r="D1457" s="1061">
        <v>63277.81</v>
      </c>
    </row>
    <row r="1458" spans="1:4" ht="18" customHeight="1" x14ac:dyDescent="0.25">
      <c r="A1458" s="1059">
        <v>919007</v>
      </c>
      <c r="B1458" s="1060" t="s">
        <v>23116</v>
      </c>
      <c r="C1458" s="1059" t="s">
        <v>3</v>
      </c>
      <c r="D1458" s="1061">
        <v>115049.47</v>
      </c>
    </row>
    <row r="1459" spans="1:4" ht="18" customHeight="1" x14ac:dyDescent="0.25">
      <c r="A1459" s="1059">
        <v>919011</v>
      </c>
      <c r="B1459" s="1060" t="s">
        <v>23117</v>
      </c>
      <c r="C1459" s="1059" t="s">
        <v>3</v>
      </c>
      <c r="D1459" s="1061">
        <v>32259.16</v>
      </c>
    </row>
    <row r="1460" spans="1:4" ht="18" customHeight="1" x14ac:dyDescent="0.25">
      <c r="A1460" s="1059">
        <v>919246</v>
      </c>
      <c r="B1460" s="1060" t="s">
        <v>23118</v>
      </c>
      <c r="C1460" s="1059" t="s">
        <v>3</v>
      </c>
      <c r="D1460" s="1061">
        <v>44764.6</v>
      </c>
    </row>
    <row r="1461" spans="1:4" ht="18" customHeight="1" x14ac:dyDescent="0.25">
      <c r="A1461" s="1059">
        <v>919013</v>
      </c>
      <c r="B1461" s="1060" t="s">
        <v>23119</v>
      </c>
      <c r="C1461" s="1059" t="s">
        <v>3</v>
      </c>
      <c r="D1461" s="1061">
        <v>127222.5</v>
      </c>
    </row>
    <row r="1462" spans="1:4" ht="18" customHeight="1" x14ac:dyDescent="0.25">
      <c r="A1462" s="1059">
        <v>919008</v>
      </c>
      <c r="B1462" s="1060" t="s">
        <v>23120</v>
      </c>
      <c r="C1462" s="1059" t="s">
        <v>3</v>
      </c>
      <c r="D1462" s="1061">
        <v>89354.36</v>
      </c>
    </row>
    <row r="1463" spans="1:4" ht="18" customHeight="1" x14ac:dyDescent="0.25">
      <c r="A1463" s="1059">
        <v>919012</v>
      </c>
      <c r="B1463" s="1060" t="s">
        <v>23121</v>
      </c>
      <c r="C1463" s="1059" t="s">
        <v>3</v>
      </c>
      <c r="D1463" s="1061">
        <v>57572.12</v>
      </c>
    </row>
    <row r="1464" spans="1:4" ht="9" customHeight="1" x14ac:dyDescent="0.25">
      <c r="A1464" s="1059">
        <v>903848</v>
      </c>
      <c r="B1464" s="1060" t="s">
        <v>23122</v>
      </c>
      <c r="C1464" s="1059" t="s">
        <v>2</v>
      </c>
      <c r="D1464" s="1061">
        <v>155.35</v>
      </c>
    </row>
    <row r="1465" spans="1:4" ht="9" customHeight="1" x14ac:dyDescent="0.25">
      <c r="A1465" s="1059">
        <v>919002</v>
      </c>
      <c r="B1465" s="1060" t="s">
        <v>23123</v>
      </c>
      <c r="C1465" s="1059" t="s">
        <v>3</v>
      </c>
      <c r="D1465" s="1061">
        <v>35682.83</v>
      </c>
    </row>
    <row r="1466" spans="1:4" ht="9" customHeight="1" x14ac:dyDescent="0.25">
      <c r="A1466" s="1059">
        <v>919210</v>
      </c>
      <c r="B1466" s="1060" t="s">
        <v>23124</v>
      </c>
      <c r="C1466" s="1059" t="s">
        <v>3</v>
      </c>
      <c r="D1466" s="1061">
        <v>19644.7</v>
      </c>
    </row>
    <row r="1467" spans="1:4" ht="9" customHeight="1" x14ac:dyDescent="0.25">
      <c r="A1467" s="1059">
        <v>909612</v>
      </c>
      <c r="B1467" s="1060" t="s">
        <v>23125</v>
      </c>
      <c r="C1467" s="1059" t="s">
        <v>3</v>
      </c>
      <c r="D1467" s="1061">
        <v>12446.89</v>
      </c>
    </row>
    <row r="1468" spans="1:4" ht="9" customHeight="1" x14ac:dyDescent="0.25">
      <c r="A1468" s="1059">
        <v>909613</v>
      </c>
      <c r="B1468" s="1060" t="s">
        <v>23126</v>
      </c>
      <c r="C1468" s="1059" t="s">
        <v>3</v>
      </c>
      <c r="D1468" s="1061">
        <v>20492.52</v>
      </c>
    </row>
    <row r="1469" spans="1:4" ht="9" customHeight="1" x14ac:dyDescent="0.25">
      <c r="A1469" s="1059">
        <v>909614</v>
      </c>
      <c r="B1469" s="1060" t="s">
        <v>23127</v>
      </c>
      <c r="C1469" s="1059" t="s">
        <v>3</v>
      </c>
      <c r="D1469" s="1061">
        <v>45257.24</v>
      </c>
    </row>
    <row r="1470" spans="1:4" ht="9" customHeight="1" x14ac:dyDescent="0.25">
      <c r="A1470" s="1059">
        <v>909616</v>
      </c>
      <c r="B1470" s="1060" t="s">
        <v>23128</v>
      </c>
      <c r="C1470" s="1059" t="s">
        <v>3</v>
      </c>
      <c r="D1470" s="1061">
        <v>35573.660000000003</v>
      </c>
    </row>
    <row r="1471" spans="1:4" ht="9" customHeight="1" x14ac:dyDescent="0.25">
      <c r="A1471" s="1059">
        <v>909617</v>
      </c>
      <c r="B1471" s="1060" t="s">
        <v>23129</v>
      </c>
      <c r="C1471" s="1059" t="s">
        <v>3</v>
      </c>
      <c r="D1471" s="1061">
        <v>21065.57</v>
      </c>
    </row>
    <row r="1472" spans="1:4" ht="9" customHeight="1" x14ac:dyDescent="0.25">
      <c r="A1472" s="1059">
        <v>909615</v>
      </c>
      <c r="B1472" s="1060" t="s">
        <v>23130</v>
      </c>
      <c r="C1472" s="1059" t="s">
        <v>3</v>
      </c>
      <c r="D1472" s="1061">
        <v>16166.26</v>
      </c>
    </row>
    <row r="1473" spans="1:4" ht="9" customHeight="1" x14ac:dyDescent="0.25">
      <c r="A1473" s="1059">
        <v>919101</v>
      </c>
      <c r="B1473" s="1060" t="s">
        <v>23131</v>
      </c>
      <c r="C1473" s="1059" t="s">
        <v>3</v>
      </c>
      <c r="D1473" s="1061">
        <v>1792.55</v>
      </c>
    </row>
    <row r="1474" spans="1:4" ht="9" customHeight="1" x14ac:dyDescent="0.25">
      <c r="A1474" s="1059">
        <v>1100657</v>
      </c>
      <c r="B1474" s="1060" t="s">
        <v>23132</v>
      </c>
      <c r="C1474" s="1059" t="s">
        <v>38</v>
      </c>
      <c r="D1474" s="1061">
        <v>3.36</v>
      </c>
    </row>
    <row r="1475" spans="1:4" ht="9" customHeight="1" x14ac:dyDescent="0.25">
      <c r="A1475" s="1059">
        <v>1108055</v>
      </c>
      <c r="B1475" s="1060" t="s">
        <v>23133</v>
      </c>
      <c r="C1475" s="1059" t="s">
        <v>38</v>
      </c>
      <c r="D1475" s="1061">
        <v>3155.67</v>
      </c>
    </row>
    <row r="1476" spans="1:4" ht="9" customHeight="1" x14ac:dyDescent="0.25">
      <c r="A1476" s="1059">
        <v>1109665</v>
      </c>
      <c r="B1476" s="1060" t="s">
        <v>23134</v>
      </c>
      <c r="C1476" s="1059" t="s">
        <v>38</v>
      </c>
      <c r="D1476" s="1061">
        <v>746.46</v>
      </c>
    </row>
    <row r="1477" spans="1:4" ht="9" customHeight="1" x14ac:dyDescent="0.25">
      <c r="A1477" s="1059">
        <v>1109664</v>
      </c>
      <c r="B1477" s="1060" t="s">
        <v>23135</v>
      </c>
      <c r="C1477" s="1059" t="s">
        <v>38</v>
      </c>
      <c r="D1477" s="1061">
        <v>685.26</v>
      </c>
    </row>
    <row r="1478" spans="1:4" ht="9" customHeight="1" x14ac:dyDescent="0.25">
      <c r="A1478" s="1059">
        <v>1109667</v>
      </c>
      <c r="B1478" s="1060" t="s">
        <v>23136</v>
      </c>
      <c r="C1478" s="1059" t="s">
        <v>38</v>
      </c>
      <c r="D1478" s="1061">
        <v>578.49</v>
      </c>
    </row>
    <row r="1479" spans="1:4" ht="9" customHeight="1" x14ac:dyDescent="0.25">
      <c r="A1479" s="1059">
        <v>1109666</v>
      </c>
      <c r="B1479" s="1060" t="s">
        <v>23137</v>
      </c>
      <c r="C1479" s="1059" t="s">
        <v>38</v>
      </c>
      <c r="D1479" s="1061">
        <v>472.42</v>
      </c>
    </row>
    <row r="1480" spans="1:4" ht="9" customHeight="1" x14ac:dyDescent="0.25">
      <c r="A1480" s="1059">
        <v>1109669</v>
      </c>
      <c r="B1480" s="1060" t="s">
        <v>23138</v>
      </c>
      <c r="C1480" s="1059" t="s">
        <v>38</v>
      </c>
      <c r="D1480" s="1061">
        <v>495.17</v>
      </c>
    </row>
    <row r="1481" spans="1:4" ht="9" customHeight="1" x14ac:dyDescent="0.25">
      <c r="A1481" s="1059">
        <v>1109668</v>
      </c>
      <c r="B1481" s="1060" t="s">
        <v>23139</v>
      </c>
      <c r="C1481" s="1059" t="s">
        <v>38</v>
      </c>
      <c r="D1481" s="1061">
        <v>367.92</v>
      </c>
    </row>
    <row r="1482" spans="1:4" ht="9" customHeight="1" x14ac:dyDescent="0.25">
      <c r="A1482" s="1059">
        <v>1108060</v>
      </c>
      <c r="B1482" s="1060" t="s">
        <v>23140</v>
      </c>
      <c r="C1482" s="1059" t="s">
        <v>38</v>
      </c>
      <c r="D1482" s="1061">
        <v>573.32000000000005</v>
      </c>
    </row>
    <row r="1483" spans="1:4" ht="9" customHeight="1" x14ac:dyDescent="0.25">
      <c r="A1483" s="1059">
        <v>1109626</v>
      </c>
      <c r="B1483" s="1060" t="s">
        <v>23141</v>
      </c>
      <c r="C1483" s="1059" t="s">
        <v>38</v>
      </c>
      <c r="D1483" s="1061">
        <v>440.91</v>
      </c>
    </row>
    <row r="1484" spans="1:4" ht="9" customHeight="1" x14ac:dyDescent="0.25">
      <c r="A1484" s="1059">
        <v>1109671</v>
      </c>
      <c r="B1484" s="1060" t="s">
        <v>23142</v>
      </c>
      <c r="C1484" s="1059" t="s">
        <v>38</v>
      </c>
      <c r="D1484" s="1061">
        <v>454.53</v>
      </c>
    </row>
    <row r="1485" spans="1:4" ht="9" customHeight="1" x14ac:dyDescent="0.25">
      <c r="A1485" s="1059">
        <v>1109670</v>
      </c>
      <c r="B1485" s="1060" t="s">
        <v>23143</v>
      </c>
      <c r="C1485" s="1059" t="s">
        <v>38</v>
      </c>
      <c r="D1485" s="1061">
        <v>314.95999999999998</v>
      </c>
    </row>
    <row r="1486" spans="1:4" ht="9" customHeight="1" x14ac:dyDescent="0.25">
      <c r="A1486" s="1059">
        <v>1109672</v>
      </c>
      <c r="B1486" s="1060" t="s">
        <v>23144</v>
      </c>
      <c r="C1486" s="1059" t="s">
        <v>38</v>
      </c>
      <c r="D1486" s="1061">
        <v>373.59</v>
      </c>
    </row>
    <row r="1487" spans="1:4" ht="9" customHeight="1" x14ac:dyDescent="0.25">
      <c r="A1487" s="1059">
        <v>1109624</v>
      </c>
      <c r="B1487" s="1060" t="s">
        <v>23145</v>
      </c>
      <c r="C1487" s="1059" t="s">
        <v>38</v>
      </c>
      <c r="D1487" s="1061">
        <v>212.78</v>
      </c>
    </row>
    <row r="1488" spans="1:4" ht="9" customHeight="1" x14ac:dyDescent="0.25">
      <c r="A1488" s="1059">
        <v>1109622</v>
      </c>
      <c r="B1488" s="1060" t="s">
        <v>23146</v>
      </c>
      <c r="C1488" s="1059" t="s">
        <v>38</v>
      </c>
      <c r="D1488" s="1061">
        <v>452.08</v>
      </c>
    </row>
    <row r="1489" spans="1:4" ht="9" customHeight="1" x14ac:dyDescent="0.25">
      <c r="A1489" s="1059">
        <v>1109623</v>
      </c>
      <c r="B1489" s="1060" t="s">
        <v>23147</v>
      </c>
      <c r="C1489" s="1059" t="s">
        <v>38</v>
      </c>
      <c r="D1489" s="1061">
        <v>348.1</v>
      </c>
    </row>
    <row r="1490" spans="1:4" ht="9" customHeight="1" x14ac:dyDescent="0.25">
      <c r="A1490" s="1059">
        <v>1109697</v>
      </c>
      <c r="B1490" s="1060" t="s">
        <v>23148</v>
      </c>
      <c r="C1490" s="1059" t="s">
        <v>38</v>
      </c>
      <c r="D1490" s="1061">
        <v>345.89</v>
      </c>
    </row>
    <row r="1491" spans="1:4" ht="9" customHeight="1" x14ac:dyDescent="0.25">
      <c r="A1491" s="1059">
        <v>1109698</v>
      </c>
      <c r="B1491" s="1060" t="s">
        <v>23149</v>
      </c>
      <c r="C1491" s="1059" t="s">
        <v>38</v>
      </c>
      <c r="D1491" s="1061">
        <v>214.2</v>
      </c>
    </row>
    <row r="1492" spans="1:4" ht="9" customHeight="1" x14ac:dyDescent="0.25">
      <c r="A1492" s="1059">
        <v>1109679</v>
      </c>
      <c r="B1492" s="1060" t="s">
        <v>23150</v>
      </c>
      <c r="C1492" s="1059" t="s">
        <v>38</v>
      </c>
      <c r="D1492" s="1061">
        <v>396.8</v>
      </c>
    </row>
    <row r="1493" spans="1:4" ht="9" customHeight="1" x14ac:dyDescent="0.25">
      <c r="A1493" s="1059">
        <v>1109625</v>
      </c>
      <c r="B1493" s="1060" t="s">
        <v>23151</v>
      </c>
      <c r="C1493" s="1059" t="s">
        <v>38</v>
      </c>
      <c r="D1493" s="1061">
        <v>277.35000000000002</v>
      </c>
    </row>
    <row r="1494" spans="1:4" ht="9" customHeight="1" x14ac:dyDescent="0.25">
      <c r="A1494" s="1059">
        <v>1109678</v>
      </c>
      <c r="B1494" s="1060" t="s">
        <v>23152</v>
      </c>
      <c r="C1494" s="1059" t="s">
        <v>38</v>
      </c>
      <c r="D1494" s="1061">
        <v>367.44</v>
      </c>
    </row>
    <row r="1495" spans="1:4" ht="9" customHeight="1" x14ac:dyDescent="0.25">
      <c r="A1495" s="1059">
        <v>1109694</v>
      </c>
      <c r="B1495" s="1060" t="s">
        <v>23153</v>
      </c>
      <c r="C1495" s="1059" t="s">
        <v>38</v>
      </c>
      <c r="D1495" s="1061">
        <v>239.38</v>
      </c>
    </row>
    <row r="1496" spans="1:4" ht="9" customHeight="1" x14ac:dyDescent="0.25">
      <c r="A1496" s="1059">
        <v>1109673</v>
      </c>
      <c r="B1496" s="1060" t="s">
        <v>23154</v>
      </c>
      <c r="C1496" s="1059" t="s">
        <v>38</v>
      </c>
      <c r="D1496" s="1061">
        <v>434.83</v>
      </c>
    </row>
    <row r="1497" spans="1:4" ht="9" customHeight="1" x14ac:dyDescent="0.25">
      <c r="A1497" s="1059">
        <v>1109690</v>
      </c>
      <c r="B1497" s="1060" t="s">
        <v>23155</v>
      </c>
      <c r="C1497" s="1059" t="s">
        <v>38</v>
      </c>
      <c r="D1497" s="1061">
        <v>323.3</v>
      </c>
    </row>
    <row r="1498" spans="1:4" ht="9" customHeight="1" x14ac:dyDescent="0.25">
      <c r="A1498" s="1059">
        <v>1109674</v>
      </c>
      <c r="B1498" s="1060" t="s">
        <v>23156</v>
      </c>
      <c r="C1498" s="1059" t="s">
        <v>38</v>
      </c>
      <c r="D1498" s="1061">
        <v>412.15</v>
      </c>
    </row>
    <row r="1499" spans="1:4" ht="9" customHeight="1" x14ac:dyDescent="0.25">
      <c r="A1499" s="1059">
        <v>1109691</v>
      </c>
      <c r="B1499" s="1060" t="s">
        <v>23157</v>
      </c>
      <c r="C1499" s="1059" t="s">
        <v>38</v>
      </c>
      <c r="D1499" s="1061">
        <v>295.05</v>
      </c>
    </row>
    <row r="1500" spans="1:4" ht="9" customHeight="1" x14ac:dyDescent="0.25">
      <c r="A1500" s="1059">
        <v>1109675</v>
      </c>
      <c r="B1500" s="1060" t="s">
        <v>23158</v>
      </c>
      <c r="C1500" s="1059" t="s">
        <v>38</v>
      </c>
      <c r="D1500" s="1061">
        <v>394.05</v>
      </c>
    </row>
    <row r="1501" spans="1:4" ht="9" customHeight="1" x14ac:dyDescent="0.25">
      <c r="A1501" s="1059">
        <v>1109692</v>
      </c>
      <c r="B1501" s="1060" t="s">
        <v>23159</v>
      </c>
      <c r="C1501" s="1059" t="s">
        <v>38</v>
      </c>
      <c r="D1501" s="1061">
        <v>272.54000000000002</v>
      </c>
    </row>
    <row r="1502" spans="1:4" ht="9" customHeight="1" x14ac:dyDescent="0.25">
      <c r="A1502" s="1059">
        <v>1109676</v>
      </c>
      <c r="B1502" s="1060" t="s">
        <v>23160</v>
      </c>
      <c r="C1502" s="1059" t="s">
        <v>38</v>
      </c>
      <c r="D1502" s="1061">
        <v>379.43</v>
      </c>
    </row>
    <row r="1503" spans="1:4" ht="9" customHeight="1" x14ac:dyDescent="0.25">
      <c r="A1503" s="1059">
        <v>1109693</v>
      </c>
      <c r="B1503" s="1060" t="s">
        <v>23161</v>
      </c>
      <c r="C1503" s="1059" t="s">
        <v>38</v>
      </c>
      <c r="D1503" s="1061">
        <v>254.33</v>
      </c>
    </row>
    <row r="1504" spans="1:4" ht="9" customHeight="1" x14ac:dyDescent="0.25">
      <c r="A1504" s="1059">
        <v>1109680</v>
      </c>
      <c r="B1504" s="1060" t="s">
        <v>23162</v>
      </c>
      <c r="C1504" s="1059" t="s">
        <v>38</v>
      </c>
      <c r="D1504" s="1061">
        <v>3096.3</v>
      </c>
    </row>
    <row r="1505" spans="1:4" ht="18" customHeight="1" x14ac:dyDescent="0.25">
      <c r="A1505" s="1059">
        <v>1107748</v>
      </c>
      <c r="B1505" s="1060" t="s">
        <v>23163</v>
      </c>
      <c r="C1505" s="1059" t="s">
        <v>38</v>
      </c>
      <c r="D1505" s="1061">
        <v>10770.38</v>
      </c>
    </row>
    <row r="1506" spans="1:4" ht="9" customHeight="1" x14ac:dyDescent="0.25">
      <c r="A1506" s="1059">
        <v>1110000</v>
      </c>
      <c r="B1506" s="1060" t="s">
        <v>21606</v>
      </c>
      <c r="C1506" s="1059" t="s">
        <v>38</v>
      </c>
      <c r="D1506" s="1061">
        <v>0</v>
      </c>
    </row>
    <row r="1507" spans="1:4" ht="18" customHeight="1" x14ac:dyDescent="0.25">
      <c r="A1507" s="1059">
        <v>1106059</v>
      </c>
      <c r="B1507" s="1060" t="s">
        <v>23164</v>
      </c>
      <c r="C1507" s="1059" t="s">
        <v>38</v>
      </c>
      <c r="D1507" s="1061">
        <v>562.82000000000005</v>
      </c>
    </row>
    <row r="1508" spans="1:4" ht="18" customHeight="1" x14ac:dyDescent="0.25">
      <c r="A1508" s="1059">
        <v>1106060</v>
      </c>
      <c r="B1508" s="1060" t="s">
        <v>23165</v>
      </c>
      <c r="C1508" s="1059" t="s">
        <v>38</v>
      </c>
      <c r="D1508" s="1061">
        <v>426.96</v>
      </c>
    </row>
    <row r="1509" spans="1:4" ht="18" customHeight="1" x14ac:dyDescent="0.25">
      <c r="A1509" s="1059">
        <v>1100658</v>
      </c>
      <c r="B1509" s="1060" t="s">
        <v>23166</v>
      </c>
      <c r="C1509" s="1059" t="s">
        <v>38</v>
      </c>
      <c r="D1509" s="1061">
        <v>478.5</v>
      </c>
    </row>
    <row r="1510" spans="1:4" ht="18" customHeight="1" x14ac:dyDescent="0.25">
      <c r="A1510" s="1059">
        <v>1106159</v>
      </c>
      <c r="B1510" s="1060" t="s">
        <v>23167</v>
      </c>
      <c r="C1510" s="1059" t="s">
        <v>38</v>
      </c>
      <c r="D1510" s="1061">
        <v>508.51</v>
      </c>
    </row>
    <row r="1511" spans="1:4" ht="18" customHeight="1" x14ac:dyDescent="0.25">
      <c r="A1511" s="1059">
        <v>1107902</v>
      </c>
      <c r="B1511" s="1060" t="s">
        <v>23168</v>
      </c>
      <c r="C1511" s="1059" t="s">
        <v>38</v>
      </c>
      <c r="D1511" s="1061">
        <v>542</v>
      </c>
    </row>
    <row r="1512" spans="1:4" ht="18" customHeight="1" x14ac:dyDescent="0.25">
      <c r="A1512" s="1059">
        <v>1107906</v>
      </c>
      <c r="B1512" s="1060" t="s">
        <v>23169</v>
      </c>
      <c r="C1512" s="1059" t="s">
        <v>38</v>
      </c>
      <c r="D1512" s="1061">
        <v>579.42999999999995</v>
      </c>
    </row>
    <row r="1513" spans="1:4" ht="18" customHeight="1" x14ac:dyDescent="0.25">
      <c r="A1513" s="1059">
        <v>1107910</v>
      </c>
      <c r="B1513" s="1060" t="s">
        <v>23170</v>
      </c>
      <c r="C1513" s="1059" t="s">
        <v>38</v>
      </c>
      <c r="D1513" s="1061">
        <v>621.27</v>
      </c>
    </row>
    <row r="1514" spans="1:4" ht="18" customHeight="1" x14ac:dyDescent="0.25">
      <c r="A1514" s="1059">
        <v>1107911</v>
      </c>
      <c r="B1514" s="1060" t="s">
        <v>23171</v>
      </c>
      <c r="C1514" s="1059" t="s">
        <v>38</v>
      </c>
      <c r="D1514" s="1061">
        <v>668.03</v>
      </c>
    </row>
    <row r="1515" spans="1:4" ht="18" customHeight="1" x14ac:dyDescent="0.25">
      <c r="A1515" s="1059">
        <v>1107912</v>
      </c>
      <c r="B1515" s="1060" t="s">
        <v>23172</v>
      </c>
      <c r="C1515" s="1059" t="s">
        <v>38</v>
      </c>
      <c r="D1515" s="1061">
        <v>732.18</v>
      </c>
    </row>
    <row r="1516" spans="1:4" ht="18" customHeight="1" x14ac:dyDescent="0.25">
      <c r="A1516" s="1059">
        <v>1106164</v>
      </c>
      <c r="B1516" s="1060" t="s">
        <v>23173</v>
      </c>
      <c r="C1516" s="1059" t="s">
        <v>38</v>
      </c>
      <c r="D1516" s="1061">
        <v>250.43</v>
      </c>
    </row>
    <row r="1517" spans="1:4" ht="9" customHeight="1" x14ac:dyDescent="0.25">
      <c r="A1517" s="1059">
        <v>1106165</v>
      </c>
      <c r="B1517" s="1060" t="s">
        <v>23174</v>
      </c>
      <c r="C1517" s="1059" t="s">
        <v>38</v>
      </c>
      <c r="D1517" s="1061">
        <v>384.83</v>
      </c>
    </row>
    <row r="1518" spans="1:4" ht="9" customHeight="1" x14ac:dyDescent="0.25">
      <c r="A1518" s="1059">
        <v>1106156</v>
      </c>
      <c r="B1518" s="1060" t="s">
        <v>23175</v>
      </c>
      <c r="C1518" s="1059" t="s">
        <v>38</v>
      </c>
      <c r="D1518" s="1061">
        <v>519.17999999999995</v>
      </c>
    </row>
    <row r="1519" spans="1:4" ht="9" customHeight="1" x14ac:dyDescent="0.25">
      <c r="A1519" s="1059">
        <v>1107932</v>
      </c>
      <c r="B1519" s="1060" t="s">
        <v>23176</v>
      </c>
      <c r="C1519" s="1059" t="s">
        <v>38</v>
      </c>
      <c r="D1519" s="1061">
        <v>554.05999999999995</v>
      </c>
    </row>
    <row r="1520" spans="1:4" ht="9" customHeight="1" x14ac:dyDescent="0.25">
      <c r="A1520" s="1059">
        <v>1108111</v>
      </c>
      <c r="B1520" s="1060" t="s">
        <v>23177</v>
      </c>
      <c r="C1520" s="1059" t="s">
        <v>38</v>
      </c>
      <c r="D1520" s="1061">
        <v>421.16</v>
      </c>
    </row>
    <row r="1521" spans="1:4" ht="9" customHeight="1" x14ac:dyDescent="0.25">
      <c r="A1521" s="1059">
        <v>1108112</v>
      </c>
      <c r="B1521" s="1060" t="s">
        <v>23178</v>
      </c>
      <c r="C1521" s="1059" t="s">
        <v>38</v>
      </c>
      <c r="D1521" s="1061">
        <v>431.14</v>
      </c>
    </row>
    <row r="1522" spans="1:4" ht="9" customHeight="1" x14ac:dyDescent="0.25">
      <c r="A1522" s="1059">
        <v>1108113</v>
      </c>
      <c r="B1522" s="1060" t="s">
        <v>23179</v>
      </c>
      <c r="C1522" s="1059" t="s">
        <v>38</v>
      </c>
      <c r="D1522" s="1061">
        <v>455.67</v>
      </c>
    </row>
    <row r="1523" spans="1:4" ht="9" customHeight="1" x14ac:dyDescent="0.25">
      <c r="A1523" s="1059">
        <v>1108114</v>
      </c>
      <c r="B1523" s="1060" t="s">
        <v>23180</v>
      </c>
      <c r="C1523" s="1059" t="s">
        <v>38</v>
      </c>
      <c r="D1523" s="1061">
        <v>483.05</v>
      </c>
    </row>
    <row r="1524" spans="1:4" ht="9" customHeight="1" x14ac:dyDescent="0.25">
      <c r="A1524" s="1059">
        <v>1108061</v>
      </c>
      <c r="B1524" s="1060" t="s">
        <v>23181</v>
      </c>
      <c r="C1524" s="1059" t="s">
        <v>38</v>
      </c>
      <c r="D1524" s="1061">
        <v>848.23</v>
      </c>
    </row>
    <row r="1525" spans="1:4" ht="9" customHeight="1" x14ac:dyDescent="0.25">
      <c r="A1525" s="1059">
        <v>1108064</v>
      </c>
      <c r="B1525" s="1060" t="s">
        <v>23182</v>
      </c>
      <c r="C1525" s="1059" t="s">
        <v>38</v>
      </c>
      <c r="D1525" s="1061">
        <v>915.69</v>
      </c>
    </row>
    <row r="1526" spans="1:4" ht="9" customHeight="1" x14ac:dyDescent="0.25">
      <c r="A1526" s="1059">
        <v>1107888</v>
      </c>
      <c r="B1526" s="1060" t="s">
        <v>23183</v>
      </c>
      <c r="C1526" s="1059" t="s">
        <v>38</v>
      </c>
      <c r="D1526" s="1061">
        <v>423.35</v>
      </c>
    </row>
    <row r="1527" spans="1:4" ht="9" customHeight="1" x14ac:dyDescent="0.25">
      <c r="A1527" s="1059">
        <v>1107889</v>
      </c>
      <c r="B1527" s="1060" t="s">
        <v>23184</v>
      </c>
      <c r="C1527" s="1059" t="s">
        <v>38</v>
      </c>
      <c r="D1527" s="1061">
        <v>289.77999999999997</v>
      </c>
    </row>
    <row r="1528" spans="1:4" ht="9" customHeight="1" x14ac:dyDescent="0.25">
      <c r="A1528" s="1059">
        <v>1107892</v>
      </c>
      <c r="B1528" s="1060" t="s">
        <v>23185</v>
      </c>
      <c r="C1528" s="1059" t="s">
        <v>38</v>
      </c>
      <c r="D1528" s="1061">
        <v>440.89</v>
      </c>
    </row>
    <row r="1529" spans="1:4" ht="9" customHeight="1" x14ac:dyDescent="0.25">
      <c r="A1529" s="1059">
        <v>1107891</v>
      </c>
      <c r="B1529" s="1060" t="s">
        <v>23186</v>
      </c>
      <c r="C1529" s="1059" t="s">
        <v>38</v>
      </c>
      <c r="D1529" s="1061">
        <v>309.45</v>
      </c>
    </row>
    <row r="1530" spans="1:4" ht="9" customHeight="1" x14ac:dyDescent="0.25">
      <c r="A1530" s="1059">
        <v>1107928</v>
      </c>
      <c r="B1530" s="1060" t="s">
        <v>23187</v>
      </c>
      <c r="C1530" s="1059" t="s">
        <v>38</v>
      </c>
      <c r="D1530" s="1061">
        <v>374.92</v>
      </c>
    </row>
    <row r="1531" spans="1:4" ht="9" customHeight="1" x14ac:dyDescent="0.25">
      <c r="A1531" s="1059">
        <v>1107929</v>
      </c>
      <c r="B1531" s="1060" t="s">
        <v>23188</v>
      </c>
      <c r="C1531" s="1059" t="s">
        <v>38</v>
      </c>
      <c r="D1531" s="1061">
        <v>242.94</v>
      </c>
    </row>
    <row r="1532" spans="1:4" ht="9" customHeight="1" x14ac:dyDescent="0.25">
      <c r="A1532" s="1059">
        <v>1106109</v>
      </c>
      <c r="B1532" s="1060" t="s">
        <v>23189</v>
      </c>
      <c r="C1532" s="1059" t="s">
        <v>38</v>
      </c>
      <c r="D1532" s="1061">
        <v>351.44</v>
      </c>
    </row>
    <row r="1533" spans="1:4" ht="9" customHeight="1" x14ac:dyDescent="0.25">
      <c r="A1533" s="1059">
        <v>1106117</v>
      </c>
      <c r="B1533" s="1060" t="s">
        <v>23190</v>
      </c>
      <c r="C1533" s="1059" t="s">
        <v>38</v>
      </c>
      <c r="D1533" s="1061">
        <v>219.46</v>
      </c>
    </row>
    <row r="1534" spans="1:4" ht="9" customHeight="1" x14ac:dyDescent="0.25">
      <c r="A1534" s="1059">
        <v>1107896</v>
      </c>
      <c r="B1534" s="1060" t="s">
        <v>23191</v>
      </c>
      <c r="C1534" s="1059" t="s">
        <v>38</v>
      </c>
      <c r="D1534" s="1061">
        <v>460.57</v>
      </c>
    </row>
    <row r="1535" spans="1:4" ht="9" customHeight="1" x14ac:dyDescent="0.25">
      <c r="A1535" s="1059">
        <v>1107895</v>
      </c>
      <c r="B1535" s="1060" t="s">
        <v>23192</v>
      </c>
      <c r="C1535" s="1059" t="s">
        <v>38</v>
      </c>
      <c r="D1535" s="1061">
        <v>331.5</v>
      </c>
    </row>
    <row r="1536" spans="1:4" ht="9" customHeight="1" x14ac:dyDescent="0.25">
      <c r="A1536" s="1059">
        <v>1119528</v>
      </c>
      <c r="B1536" s="1060" t="s">
        <v>23193</v>
      </c>
      <c r="C1536" s="1059" t="s">
        <v>38</v>
      </c>
      <c r="D1536" s="1061">
        <v>388.01</v>
      </c>
    </row>
    <row r="1537" spans="1:4" ht="9" customHeight="1" x14ac:dyDescent="0.25">
      <c r="A1537" s="1059">
        <v>1106135</v>
      </c>
      <c r="B1537" s="1060" t="s">
        <v>23194</v>
      </c>
      <c r="C1537" s="1059" t="s">
        <v>38</v>
      </c>
      <c r="D1537" s="1061">
        <v>257.67</v>
      </c>
    </row>
    <row r="1538" spans="1:4" ht="9" customHeight="1" x14ac:dyDescent="0.25">
      <c r="A1538" s="1059">
        <v>1106136</v>
      </c>
      <c r="B1538" s="1060" t="s">
        <v>23195</v>
      </c>
      <c r="C1538" s="1059" t="s">
        <v>38</v>
      </c>
      <c r="D1538" s="1061">
        <v>362.59</v>
      </c>
    </row>
    <row r="1539" spans="1:4" ht="9" customHeight="1" x14ac:dyDescent="0.25">
      <c r="A1539" s="1059">
        <v>1106137</v>
      </c>
      <c r="B1539" s="1060" t="s">
        <v>23196</v>
      </c>
      <c r="C1539" s="1059" t="s">
        <v>38</v>
      </c>
      <c r="D1539" s="1061">
        <v>232.25</v>
      </c>
    </row>
    <row r="1540" spans="1:4" ht="9" customHeight="1" x14ac:dyDescent="0.25">
      <c r="A1540" s="1059">
        <v>1116127</v>
      </c>
      <c r="B1540" s="1060" t="s">
        <v>23197</v>
      </c>
      <c r="C1540" s="1059" t="s">
        <v>38</v>
      </c>
      <c r="D1540" s="1061">
        <v>478.42</v>
      </c>
    </row>
    <row r="1541" spans="1:4" ht="18" customHeight="1" x14ac:dyDescent="0.25">
      <c r="A1541" s="1059">
        <v>1116126</v>
      </c>
      <c r="B1541" s="1060" t="s">
        <v>23198</v>
      </c>
      <c r="C1541" s="1059" t="s">
        <v>38</v>
      </c>
      <c r="D1541" s="1061">
        <v>356.16</v>
      </c>
    </row>
    <row r="1542" spans="1:4" ht="9" customHeight="1" x14ac:dyDescent="0.25">
      <c r="A1542" s="1059">
        <v>1107900</v>
      </c>
      <c r="B1542" s="1060" t="s">
        <v>23199</v>
      </c>
      <c r="C1542" s="1059" t="s">
        <v>38</v>
      </c>
      <c r="D1542" s="1061">
        <v>482.47</v>
      </c>
    </row>
    <row r="1543" spans="1:4" ht="9" customHeight="1" x14ac:dyDescent="0.25">
      <c r="A1543" s="1059">
        <v>1107899</v>
      </c>
      <c r="B1543" s="1060" t="s">
        <v>23200</v>
      </c>
      <c r="C1543" s="1059" t="s">
        <v>38</v>
      </c>
      <c r="D1543" s="1061">
        <v>356.06</v>
      </c>
    </row>
    <row r="1544" spans="1:4" ht="9" customHeight="1" x14ac:dyDescent="0.25">
      <c r="A1544" s="1059">
        <v>1107890</v>
      </c>
      <c r="B1544" s="1060" t="s">
        <v>23201</v>
      </c>
      <c r="C1544" s="1059" t="s">
        <v>38</v>
      </c>
      <c r="D1544" s="1061">
        <v>405.08</v>
      </c>
    </row>
    <row r="1545" spans="1:4" ht="9" customHeight="1" x14ac:dyDescent="0.25">
      <c r="A1545" s="1059">
        <v>1106138</v>
      </c>
      <c r="B1545" s="1060" t="s">
        <v>23202</v>
      </c>
      <c r="C1545" s="1059" t="s">
        <v>38</v>
      </c>
      <c r="D1545" s="1061">
        <v>276.88</v>
      </c>
    </row>
    <row r="1546" spans="1:4" ht="9" customHeight="1" x14ac:dyDescent="0.25">
      <c r="A1546" s="1059">
        <v>1106139</v>
      </c>
      <c r="B1546" s="1060" t="s">
        <v>23203</v>
      </c>
      <c r="C1546" s="1059" t="s">
        <v>38</v>
      </c>
      <c r="D1546" s="1061">
        <v>377.2</v>
      </c>
    </row>
    <row r="1547" spans="1:4" ht="9" customHeight="1" x14ac:dyDescent="0.25">
      <c r="A1547" s="1059">
        <v>1106140</v>
      </c>
      <c r="B1547" s="1060" t="s">
        <v>23204</v>
      </c>
      <c r="C1547" s="1059" t="s">
        <v>38</v>
      </c>
      <c r="D1547" s="1061">
        <v>249</v>
      </c>
    </row>
    <row r="1548" spans="1:4" ht="9" customHeight="1" x14ac:dyDescent="0.25">
      <c r="A1548" s="1059">
        <v>1107904</v>
      </c>
      <c r="B1548" s="1060" t="s">
        <v>23205</v>
      </c>
      <c r="C1548" s="1059" t="s">
        <v>38</v>
      </c>
      <c r="D1548" s="1061">
        <v>507.01</v>
      </c>
    </row>
    <row r="1549" spans="1:4" ht="9" customHeight="1" x14ac:dyDescent="0.25">
      <c r="A1549" s="1059">
        <v>1107903</v>
      </c>
      <c r="B1549" s="1060" t="s">
        <v>23206</v>
      </c>
      <c r="C1549" s="1059" t="s">
        <v>38</v>
      </c>
      <c r="D1549" s="1061">
        <v>383.57</v>
      </c>
    </row>
    <row r="1550" spans="1:4" ht="9" customHeight="1" x14ac:dyDescent="0.25">
      <c r="A1550" s="1059">
        <v>1107908</v>
      </c>
      <c r="B1550" s="1060" t="s">
        <v>23207</v>
      </c>
      <c r="C1550" s="1059" t="s">
        <v>38</v>
      </c>
      <c r="D1550" s="1061">
        <v>534.33000000000004</v>
      </c>
    </row>
    <row r="1551" spans="1:4" ht="9" customHeight="1" x14ac:dyDescent="0.25">
      <c r="A1551" s="1059">
        <v>1107907</v>
      </c>
      <c r="B1551" s="1060" t="s">
        <v>23208</v>
      </c>
      <c r="C1551" s="1059" t="s">
        <v>38</v>
      </c>
      <c r="D1551" s="1061">
        <v>414.21</v>
      </c>
    </row>
    <row r="1552" spans="1:4" ht="9" customHeight="1" x14ac:dyDescent="0.25">
      <c r="A1552" s="1059">
        <v>1107871</v>
      </c>
      <c r="B1552" s="1060" t="s">
        <v>23209</v>
      </c>
      <c r="C1552" s="1059" t="s">
        <v>38</v>
      </c>
      <c r="D1552" s="1061">
        <v>436.29</v>
      </c>
    </row>
    <row r="1553" spans="1:4" ht="9" customHeight="1" x14ac:dyDescent="0.25">
      <c r="A1553" s="1059">
        <v>1107870</v>
      </c>
      <c r="B1553" s="1060" t="s">
        <v>23210</v>
      </c>
      <c r="C1553" s="1059" t="s">
        <v>38</v>
      </c>
      <c r="D1553" s="1061">
        <v>310.58999999999997</v>
      </c>
    </row>
    <row r="1554" spans="1:4" ht="9" customHeight="1" x14ac:dyDescent="0.25">
      <c r="A1554" s="1059">
        <v>1106057</v>
      </c>
      <c r="B1554" s="1060" t="s">
        <v>23211</v>
      </c>
      <c r="C1554" s="1059" t="s">
        <v>38</v>
      </c>
      <c r="D1554" s="1061">
        <v>427.91</v>
      </c>
    </row>
    <row r="1555" spans="1:4" ht="9" customHeight="1" x14ac:dyDescent="0.25">
      <c r="A1555" s="1059">
        <v>1106058</v>
      </c>
      <c r="B1555" s="1060" t="s">
        <v>23212</v>
      </c>
      <c r="C1555" s="1059" t="s">
        <v>38</v>
      </c>
      <c r="D1555" s="1061">
        <v>301.51</v>
      </c>
    </row>
    <row r="1556" spans="1:4" ht="9" customHeight="1" x14ac:dyDescent="0.25">
      <c r="A1556" s="1059">
        <v>1106380</v>
      </c>
      <c r="B1556" s="1060" t="s">
        <v>23213</v>
      </c>
      <c r="C1556" s="1059" t="s">
        <v>38</v>
      </c>
      <c r="D1556" s="1061">
        <v>412.06</v>
      </c>
    </row>
    <row r="1557" spans="1:4" ht="9" customHeight="1" x14ac:dyDescent="0.25">
      <c r="A1557" s="1059">
        <v>1106378</v>
      </c>
      <c r="B1557" s="1060" t="s">
        <v>23214</v>
      </c>
      <c r="C1557" s="1059" t="s">
        <v>38</v>
      </c>
      <c r="D1557" s="1061">
        <v>288.32</v>
      </c>
    </row>
    <row r="1558" spans="1:4" ht="9" customHeight="1" x14ac:dyDescent="0.25">
      <c r="A1558" s="1059">
        <v>1116263</v>
      </c>
      <c r="B1558" s="1060" t="s">
        <v>23215</v>
      </c>
      <c r="C1558" s="1059" t="s">
        <v>38</v>
      </c>
      <c r="D1558" s="1061">
        <v>382.56</v>
      </c>
    </row>
    <row r="1559" spans="1:4" ht="9" customHeight="1" x14ac:dyDescent="0.25">
      <c r="A1559" s="1059">
        <v>1116267</v>
      </c>
      <c r="B1559" s="1060" t="s">
        <v>23216</v>
      </c>
      <c r="C1559" s="1059" t="s">
        <v>38</v>
      </c>
      <c r="D1559" s="1061">
        <v>258.82</v>
      </c>
    </row>
    <row r="1560" spans="1:4" ht="9" customHeight="1" x14ac:dyDescent="0.25">
      <c r="A1560" s="1059">
        <v>1106280</v>
      </c>
      <c r="B1560" s="1060" t="s">
        <v>23217</v>
      </c>
      <c r="C1560" s="1059" t="s">
        <v>38</v>
      </c>
      <c r="D1560" s="1061">
        <v>432.15</v>
      </c>
    </row>
    <row r="1561" spans="1:4" ht="9" customHeight="1" x14ac:dyDescent="0.25">
      <c r="A1561" s="1059">
        <v>1106289</v>
      </c>
      <c r="B1561" s="1060" t="s">
        <v>23218</v>
      </c>
      <c r="C1561" s="1059" t="s">
        <v>38</v>
      </c>
      <c r="D1561" s="1061">
        <v>310.89999999999998</v>
      </c>
    </row>
    <row r="1562" spans="1:4" ht="9" customHeight="1" x14ac:dyDescent="0.25">
      <c r="A1562" s="1059">
        <v>1116264</v>
      </c>
      <c r="B1562" s="1060" t="s">
        <v>23219</v>
      </c>
      <c r="C1562" s="1059" t="s">
        <v>38</v>
      </c>
      <c r="D1562" s="1061">
        <v>399.78</v>
      </c>
    </row>
    <row r="1563" spans="1:4" ht="9" customHeight="1" x14ac:dyDescent="0.25">
      <c r="A1563" s="1059">
        <v>1116268</v>
      </c>
      <c r="B1563" s="1060" t="s">
        <v>23220</v>
      </c>
      <c r="C1563" s="1059" t="s">
        <v>38</v>
      </c>
      <c r="D1563" s="1061">
        <v>278.52999999999997</v>
      </c>
    </row>
    <row r="1564" spans="1:4" ht="9" customHeight="1" x14ac:dyDescent="0.25">
      <c r="A1564" s="1059">
        <v>1106281</v>
      </c>
      <c r="B1564" s="1060" t="s">
        <v>23221</v>
      </c>
      <c r="C1564" s="1059" t="s">
        <v>38</v>
      </c>
      <c r="D1564" s="1061">
        <v>458.04</v>
      </c>
    </row>
    <row r="1565" spans="1:4" ht="9" customHeight="1" x14ac:dyDescent="0.25">
      <c r="A1565" s="1059">
        <v>1106382</v>
      </c>
      <c r="B1565" s="1060" t="s">
        <v>23222</v>
      </c>
      <c r="C1565" s="1059" t="s">
        <v>38</v>
      </c>
      <c r="D1565" s="1061">
        <v>340</v>
      </c>
    </row>
    <row r="1566" spans="1:4" ht="9" customHeight="1" x14ac:dyDescent="0.25">
      <c r="A1566" s="1059">
        <v>1116265</v>
      </c>
      <c r="B1566" s="1060" t="s">
        <v>23223</v>
      </c>
      <c r="C1566" s="1059" t="s">
        <v>38</v>
      </c>
      <c r="D1566" s="1061">
        <v>421.89</v>
      </c>
    </row>
    <row r="1567" spans="1:4" ht="9" customHeight="1" x14ac:dyDescent="0.25">
      <c r="A1567" s="1059">
        <v>1116269</v>
      </c>
      <c r="B1567" s="1060" t="s">
        <v>23224</v>
      </c>
      <c r="C1567" s="1059" t="s">
        <v>38</v>
      </c>
      <c r="D1567" s="1061">
        <v>303.86</v>
      </c>
    </row>
    <row r="1568" spans="1:4" ht="9" customHeight="1" x14ac:dyDescent="0.25">
      <c r="A1568" s="1059">
        <v>1106282</v>
      </c>
      <c r="B1568" s="1060" t="s">
        <v>23225</v>
      </c>
      <c r="C1568" s="1059" t="s">
        <v>38</v>
      </c>
      <c r="D1568" s="1061">
        <v>486.92</v>
      </c>
    </row>
    <row r="1569" spans="1:4" ht="9" customHeight="1" x14ac:dyDescent="0.25">
      <c r="A1569" s="1059">
        <v>1106384</v>
      </c>
      <c r="B1569" s="1060" t="s">
        <v>23226</v>
      </c>
      <c r="C1569" s="1059" t="s">
        <v>38</v>
      </c>
      <c r="D1569" s="1061">
        <v>372.47</v>
      </c>
    </row>
    <row r="1570" spans="1:4" ht="9" customHeight="1" x14ac:dyDescent="0.25">
      <c r="A1570" s="1059">
        <v>1116266</v>
      </c>
      <c r="B1570" s="1060" t="s">
        <v>23227</v>
      </c>
      <c r="C1570" s="1059" t="s">
        <v>38</v>
      </c>
      <c r="D1570" s="1061">
        <v>446.61</v>
      </c>
    </row>
    <row r="1571" spans="1:4" ht="9" customHeight="1" x14ac:dyDescent="0.25">
      <c r="A1571" s="1059">
        <v>1116270</v>
      </c>
      <c r="B1571" s="1060" t="s">
        <v>23228</v>
      </c>
      <c r="C1571" s="1059" t="s">
        <v>38</v>
      </c>
      <c r="D1571" s="1061">
        <v>332.16</v>
      </c>
    </row>
    <row r="1572" spans="1:4" ht="18" customHeight="1" x14ac:dyDescent="0.25">
      <c r="A1572" s="1059">
        <v>1107868</v>
      </c>
      <c r="B1572" s="1060" t="s">
        <v>23229</v>
      </c>
      <c r="C1572" s="1059" t="s">
        <v>38</v>
      </c>
      <c r="D1572" s="1061">
        <v>331.48</v>
      </c>
    </row>
    <row r="1573" spans="1:4" ht="18" customHeight="1" x14ac:dyDescent="0.25">
      <c r="A1573" s="1059">
        <v>1107869</v>
      </c>
      <c r="B1573" s="1060" t="s">
        <v>23230</v>
      </c>
      <c r="C1573" s="1059" t="s">
        <v>38</v>
      </c>
      <c r="D1573" s="1061">
        <v>194.05</v>
      </c>
    </row>
    <row r="1574" spans="1:4" ht="9" customHeight="1" x14ac:dyDescent="0.25">
      <c r="A1574" s="1059">
        <v>1103853</v>
      </c>
      <c r="B1574" s="1060" t="s">
        <v>23231</v>
      </c>
      <c r="C1574" s="1059" t="s">
        <v>38</v>
      </c>
      <c r="D1574" s="1061">
        <v>428.55</v>
      </c>
    </row>
    <row r="1575" spans="1:4" ht="18" customHeight="1" x14ac:dyDescent="0.25">
      <c r="A1575" s="1059">
        <v>1103852</v>
      </c>
      <c r="B1575" s="1060" t="s">
        <v>23232</v>
      </c>
      <c r="C1575" s="1059" t="s">
        <v>38</v>
      </c>
      <c r="D1575" s="1061">
        <v>341.79</v>
      </c>
    </row>
    <row r="1576" spans="1:4" ht="9" customHeight="1" x14ac:dyDescent="0.25">
      <c r="A1576" s="1059">
        <v>1106284</v>
      </c>
      <c r="B1576" s="1060" t="s">
        <v>23233</v>
      </c>
      <c r="C1576" s="1059" t="s">
        <v>38</v>
      </c>
      <c r="D1576" s="1061">
        <v>430.17</v>
      </c>
    </row>
    <row r="1577" spans="1:4" ht="9" customHeight="1" x14ac:dyDescent="0.25">
      <c r="A1577" s="1059">
        <v>1108116</v>
      </c>
      <c r="B1577" s="1060" t="s">
        <v>23234</v>
      </c>
      <c r="C1577" s="1059" t="s">
        <v>38</v>
      </c>
      <c r="D1577" s="1061">
        <v>435.43</v>
      </c>
    </row>
    <row r="1578" spans="1:4" ht="9" customHeight="1" x14ac:dyDescent="0.25">
      <c r="A1578" s="1059">
        <v>1108118</v>
      </c>
      <c r="B1578" s="1060" t="s">
        <v>23235</v>
      </c>
      <c r="C1578" s="1059" t="s">
        <v>38</v>
      </c>
      <c r="D1578" s="1061">
        <v>458.66</v>
      </c>
    </row>
    <row r="1579" spans="1:4" ht="9" customHeight="1" x14ac:dyDescent="0.25">
      <c r="A1579" s="1059">
        <v>1106158</v>
      </c>
      <c r="B1579" s="1060" t="s">
        <v>23236</v>
      </c>
      <c r="C1579" s="1059" t="s">
        <v>38</v>
      </c>
      <c r="D1579" s="1061">
        <v>487.32</v>
      </c>
    </row>
    <row r="1580" spans="1:4" ht="9" customHeight="1" x14ac:dyDescent="0.25">
      <c r="A1580" s="1059">
        <v>1108120</v>
      </c>
      <c r="B1580" s="1060" t="s">
        <v>23237</v>
      </c>
      <c r="C1580" s="1059" t="s">
        <v>38</v>
      </c>
      <c r="D1580" s="1061">
        <v>519.35</v>
      </c>
    </row>
    <row r="1581" spans="1:4" ht="9" customHeight="1" x14ac:dyDescent="0.25">
      <c r="A1581" s="1059">
        <v>1106050</v>
      </c>
      <c r="B1581" s="1060" t="s">
        <v>23238</v>
      </c>
      <c r="C1581" s="1059" t="s">
        <v>38</v>
      </c>
      <c r="D1581" s="1061">
        <v>46.69</v>
      </c>
    </row>
    <row r="1582" spans="1:4" ht="9" customHeight="1" x14ac:dyDescent="0.25">
      <c r="A1582" s="1059">
        <v>1106051</v>
      </c>
      <c r="B1582" s="1060" t="s">
        <v>23239</v>
      </c>
      <c r="C1582" s="1059" t="s">
        <v>38</v>
      </c>
      <c r="D1582" s="1061">
        <v>39.159999999999997</v>
      </c>
    </row>
    <row r="1583" spans="1:4" ht="9" customHeight="1" x14ac:dyDescent="0.25">
      <c r="A1583" s="1059">
        <v>1106061</v>
      </c>
      <c r="B1583" s="1060" t="s">
        <v>23240</v>
      </c>
      <c r="C1583" s="1059" t="s">
        <v>38</v>
      </c>
      <c r="D1583" s="1061">
        <v>54.58</v>
      </c>
    </row>
    <row r="1584" spans="1:4" ht="9" customHeight="1" x14ac:dyDescent="0.25">
      <c r="A1584" s="1059">
        <v>1106087</v>
      </c>
      <c r="B1584" s="1060" t="s">
        <v>23241</v>
      </c>
      <c r="C1584" s="1059" t="s">
        <v>38</v>
      </c>
      <c r="D1584" s="1061">
        <v>47.3</v>
      </c>
    </row>
    <row r="1585" spans="1:4" ht="18" customHeight="1" x14ac:dyDescent="0.25">
      <c r="A1585" s="1059">
        <v>1107860</v>
      </c>
      <c r="B1585" s="1060" t="s">
        <v>23242</v>
      </c>
      <c r="C1585" s="1059" t="s">
        <v>38</v>
      </c>
      <c r="D1585" s="1061">
        <v>55.9</v>
      </c>
    </row>
    <row r="1586" spans="1:4" ht="9" customHeight="1" x14ac:dyDescent="0.25">
      <c r="A1586" s="1059">
        <v>1106088</v>
      </c>
      <c r="B1586" s="1060" t="s">
        <v>23243</v>
      </c>
      <c r="C1586" s="1059" t="s">
        <v>38</v>
      </c>
      <c r="D1586" s="1061">
        <v>57.68</v>
      </c>
    </row>
    <row r="1587" spans="1:4" ht="9" customHeight="1" x14ac:dyDescent="0.25">
      <c r="A1587" s="1059">
        <v>1106128</v>
      </c>
      <c r="B1587" s="1060" t="s">
        <v>23244</v>
      </c>
      <c r="C1587" s="1059" t="s">
        <v>38</v>
      </c>
      <c r="D1587" s="1061">
        <v>47.76</v>
      </c>
    </row>
    <row r="1588" spans="1:4" ht="9" customHeight="1" x14ac:dyDescent="0.25">
      <c r="A1588" s="1059">
        <v>1108056</v>
      </c>
      <c r="B1588" s="1060" t="s">
        <v>23245</v>
      </c>
      <c r="C1588" s="1059" t="s">
        <v>38</v>
      </c>
      <c r="D1588" s="1061">
        <v>2749.29</v>
      </c>
    </row>
    <row r="1589" spans="1:4" ht="9" customHeight="1" x14ac:dyDescent="0.25">
      <c r="A1589" s="1059">
        <v>1108059</v>
      </c>
      <c r="B1589" s="1060" t="s">
        <v>23246</v>
      </c>
      <c r="C1589" s="1059" t="s">
        <v>38</v>
      </c>
      <c r="D1589" s="1061">
        <v>2823.22</v>
      </c>
    </row>
    <row r="1590" spans="1:4" ht="9" customHeight="1" x14ac:dyDescent="0.25">
      <c r="A1590" s="1059">
        <v>1207700</v>
      </c>
      <c r="B1590" s="1060" t="s">
        <v>23247</v>
      </c>
      <c r="C1590" s="1059" t="s">
        <v>38</v>
      </c>
      <c r="D1590" s="1061">
        <v>552.49</v>
      </c>
    </row>
    <row r="1591" spans="1:4" ht="9" customHeight="1" x14ac:dyDescent="0.25">
      <c r="A1591" s="1059">
        <v>1207701</v>
      </c>
      <c r="B1591" s="1060" t="s">
        <v>23248</v>
      </c>
      <c r="C1591" s="1059" t="s">
        <v>38</v>
      </c>
      <c r="D1591" s="1061">
        <v>586.14</v>
      </c>
    </row>
    <row r="1592" spans="1:4" ht="9" customHeight="1" x14ac:dyDescent="0.25">
      <c r="A1592" s="1059">
        <v>1207702</v>
      </c>
      <c r="B1592" s="1060" t="s">
        <v>23249</v>
      </c>
      <c r="C1592" s="1059" t="s">
        <v>38</v>
      </c>
      <c r="D1592" s="1061">
        <v>623.78</v>
      </c>
    </row>
    <row r="1593" spans="1:4" ht="9" customHeight="1" x14ac:dyDescent="0.25">
      <c r="A1593" s="1059">
        <v>1207708</v>
      </c>
      <c r="B1593" s="1060" t="s">
        <v>23250</v>
      </c>
      <c r="C1593" s="1059" t="s">
        <v>38</v>
      </c>
      <c r="D1593" s="1061">
        <v>561.12</v>
      </c>
    </row>
    <row r="1594" spans="1:4" ht="9" customHeight="1" x14ac:dyDescent="0.25">
      <c r="A1594" s="1059">
        <v>1207703</v>
      </c>
      <c r="B1594" s="1060" t="s">
        <v>23251</v>
      </c>
      <c r="C1594" s="1059" t="s">
        <v>38</v>
      </c>
      <c r="D1594" s="1061">
        <v>712.97</v>
      </c>
    </row>
    <row r="1595" spans="1:4" ht="9" customHeight="1" x14ac:dyDescent="0.25">
      <c r="A1595" s="1059">
        <v>1207709</v>
      </c>
      <c r="B1595" s="1060" t="s">
        <v>23252</v>
      </c>
      <c r="C1595" s="1059" t="s">
        <v>38</v>
      </c>
      <c r="D1595" s="1061">
        <v>642.83000000000004</v>
      </c>
    </row>
    <row r="1596" spans="1:4" ht="9" customHeight="1" x14ac:dyDescent="0.25">
      <c r="A1596" s="1059">
        <v>1207710</v>
      </c>
      <c r="B1596" s="1060" t="s">
        <v>23253</v>
      </c>
      <c r="C1596" s="1059" t="s">
        <v>38</v>
      </c>
      <c r="D1596" s="1061">
        <v>842.62</v>
      </c>
    </row>
    <row r="1597" spans="1:4" ht="9" customHeight="1" x14ac:dyDescent="0.25">
      <c r="A1597" s="1059">
        <v>1207711</v>
      </c>
      <c r="B1597" s="1060" t="s">
        <v>23254</v>
      </c>
      <c r="C1597" s="1059" t="s">
        <v>38</v>
      </c>
      <c r="D1597" s="1061">
        <v>1052.1400000000001</v>
      </c>
    </row>
    <row r="1598" spans="1:4" ht="9" customHeight="1" x14ac:dyDescent="0.25">
      <c r="A1598" s="1059">
        <v>1207713</v>
      </c>
      <c r="B1598" s="1060" t="s">
        <v>23255</v>
      </c>
      <c r="C1598" s="1059" t="s">
        <v>38</v>
      </c>
      <c r="D1598" s="1061">
        <v>1597.54</v>
      </c>
    </row>
    <row r="1599" spans="1:4" ht="9" customHeight="1" x14ac:dyDescent="0.25">
      <c r="A1599" s="1059">
        <v>1207714</v>
      </c>
      <c r="B1599" s="1060" t="s">
        <v>23256</v>
      </c>
      <c r="C1599" s="1059" t="s">
        <v>38</v>
      </c>
      <c r="D1599" s="1061">
        <v>882.21</v>
      </c>
    </row>
    <row r="1600" spans="1:4" ht="9" customHeight="1" x14ac:dyDescent="0.25">
      <c r="A1600" s="1059">
        <v>1207715</v>
      </c>
      <c r="B1600" s="1060" t="s">
        <v>23257</v>
      </c>
      <c r="C1600" s="1059" t="s">
        <v>38</v>
      </c>
      <c r="D1600" s="1061">
        <v>1100.21</v>
      </c>
    </row>
    <row r="1601" spans="1:4" ht="9" customHeight="1" x14ac:dyDescent="0.25">
      <c r="A1601" s="1059">
        <v>1207717</v>
      </c>
      <c r="B1601" s="1060" t="s">
        <v>23258</v>
      </c>
      <c r="C1601" s="1059" t="s">
        <v>38</v>
      </c>
      <c r="D1601" s="1061">
        <v>1664.84</v>
      </c>
    </row>
    <row r="1602" spans="1:4" ht="9" customHeight="1" x14ac:dyDescent="0.25">
      <c r="A1602" s="1059">
        <v>1207718</v>
      </c>
      <c r="B1602" s="1060" t="s">
        <v>23259</v>
      </c>
      <c r="C1602" s="1059" t="s">
        <v>38</v>
      </c>
      <c r="D1602" s="1061">
        <v>926.49</v>
      </c>
    </row>
    <row r="1603" spans="1:4" ht="9" customHeight="1" x14ac:dyDescent="0.25">
      <c r="A1603" s="1059">
        <v>1207719</v>
      </c>
      <c r="B1603" s="1060" t="s">
        <v>23260</v>
      </c>
      <c r="C1603" s="1059" t="s">
        <v>38</v>
      </c>
      <c r="D1603" s="1061">
        <v>1153.98</v>
      </c>
    </row>
    <row r="1604" spans="1:4" ht="9" customHeight="1" x14ac:dyDescent="0.25">
      <c r="A1604" s="1059">
        <v>1207721</v>
      </c>
      <c r="B1604" s="1060" t="s">
        <v>23261</v>
      </c>
      <c r="C1604" s="1059" t="s">
        <v>38</v>
      </c>
      <c r="D1604" s="1061">
        <v>1740.12</v>
      </c>
    </row>
    <row r="1605" spans="1:4" ht="9" customHeight="1" x14ac:dyDescent="0.25">
      <c r="A1605" s="1059">
        <v>1207722</v>
      </c>
      <c r="B1605" s="1060" t="s">
        <v>23262</v>
      </c>
      <c r="C1605" s="1059" t="s">
        <v>38</v>
      </c>
      <c r="D1605" s="1061">
        <v>1031.42</v>
      </c>
    </row>
    <row r="1606" spans="1:4" ht="9" customHeight="1" x14ac:dyDescent="0.25">
      <c r="A1606" s="1059">
        <v>1207723</v>
      </c>
      <c r="B1606" s="1060" t="s">
        <v>23263</v>
      </c>
      <c r="C1606" s="1059" t="s">
        <v>38</v>
      </c>
      <c r="D1606" s="1061">
        <v>1281.3900000000001</v>
      </c>
    </row>
    <row r="1607" spans="1:4" ht="9" customHeight="1" x14ac:dyDescent="0.25">
      <c r="A1607" s="1059">
        <v>1207725</v>
      </c>
      <c r="B1607" s="1060" t="s">
        <v>23264</v>
      </c>
      <c r="C1607" s="1059" t="s">
        <v>38</v>
      </c>
      <c r="D1607" s="1061">
        <v>1918.5</v>
      </c>
    </row>
    <row r="1608" spans="1:4" ht="9" customHeight="1" x14ac:dyDescent="0.25">
      <c r="A1608" s="1059">
        <v>1207728</v>
      </c>
      <c r="B1608" s="1060" t="s">
        <v>23265</v>
      </c>
      <c r="C1608" s="1059" t="s">
        <v>38</v>
      </c>
      <c r="D1608" s="1061">
        <v>853.98</v>
      </c>
    </row>
    <row r="1609" spans="1:4" ht="9" customHeight="1" x14ac:dyDescent="0.25">
      <c r="A1609" s="1059">
        <v>1207727</v>
      </c>
      <c r="B1609" s="1060" t="s">
        <v>23266</v>
      </c>
      <c r="C1609" s="1059" t="s">
        <v>38</v>
      </c>
      <c r="D1609" s="1061">
        <v>831.39</v>
      </c>
    </row>
    <row r="1610" spans="1:4" ht="9" customHeight="1" x14ac:dyDescent="0.25">
      <c r="A1610" s="1059">
        <v>1207726</v>
      </c>
      <c r="B1610" s="1060" t="s">
        <v>23267</v>
      </c>
      <c r="C1610" s="1059" t="s">
        <v>38</v>
      </c>
      <c r="D1610" s="1061">
        <v>813.33</v>
      </c>
    </row>
    <row r="1611" spans="1:4" ht="9" customHeight="1" x14ac:dyDescent="0.25">
      <c r="A1611" s="1059">
        <v>1208329</v>
      </c>
      <c r="B1611" s="1060" t="s">
        <v>23268</v>
      </c>
      <c r="C1611" s="1059" t="s">
        <v>38</v>
      </c>
      <c r="D1611" s="1061">
        <v>792.53</v>
      </c>
    </row>
    <row r="1612" spans="1:4" ht="9" customHeight="1" x14ac:dyDescent="0.25">
      <c r="A1612" s="1059">
        <v>1207685</v>
      </c>
      <c r="B1612" s="1060" t="s">
        <v>23269</v>
      </c>
      <c r="C1612" s="1059" t="s">
        <v>38</v>
      </c>
      <c r="D1612" s="1061">
        <v>900.98</v>
      </c>
    </row>
    <row r="1613" spans="1:4" ht="9" customHeight="1" x14ac:dyDescent="0.25">
      <c r="A1613" s="1059">
        <v>1207684</v>
      </c>
      <c r="B1613" s="1060" t="s">
        <v>23270</v>
      </c>
      <c r="C1613" s="1059" t="s">
        <v>38</v>
      </c>
      <c r="D1613" s="1061">
        <v>871.14</v>
      </c>
    </row>
    <row r="1614" spans="1:4" ht="9" customHeight="1" x14ac:dyDescent="0.25">
      <c r="A1614" s="1059">
        <v>1207683</v>
      </c>
      <c r="B1614" s="1060" t="s">
        <v>23271</v>
      </c>
      <c r="C1614" s="1059" t="s">
        <v>38</v>
      </c>
      <c r="D1614" s="1061">
        <v>848.4</v>
      </c>
    </row>
    <row r="1615" spans="1:4" ht="9" customHeight="1" x14ac:dyDescent="0.25">
      <c r="A1615" s="1059">
        <v>1208337</v>
      </c>
      <c r="B1615" s="1060" t="s">
        <v>23272</v>
      </c>
      <c r="C1615" s="1059" t="s">
        <v>38</v>
      </c>
      <c r="D1615" s="1061">
        <v>824.22</v>
      </c>
    </row>
    <row r="1616" spans="1:4" ht="9" customHeight="1" x14ac:dyDescent="0.25">
      <c r="A1616" s="1059">
        <v>1207691</v>
      </c>
      <c r="B1616" s="1060" t="s">
        <v>23273</v>
      </c>
      <c r="C1616" s="1059" t="s">
        <v>38</v>
      </c>
      <c r="D1616" s="1061">
        <v>958.16</v>
      </c>
    </row>
    <row r="1617" spans="1:4" ht="9" customHeight="1" x14ac:dyDescent="0.25">
      <c r="A1617" s="1059">
        <v>1207690</v>
      </c>
      <c r="B1617" s="1060" t="s">
        <v>23274</v>
      </c>
      <c r="C1617" s="1059" t="s">
        <v>38</v>
      </c>
      <c r="D1617" s="1061">
        <v>917.53</v>
      </c>
    </row>
    <row r="1618" spans="1:4" ht="9" customHeight="1" x14ac:dyDescent="0.25">
      <c r="A1618" s="1059">
        <v>1207689</v>
      </c>
      <c r="B1618" s="1060" t="s">
        <v>23275</v>
      </c>
      <c r="C1618" s="1059" t="s">
        <v>38</v>
      </c>
      <c r="D1618" s="1061">
        <v>883.36</v>
      </c>
    </row>
    <row r="1619" spans="1:4" ht="9" customHeight="1" x14ac:dyDescent="0.25">
      <c r="A1619" s="1059">
        <v>1208345</v>
      </c>
      <c r="B1619" s="1060" t="s">
        <v>23276</v>
      </c>
      <c r="C1619" s="1059" t="s">
        <v>38</v>
      </c>
      <c r="D1619" s="1061">
        <v>855.2</v>
      </c>
    </row>
    <row r="1620" spans="1:4" ht="9" customHeight="1" x14ac:dyDescent="0.25">
      <c r="A1620" s="1059">
        <v>1207697</v>
      </c>
      <c r="B1620" s="1060" t="s">
        <v>23277</v>
      </c>
      <c r="C1620" s="1059" t="s">
        <v>38</v>
      </c>
      <c r="D1620" s="1061">
        <v>1031</v>
      </c>
    </row>
    <row r="1621" spans="1:4" ht="9" customHeight="1" x14ac:dyDescent="0.25">
      <c r="A1621" s="1059">
        <v>1207696</v>
      </c>
      <c r="B1621" s="1060" t="s">
        <v>23278</v>
      </c>
      <c r="C1621" s="1059" t="s">
        <v>38</v>
      </c>
      <c r="D1621" s="1061">
        <v>972.93</v>
      </c>
    </row>
    <row r="1622" spans="1:4" ht="9" customHeight="1" x14ac:dyDescent="0.25">
      <c r="A1622" s="1059">
        <v>1207695</v>
      </c>
      <c r="B1622" s="1060" t="s">
        <v>23279</v>
      </c>
      <c r="C1622" s="1059" t="s">
        <v>38</v>
      </c>
      <c r="D1622" s="1061">
        <v>933.43</v>
      </c>
    </row>
    <row r="1623" spans="1:4" ht="9" customHeight="1" x14ac:dyDescent="0.25">
      <c r="A1623" s="1059">
        <v>1208353</v>
      </c>
      <c r="B1623" s="1060" t="s">
        <v>23280</v>
      </c>
      <c r="C1623" s="1059" t="s">
        <v>38</v>
      </c>
      <c r="D1623" s="1061">
        <v>893.71</v>
      </c>
    </row>
    <row r="1624" spans="1:4" ht="9" customHeight="1" x14ac:dyDescent="0.25">
      <c r="A1624" s="1059">
        <v>1207663</v>
      </c>
      <c r="B1624" s="1060" t="s">
        <v>23281</v>
      </c>
      <c r="C1624" s="1059" t="s">
        <v>38</v>
      </c>
      <c r="D1624" s="1061">
        <v>1106.32</v>
      </c>
    </row>
    <row r="1625" spans="1:4" ht="9" customHeight="1" x14ac:dyDescent="0.25">
      <c r="A1625" s="1059">
        <v>1207662</v>
      </c>
      <c r="B1625" s="1060" t="s">
        <v>23282</v>
      </c>
      <c r="C1625" s="1059" t="s">
        <v>38</v>
      </c>
      <c r="D1625" s="1061">
        <v>1078.31</v>
      </c>
    </row>
    <row r="1626" spans="1:4" ht="9" customHeight="1" x14ac:dyDescent="0.25">
      <c r="A1626" s="1059">
        <v>1207661</v>
      </c>
      <c r="B1626" s="1060" t="s">
        <v>23283</v>
      </c>
      <c r="C1626" s="1059" t="s">
        <v>38</v>
      </c>
      <c r="D1626" s="1061">
        <v>1055.9000000000001</v>
      </c>
    </row>
    <row r="1627" spans="1:4" ht="9" customHeight="1" x14ac:dyDescent="0.25">
      <c r="A1627" s="1059">
        <v>1208361</v>
      </c>
      <c r="B1627" s="1060" t="s">
        <v>23284</v>
      </c>
      <c r="C1627" s="1059" t="s">
        <v>38</v>
      </c>
      <c r="D1627" s="1061">
        <v>1022.28</v>
      </c>
    </row>
    <row r="1628" spans="1:4" ht="9" customHeight="1" x14ac:dyDescent="0.25">
      <c r="A1628" s="1059">
        <v>1207669</v>
      </c>
      <c r="B1628" s="1060" t="s">
        <v>23285</v>
      </c>
      <c r="C1628" s="1059" t="s">
        <v>38</v>
      </c>
      <c r="D1628" s="1061">
        <v>1231.4000000000001</v>
      </c>
    </row>
    <row r="1629" spans="1:4" ht="9" customHeight="1" x14ac:dyDescent="0.25">
      <c r="A1629" s="1059">
        <v>1207668</v>
      </c>
      <c r="B1629" s="1060" t="s">
        <v>23286</v>
      </c>
      <c r="C1629" s="1059" t="s">
        <v>38</v>
      </c>
      <c r="D1629" s="1061">
        <v>1196.6300000000001</v>
      </c>
    </row>
    <row r="1630" spans="1:4" ht="9" customHeight="1" x14ac:dyDescent="0.25">
      <c r="A1630" s="1059">
        <v>1207667</v>
      </c>
      <c r="B1630" s="1060" t="s">
        <v>23287</v>
      </c>
      <c r="C1630" s="1059" t="s">
        <v>38</v>
      </c>
      <c r="D1630" s="1061">
        <v>1144.47</v>
      </c>
    </row>
    <row r="1631" spans="1:4" ht="9" customHeight="1" x14ac:dyDescent="0.25">
      <c r="A1631" s="1059">
        <v>1208369</v>
      </c>
      <c r="B1631" s="1060" t="s">
        <v>23288</v>
      </c>
      <c r="C1631" s="1059" t="s">
        <v>38</v>
      </c>
      <c r="D1631" s="1061">
        <v>1092.31</v>
      </c>
    </row>
    <row r="1632" spans="1:4" ht="9" customHeight="1" x14ac:dyDescent="0.25">
      <c r="A1632" s="1059">
        <v>1207682</v>
      </c>
      <c r="B1632" s="1060" t="s">
        <v>23289</v>
      </c>
      <c r="C1632" s="1059" t="s">
        <v>38</v>
      </c>
      <c r="D1632" s="1061">
        <v>950.11</v>
      </c>
    </row>
    <row r="1633" spans="1:4" ht="9" customHeight="1" x14ac:dyDescent="0.25">
      <c r="A1633" s="1059">
        <v>1207681</v>
      </c>
      <c r="B1633" s="1060" t="s">
        <v>23290</v>
      </c>
      <c r="C1633" s="1059" t="s">
        <v>38</v>
      </c>
      <c r="D1633" s="1061">
        <v>927.52</v>
      </c>
    </row>
    <row r="1634" spans="1:4" ht="9" customHeight="1" x14ac:dyDescent="0.25">
      <c r="A1634" s="1059">
        <v>1207729</v>
      </c>
      <c r="B1634" s="1060" t="s">
        <v>23291</v>
      </c>
      <c r="C1634" s="1059" t="s">
        <v>38</v>
      </c>
      <c r="D1634" s="1061">
        <v>909.46</v>
      </c>
    </row>
    <row r="1635" spans="1:4" ht="9" customHeight="1" x14ac:dyDescent="0.25">
      <c r="A1635" s="1059">
        <v>1208333</v>
      </c>
      <c r="B1635" s="1060" t="s">
        <v>23292</v>
      </c>
      <c r="C1635" s="1059" t="s">
        <v>38</v>
      </c>
      <c r="D1635" s="1061">
        <v>888.66</v>
      </c>
    </row>
    <row r="1636" spans="1:4" ht="9" customHeight="1" x14ac:dyDescent="0.25">
      <c r="A1636" s="1059">
        <v>1207688</v>
      </c>
      <c r="B1636" s="1060" t="s">
        <v>23293</v>
      </c>
      <c r="C1636" s="1059" t="s">
        <v>38</v>
      </c>
      <c r="D1636" s="1061">
        <v>1000.02</v>
      </c>
    </row>
    <row r="1637" spans="1:4" ht="9" customHeight="1" x14ac:dyDescent="0.25">
      <c r="A1637" s="1059">
        <v>1207687</v>
      </c>
      <c r="B1637" s="1060" t="s">
        <v>23294</v>
      </c>
      <c r="C1637" s="1059" t="s">
        <v>38</v>
      </c>
      <c r="D1637" s="1061">
        <v>970.18</v>
      </c>
    </row>
    <row r="1638" spans="1:4" ht="9" customHeight="1" x14ac:dyDescent="0.25">
      <c r="A1638" s="1059">
        <v>1207686</v>
      </c>
      <c r="B1638" s="1060" t="s">
        <v>23295</v>
      </c>
      <c r="C1638" s="1059" t="s">
        <v>38</v>
      </c>
      <c r="D1638" s="1061">
        <v>947.44</v>
      </c>
    </row>
    <row r="1639" spans="1:4" ht="9" customHeight="1" x14ac:dyDescent="0.25">
      <c r="A1639" s="1059">
        <v>1208341</v>
      </c>
      <c r="B1639" s="1060" t="s">
        <v>23296</v>
      </c>
      <c r="C1639" s="1059" t="s">
        <v>38</v>
      </c>
      <c r="D1639" s="1061">
        <v>923.26</v>
      </c>
    </row>
    <row r="1640" spans="1:4" ht="9" customHeight="1" x14ac:dyDescent="0.25">
      <c r="A1640" s="1059">
        <v>1207694</v>
      </c>
      <c r="B1640" s="1060" t="s">
        <v>23297</v>
      </c>
      <c r="C1640" s="1059" t="s">
        <v>38</v>
      </c>
      <c r="D1640" s="1061">
        <v>1060.29</v>
      </c>
    </row>
    <row r="1641" spans="1:4" ht="9" customHeight="1" x14ac:dyDescent="0.25">
      <c r="A1641" s="1059">
        <v>1207693</v>
      </c>
      <c r="B1641" s="1060" t="s">
        <v>23298</v>
      </c>
      <c r="C1641" s="1059" t="s">
        <v>38</v>
      </c>
      <c r="D1641" s="1061">
        <v>1019.66</v>
      </c>
    </row>
    <row r="1642" spans="1:4" ht="9" customHeight="1" x14ac:dyDescent="0.25">
      <c r="A1642" s="1059">
        <v>1207692</v>
      </c>
      <c r="B1642" s="1060" t="s">
        <v>23299</v>
      </c>
      <c r="C1642" s="1059" t="s">
        <v>38</v>
      </c>
      <c r="D1642" s="1061">
        <v>985.5</v>
      </c>
    </row>
    <row r="1643" spans="1:4" ht="9" customHeight="1" x14ac:dyDescent="0.25">
      <c r="A1643" s="1059">
        <v>1208349</v>
      </c>
      <c r="B1643" s="1060" t="s">
        <v>23300</v>
      </c>
      <c r="C1643" s="1059" t="s">
        <v>38</v>
      </c>
      <c r="D1643" s="1061">
        <v>957.34</v>
      </c>
    </row>
    <row r="1644" spans="1:4" ht="9" customHeight="1" x14ac:dyDescent="0.25">
      <c r="A1644" s="1059">
        <v>1207660</v>
      </c>
      <c r="B1644" s="1060" t="s">
        <v>23301</v>
      </c>
      <c r="C1644" s="1059" t="s">
        <v>38</v>
      </c>
      <c r="D1644" s="1061">
        <v>1136.44</v>
      </c>
    </row>
    <row r="1645" spans="1:4" ht="9" customHeight="1" x14ac:dyDescent="0.25">
      <c r="A1645" s="1059">
        <v>1207699</v>
      </c>
      <c r="B1645" s="1060" t="s">
        <v>23302</v>
      </c>
      <c r="C1645" s="1059" t="s">
        <v>38</v>
      </c>
      <c r="D1645" s="1061">
        <v>1078.3599999999999</v>
      </c>
    </row>
    <row r="1646" spans="1:4" ht="9" customHeight="1" x14ac:dyDescent="0.25">
      <c r="A1646" s="1059">
        <v>1207698</v>
      </c>
      <c r="B1646" s="1060" t="s">
        <v>23303</v>
      </c>
      <c r="C1646" s="1059" t="s">
        <v>38</v>
      </c>
      <c r="D1646" s="1061">
        <v>1038.8599999999999</v>
      </c>
    </row>
    <row r="1647" spans="1:4" ht="9" customHeight="1" x14ac:dyDescent="0.25">
      <c r="A1647" s="1059">
        <v>1208357</v>
      </c>
      <c r="B1647" s="1060" t="s">
        <v>23304</v>
      </c>
      <c r="C1647" s="1059" t="s">
        <v>38</v>
      </c>
      <c r="D1647" s="1061">
        <v>999.14</v>
      </c>
    </row>
    <row r="1648" spans="1:4" ht="9" customHeight="1" x14ac:dyDescent="0.25">
      <c r="A1648" s="1059">
        <v>1207666</v>
      </c>
      <c r="B1648" s="1060" t="s">
        <v>23305</v>
      </c>
      <c r="C1648" s="1059" t="s">
        <v>38</v>
      </c>
      <c r="D1648" s="1061">
        <v>1215.27</v>
      </c>
    </row>
    <row r="1649" spans="1:4" ht="9" customHeight="1" x14ac:dyDescent="0.25">
      <c r="A1649" s="1059">
        <v>1207665</v>
      </c>
      <c r="B1649" s="1060" t="s">
        <v>23306</v>
      </c>
      <c r="C1649" s="1059" t="s">
        <v>38</v>
      </c>
      <c r="D1649" s="1061">
        <v>1187.25</v>
      </c>
    </row>
    <row r="1650" spans="1:4" ht="9" customHeight="1" x14ac:dyDescent="0.25">
      <c r="A1650" s="1059">
        <v>1207664</v>
      </c>
      <c r="B1650" s="1060" t="s">
        <v>23307</v>
      </c>
      <c r="C1650" s="1059" t="s">
        <v>38</v>
      </c>
      <c r="D1650" s="1061">
        <v>1164.8399999999999</v>
      </c>
    </row>
    <row r="1651" spans="1:4" ht="9" customHeight="1" x14ac:dyDescent="0.25">
      <c r="A1651" s="1059">
        <v>1208365</v>
      </c>
      <c r="B1651" s="1060" t="s">
        <v>23308</v>
      </c>
      <c r="C1651" s="1059" t="s">
        <v>38</v>
      </c>
      <c r="D1651" s="1061">
        <v>1131.23</v>
      </c>
    </row>
    <row r="1652" spans="1:4" ht="9" customHeight="1" x14ac:dyDescent="0.25">
      <c r="A1652" s="1059">
        <v>1207672</v>
      </c>
      <c r="B1652" s="1060" t="s">
        <v>23309</v>
      </c>
      <c r="C1652" s="1059" t="s">
        <v>38</v>
      </c>
      <c r="D1652" s="1061">
        <v>1344.11</v>
      </c>
    </row>
    <row r="1653" spans="1:4" ht="9" customHeight="1" x14ac:dyDescent="0.25">
      <c r="A1653" s="1059">
        <v>1207671</v>
      </c>
      <c r="B1653" s="1060" t="s">
        <v>23310</v>
      </c>
      <c r="C1653" s="1059" t="s">
        <v>38</v>
      </c>
      <c r="D1653" s="1061">
        <v>1309.33</v>
      </c>
    </row>
    <row r="1654" spans="1:4" ht="9" customHeight="1" x14ac:dyDescent="0.25">
      <c r="A1654" s="1059">
        <v>1207670</v>
      </c>
      <c r="B1654" s="1060" t="s">
        <v>23311</v>
      </c>
      <c r="C1654" s="1059" t="s">
        <v>38</v>
      </c>
      <c r="D1654" s="1061">
        <v>1257.17</v>
      </c>
    </row>
    <row r="1655" spans="1:4" ht="9" customHeight="1" x14ac:dyDescent="0.25">
      <c r="A1655" s="1059">
        <v>1208373</v>
      </c>
      <c r="B1655" s="1060" t="s">
        <v>23312</v>
      </c>
      <c r="C1655" s="1059" t="s">
        <v>38</v>
      </c>
      <c r="D1655" s="1061">
        <v>1205.01</v>
      </c>
    </row>
    <row r="1656" spans="1:4" ht="9" customHeight="1" x14ac:dyDescent="0.25">
      <c r="A1656" s="1059">
        <v>1400976</v>
      </c>
      <c r="B1656" s="1060" t="s">
        <v>23313</v>
      </c>
      <c r="C1656" s="1059" t="s">
        <v>2</v>
      </c>
      <c r="D1656" s="1061">
        <v>4.1500000000000004</v>
      </c>
    </row>
    <row r="1657" spans="1:4" ht="9" customHeight="1" x14ac:dyDescent="0.25">
      <c r="A1657" s="1059">
        <v>1400970</v>
      </c>
      <c r="B1657" s="1060" t="s">
        <v>23314</v>
      </c>
      <c r="C1657" s="1059" t="s">
        <v>2</v>
      </c>
      <c r="D1657" s="1061">
        <v>2.17</v>
      </c>
    </row>
    <row r="1658" spans="1:4" ht="9" customHeight="1" x14ac:dyDescent="0.25">
      <c r="A1658" s="1059">
        <v>1400971</v>
      </c>
      <c r="B1658" s="1060" t="s">
        <v>23315</v>
      </c>
      <c r="C1658" s="1059" t="s">
        <v>2</v>
      </c>
      <c r="D1658" s="1061">
        <v>9.49</v>
      </c>
    </row>
    <row r="1659" spans="1:4" ht="9" customHeight="1" x14ac:dyDescent="0.25">
      <c r="A1659" s="1059">
        <v>1400972</v>
      </c>
      <c r="B1659" s="1060" t="s">
        <v>23316</v>
      </c>
      <c r="C1659" s="1059" t="s">
        <v>2</v>
      </c>
      <c r="D1659" s="1061">
        <v>1.76</v>
      </c>
    </row>
    <row r="1660" spans="1:4" ht="9" customHeight="1" x14ac:dyDescent="0.25">
      <c r="A1660" s="1059">
        <v>1416201</v>
      </c>
      <c r="B1660" s="1060" t="s">
        <v>23317</v>
      </c>
      <c r="C1660" s="1059" t="s">
        <v>23318</v>
      </c>
      <c r="D1660" s="1061">
        <v>0.19</v>
      </c>
    </row>
    <row r="1661" spans="1:4" ht="9" customHeight="1" x14ac:dyDescent="0.25">
      <c r="A1661" s="1059">
        <v>1400969</v>
      </c>
      <c r="B1661" s="1060" t="s">
        <v>23319</v>
      </c>
      <c r="C1661" s="1059" t="s">
        <v>3</v>
      </c>
      <c r="D1661" s="1061">
        <v>0.12</v>
      </c>
    </row>
    <row r="1662" spans="1:4" ht="9" customHeight="1" x14ac:dyDescent="0.25">
      <c r="A1662" s="1059">
        <v>1400975</v>
      </c>
      <c r="B1662" s="1060" t="s">
        <v>23320</v>
      </c>
      <c r="C1662" s="1059" t="s">
        <v>2</v>
      </c>
      <c r="D1662" s="1061">
        <v>3.2</v>
      </c>
    </row>
    <row r="1663" spans="1:4" ht="9" customHeight="1" x14ac:dyDescent="0.25">
      <c r="A1663" s="1059">
        <v>1416141</v>
      </c>
      <c r="B1663" s="1060" t="s">
        <v>23321</v>
      </c>
      <c r="C1663" s="1059" t="s">
        <v>2</v>
      </c>
      <c r="D1663" s="1061">
        <v>3.11</v>
      </c>
    </row>
    <row r="1664" spans="1:4" ht="9" customHeight="1" x14ac:dyDescent="0.25">
      <c r="A1664" s="1059">
        <v>1416142</v>
      </c>
      <c r="B1664" s="1060" t="s">
        <v>23322</v>
      </c>
      <c r="C1664" s="1059" t="s">
        <v>2</v>
      </c>
      <c r="D1664" s="1061">
        <v>4.74</v>
      </c>
    </row>
    <row r="1665" spans="1:4" ht="9" customHeight="1" x14ac:dyDescent="0.25">
      <c r="A1665" s="1059">
        <v>1400973</v>
      </c>
      <c r="B1665" s="1060" t="s">
        <v>23323</v>
      </c>
      <c r="C1665" s="1059" t="s">
        <v>2</v>
      </c>
      <c r="D1665" s="1061">
        <v>1.39</v>
      </c>
    </row>
    <row r="1666" spans="1:4" ht="9" customHeight="1" x14ac:dyDescent="0.25">
      <c r="A1666" s="1059">
        <v>1400974</v>
      </c>
      <c r="B1666" s="1060" t="s">
        <v>23324</v>
      </c>
      <c r="C1666" s="1059" t="s">
        <v>2</v>
      </c>
      <c r="D1666" s="1061">
        <v>1.61</v>
      </c>
    </row>
    <row r="1667" spans="1:4" ht="9" customHeight="1" x14ac:dyDescent="0.25">
      <c r="A1667" s="1059">
        <v>1416139</v>
      </c>
      <c r="B1667" s="1060" t="s">
        <v>23325</v>
      </c>
      <c r="C1667" s="1059" t="s">
        <v>2</v>
      </c>
      <c r="D1667" s="1061">
        <v>1.78</v>
      </c>
    </row>
    <row r="1668" spans="1:4" ht="9" customHeight="1" x14ac:dyDescent="0.25">
      <c r="A1668" s="1059">
        <v>1416202</v>
      </c>
      <c r="B1668" s="1060" t="s">
        <v>23326</v>
      </c>
      <c r="C1668" s="1059" t="s">
        <v>2</v>
      </c>
      <c r="D1668" s="1061">
        <v>2.0499999999999998</v>
      </c>
    </row>
    <row r="1669" spans="1:4" ht="9" customHeight="1" x14ac:dyDescent="0.25">
      <c r="A1669" s="1059">
        <v>1416140</v>
      </c>
      <c r="B1669" s="1060" t="s">
        <v>23327</v>
      </c>
      <c r="C1669" s="1059" t="s">
        <v>2</v>
      </c>
      <c r="D1669" s="1061">
        <v>2.33</v>
      </c>
    </row>
    <row r="1670" spans="1:4" ht="9" customHeight="1" x14ac:dyDescent="0.25">
      <c r="A1670" s="1059">
        <v>1419543</v>
      </c>
      <c r="B1670" s="1060" t="s">
        <v>23328</v>
      </c>
      <c r="C1670" s="1059" t="s">
        <v>3</v>
      </c>
      <c r="D1670" s="1061">
        <v>0.17</v>
      </c>
    </row>
    <row r="1671" spans="1:4" ht="9" customHeight="1" x14ac:dyDescent="0.25">
      <c r="A1671" s="1059">
        <v>1408173</v>
      </c>
      <c r="B1671" s="1060" t="s">
        <v>23329</v>
      </c>
      <c r="C1671" s="1059" t="s">
        <v>23318</v>
      </c>
      <c r="D1671" s="1061">
        <v>0.05</v>
      </c>
    </row>
    <row r="1672" spans="1:4" ht="9" customHeight="1" x14ac:dyDescent="0.25">
      <c r="A1672" s="1059">
        <v>1407063</v>
      </c>
      <c r="B1672" s="1060" t="s">
        <v>23330</v>
      </c>
      <c r="C1672" s="1059" t="s">
        <v>3</v>
      </c>
      <c r="D1672" s="1061">
        <v>7.24</v>
      </c>
    </row>
    <row r="1673" spans="1:4" ht="9" customHeight="1" x14ac:dyDescent="0.25">
      <c r="A1673" s="1059">
        <v>1407064</v>
      </c>
      <c r="B1673" s="1060" t="s">
        <v>23331</v>
      </c>
      <c r="C1673" s="1059" t="s">
        <v>3</v>
      </c>
      <c r="D1673" s="1061">
        <v>7.49</v>
      </c>
    </row>
    <row r="1674" spans="1:4" ht="9" customHeight="1" x14ac:dyDescent="0.25">
      <c r="A1674" s="1059">
        <v>1407065</v>
      </c>
      <c r="B1674" s="1060" t="s">
        <v>23332</v>
      </c>
      <c r="C1674" s="1059" t="s">
        <v>3</v>
      </c>
      <c r="D1674" s="1061">
        <v>7.67</v>
      </c>
    </row>
    <row r="1675" spans="1:4" ht="9" customHeight="1" x14ac:dyDescent="0.25">
      <c r="A1675" s="1059">
        <v>1407066</v>
      </c>
      <c r="B1675" s="1060" t="s">
        <v>23333</v>
      </c>
      <c r="C1675" s="1059" t="s">
        <v>3</v>
      </c>
      <c r="D1675" s="1061">
        <v>7.54</v>
      </c>
    </row>
    <row r="1676" spans="1:4" ht="9" customHeight="1" x14ac:dyDescent="0.25">
      <c r="A1676" s="1059">
        <v>1400977</v>
      </c>
      <c r="B1676" s="1060" t="s">
        <v>23334</v>
      </c>
      <c r="C1676" s="1059" t="s">
        <v>2</v>
      </c>
      <c r="D1676" s="1061">
        <v>2.5099999999999998</v>
      </c>
    </row>
    <row r="1677" spans="1:4" ht="9" customHeight="1" x14ac:dyDescent="0.25">
      <c r="A1677" s="1059">
        <v>1407067</v>
      </c>
      <c r="B1677" s="1060" t="s">
        <v>23335</v>
      </c>
      <c r="C1677" s="1059" t="s">
        <v>3</v>
      </c>
      <c r="D1677" s="1061">
        <v>2.39</v>
      </c>
    </row>
    <row r="1678" spans="1:4" ht="9" customHeight="1" x14ac:dyDescent="0.25">
      <c r="A1678" s="1059">
        <v>1407068</v>
      </c>
      <c r="B1678" s="1060" t="s">
        <v>23336</v>
      </c>
      <c r="C1678" s="1059" t="s">
        <v>3</v>
      </c>
      <c r="D1678" s="1061">
        <v>2.69</v>
      </c>
    </row>
    <row r="1679" spans="1:4" ht="9" customHeight="1" x14ac:dyDescent="0.25">
      <c r="A1679" s="1059">
        <v>1407069</v>
      </c>
      <c r="B1679" s="1060" t="s">
        <v>23337</v>
      </c>
      <c r="C1679" s="1059" t="s">
        <v>3</v>
      </c>
      <c r="D1679" s="1061">
        <v>2.91</v>
      </c>
    </row>
    <row r="1680" spans="1:4" ht="9" customHeight="1" x14ac:dyDescent="0.25">
      <c r="A1680" s="1059">
        <v>1407070</v>
      </c>
      <c r="B1680" s="1060" t="s">
        <v>23338</v>
      </c>
      <c r="C1680" s="1059" t="s">
        <v>3</v>
      </c>
      <c r="D1680" s="1061">
        <v>2.77</v>
      </c>
    </row>
    <row r="1681" spans="1:4" ht="9" customHeight="1" x14ac:dyDescent="0.25">
      <c r="A1681" s="1059">
        <v>1416257</v>
      </c>
      <c r="B1681" s="1060" t="s">
        <v>23339</v>
      </c>
      <c r="C1681" s="1059" t="s">
        <v>2</v>
      </c>
      <c r="D1681" s="1061">
        <v>226.97</v>
      </c>
    </row>
    <row r="1682" spans="1:4" ht="9" customHeight="1" x14ac:dyDescent="0.25">
      <c r="A1682" s="1059">
        <v>1416253</v>
      </c>
      <c r="B1682" s="1060" t="s">
        <v>23340</v>
      </c>
      <c r="C1682" s="1059" t="s">
        <v>2</v>
      </c>
      <c r="D1682" s="1061">
        <v>506.25</v>
      </c>
    </row>
    <row r="1683" spans="1:4" ht="9" customHeight="1" x14ac:dyDescent="0.25">
      <c r="A1683" s="1059">
        <v>1416254</v>
      </c>
      <c r="B1683" s="1060" t="s">
        <v>23341</v>
      </c>
      <c r="C1683" s="1059" t="s">
        <v>2</v>
      </c>
      <c r="D1683" s="1061">
        <v>45.1</v>
      </c>
    </row>
    <row r="1684" spans="1:4" ht="9" customHeight="1" x14ac:dyDescent="0.25">
      <c r="A1684" s="1059">
        <v>1416255</v>
      </c>
      <c r="B1684" s="1060" t="s">
        <v>23342</v>
      </c>
      <c r="C1684" s="1059" t="s">
        <v>2</v>
      </c>
      <c r="D1684" s="1061">
        <v>78.349999999999994</v>
      </c>
    </row>
    <row r="1685" spans="1:4" ht="9" customHeight="1" x14ac:dyDescent="0.25">
      <c r="A1685" s="1059">
        <v>1416256</v>
      </c>
      <c r="B1685" s="1060" t="s">
        <v>23343</v>
      </c>
      <c r="C1685" s="1059" t="s">
        <v>2</v>
      </c>
      <c r="D1685" s="1061">
        <v>119.65</v>
      </c>
    </row>
    <row r="1686" spans="1:4" ht="9" customHeight="1" x14ac:dyDescent="0.25">
      <c r="A1686" s="1059">
        <v>1408028</v>
      </c>
      <c r="B1686" s="1060" t="s">
        <v>23344</v>
      </c>
      <c r="C1686" s="1059" t="s">
        <v>6</v>
      </c>
      <c r="D1686" s="1061">
        <v>192.76</v>
      </c>
    </row>
    <row r="1687" spans="1:4" ht="9" customHeight="1" x14ac:dyDescent="0.25">
      <c r="A1687" s="1059">
        <v>1408027</v>
      </c>
      <c r="B1687" s="1060" t="s">
        <v>23345</v>
      </c>
      <c r="C1687" s="1059" t="s">
        <v>6</v>
      </c>
      <c r="D1687" s="1061">
        <v>117.96</v>
      </c>
    </row>
    <row r="1688" spans="1:4" ht="9" customHeight="1" x14ac:dyDescent="0.25">
      <c r="A1688" s="1059">
        <v>1400978</v>
      </c>
      <c r="B1688" s="1060" t="s">
        <v>23346</v>
      </c>
      <c r="C1688" s="1059" t="s">
        <v>6</v>
      </c>
      <c r="D1688" s="1061">
        <v>191.77</v>
      </c>
    </row>
    <row r="1689" spans="1:4" ht="9" customHeight="1" x14ac:dyDescent="0.25">
      <c r="A1689" s="1059">
        <v>1513941</v>
      </c>
      <c r="B1689" s="1060" t="s">
        <v>23347</v>
      </c>
      <c r="C1689" s="1059" t="s">
        <v>38</v>
      </c>
      <c r="D1689" s="1061">
        <v>544.82000000000005</v>
      </c>
    </row>
    <row r="1690" spans="1:4" ht="9" customHeight="1" x14ac:dyDescent="0.25">
      <c r="A1690" s="1059">
        <v>1513940</v>
      </c>
      <c r="B1690" s="1060" t="s">
        <v>23348</v>
      </c>
      <c r="C1690" s="1059" t="s">
        <v>38</v>
      </c>
      <c r="D1690" s="1061">
        <v>362.51</v>
      </c>
    </row>
    <row r="1691" spans="1:4" ht="9" customHeight="1" x14ac:dyDescent="0.25">
      <c r="A1691" s="1059">
        <v>1505879</v>
      </c>
      <c r="B1691" s="1060" t="s">
        <v>23349</v>
      </c>
      <c r="C1691" s="1059" t="s">
        <v>38</v>
      </c>
      <c r="D1691" s="1061">
        <v>274.98</v>
      </c>
    </row>
    <row r="1692" spans="1:4" ht="9" customHeight="1" x14ac:dyDescent="0.25">
      <c r="A1692" s="1059">
        <v>1505878</v>
      </c>
      <c r="B1692" s="1060" t="s">
        <v>23350</v>
      </c>
      <c r="C1692" s="1059" t="s">
        <v>38</v>
      </c>
      <c r="D1692" s="1061">
        <v>178.28</v>
      </c>
    </row>
    <row r="1693" spans="1:4" ht="9" customHeight="1" x14ac:dyDescent="0.25">
      <c r="A1693" s="1059">
        <v>1505877</v>
      </c>
      <c r="B1693" s="1060" t="s">
        <v>23351</v>
      </c>
      <c r="C1693" s="1059" t="s">
        <v>38</v>
      </c>
      <c r="D1693" s="1061">
        <v>165.62</v>
      </c>
    </row>
    <row r="1694" spans="1:4" ht="9" customHeight="1" x14ac:dyDescent="0.25">
      <c r="A1694" s="1059">
        <v>1505860</v>
      </c>
      <c r="B1694" s="1060" t="s">
        <v>23352</v>
      </c>
      <c r="C1694" s="1059" t="s">
        <v>38</v>
      </c>
      <c r="D1694" s="1061">
        <v>175.04</v>
      </c>
    </row>
    <row r="1695" spans="1:4" ht="9" customHeight="1" x14ac:dyDescent="0.25">
      <c r="A1695" s="1059">
        <v>1505859</v>
      </c>
      <c r="B1695" s="1060" t="s">
        <v>23353</v>
      </c>
      <c r="C1695" s="1059" t="s">
        <v>38</v>
      </c>
      <c r="D1695" s="1061">
        <v>94.45</v>
      </c>
    </row>
    <row r="1696" spans="1:4" ht="9" customHeight="1" x14ac:dyDescent="0.25">
      <c r="A1696" s="1059">
        <v>1516204</v>
      </c>
      <c r="B1696" s="1060" t="s">
        <v>23354</v>
      </c>
      <c r="C1696" s="1059" t="s">
        <v>3</v>
      </c>
      <c r="D1696" s="1061">
        <v>5.43</v>
      </c>
    </row>
    <row r="1697" spans="1:4" ht="9" customHeight="1" x14ac:dyDescent="0.25">
      <c r="A1697" s="1059">
        <v>1516312</v>
      </c>
      <c r="B1697" s="1060" t="s">
        <v>23355</v>
      </c>
      <c r="C1697" s="1059" t="s">
        <v>39</v>
      </c>
      <c r="D1697" s="1061">
        <v>40.909999999999997</v>
      </c>
    </row>
    <row r="1698" spans="1:4" ht="9" customHeight="1" x14ac:dyDescent="0.25">
      <c r="A1698" s="1059">
        <v>1516304</v>
      </c>
      <c r="B1698" s="1060" t="s">
        <v>23356</v>
      </c>
      <c r="C1698" s="1059" t="s">
        <v>39</v>
      </c>
      <c r="D1698" s="1061">
        <v>51.93</v>
      </c>
    </row>
    <row r="1699" spans="1:4" ht="9" customHeight="1" x14ac:dyDescent="0.25">
      <c r="A1699" s="1059">
        <v>1516308</v>
      </c>
      <c r="B1699" s="1060" t="s">
        <v>23357</v>
      </c>
      <c r="C1699" s="1059" t="s">
        <v>39</v>
      </c>
      <c r="D1699" s="1061">
        <v>43.02</v>
      </c>
    </row>
    <row r="1700" spans="1:4" ht="9" customHeight="1" x14ac:dyDescent="0.25">
      <c r="A1700" s="1059">
        <v>1516313</v>
      </c>
      <c r="B1700" s="1060" t="s">
        <v>23358</v>
      </c>
      <c r="C1700" s="1059" t="s">
        <v>39</v>
      </c>
      <c r="D1700" s="1061">
        <v>48.73</v>
      </c>
    </row>
    <row r="1701" spans="1:4" ht="9" customHeight="1" x14ac:dyDescent="0.25">
      <c r="A1701" s="1059">
        <v>1516305</v>
      </c>
      <c r="B1701" s="1060" t="s">
        <v>23359</v>
      </c>
      <c r="C1701" s="1059" t="s">
        <v>39</v>
      </c>
      <c r="D1701" s="1061">
        <v>62.4</v>
      </c>
    </row>
    <row r="1702" spans="1:4" ht="9" customHeight="1" x14ac:dyDescent="0.25">
      <c r="A1702" s="1059">
        <v>1516309</v>
      </c>
      <c r="B1702" s="1060" t="s">
        <v>23360</v>
      </c>
      <c r="C1702" s="1059" t="s">
        <v>39</v>
      </c>
      <c r="D1702" s="1061">
        <v>51.21</v>
      </c>
    </row>
    <row r="1703" spans="1:4" ht="9" customHeight="1" x14ac:dyDescent="0.25">
      <c r="A1703" s="1059">
        <v>1516314</v>
      </c>
      <c r="B1703" s="1060" t="s">
        <v>23361</v>
      </c>
      <c r="C1703" s="1059" t="s">
        <v>39</v>
      </c>
      <c r="D1703" s="1061">
        <v>56.53</v>
      </c>
    </row>
    <row r="1704" spans="1:4" ht="9" customHeight="1" x14ac:dyDescent="0.25">
      <c r="A1704" s="1059">
        <v>1516306</v>
      </c>
      <c r="B1704" s="1060" t="s">
        <v>23362</v>
      </c>
      <c r="C1704" s="1059" t="s">
        <v>39</v>
      </c>
      <c r="D1704" s="1061">
        <v>72.92</v>
      </c>
    </row>
    <row r="1705" spans="1:4" ht="9" customHeight="1" x14ac:dyDescent="0.25">
      <c r="A1705" s="1059">
        <v>1516310</v>
      </c>
      <c r="B1705" s="1060" t="s">
        <v>23363</v>
      </c>
      <c r="C1705" s="1059" t="s">
        <v>39</v>
      </c>
      <c r="D1705" s="1061">
        <v>59.58</v>
      </c>
    </row>
    <row r="1706" spans="1:4" ht="9" customHeight="1" x14ac:dyDescent="0.25">
      <c r="A1706" s="1059">
        <v>1516311</v>
      </c>
      <c r="B1706" s="1060" t="s">
        <v>23364</v>
      </c>
      <c r="C1706" s="1059" t="s">
        <v>39</v>
      </c>
      <c r="D1706" s="1061">
        <v>31.43</v>
      </c>
    </row>
    <row r="1707" spans="1:4" ht="9" customHeight="1" x14ac:dyDescent="0.25">
      <c r="A1707" s="1059">
        <v>1516303</v>
      </c>
      <c r="B1707" s="1060" t="s">
        <v>23365</v>
      </c>
      <c r="C1707" s="1059" t="s">
        <v>39</v>
      </c>
      <c r="D1707" s="1061">
        <v>41.54</v>
      </c>
    </row>
    <row r="1708" spans="1:4" ht="9" customHeight="1" x14ac:dyDescent="0.25">
      <c r="A1708" s="1059">
        <v>1516307</v>
      </c>
      <c r="B1708" s="1060" t="s">
        <v>23366</v>
      </c>
      <c r="C1708" s="1059" t="s">
        <v>39</v>
      </c>
      <c r="D1708" s="1061">
        <v>34.5</v>
      </c>
    </row>
    <row r="1709" spans="1:4" ht="9" customHeight="1" x14ac:dyDescent="0.25">
      <c r="A1709" s="1059">
        <v>1516298</v>
      </c>
      <c r="B1709" s="1060" t="s">
        <v>23367</v>
      </c>
      <c r="C1709" s="1059" t="s">
        <v>39</v>
      </c>
      <c r="D1709" s="1061">
        <v>28.14</v>
      </c>
    </row>
    <row r="1710" spans="1:4" ht="9" customHeight="1" x14ac:dyDescent="0.25">
      <c r="A1710" s="1059">
        <v>1516299</v>
      </c>
      <c r="B1710" s="1060" t="s">
        <v>23368</v>
      </c>
      <c r="C1710" s="1059" t="s">
        <v>39</v>
      </c>
      <c r="D1710" s="1061">
        <v>30.67</v>
      </c>
    </row>
    <row r="1711" spans="1:4" ht="9" customHeight="1" x14ac:dyDescent="0.25">
      <c r="A1711" s="1059">
        <v>1516300</v>
      </c>
      <c r="B1711" s="1060" t="s">
        <v>23369</v>
      </c>
      <c r="C1711" s="1059" t="s">
        <v>39</v>
      </c>
      <c r="D1711" s="1061">
        <v>40.22</v>
      </c>
    </row>
    <row r="1712" spans="1:4" ht="9" customHeight="1" x14ac:dyDescent="0.25">
      <c r="A1712" s="1059">
        <v>1516301</v>
      </c>
      <c r="B1712" s="1060" t="s">
        <v>23370</v>
      </c>
      <c r="C1712" s="1059" t="s">
        <v>39</v>
      </c>
      <c r="D1712" s="1061">
        <v>60.29</v>
      </c>
    </row>
    <row r="1713" spans="1:4" ht="9" customHeight="1" x14ac:dyDescent="0.25">
      <c r="A1713" s="1059">
        <v>1516302</v>
      </c>
      <c r="B1713" s="1060" t="s">
        <v>23371</v>
      </c>
      <c r="C1713" s="1059" t="s">
        <v>39</v>
      </c>
      <c r="D1713" s="1061">
        <v>80.23</v>
      </c>
    </row>
    <row r="1714" spans="1:4" ht="9" customHeight="1" x14ac:dyDescent="0.25">
      <c r="A1714" s="1059">
        <v>1516296</v>
      </c>
      <c r="B1714" s="1060" t="s">
        <v>23372</v>
      </c>
      <c r="C1714" s="1059" t="s">
        <v>39</v>
      </c>
      <c r="D1714" s="1061">
        <v>20.71</v>
      </c>
    </row>
    <row r="1715" spans="1:4" ht="9" customHeight="1" x14ac:dyDescent="0.25">
      <c r="A1715" s="1059">
        <v>1516297</v>
      </c>
      <c r="B1715" s="1060" t="s">
        <v>23373</v>
      </c>
      <c r="C1715" s="1059" t="s">
        <v>39</v>
      </c>
      <c r="D1715" s="1061">
        <v>27.15</v>
      </c>
    </row>
    <row r="1716" spans="1:4" ht="18" customHeight="1" x14ac:dyDescent="0.25">
      <c r="A1716" s="1059">
        <v>1516318</v>
      </c>
      <c r="B1716" s="1060" t="s">
        <v>23374</v>
      </c>
      <c r="C1716" s="1059" t="s">
        <v>39</v>
      </c>
      <c r="D1716" s="1061">
        <v>531.52</v>
      </c>
    </row>
    <row r="1717" spans="1:4" ht="18" customHeight="1" x14ac:dyDescent="0.25">
      <c r="A1717" s="1059">
        <v>1516317</v>
      </c>
      <c r="B1717" s="1060" t="s">
        <v>23375</v>
      </c>
      <c r="C1717" s="1059" t="s">
        <v>39</v>
      </c>
      <c r="D1717" s="1061">
        <v>599.37</v>
      </c>
    </row>
    <row r="1718" spans="1:4" ht="18" customHeight="1" x14ac:dyDescent="0.25">
      <c r="A1718" s="1059">
        <v>1505847</v>
      </c>
      <c r="B1718" s="1060" t="s">
        <v>23376</v>
      </c>
      <c r="C1718" s="1059" t="s">
        <v>39</v>
      </c>
      <c r="D1718" s="1061">
        <v>170.79</v>
      </c>
    </row>
    <row r="1719" spans="1:4" ht="18" customHeight="1" x14ac:dyDescent="0.25">
      <c r="A1719" s="1059">
        <v>1505848</v>
      </c>
      <c r="B1719" s="1060" t="s">
        <v>23377</v>
      </c>
      <c r="C1719" s="1059" t="s">
        <v>39</v>
      </c>
      <c r="D1719" s="1061">
        <v>166.46</v>
      </c>
    </row>
    <row r="1720" spans="1:4" ht="18" customHeight="1" x14ac:dyDescent="0.25">
      <c r="A1720" s="1059">
        <v>1505849</v>
      </c>
      <c r="B1720" s="1060" t="s">
        <v>23378</v>
      </c>
      <c r="C1720" s="1059" t="s">
        <v>39</v>
      </c>
      <c r="D1720" s="1061">
        <v>164.06</v>
      </c>
    </row>
    <row r="1721" spans="1:4" ht="18" customHeight="1" x14ac:dyDescent="0.25">
      <c r="A1721" s="1059">
        <v>1505930</v>
      </c>
      <c r="B1721" s="1060" t="s">
        <v>23379</v>
      </c>
      <c r="C1721" s="1059" t="s">
        <v>39</v>
      </c>
      <c r="D1721" s="1061">
        <v>193.54</v>
      </c>
    </row>
    <row r="1722" spans="1:4" ht="9" customHeight="1" x14ac:dyDescent="0.25">
      <c r="A1722" s="1059">
        <v>1506055</v>
      </c>
      <c r="B1722" s="1060" t="s">
        <v>23380</v>
      </c>
      <c r="C1722" s="1059" t="s">
        <v>38</v>
      </c>
      <c r="D1722" s="1061">
        <v>421.08</v>
      </c>
    </row>
    <row r="1723" spans="1:4" ht="9" customHeight="1" x14ac:dyDescent="0.25">
      <c r="A1723" s="1059">
        <v>1506056</v>
      </c>
      <c r="B1723" s="1060" t="s">
        <v>23381</v>
      </c>
      <c r="C1723" s="1059" t="s">
        <v>38</v>
      </c>
      <c r="D1723" s="1061">
        <v>284.20999999999998</v>
      </c>
    </row>
    <row r="1724" spans="1:4" ht="9" customHeight="1" x14ac:dyDescent="0.25">
      <c r="A1724" s="1059">
        <v>1607751</v>
      </c>
      <c r="B1724" s="1060" t="s">
        <v>23382</v>
      </c>
      <c r="C1724" s="1059" t="s">
        <v>2</v>
      </c>
      <c r="D1724" s="1061">
        <v>6.71</v>
      </c>
    </row>
    <row r="1725" spans="1:4" ht="9" customHeight="1" x14ac:dyDescent="0.25">
      <c r="A1725" s="1059">
        <v>1607752</v>
      </c>
      <c r="B1725" s="1060" t="s">
        <v>23383</v>
      </c>
      <c r="C1725" s="1059" t="s">
        <v>2</v>
      </c>
      <c r="D1725" s="1061">
        <v>8.77</v>
      </c>
    </row>
    <row r="1726" spans="1:4" ht="9" customHeight="1" x14ac:dyDescent="0.25">
      <c r="A1726" s="1059">
        <v>1607753</v>
      </c>
      <c r="B1726" s="1060" t="s">
        <v>23384</v>
      </c>
      <c r="C1726" s="1059" t="s">
        <v>2</v>
      </c>
      <c r="D1726" s="1061">
        <v>12.7</v>
      </c>
    </row>
    <row r="1727" spans="1:4" ht="9" customHeight="1" x14ac:dyDescent="0.25">
      <c r="A1727" s="1059">
        <v>1607750</v>
      </c>
      <c r="B1727" s="1060" t="s">
        <v>23385</v>
      </c>
      <c r="C1727" s="1059" t="s">
        <v>2</v>
      </c>
      <c r="D1727" s="1061">
        <v>5.1100000000000003</v>
      </c>
    </row>
    <row r="1728" spans="1:4" ht="9" customHeight="1" x14ac:dyDescent="0.25">
      <c r="A1728" s="1059">
        <v>1600965</v>
      </c>
      <c r="B1728" s="1060" t="s">
        <v>23386</v>
      </c>
      <c r="C1728" s="1059" t="s">
        <v>38</v>
      </c>
      <c r="D1728" s="1061">
        <v>96.9</v>
      </c>
    </row>
    <row r="1729" spans="1:4" ht="9" customHeight="1" x14ac:dyDescent="0.25">
      <c r="A1729" s="1059">
        <v>1600408</v>
      </c>
      <c r="B1729" s="1060" t="s">
        <v>23387</v>
      </c>
      <c r="C1729" s="1059" t="s">
        <v>39</v>
      </c>
      <c r="D1729" s="1061">
        <v>19.7</v>
      </c>
    </row>
    <row r="1730" spans="1:4" ht="9" customHeight="1" x14ac:dyDescent="0.25">
      <c r="A1730" s="1059">
        <v>1600438</v>
      </c>
      <c r="B1730" s="1060" t="s">
        <v>23388</v>
      </c>
      <c r="C1730" s="1059" t="s">
        <v>38</v>
      </c>
      <c r="D1730" s="1061">
        <v>621.09</v>
      </c>
    </row>
    <row r="1731" spans="1:4" ht="9" customHeight="1" x14ac:dyDescent="0.25">
      <c r="A1731" s="1059">
        <v>1600990</v>
      </c>
      <c r="B1731" s="1060" t="s">
        <v>23389</v>
      </c>
      <c r="C1731" s="1059" t="s">
        <v>38</v>
      </c>
      <c r="D1731" s="1061">
        <v>699.15</v>
      </c>
    </row>
    <row r="1732" spans="1:4" ht="9" customHeight="1" x14ac:dyDescent="0.25">
      <c r="A1732" s="1059">
        <v>1600436</v>
      </c>
      <c r="B1732" s="1060" t="s">
        <v>23390</v>
      </c>
      <c r="C1732" s="1059" t="s">
        <v>38</v>
      </c>
      <c r="D1732" s="1061">
        <v>423.81</v>
      </c>
    </row>
    <row r="1733" spans="1:4" ht="9" customHeight="1" x14ac:dyDescent="0.25">
      <c r="A1733" s="1059">
        <v>1600989</v>
      </c>
      <c r="B1733" s="1060" t="s">
        <v>23391</v>
      </c>
      <c r="C1733" s="1059" t="s">
        <v>38</v>
      </c>
      <c r="D1733" s="1061">
        <v>379.03</v>
      </c>
    </row>
    <row r="1734" spans="1:4" ht="9" customHeight="1" x14ac:dyDescent="0.25">
      <c r="A1734" s="1059">
        <v>1600895</v>
      </c>
      <c r="B1734" s="1060" t="s">
        <v>23392</v>
      </c>
      <c r="C1734" s="1059" t="s">
        <v>39</v>
      </c>
      <c r="D1734" s="1061">
        <v>14.34</v>
      </c>
    </row>
    <row r="1735" spans="1:4" ht="9" customHeight="1" x14ac:dyDescent="0.25">
      <c r="A1735" s="1059">
        <v>1600897</v>
      </c>
      <c r="B1735" s="1060" t="s">
        <v>23393</v>
      </c>
      <c r="C1735" s="1059" t="s">
        <v>39</v>
      </c>
      <c r="D1735" s="1061">
        <v>3.92</v>
      </c>
    </row>
    <row r="1736" spans="1:4" ht="9" customHeight="1" x14ac:dyDescent="0.25">
      <c r="A1736" s="1059">
        <v>1619004</v>
      </c>
      <c r="B1736" s="1060" t="s">
        <v>23394</v>
      </c>
      <c r="C1736" s="1059" t="s">
        <v>38</v>
      </c>
      <c r="D1736" s="1061">
        <v>7.45</v>
      </c>
    </row>
    <row r="1737" spans="1:4" ht="9" customHeight="1" x14ac:dyDescent="0.25">
      <c r="A1737" s="1059">
        <v>1619003</v>
      </c>
      <c r="B1737" s="1060" t="s">
        <v>23395</v>
      </c>
      <c r="C1737" s="1059" t="s">
        <v>38</v>
      </c>
      <c r="D1737" s="1061">
        <v>79.64</v>
      </c>
    </row>
    <row r="1738" spans="1:4" ht="9" customHeight="1" x14ac:dyDescent="0.25">
      <c r="A1738" s="1059">
        <v>1600896</v>
      </c>
      <c r="B1738" s="1060" t="s">
        <v>23396</v>
      </c>
      <c r="C1738" s="1059" t="s">
        <v>39</v>
      </c>
      <c r="D1738" s="1061">
        <v>17.47</v>
      </c>
    </row>
    <row r="1739" spans="1:4" ht="9" customHeight="1" x14ac:dyDescent="0.25">
      <c r="A1739" s="1059">
        <v>1600414</v>
      </c>
      <c r="B1739" s="1060" t="s">
        <v>23397</v>
      </c>
      <c r="C1739" s="1059" t="s">
        <v>39</v>
      </c>
      <c r="D1739" s="1061">
        <v>1.1000000000000001</v>
      </c>
    </row>
    <row r="1740" spans="1:4" ht="9" customHeight="1" x14ac:dyDescent="0.25">
      <c r="A1740" s="1059">
        <v>1608148</v>
      </c>
      <c r="B1740" s="1060" t="s">
        <v>23398</v>
      </c>
      <c r="C1740" s="1059" t="s">
        <v>2</v>
      </c>
      <c r="D1740" s="1061">
        <v>417.17</v>
      </c>
    </row>
    <row r="1741" spans="1:4" ht="9" customHeight="1" x14ac:dyDescent="0.25">
      <c r="A1741" s="1059">
        <v>1608021</v>
      </c>
      <c r="B1741" s="1060" t="s">
        <v>23399</v>
      </c>
      <c r="C1741" s="1059" t="s">
        <v>2</v>
      </c>
      <c r="D1741" s="1061">
        <v>118.71</v>
      </c>
    </row>
    <row r="1742" spans="1:4" ht="9" customHeight="1" x14ac:dyDescent="0.25">
      <c r="A1742" s="1059">
        <v>1608024</v>
      </c>
      <c r="B1742" s="1060" t="s">
        <v>23400</v>
      </c>
      <c r="C1742" s="1059" t="s">
        <v>2</v>
      </c>
      <c r="D1742" s="1061">
        <v>122.48</v>
      </c>
    </row>
    <row r="1743" spans="1:4" ht="9" customHeight="1" x14ac:dyDescent="0.25">
      <c r="A1743" s="1059">
        <v>1608026</v>
      </c>
      <c r="B1743" s="1060" t="s">
        <v>23401</v>
      </c>
      <c r="C1743" s="1059" t="s">
        <v>2</v>
      </c>
      <c r="D1743" s="1061">
        <v>151.72999999999999</v>
      </c>
    </row>
    <row r="1744" spans="1:4" ht="9" customHeight="1" x14ac:dyDescent="0.25">
      <c r="A1744" s="1059">
        <v>1608142</v>
      </c>
      <c r="B1744" s="1060" t="s">
        <v>23402</v>
      </c>
      <c r="C1744" s="1059" t="s">
        <v>2</v>
      </c>
      <c r="D1744" s="1061">
        <v>189.35</v>
      </c>
    </row>
    <row r="1745" spans="1:4" ht="9" customHeight="1" x14ac:dyDescent="0.25">
      <c r="A1745" s="1059">
        <v>1608143</v>
      </c>
      <c r="B1745" s="1060" t="s">
        <v>23403</v>
      </c>
      <c r="C1745" s="1059" t="s">
        <v>2</v>
      </c>
      <c r="D1745" s="1061">
        <v>176.54</v>
      </c>
    </row>
    <row r="1746" spans="1:4" ht="9" customHeight="1" x14ac:dyDescent="0.25">
      <c r="A1746" s="1059">
        <v>1608144</v>
      </c>
      <c r="B1746" s="1060" t="s">
        <v>23404</v>
      </c>
      <c r="C1746" s="1059" t="s">
        <v>2</v>
      </c>
      <c r="D1746" s="1061">
        <v>199.97</v>
      </c>
    </row>
    <row r="1747" spans="1:4" ht="9" customHeight="1" x14ac:dyDescent="0.25">
      <c r="A1747" s="1059">
        <v>1608145</v>
      </c>
      <c r="B1747" s="1060" t="s">
        <v>23405</v>
      </c>
      <c r="C1747" s="1059" t="s">
        <v>2</v>
      </c>
      <c r="D1747" s="1061">
        <v>204.58</v>
      </c>
    </row>
    <row r="1748" spans="1:4" ht="9" customHeight="1" x14ac:dyDescent="0.25">
      <c r="A1748" s="1059">
        <v>1608146</v>
      </c>
      <c r="B1748" s="1060" t="s">
        <v>23406</v>
      </c>
      <c r="C1748" s="1059" t="s">
        <v>2</v>
      </c>
      <c r="D1748" s="1061">
        <v>218.05</v>
      </c>
    </row>
    <row r="1749" spans="1:4" ht="9" customHeight="1" x14ac:dyDescent="0.25">
      <c r="A1749" s="1059">
        <v>1608147</v>
      </c>
      <c r="B1749" s="1060" t="s">
        <v>23407</v>
      </c>
      <c r="C1749" s="1059" t="s">
        <v>2</v>
      </c>
      <c r="D1749" s="1061">
        <v>307.14999999999998</v>
      </c>
    </row>
    <row r="1750" spans="1:4" ht="9" customHeight="1" x14ac:dyDescent="0.25">
      <c r="A1750" s="1059">
        <v>1608019</v>
      </c>
      <c r="B1750" s="1060" t="s">
        <v>23408</v>
      </c>
      <c r="C1750" s="1059" t="s">
        <v>2</v>
      </c>
      <c r="D1750" s="1061">
        <v>18.86</v>
      </c>
    </row>
    <row r="1751" spans="1:4" ht="9" customHeight="1" x14ac:dyDescent="0.25">
      <c r="A1751" s="1059">
        <v>1608020</v>
      </c>
      <c r="B1751" s="1060" t="s">
        <v>23409</v>
      </c>
      <c r="C1751" s="1059" t="s">
        <v>2</v>
      </c>
      <c r="D1751" s="1061">
        <v>24.82</v>
      </c>
    </row>
    <row r="1752" spans="1:4" ht="9" customHeight="1" x14ac:dyDescent="0.25">
      <c r="A1752" s="1059">
        <v>1608025</v>
      </c>
      <c r="B1752" s="1060" t="s">
        <v>23410</v>
      </c>
      <c r="C1752" s="1059" t="s">
        <v>2</v>
      </c>
      <c r="D1752" s="1061">
        <v>30.1</v>
      </c>
    </row>
    <row r="1753" spans="1:4" ht="9" customHeight="1" x14ac:dyDescent="0.25">
      <c r="A1753" s="1059">
        <v>1600400</v>
      </c>
      <c r="B1753" s="1060" t="s">
        <v>23411</v>
      </c>
      <c r="C1753" s="1059" t="s">
        <v>39</v>
      </c>
      <c r="D1753" s="1061">
        <v>5.49</v>
      </c>
    </row>
    <row r="1754" spans="1:4" ht="9" customHeight="1" x14ac:dyDescent="0.25">
      <c r="A1754" s="1059">
        <v>1600412</v>
      </c>
      <c r="B1754" s="1060" t="s">
        <v>23412</v>
      </c>
      <c r="C1754" s="1059" t="s">
        <v>39</v>
      </c>
      <c r="D1754" s="1061">
        <v>4.7300000000000004</v>
      </c>
    </row>
    <row r="1755" spans="1:4" ht="9" customHeight="1" x14ac:dyDescent="0.25">
      <c r="A1755" s="1059">
        <v>1600966</v>
      </c>
      <c r="B1755" s="1060" t="s">
        <v>23413</v>
      </c>
      <c r="C1755" s="1059" t="s">
        <v>2</v>
      </c>
      <c r="D1755" s="1061">
        <v>0.81</v>
      </c>
    </row>
    <row r="1756" spans="1:4" ht="9" customHeight="1" x14ac:dyDescent="0.25">
      <c r="A1756" s="1059">
        <v>1600898</v>
      </c>
      <c r="B1756" s="1060" t="s">
        <v>23414</v>
      </c>
      <c r="C1756" s="1059" t="s">
        <v>39</v>
      </c>
      <c r="D1756" s="1061">
        <v>12.75</v>
      </c>
    </row>
    <row r="1757" spans="1:4" ht="9" customHeight="1" x14ac:dyDescent="0.25">
      <c r="A1757" s="1059">
        <v>1600441</v>
      </c>
      <c r="B1757" s="1060" t="s">
        <v>23415</v>
      </c>
      <c r="C1757" s="1059" t="s">
        <v>39</v>
      </c>
      <c r="D1757" s="1061">
        <v>4.2699999999999996</v>
      </c>
    </row>
    <row r="1758" spans="1:4" ht="9" customHeight="1" x14ac:dyDescent="0.25">
      <c r="A1758" s="1059">
        <v>1600404</v>
      </c>
      <c r="B1758" s="1060" t="s">
        <v>23416</v>
      </c>
      <c r="C1758" s="1059" t="s">
        <v>2</v>
      </c>
      <c r="D1758" s="1061">
        <v>10.42</v>
      </c>
    </row>
    <row r="1759" spans="1:4" ht="9" customHeight="1" x14ac:dyDescent="0.25">
      <c r="A1759" s="1059">
        <v>1600405</v>
      </c>
      <c r="B1759" s="1060" t="s">
        <v>23417</v>
      </c>
      <c r="C1759" s="1059" t="s">
        <v>2</v>
      </c>
      <c r="D1759" s="1061">
        <v>11.6</v>
      </c>
    </row>
    <row r="1760" spans="1:4" ht="18" customHeight="1" x14ac:dyDescent="0.25">
      <c r="A1760" s="1059">
        <v>1716605</v>
      </c>
      <c r="B1760" s="1060" t="s">
        <v>23418</v>
      </c>
      <c r="C1760" s="1059" t="s">
        <v>38</v>
      </c>
      <c r="D1760" s="1061">
        <v>118.37</v>
      </c>
    </row>
    <row r="1761" spans="1:4" ht="18" customHeight="1" x14ac:dyDescent="0.25">
      <c r="A1761" s="1059">
        <v>1716610</v>
      </c>
      <c r="B1761" s="1060" t="s">
        <v>23419</v>
      </c>
      <c r="C1761" s="1059" t="s">
        <v>38</v>
      </c>
      <c r="D1761" s="1061">
        <v>123.14</v>
      </c>
    </row>
    <row r="1762" spans="1:4" ht="18" customHeight="1" x14ac:dyDescent="0.25">
      <c r="A1762" s="1059">
        <v>1716611</v>
      </c>
      <c r="B1762" s="1060" t="s">
        <v>23420</v>
      </c>
      <c r="C1762" s="1059" t="s">
        <v>38</v>
      </c>
      <c r="D1762" s="1061">
        <v>123.74</v>
      </c>
    </row>
    <row r="1763" spans="1:4" ht="18" customHeight="1" x14ac:dyDescent="0.25">
      <c r="A1763" s="1059">
        <v>1716612</v>
      </c>
      <c r="B1763" s="1060" t="s">
        <v>23421</v>
      </c>
      <c r="C1763" s="1059" t="s">
        <v>38</v>
      </c>
      <c r="D1763" s="1061">
        <v>124.33</v>
      </c>
    </row>
    <row r="1764" spans="1:4" ht="18" customHeight="1" x14ac:dyDescent="0.25">
      <c r="A1764" s="1059">
        <v>1716613</v>
      </c>
      <c r="B1764" s="1060" t="s">
        <v>23422</v>
      </c>
      <c r="C1764" s="1059" t="s">
        <v>38</v>
      </c>
      <c r="D1764" s="1061">
        <v>124.93</v>
      </c>
    </row>
    <row r="1765" spans="1:4" ht="18" customHeight="1" x14ac:dyDescent="0.25">
      <c r="A1765" s="1059">
        <v>1716614</v>
      </c>
      <c r="B1765" s="1060" t="s">
        <v>23423</v>
      </c>
      <c r="C1765" s="1059" t="s">
        <v>38</v>
      </c>
      <c r="D1765" s="1061">
        <v>126.12</v>
      </c>
    </row>
    <row r="1766" spans="1:4" ht="18" customHeight="1" x14ac:dyDescent="0.25">
      <c r="A1766" s="1059">
        <v>1716615</v>
      </c>
      <c r="B1766" s="1060" t="s">
        <v>23424</v>
      </c>
      <c r="C1766" s="1059" t="s">
        <v>38</v>
      </c>
      <c r="D1766" s="1061">
        <v>127.31</v>
      </c>
    </row>
    <row r="1767" spans="1:4" ht="18" customHeight="1" x14ac:dyDescent="0.25">
      <c r="A1767" s="1059">
        <v>1716616</v>
      </c>
      <c r="B1767" s="1060" t="s">
        <v>23425</v>
      </c>
      <c r="C1767" s="1059" t="s">
        <v>38</v>
      </c>
      <c r="D1767" s="1061">
        <v>129.1</v>
      </c>
    </row>
    <row r="1768" spans="1:4" ht="18" customHeight="1" x14ac:dyDescent="0.25">
      <c r="A1768" s="1059">
        <v>1716606</v>
      </c>
      <c r="B1768" s="1060" t="s">
        <v>23426</v>
      </c>
      <c r="C1768" s="1059" t="s">
        <v>38</v>
      </c>
      <c r="D1768" s="1061">
        <v>120.16</v>
      </c>
    </row>
    <row r="1769" spans="1:4" ht="18" customHeight="1" x14ac:dyDescent="0.25">
      <c r="A1769" s="1059">
        <v>1716617</v>
      </c>
      <c r="B1769" s="1060" t="s">
        <v>23427</v>
      </c>
      <c r="C1769" s="1059" t="s">
        <v>38</v>
      </c>
      <c r="D1769" s="1061">
        <v>130.29</v>
      </c>
    </row>
    <row r="1770" spans="1:4" ht="18" customHeight="1" x14ac:dyDescent="0.25">
      <c r="A1770" s="1059">
        <v>1716607</v>
      </c>
      <c r="B1770" s="1060" t="s">
        <v>23428</v>
      </c>
      <c r="C1770" s="1059" t="s">
        <v>38</v>
      </c>
      <c r="D1770" s="1061">
        <v>120.76</v>
      </c>
    </row>
    <row r="1771" spans="1:4" ht="18" customHeight="1" x14ac:dyDescent="0.25">
      <c r="A1771" s="1059">
        <v>1716608</v>
      </c>
      <c r="B1771" s="1060" t="s">
        <v>23429</v>
      </c>
      <c r="C1771" s="1059" t="s">
        <v>38</v>
      </c>
      <c r="D1771" s="1061">
        <v>121.95</v>
      </c>
    </row>
    <row r="1772" spans="1:4" ht="18" customHeight="1" x14ac:dyDescent="0.25">
      <c r="A1772" s="1059">
        <v>1716609</v>
      </c>
      <c r="B1772" s="1060" t="s">
        <v>23430</v>
      </c>
      <c r="C1772" s="1059" t="s">
        <v>38</v>
      </c>
      <c r="D1772" s="1061">
        <v>122.55</v>
      </c>
    </row>
    <row r="1773" spans="1:4" ht="18" customHeight="1" x14ac:dyDescent="0.25">
      <c r="A1773" s="1059">
        <v>1716604</v>
      </c>
      <c r="B1773" s="1060" t="s">
        <v>23431</v>
      </c>
      <c r="C1773" s="1059" t="s">
        <v>38</v>
      </c>
      <c r="D1773" s="1061">
        <v>67.7</v>
      </c>
    </row>
    <row r="1774" spans="1:4" ht="9" customHeight="1" x14ac:dyDescent="0.25">
      <c r="A1774" s="1059">
        <v>1716623</v>
      </c>
      <c r="B1774" s="1060" t="s">
        <v>23432</v>
      </c>
      <c r="C1774" s="1059" t="s">
        <v>38</v>
      </c>
      <c r="D1774" s="1061">
        <v>66.599999999999994</v>
      </c>
    </row>
    <row r="1775" spans="1:4" ht="18" customHeight="1" x14ac:dyDescent="0.25">
      <c r="A1775" s="1059">
        <v>1716624</v>
      </c>
      <c r="B1775" s="1060" t="s">
        <v>23433</v>
      </c>
      <c r="C1775" s="1059" t="s">
        <v>38</v>
      </c>
      <c r="D1775" s="1061">
        <v>117.28</v>
      </c>
    </row>
    <row r="1776" spans="1:4" ht="18" customHeight="1" x14ac:dyDescent="0.25">
      <c r="A1776" s="1059">
        <v>1716629</v>
      </c>
      <c r="B1776" s="1060" t="s">
        <v>23434</v>
      </c>
      <c r="C1776" s="1059" t="s">
        <v>38</v>
      </c>
      <c r="D1776" s="1061">
        <v>122.04</v>
      </c>
    </row>
    <row r="1777" spans="1:4" ht="18" customHeight="1" x14ac:dyDescent="0.25">
      <c r="A1777" s="1059">
        <v>1716630</v>
      </c>
      <c r="B1777" s="1060" t="s">
        <v>23435</v>
      </c>
      <c r="C1777" s="1059" t="s">
        <v>38</v>
      </c>
      <c r="D1777" s="1061">
        <v>122.64</v>
      </c>
    </row>
    <row r="1778" spans="1:4" ht="18" customHeight="1" x14ac:dyDescent="0.25">
      <c r="A1778" s="1059">
        <v>1716631</v>
      </c>
      <c r="B1778" s="1060" t="s">
        <v>23436</v>
      </c>
      <c r="C1778" s="1059" t="s">
        <v>38</v>
      </c>
      <c r="D1778" s="1061">
        <v>123.24</v>
      </c>
    </row>
    <row r="1779" spans="1:4" ht="18" customHeight="1" x14ac:dyDescent="0.25">
      <c r="A1779" s="1059">
        <v>1716632</v>
      </c>
      <c r="B1779" s="1060" t="s">
        <v>23437</v>
      </c>
      <c r="C1779" s="1059" t="s">
        <v>38</v>
      </c>
      <c r="D1779" s="1061">
        <v>123.83</v>
      </c>
    </row>
    <row r="1780" spans="1:4" ht="18" customHeight="1" x14ac:dyDescent="0.25">
      <c r="A1780" s="1059">
        <v>1716633</v>
      </c>
      <c r="B1780" s="1060" t="s">
        <v>23438</v>
      </c>
      <c r="C1780" s="1059" t="s">
        <v>38</v>
      </c>
      <c r="D1780" s="1061">
        <v>125.02</v>
      </c>
    </row>
    <row r="1781" spans="1:4" ht="18" customHeight="1" x14ac:dyDescent="0.25">
      <c r="A1781" s="1059">
        <v>1716634</v>
      </c>
      <c r="B1781" s="1060" t="s">
        <v>23439</v>
      </c>
      <c r="C1781" s="1059" t="s">
        <v>38</v>
      </c>
      <c r="D1781" s="1061">
        <v>126.21</v>
      </c>
    </row>
    <row r="1782" spans="1:4" ht="18" customHeight="1" x14ac:dyDescent="0.25">
      <c r="A1782" s="1059">
        <v>1716635</v>
      </c>
      <c r="B1782" s="1060" t="s">
        <v>23440</v>
      </c>
      <c r="C1782" s="1059" t="s">
        <v>38</v>
      </c>
      <c r="D1782" s="1061">
        <v>128</v>
      </c>
    </row>
    <row r="1783" spans="1:4" ht="18" customHeight="1" x14ac:dyDescent="0.25">
      <c r="A1783" s="1059">
        <v>1716625</v>
      </c>
      <c r="B1783" s="1060" t="s">
        <v>23441</v>
      </c>
      <c r="C1783" s="1059" t="s">
        <v>38</v>
      </c>
      <c r="D1783" s="1061">
        <v>119.06</v>
      </c>
    </row>
    <row r="1784" spans="1:4" ht="18" customHeight="1" x14ac:dyDescent="0.25">
      <c r="A1784" s="1059">
        <v>1716636</v>
      </c>
      <c r="B1784" s="1060" t="s">
        <v>23442</v>
      </c>
      <c r="C1784" s="1059" t="s">
        <v>38</v>
      </c>
      <c r="D1784" s="1061">
        <v>129.19</v>
      </c>
    </row>
    <row r="1785" spans="1:4" ht="18" customHeight="1" x14ac:dyDescent="0.25">
      <c r="A1785" s="1059">
        <v>1716626</v>
      </c>
      <c r="B1785" s="1060" t="s">
        <v>23443</v>
      </c>
      <c r="C1785" s="1059" t="s">
        <v>38</v>
      </c>
      <c r="D1785" s="1061">
        <v>119.66</v>
      </c>
    </row>
    <row r="1786" spans="1:4" ht="18" customHeight="1" x14ac:dyDescent="0.25">
      <c r="A1786" s="1059">
        <v>1716627</v>
      </c>
      <c r="B1786" s="1060" t="s">
        <v>23444</v>
      </c>
      <c r="C1786" s="1059" t="s">
        <v>38</v>
      </c>
      <c r="D1786" s="1061">
        <v>120.85</v>
      </c>
    </row>
    <row r="1787" spans="1:4" ht="18" customHeight="1" x14ac:dyDescent="0.25">
      <c r="A1787" s="1059">
        <v>1716628</v>
      </c>
      <c r="B1787" s="1060" t="s">
        <v>23445</v>
      </c>
      <c r="C1787" s="1059" t="s">
        <v>38</v>
      </c>
      <c r="D1787" s="1061">
        <v>121.45</v>
      </c>
    </row>
    <row r="1788" spans="1:4" ht="9" customHeight="1" x14ac:dyDescent="0.25">
      <c r="A1788" s="1059">
        <v>1716640</v>
      </c>
      <c r="B1788" s="1060" t="s">
        <v>23446</v>
      </c>
      <c r="C1788" s="1059" t="s">
        <v>38</v>
      </c>
      <c r="D1788" s="1061">
        <v>31.22</v>
      </c>
    </row>
    <row r="1789" spans="1:4" ht="18" customHeight="1" x14ac:dyDescent="0.25">
      <c r="A1789" s="1059">
        <v>1716641</v>
      </c>
      <c r="B1789" s="1060" t="s">
        <v>23447</v>
      </c>
      <c r="C1789" s="1059" t="s">
        <v>38</v>
      </c>
      <c r="D1789" s="1061">
        <v>40.619999999999997</v>
      </c>
    </row>
    <row r="1790" spans="1:4" ht="18" customHeight="1" x14ac:dyDescent="0.25">
      <c r="A1790" s="1059">
        <v>1716646</v>
      </c>
      <c r="B1790" s="1060" t="s">
        <v>23448</v>
      </c>
      <c r="C1790" s="1059" t="s">
        <v>38</v>
      </c>
      <c r="D1790" s="1061">
        <v>41.22</v>
      </c>
    </row>
    <row r="1791" spans="1:4" ht="18" customHeight="1" x14ac:dyDescent="0.25">
      <c r="A1791" s="1059">
        <v>1716647</v>
      </c>
      <c r="B1791" s="1060" t="s">
        <v>23449</v>
      </c>
      <c r="C1791" s="1059" t="s">
        <v>38</v>
      </c>
      <c r="D1791" s="1061">
        <v>41.28</v>
      </c>
    </row>
    <row r="1792" spans="1:4" ht="18" customHeight="1" x14ac:dyDescent="0.25">
      <c r="A1792" s="1059">
        <v>1716648</v>
      </c>
      <c r="B1792" s="1060" t="s">
        <v>23450</v>
      </c>
      <c r="C1792" s="1059" t="s">
        <v>38</v>
      </c>
      <c r="D1792" s="1061">
        <v>41.4</v>
      </c>
    </row>
    <row r="1793" spans="1:4" ht="18" customHeight="1" x14ac:dyDescent="0.25">
      <c r="A1793" s="1059">
        <v>1716649</v>
      </c>
      <c r="B1793" s="1060" t="s">
        <v>23451</v>
      </c>
      <c r="C1793" s="1059" t="s">
        <v>38</v>
      </c>
      <c r="D1793" s="1061">
        <v>41.46</v>
      </c>
    </row>
    <row r="1794" spans="1:4" ht="18" customHeight="1" x14ac:dyDescent="0.25">
      <c r="A1794" s="1059">
        <v>1716650</v>
      </c>
      <c r="B1794" s="1060" t="s">
        <v>23452</v>
      </c>
      <c r="C1794" s="1059" t="s">
        <v>38</v>
      </c>
      <c r="D1794" s="1061">
        <v>41.59</v>
      </c>
    </row>
    <row r="1795" spans="1:4" ht="18" customHeight="1" x14ac:dyDescent="0.25">
      <c r="A1795" s="1059">
        <v>1716651</v>
      </c>
      <c r="B1795" s="1060" t="s">
        <v>23453</v>
      </c>
      <c r="C1795" s="1059" t="s">
        <v>38</v>
      </c>
      <c r="D1795" s="1061">
        <v>41.71</v>
      </c>
    </row>
    <row r="1796" spans="1:4" ht="18" customHeight="1" x14ac:dyDescent="0.25">
      <c r="A1796" s="1059">
        <v>1716652</v>
      </c>
      <c r="B1796" s="1060" t="s">
        <v>23454</v>
      </c>
      <c r="C1796" s="1059" t="s">
        <v>38</v>
      </c>
      <c r="D1796" s="1061">
        <v>41.95</v>
      </c>
    </row>
    <row r="1797" spans="1:4" ht="18" customHeight="1" x14ac:dyDescent="0.25">
      <c r="A1797" s="1059">
        <v>1716642</v>
      </c>
      <c r="B1797" s="1060" t="s">
        <v>23455</v>
      </c>
      <c r="C1797" s="1059" t="s">
        <v>38</v>
      </c>
      <c r="D1797" s="1061">
        <v>40.799999999999997</v>
      </c>
    </row>
    <row r="1798" spans="1:4" ht="18" customHeight="1" x14ac:dyDescent="0.25">
      <c r="A1798" s="1059">
        <v>1716653</v>
      </c>
      <c r="B1798" s="1060" t="s">
        <v>23456</v>
      </c>
      <c r="C1798" s="1059" t="s">
        <v>38</v>
      </c>
      <c r="D1798" s="1061">
        <v>42.13</v>
      </c>
    </row>
    <row r="1799" spans="1:4" ht="18" customHeight="1" x14ac:dyDescent="0.25">
      <c r="A1799" s="1059">
        <v>1716643</v>
      </c>
      <c r="B1799" s="1060" t="s">
        <v>23457</v>
      </c>
      <c r="C1799" s="1059" t="s">
        <v>38</v>
      </c>
      <c r="D1799" s="1061">
        <v>40.92</v>
      </c>
    </row>
    <row r="1800" spans="1:4" ht="18" customHeight="1" x14ac:dyDescent="0.25">
      <c r="A1800" s="1059">
        <v>1716644</v>
      </c>
      <c r="B1800" s="1060" t="s">
        <v>23458</v>
      </c>
      <c r="C1800" s="1059" t="s">
        <v>38</v>
      </c>
      <c r="D1800" s="1061">
        <v>41.04</v>
      </c>
    </row>
    <row r="1801" spans="1:4" ht="18" customHeight="1" x14ac:dyDescent="0.25">
      <c r="A1801" s="1059">
        <v>1716645</v>
      </c>
      <c r="B1801" s="1060" t="s">
        <v>23459</v>
      </c>
      <c r="C1801" s="1059" t="s">
        <v>38</v>
      </c>
      <c r="D1801" s="1061">
        <v>41.1</v>
      </c>
    </row>
    <row r="1802" spans="1:4" ht="18" customHeight="1" x14ac:dyDescent="0.25">
      <c r="A1802" s="1059">
        <v>1716622</v>
      </c>
      <c r="B1802" s="1060" t="s">
        <v>23460</v>
      </c>
      <c r="C1802" s="1059" t="s">
        <v>38</v>
      </c>
      <c r="D1802" s="1061">
        <v>83.98</v>
      </c>
    </row>
    <row r="1803" spans="1:4" ht="18" customHeight="1" x14ac:dyDescent="0.25">
      <c r="A1803" s="1059">
        <v>1716603</v>
      </c>
      <c r="B1803" s="1060" t="s">
        <v>23461</v>
      </c>
      <c r="C1803" s="1059" t="s">
        <v>38</v>
      </c>
      <c r="D1803" s="1061">
        <v>83.98</v>
      </c>
    </row>
    <row r="1804" spans="1:4" ht="18" customHeight="1" x14ac:dyDescent="0.25">
      <c r="A1804" s="1059">
        <v>1716620</v>
      </c>
      <c r="B1804" s="1060" t="s">
        <v>23462</v>
      </c>
      <c r="C1804" s="1059" t="s">
        <v>38</v>
      </c>
      <c r="D1804" s="1061">
        <v>121.65</v>
      </c>
    </row>
    <row r="1805" spans="1:4" ht="18" customHeight="1" x14ac:dyDescent="0.25">
      <c r="A1805" s="1059">
        <v>1716621</v>
      </c>
      <c r="B1805" s="1060" t="s">
        <v>23463</v>
      </c>
      <c r="C1805" s="1059" t="s">
        <v>38</v>
      </c>
      <c r="D1805" s="1061">
        <v>95.05</v>
      </c>
    </row>
    <row r="1806" spans="1:4" ht="18" customHeight="1" x14ac:dyDescent="0.25">
      <c r="A1806" s="1059">
        <v>1716619</v>
      </c>
      <c r="B1806" s="1060" t="s">
        <v>23464</v>
      </c>
      <c r="C1806" s="1059" t="s">
        <v>38</v>
      </c>
      <c r="D1806" s="1061">
        <v>201.49</v>
      </c>
    </row>
    <row r="1807" spans="1:4" ht="18" customHeight="1" x14ac:dyDescent="0.25">
      <c r="A1807" s="1059">
        <v>1716601</v>
      </c>
      <c r="B1807" s="1060" t="s">
        <v>23465</v>
      </c>
      <c r="C1807" s="1059" t="s">
        <v>38</v>
      </c>
      <c r="D1807" s="1061">
        <v>123.12</v>
      </c>
    </row>
    <row r="1808" spans="1:4" ht="18" customHeight="1" x14ac:dyDescent="0.25">
      <c r="A1808" s="1059">
        <v>1716602</v>
      </c>
      <c r="B1808" s="1060" t="s">
        <v>23466</v>
      </c>
      <c r="C1808" s="1059" t="s">
        <v>38</v>
      </c>
      <c r="D1808" s="1061">
        <v>96.04</v>
      </c>
    </row>
    <row r="1809" spans="1:4" ht="18" customHeight="1" x14ac:dyDescent="0.25">
      <c r="A1809" s="1059">
        <v>1716600</v>
      </c>
      <c r="B1809" s="1060" t="s">
        <v>23467</v>
      </c>
      <c r="C1809" s="1059" t="s">
        <v>38</v>
      </c>
      <c r="D1809" s="1061">
        <v>204.44</v>
      </c>
    </row>
    <row r="1810" spans="1:4" ht="18" customHeight="1" x14ac:dyDescent="0.25">
      <c r="A1810" s="1059">
        <v>1716655</v>
      </c>
      <c r="B1810" s="1060" t="s">
        <v>23468</v>
      </c>
      <c r="C1810" s="1059" t="s">
        <v>38</v>
      </c>
      <c r="D1810" s="1061">
        <v>71.78</v>
      </c>
    </row>
    <row r="1811" spans="1:4" ht="18" customHeight="1" x14ac:dyDescent="0.25">
      <c r="A1811" s="1059">
        <v>1716639</v>
      </c>
      <c r="B1811" s="1060" t="s">
        <v>23469</v>
      </c>
      <c r="C1811" s="1059" t="s">
        <v>38</v>
      </c>
      <c r="D1811" s="1061">
        <v>50.54</v>
      </c>
    </row>
    <row r="1812" spans="1:4" ht="9" customHeight="1" x14ac:dyDescent="0.25">
      <c r="A1812" s="1059">
        <v>1801636</v>
      </c>
      <c r="B1812" s="1060" t="s">
        <v>23470</v>
      </c>
      <c r="C1812" s="1059" t="s">
        <v>361</v>
      </c>
      <c r="D1812" s="1061">
        <v>16.18</v>
      </c>
    </row>
    <row r="1813" spans="1:4" ht="9" customHeight="1" x14ac:dyDescent="0.25">
      <c r="A1813" s="1059">
        <v>1801637</v>
      </c>
      <c r="B1813" s="1060" t="s">
        <v>23471</v>
      </c>
      <c r="C1813" s="1059" t="s">
        <v>361</v>
      </c>
      <c r="D1813" s="1061">
        <v>21.58</v>
      </c>
    </row>
    <row r="1814" spans="1:4" ht="9" customHeight="1" x14ac:dyDescent="0.25">
      <c r="A1814" s="1059">
        <v>1817720</v>
      </c>
      <c r="B1814" s="1060" t="s">
        <v>23472</v>
      </c>
      <c r="C1814" s="1059" t="s">
        <v>361</v>
      </c>
      <c r="D1814" s="1061">
        <v>83.39</v>
      </c>
    </row>
    <row r="1815" spans="1:4" ht="9" customHeight="1" x14ac:dyDescent="0.25">
      <c r="A1815" s="1059">
        <v>1817723</v>
      </c>
      <c r="B1815" s="1060" t="s">
        <v>23473</v>
      </c>
      <c r="C1815" s="1059" t="s">
        <v>361</v>
      </c>
      <c r="D1815" s="1061">
        <v>39.33</v>
      </c>
    </row>
    <row r="1816" spans="1:4" ht="9" customHeight="1" x14ac:dyDescent="0.25">
      <c r="A1816" s="1059">
        <v>1817721</v>
      </c>
      <c r="B1816" s="1060" t="s">
        <v>23474</v>
      </c>
      <c r="C1816" s="1059" t="s">
        <v>361</v>
      </c>
      <c r="D1816" s="1061">
        <v>117.98</v>
      </c>
    </row>
    <row r="1817" spans="1:4" ht="9" customHeight="1" x14ac:dyDescent="0.25">
      <c r="A1817" s="1059">
        <v>1817722</v>
      </c>
      <c r="B1817" s="1060" t="s">
        <v>23475</v>
      </c>
      <c r="C1817" s="1059" t="s">
        <v>361</v>
      </c>
      <c r="D1817" s="1061">
        <v>58.99</v>
      </c>
    </row>
    <row r="1818" spans="1:4" ht="18" customHeight="1" x14ac:dyDescent="0.25">
      <c r="A1818" s="1059">
        <v>1917483</v>
      </c>
      <c r="B1818" s="1060" t="s">
        <v>23476</v>
      </c>
      <c r="C1818" s="1059" t="s">
        <v>38</v>
      </c>
      <c r="D1818" s="1061">
        <v>4.63</v>
      </c>
    </row>
    <row r="1819" spans="1:4" ht="18" customHeight="1" x14ac:dyDescent="0.25">
      <c r="A1819" s="1059">
        <v>1917484</v>
      </c>
      <c r="B1819" s="1060" t="s">
        <v>23477</v>
      </c>
      <c r="C1819" s="1059" t="s">
        <v>38</v>
      </c>
      <c r="D1819" s="1061">
        <v>4.82</v>
      </c>
    </row>
    <row r="1820" spans="1:4" ht="18" customHeight="1" x14ac:dyDescent="0.25">
      <c r="A1820" s="1059">
        <v>1917485</v>
      </c>
      <c r="B1820" s="1060" t="s">
        <v>23478</v>
      </c>
      <c r="C1820" s="1059" t="s">
        <v>38</v>
      </c>
      <c r="D1820" s="1061">
        <v>5.28</v>
      </c>
    </row>
    <row r="1821" spans="1:4" ht="18" customHeight="1" x14ac:dyDescent="0.25">
      <c r="A1821" s="1059">
        <v>1917486</v>
      </c>
      <c r="B1821" s="1060" t="s">
        <v>23479</v>
      </c>
      <c r="C1821" s="1059" t="s">
        <v>38</v>
      </c>
      <c r="D1821" s="1061">
        <v>5.51</v>
      </c>
    </row>
    <row r="1822" spans="1:4" ht="18" customHeight="1" x14ac:dyDescent="0.25">
      <c r="A1822" s="1059">
        <v>1917487</v>
      </c>
      <c r="B1822" s="1060" t="s">
        <v>23480</v>
      </c>
      <c r="C1822" s="1059" t="s">
        <v>38</v>
      </c>
      <c r="D1822" s="1061">
        <v>5.8</v>
      </c>
    </row>
    <row r="1823" spans="1:4" ht="18" customHeight="1" x14ac:dyDescent="0.25">
      <c r="A1823" s="1059">
        <v>1917528</v>
      </c>
      <c r="B1823" s="1060" t="s">
        <v>23481</v>
      </c>
      <c r="C1823" s="1059" t="s">
        <v>38</v>
      </c>
      <c r="D1823" s="1061">
        <v>28.97</v>
      </c>
    </row>
    <row r="1824" spans="1:4" ht="18" customHeight="1" x14ac:dyDescent="0.25">
      <c r="A1824" s="1059">
        <v>1917529</v>
      </c>
      <c r="B1824" s="1060" t="s">
        <v>23482</v>
      </c>
      <c r="C1824" s="1059" t="s">
        <v>38</v>
      </c>
      <c r="D1824" s="1061">
        <v>29.91</v>
      </c>
    </row>
    <row r="1825" spans="1:4" ht="18" customHeight="1" x14ac:dyDescent="0.25">
      <c r="A1825" s="1059">
        <v>1917530</v>
      </c>
      <c r="B1825" s="1060" t="s">
        <v>23483</v>
      </c>
      <c r="C1825" s="1059" t="s">
        <v>38</v>
      </c>
      <c r="D1825" s="1061">
        <v>31.38</v>
      </c>
    </row>
    <row r="1826" spans="1:4" ht="18" customHeight="1" x14ac:dyDescent="0.25">
      <c r="A1826" s="1059">
        <v>1917531</v>
      </c>
      <c r="B1826" s="1060" t="s">
        <v>23484</v>
      </c>
      <c r="C1826" s="1059" t="s">
        <v>38</v>
      </c>
      <c r="D1826" s="1061">
        <v>32.97</v>
      </c>
    </row>
    <row r="1827" spans="1:4" ht="18" customHeight="1" x14ac:dyDescent="0.25">
      <c r="A1827" s="1059">
        <v>1917532</v>
      </c>
      <c r="B1827" s="1060" t="s">
        <v>23485</v>
      </c>
      <c r="C1827" s="1059" t="s">
        <v>38</v>
      </c>
      <c r="D1827" s="1061">
        <v>34.76</v>
      </c>
    </row>
    <row r="1828" spans="1:4" ht="18" customHeight="1" x14ac:dyDescent="0.25">
      <c r="A1828" s="1059">
        <v>1917533</v>
      </c>
      <c r="B1828" s="1060" t="s">
        <v>23486</v>
      </c>
      <c r="C1828" s="1059" t="s">
        <v>38</v>
      </c>
      <c r="D1828" s="1061">
        <v>35.71</v>
      </c>
    </row>
    <row r="1829" spans="1:4" ht="18" customHeight="1" x14ac:dyDescent="0.25">
      <c r="A1829" s="1059">
        <v>1917534</v>
      </c>
      <c r="B1829" s="1060" t="s">
        <v>23487</v>
      </c>
      <c r="C1829" s="1059" t="s">
        <v>38</v>
      </c>
      <c r="D1829" s="1061">
        <v>36.700000000000003</v>
      </c>
    </row>
    <row r="1830" spans="1:4" ht="18" customHeight="1" x14ac:dyDescent="0.25">
      <c r="A1830" s="1059">
        <v>1917535</v>
      </c>
      <c r="B1830" s="1060" t="s">
        <v>23488</v>
      </c>
      <c r="C1830" s="1059" t="s">
        <v>38</v>
      </c>
      <c r="D1830" s="1061">
        <v>37.99</v>
      </c>
    </row>
    <row r="1831" spans="1:4" ht="18" customHeight="1" x14ac:dyDescent="0.25">
      <c r="A1831" s="1059">
        <v>1917536</v>
      </c>
      <c r="B1831" s="1060" t="s">
        <v>23489</v>
      </c>
      <c r="C1831" s="1059" t="s">
        <v>38</v>
      </c>
      <c r="D1831" s="1061">
        <v>39.1</v>
      </c>
    </row>
    <row r="1832" spans="1:4" ht="18" customHeight="1" x14ac:dyDescent="0.25">
      <c r="A1832" s="1059">
        <v>1917537</v>
      </c>
      <c r="B1832" s="1060" t="s">
        <v>23490</v>
      </c>
      <c r="C1832" s="1059" t="s">
        <v>38</v>
      </c>
      <c r="D1832" s="1061">
        <v>40.26</v>
      </c>
    </row>
    <row r="1833" spans="1:4" ht="18" customHeight="1" x14ac:dyDescent="0.25">
      <c r="A1833" s="1059">
        <v>1917488</v>
      </c>
      <c r="B1833" s="1060" t="s">
        <v>23491</v>
      </c>
      <c r="C1833" s="1059" t="s">
        <v>38</v>
      </c>
      <c r="D1833" s="1061">
        <v>6.03</v>
      </c>
    </row>
    <row r="1834" spans="1:4" ht="18" customHeight="1" x14ac:dyDescent="0.25">
      <c r="A1834" s="1059">
        <v>1917489</v>
      </c>
      <c r="B1834" s="1060" t="s">
        <v>23492</v>
      </c>
      <c r="C1834" s="1059" t="s">
        <v>38</v>
      </c>
      <c r="D1834" s="1061">
        <v>6.31</v>
      </c>
    </row>
    <row r="1835" spans="1:4" ht="18" customHeight="1" x14ac:dyDescent="0.25">
      <c r="A1835" s="1059">
        <v>1917490</v>
      </c>
      <c r="B1835" s="1060" t="s">
        <v>23493</v>
      </c>
      <c r="C1835" s="1059" t="s">
        <v>38</v>
      </c>
      <c r="D1835" s="1061">
        <v>6.75</v>
      </c>
    </row>
    <row r="1836" spans="1:4" ht="18" customHeight="1" x14ac:dyDescent="0.25">
      <c r="A1836" s="1059">
        <v>1917491</v>
      </c>
      <c r="B1836" s="1060" t="s">
        <v>23494</v>
      </c>
      <c r="C1836" s="1059" t="s">
        <v>38</v>
      </c>
      <c r="D1836" s="1061">
        <v>7.05</v>
      </c>
    </row>
    <row r="1837" spans="1:4" ht="18" customHeight="1" x14ac:dyDescent="0.25">
      <c r="A1837" s="1059">
        <v>1917492</v>
      </c>
      <c r="B1837" s="1060" t="s">
        <v>23495</v>
      </c>
      <c r="C1837" s="1059" t="s">
        <v>38</v>
      </c>
      <c r="D1837" s="1061">
        <v>7.31</v>
      </c>
    </row>
    <row r="1838" spans="1:4" ht="18" customHeight="1" x14ac:dyDescent="0.25">
      <c r="A1838" s="1059">
        <v>1917493</v>
      </c>
      <c r="B1838" s="1060" t="s">
        <v>23496</v>
      </c>
      <c r="C1838" s="1059" t="s">
        <v>38</v>
      </c>
      <c r="D1838" s="1061">
        <v>7.63</v>
      </c>
    </row>
    <row r="1839" spans="1:4" ht="18" customHeight="1" x14ac:dyDescent="0.25">
      <c r="A1839" s="1059">
        <v>1917494</v>
      </c>
      <c r="B1839" s="1060" t="s">
        <v>23497</v>
      </c>
      <c r="C1839" s="1059" t="s">
        <v>38</v>
      </c>
      <c r="D1839" s="1061">
        <v>7.96</v>
      </c>
    </row>
    <row r="1840" spans="1:4" ht="18" customHeight="1" x14ac:dyDescent="0.25">
      <c r="A1840" s="1059">
        <v>1917495</v>
      </c>
      <c r="B1840" s="1060" t="s">
        <v>23498</v>
      </c>
      <c r="C1840" s="1059" t="s">
        <v>38</v>
      </c>
      <c r="D1840" s="1061">
        <v>8.4499999999999993</v>
      </c>
    </row>
    <row r="1841" spans="1:4" ht="18" customHeight="1" x14ac:dyDescent="0.25">
      <c r="A1841" s="1059">
        <v>1917496</v>
      </c>
      <c r="B1841" s="1060" t="s">
        <v>23499</v>
      </c>
      <c r="C1841" s="1059" t="s">
        <v>38</v>
      </c>
      <c r="D1841" s="1061">
        <v>8.76</v>
      </c>
    </row>
    <row r="1842" spans="1:4" ht="18" customHeight="1" x14ac:dyDescent="0.25">
      <c r="A1842" s="1059">
        <v>1917497</v>
      </c>
      <c r="B1842" s="1060" t="s">
        <v>23500</v>
      </c>
      <c r="C1842" s="1059" t="s">
        <v>38</v>
      </c>
      <c r="D1842" s="1061">
        <v>9.07</v>
      </c>
    </row>
    <row r="1843" spans="1:4" ht="18" customHeight="1" x14ac:dyDescent="0.25">
      <c r="A1843" s="1059">
        <v>1917498</v>
      </c>
      <c r="B1843" s="1060" t="s">
        <v>23501</v>
      </c>
      <c r="C1843" s="1059" t="s">
        <v>38</v>
      </c>
      <c r="D1843" s="1061">
        <v>9.4</v>
      </c>
    </row>
    <row r="1844" spans="1:4" ht="18" customHeight="1" x14ac:dyDescent="0.25">
      <c r="A1844" s="1059">
        <v>1917499</v>
      </c>
      <c r="B1844" s="1060" t="s">
        <v>23502</v>
      </c>
      <c r="C1844" s="1059" t="s">
        <v>38</v>
      </c>
      <c r="D1844" s="1061">
        <v>9.67</v>
      </c>
    </row>
    <row r="1845" spans="1:4" ht="18" customHeight="1" x14ac:dyDescent="0.25">
      <c r="A1845" s="1059">
        <v>1917500</v>
      </c>
      <c r="B1845" s="1060" t="s">
        <v>23503</v>
      </c>
      <c r="C1845" s="1059" t="s">
        <v>38</v>
      </c>
      <c r="D1845" s="1061">
        <v>10.199999999999999</v>
      </c>
    </row>
    <row r="1846" spans="1:4" ht="18" customHeight="1" x14ac:dyDescent="0.25">
      <c r="A1846" s="1059">
        <v>1917501</v>
      </c>
      <c r="B1846" s="1060" t="s">
        <v>23504</v>
      </c>
      <c r="C1846" s="1059" t="s">
        <v>38</v>
      </c>
      <c r="D1846" s="1061">
        <v>10.53</v>
      </c>
    </row>
    <row r="1847" spans="1:4" ht="18" customHeight="1" x14ac:dyDescent="0.25">
      <c r="A1847" s="1059">
        <v>1917502</v>
      </c>
      <c r="B1847" s="1060" t="s">
        <v>23505</v>
      </c>
      <c r="C1847" s="1059" t="s">
        <v>38</v>
      </c>
      <c r="D1847" s="1061">
        <v>10.86</v>
      </c>
    </row>
    <row r="1848" spans="1:4" ht="18" customHeight="1" x14ac:dyDescent="0.25">
      <c r="A1848" s="1059">
        <v>1917503</v>
      </c>
      <c r="B1848" s="1060" t="s">
        <v>23506</v>
      </c>
      <c r="C1848" s="1059" t="s">
        <v>38</v>
      </c>
      <c r="D1848" s="1061">
        <v>11.2</v>
      </c>
    </row>
    <row r="1849" spans="1:4" ht="18" customHeight="1" x14ac:dyDescent="0.25">
      <c r="A1849" s="1059">
        <v>1917504</v>
      </c>
      <c r="B1849" s="1060" t="s">
        <v>23507</v>
      </c>
      <c r="C1849" s="1059" t="s">
        <v>38</v>
      </c>
      <c r="D1849" s="1061">
        <v>11.55</v>
      </c>
    </row>
    <row r="1850" spans="1:4" ht="18" customHeight="1" x14ac:dyDescent="0.25">
      <c r="A1850" s="1059">
        <v>1917505</v>
      </c>
      <c r="B1850" s="1060" t="s">
        <v>23508</v>
      </c>
      <c r="C1850" s="1059" t="s">
        <v>38</v>
      </c>
      <c r="D1850" s="1061">
        <v>12.1</v>
      </c>
    </row>
    <row r="1851" spans="1:4" ht="18" customHeight="1" x14ac:dyDescent="0.25">
      <c r="A1851" s="1059">
        <v>1917506</v>
      </c>
      <c r="B1851" s="1060" t="s">
        <v>23509</v>
      </c>
      <c r="C1851" s="1059" t="s">
        <v>38</v>
      </c>
      <c r="D1851" s="1061">
        <v>12.44</v>
      </c>
    </row>
    <row r="1852" spans="1:4" ht="18" customHeight="1" x14ac:dyDescent="0.25">
      <c r="A1852" s="1059">
        <v>1917507</v>
      </c>
      <c r="B1852" s="1060" t="s">
        <v>23510</v>
      </c>
      <c r="C1852" s="1059" t="s">
        <v>38</v>
      </c>
      <c r="D1852" s="1061">
        <v>12.79</v>
      </c>
    </row>
    <row r="1853" spans="1:4" ht="18" customHeight="1" x14ac:dyDescent="0.25">
      <c r="A1853" s="1059">
        <v>1917480</v>
      </c>
      <c r="B1853" s="1060" t="s">
        <v>23511</v>
      </c>
      <c r="C1853" s="1059" t="s">
        <v>38</v>
      </c>
      <c r="D1853" s="1061">
        <v>4.01</v>
      </c>
    </row>
    <row r="1854" spans="1:4" ht="18" customHeight="1" x14ac:dyDescent="0.25">
      <c r="A1854" s="1059">
        <v>1917508</v>
      </c>
      <c r="B1854" s="1060" t="s">
        <v>23512</v>
      </c>
      <c r="C1854" s="1059" t="s">
        <v>38</v>
      </c>
      <c r="D1854" s="1061">
        <v>13.15</v>
      </c>
    </row>
    <row r="1855" spans="1:4" ht="18" customHeight="1" x14ac:dyDescent="0.25">
      <c r="A1855" s="1059">
        <v>1917509</v>
      </c>
      <c r="B1855" s="1060" t="s">
        <v>23513</v>
      </c>
      <c r="C1855" s="1059" t="s">
        <v>38</v>
      </c>
      <c r="D1855" s="1061">
        <v>13.57</v>
      </c>
    </row>
    <row r="1856" spans="1:4" ht="18" customHeight="1" x14ac:dyDescent="0.25">
      <c r="A1856" s="1059">
        <v>1917510</v>
      </c>
      <c r="B1856" s="1060" t="s">
        <v>23514</v>
      </c>
      <c r="C1856" s="1059" t="s">
        <v>38</v>
      </c>
      <c r="D1856" s="1061">
        <v>14.16</v>
      </c>
    </row>
    <row r="1857" spans="1:4" ht="18" customHeight="1" x14ac:dyDescent="0.25">
      <c r="A1857" s="1059">
        <v>1917511</v>
      </c>
      <c r="B1857" s="1060" t="s">
        <v>23515</v>
      </c>
      <c r="C1857" s="1059" t="s">
        <v>38</v>
      </c>
      <c r="D1857" s="1061">
        <v>14.55</v>
      </c>
    </row>
    <row r="1858" spans="1:4" ht="18" customHeight="1" x14ac:dyDescent="0.25">
      <c r="A1858" s="1059">
        <v>1917512</v>
      </c>
      <c r="B1858" s="1060" t="s">
        <v>23516</v>
      </c>
      <c r="C1858" s="1059" t="s">
        <v>38</v>
      </c>
      <c r="D1858" s="1061">
        <v>15</v>
      </c>
    </row>
    <row r="1859" spans="1:4" ht="18" customHeight="1" x14ac:dyDescent="0.25">
      <c r="A1859" s="1059">
        <v>1917513</v>
      </c>
      <c r="B1859" s="1060" t="s">
        <v>23517</v>
      </c>
      <c r="C1859" s="1059" t="s">
        <v>38</v>
      </c>
      <c r="D1859" s="1061">
        <v>15.44</v>
      </c>
    </row>
    <row r="1860" spans="1:4" ht="18" customHeight="1" x14ac:dyDescent="0.25">
      <c r="A1860" s="1059">
        <v>1917514</v>
      </c>
      <c r="B1860" s="1060" t="s">
        <v>23518</v>
      </c>
      <c r="C1860" s="1059" t="s">
        <v>38</v>
      </c>
      <c r="D1860" s="1061">
        <v>15.95</v>
      </c>
    </row>
    <row r="1861" spans="1:4" ht="18" customHeight="1" x14ac:dyDescent="0.25">
      <c r="A1861" s="1059">
        <v>1917515</v>
      </c>
      <c r="B1861" s="1060" t="s">
        <v>23519</v>
      </c>
      <c r="C1861" s="1059" t="s">
        <v>38</v>
      </c>
      <c r="D1861" s="1061">
        <v>16.68</v>
      </c>
    </row>
    <row r="1862" spans="1:4" ht="18" customHeight="1" x14ac:dyDescent="0.25">
      <c r="A1862" s="1059">
        <v>1917516</v>
      </c>
      <c r="B1862" s="1060" t="s">
        <v>23520</v>
      </c>
      <c r="C1862" s="1059" t="s">
        <v>38</v>
      </c>
      <c r="D1862" s="1061">
        <v>17.23</v>
      </c>
    </row>
    <row r="1863" spans="1:4" ht="18" customHeight="1" x14ac:dyDescent="0.25">
      <c r="A1863" s="1059">
        <v>1917517</v>
      </c>
      <c r="B1863" s="1060" t="s">
        <v>23521</v>
      </c>
      <c r="C1863" s="1059" t="s">
        <v>38</v>
      </c>
      <c r="D1863" s="1061">
        <v>17.97</v>
      </c>
    </row>
    <row r="1864" spans="1:4" ht="18" customHeight="1" x14ac:dyDescent="0.25">
      <c r="A1864" s="1059">
        <v>1917481</v>
      </c>
      <c r="B1864" s="1060" t="s">
        <v>23522</v>
      </c>
      <c r="C1864" s="1059" t="s">
        <v>38</v>
      </c>
      <c r="D1864" s="1061">
        <v>4.1900000000000004</v>
      </c>
    </row>
    <row r="1865" spans="1:4" ht="18" customHeight="1" x14ac:dyDescent="0.25">
      <c r="A1865" s="1059">
        <v>1917518</v>
      </c>
      <c r="B1865" s="1060" t="s">
        <v>23523</v>
      </c>
      <c r="C1865" s="1059" t="s">
        <v>38</v>
      </c>
      <c r="D1865" s="1061">
        <v>18.71</v>
      </c>
    </row>
    <row r="1866" spans="1:4" ht="18" customHeight="1" x14ac:dyDescent="0.25">
      <c r="A1866" s="1059">
        <v>1917519</v>
      </c>
      <c r="B1866" s="1060" t="s">
        <v>23524</v>
      </c>
      <c r="C1866" s="1059" t="s">
        <v>38</v>
      </c>
      <c r="D1866" s="1061">
        <v>19.62</v>
      </c>
    </row>
    <row r="1867" spans="1:4" ht="18" customHeight="1" x14ac:dyDescent="0.25">
      <c r="A1867" s="1059">
        <v>1917520</v>
      </c>
      <c r="B1867" s="1060" t="s">
        <v>23525</v>
      </c>
      <c r="C1867" s="1059" t="s">
        <v>38</v>
      </c>
      <c r="D1867" s="1061">
        <v>20.65</v>
      </c>
    </row>
    <row r="1868" spans="1:4" ht="18" customHeight="1" x14ac:dyDescent="0.25">
      <c r="A1868" s="1059">
        <v>1917521</v>
      </c>
      <c r="B1868" s="1060" t="s">
        <v>23526</v>
      </c>
      <c r="C1868" s="1059" t="s">
        <v>38</v>
      </c>
      <c r="D1868" s="1061">
        <v>21.52</v>
      </c>
    </row>
    <row r="1869" spans="1:4" ht="18" customHeight="1" x14ac:dyDescent="0.25">
      <c r="A1869" s="1059">
        <v>1917522</v>
      </c>
      <c r="B1869" s="1060" t="s">
        <v>23527</v>
      </c>
      <c r="C1869" s="1059" t="s">
        <v>38</v>
      </c>
      <c r="D1869" s="1061">
        <v>22.48</v>
      </c>
    </row>
    <row r="1870" spans="1:4" ht="18" customHeight="1" x14ac:dyDescent="0.25">
      <c r="A1870" s="1059">
        <v>1917523</v>
      </c>
      <c r="B1870" s="1060" t="s">
        <v>23528</v>
      </c>
      <c r="C1870" s="1059" t="s">
        <v>38</v>
      </c>
      <c r="D1870" s="1061">
        <v>23.47</v>
      </c>
    </row>
    <row r="1871" spans="1:4" ht="18" customHeight="1" x14ac:dyDescent="0.25">
      <c r="A1871" s="1059">
        <v>1917524</v>
      </c>
      <c r="B1871" s="1060" t="s">
        <v>23529</v>
      </c>
      <c r="C1871" s="1059" t="s">
        <v>38</v>
      </c>
      <c r="D1871" s="1061">
        <v>24.52</v>
      </c>
    </row>
    <row r="1872" spans="1:4" ht="18" customHeight="1" x14ac:dyDescent="0.25">
      <c r="A1872" s="1059">
        <v>1917525</v>
      </c>
      <c r="B1872" s="1060" t="s">
        <v>23530</v>
      </c>
      <c r="C1872" s="1059" t="s">
        <v>38</v>
      </c>
      <c r="D1872" s="1061">
        <v>25.75</v>
      </c>
    </row>
    <row r="1873" spans="1:4" ht="18" customHeight="1" x14ac:dyDescent="0.25">
      <c r="A1873" s="1059">
        <v>1917526</v>
      </c>
      <c r="B1873" s="1060" t="s">
        <v>23531</v>
      </c>
      <c r="C1873" s="1059" t="s">
        <v>38</v>
      </c>
      <c r="D1873" s="1061">
        <v>26.73</v>
      </c>
    </row>
    <row r="1874" spans="1:4" ht="18" customHeight="1" x14ac:dyDescent="0.25">
      <c r="A1874" s="1059">
        <v>1917527</v>
      </c>
      <c r="B1874" s="1060" t="s">
        <v>23532</v>
      </c>
      <c r="C1874" s="1059" t="s">
        <v>38</v>
      </c>
      <c r="D1874" s="1061">
        <v>27.69</v>
      </c>
    </row>
    <row r="1875" spans="1:4" ht="18" customHeight="1" x14ac:dyDescent="0.25">
      <c r="A1875" s="1059">
        <v>1917482</v>
      </c>
      <c r="B1875" s="1060" t="s">
        <v>23533</v>
      </c>
      <c r="C1875" s="1059" t="s">
        <v>38</v>
      </c>
      <c r="D1875" s="1061">
        <v>4.38</v>
      </c>
    </row>
    <row r="1876" spans="1:4" ht="18" customHeight="1" x14ac:dyDescent="0.25">
      <c r="A1876" s="1059">
        <v>1917737</v>
      </c>
      <c r="B1876" s="1060" t="s">
        <v>23534</v>
      </c>
      <c r="C1876" s="1059" t="s">
        <v>38</v>
      </c>
      <c r="D1876" s="1061">
        <v>3.97</v>
      </c>
    </row>
    <row r="1877" spans="1:4" ht="18" customHeight="1" x14ac:dyDescent="0.25">
      <c r="A1877" s="1059">
        <v>1917220</v>
      </c>
      <c r="B1877" s="1060" t="s">
        <v>23535</v>
      </c>
      <c r="C1877" s="1059" t="s">
        <v>38</v>
      </c>
      <c r="D1877" s="1061">
        <v>6.58</v>
      </c>
    </row>
    <row r="1878" spans="1:4" ht="18" customHeight="1" x14ac:dyDescent="0.25">
      <c r="A1878" s="1059">
        <v>1917221</v>
      </c>
      <c r="B1878" s="1060" t="s">
        <v>23536</v>
      </c>
      <c r="C1878" s="1059" t="s">
        <v>38</v>
      </c>
      <c r="D1878" s="1061">
        <v>7.03</v>
      </c>
    </row>
    <row r="1879" spans="1:4" ht="18" customHeight="1" x14ac:dyDescent="0.25">
      <c r="A1879" s="1059">
        <v>1917222</v>
      </c>
      <c r="B1879" s="1060" t="s">
        <v>23537</v>
      </c>
      <c r="C1879" s="1059" t="s">
        <v>38</v>
      </c>
      <c r="D1879" s="1061">
        <v>7.56</v>
      </c>
    </row>
    <row r="1880" spans="1:4" ht="18" customHeight="1" x14ac:dyDescent="0.25">
      <c r="A1880" s="1059">
        <v>1917223</v>
      </c>
      <c r="B1880" s="1060" t="s">
        <v>23538</v>
      </c>
      <c r="C1880" s="1059" t="s">
        <v>38</v>
      </c>
      <c r="D1880" s="1061">
        <v>7.9</v>
      </c>
    </row>
    <row r="1881" spans="1:4" ht="18" customHeight="1" x14ac:dyDescent="0.25">
      <c r="A1881" s="1059">
        <v>1917224</v>
      </c>
      <c r="B1881" s="1060" t="s">
        <v>23539</v>
      </c>
      <c r="C1881" s="1059" t="s">
        <v>38</v>
      </c>
      <c r="D1881" s="1061">
        <v>8.25</v>
      </c>
    </row>
    <row r="1882" spans="1:4" ht="18" customHeight="1" x14ac:dyDescent="0.25">
      <c r="A1882" s="1059">
        <v>1917225</v>
      </c>
      <c r="B1882" s="1060" t="s">
        <v>23540</v>
      </c>
      <c r="C1882" s="1059" t="s">
        <v>38</v>
      </c>
      <c r="D1882" s="1061">
        <v>8.66</v>
      </c>
    </row>
    <row r="1883" spans="1:4" ht="18" customHeight="1" x14ac:dyDescent="0.25">
      <c r="A1883" s="1059">
        <v>1917226</v>
      </c>
      <c r="B1883" s="1060" t="s">
        <v>23541</v>
      </c>
      <c r="C1883" s="1059" t="s">
        <v>38</v>
      </c>
      <c r="D1883" s="1061">
        <v>9.0500000000000007</v>
      </c>
    </row>
    <row r="1884" spans="1:4" ht="18" customHeight="1" x14ac:dyDescent="0.25">
      <c r="A1884" s="1059">
        <v>1917227</v>
      </c>
      <c r="B1884" s="1060" t="s">
        <v>23542</v>
      </c>
      <c r="C1884" s="1059" t="s">
        <v>38</v>
      </c>
      <c r="D1884" s="1061">
        <v>9.61</v>
      </c>
    </row>
    <row r="1885" spans="1:4" ht="18" customHeight="1" x14ac:dyDescent="0.25">
      <c r="A1885" s="1059">
        <v>1917228</v>
      </c>
      <c r="B1885" s="1060" t="s">
        <v>23543</v>
      </c>
      <c r="C1885" s="1059" t="s">
        <v>38</v>
      </c>
      <c r="D1885" s="1061">
        <v>10.07</v>
      </c>
    </row>
    <row r="1886" spans="1:4" ht="18" customHeight="1" x14ac:dyDescent="0.25">
      <c r="A1886" s="1059">
        <v>1917229</v>
      </c>
      <c r="B1886" s="1060" t="s">
        <v>23544</v>
      </c>
      <c r="C1886" s="1059" t="s">
        <v>38</v>
      </c>
      <c r="D1886" s="1061">
        <v>10.47</v>
      </c>
    </row>
    <row r="1887" spans="1:4" ht="18" customHeight="1" x14ac:dyDescent="0.25">
      <c r="A1887" s="1059">
        <v>1917230</v>
      </c>
      <c r="B1887" s="1060" t="s">
        <v>23545</v>
      </c>
      <c r="C1887" s="1059" t="s">
        <v>38</v>
      </c>
      <c r="D1887" s="1061">
        <v>10.93</v>
      </c>
    </row>
    <row r="1888" spans="1:4" ht="18" customHeight="1" x14ac:dyDescent="0.25">
      <c r="A1888" s="1059">
        <v>1917231</v>
      </c>
      <c r="B1888" s="1060" t="s">
        <v>23546</v>
      </c>
      <c r="C1888" s="1059" t="s">
        <v>38</v>
      </c>
      <c r="D1888" s="1061">
        <v>11.4</v>
      </c>
    </row>
    <row r="1889" spans="1:4" ht="18" customHeight="1" x14ac:dyDescent="0.25">
      <c r="A1889" s="1059">
        <v>1917232</v>
      </c>
      <c r="B1889" s="1060" t="s">
        <v>23547</v>
      </c>
      <c r="C1889" s="1059" t="s">
        <v>38</v>
      </c>
      <c r="D1889" s="1061">
        <v>12.06</v>
      </c>
    </row>
    <row r="1890" spans="1:4" ht="18" customHeight="1" x14ac:dyDescent="0.25">
      <c r="A1890" s="1059">
        <v>1917233</v>
      </c>
      <c r="B1890" s="1060" t="s">
        <v>23548</v>
      </c>
      <c r="C1890" s="1059" t="s">
        <v>38</v>
      </c>
      <c r="D1890" s="1061">
        <v>12.54</v>
      </c>
    </row>
    <row r="1891" spans="1:4" ht="18" customHeight="1" x14ac:dyDescent="0.25">
      <c r="A1891" s="1059">
        <v>1917234</v>
      </c>
      <c r="B1891" s="1060" t="s">
        <v>23549</v>
      </c>
      <c r="C1891" s="1059" t="s">
        <v>38</v>
      </c>
      <c r="D1891" s="1061">
        <v>13.13</v>
      </c>
    </row>
    <row r="1892" spans="1:4" ht="18" customHeight="1" x14ac:dyDescent="0.25">
      <c r="A1892" s="1059">
        <v>1917217</v>
      </c>
      <c r="B1892" s="1060" t="s">
        <v>23550</v>
      </c>
      <c r="C1892" s="1059" t="s">
        <v>38</v>
      </c>
      <c r="D1892" s="1061">
        <v>5.41</v>
      </c>
    </row>
    <row r="1893" spans="1:4" ht="18" customHeight="1" x14ac:dyDescent="0.25">
      <c r="A1893" s="1059">
        <v>1917218</v>
      </c>
      <c r="B1893" s="1060" t="s">
        <v>23551</v>
      </c>
      <c r="C1893" s="1059" t="s">
        <v>38</v>
      </c>
      <c r="D1893" s="1061">
        <v>5.62</v>
      </c>
    </row>
    <row r="1894" spans="1:4" ht="18" customHeight="1" x14ac:dyDescent="0.25">
      <c r="A1894" s="1059">
        <v>1917219</v>
      </c>
      <c r="B1894" s="1060" t="s">
        <v>23552</v>
      </c>
      <c r="C1894" s="1059" t="s">
        <v>38</v>
      </c>
      <c r="D1894" s="1061">
        <v>6.05</v>
      </c>
    </row>
    <row r="1895" spans="1:4" ht="18" customHeight="1" x14ac:dyDescent="0.25">
      <c r="A1895" s="1059">
        <v>1917724</v>
      </c>
      <c r="B1895" s="1060" t="s">
        <v>23553</v>
      </c>
      <c r="C1895" s="1059" t="s">
        <v>38</v>
      </c>
      <c r="D1895" s="1061">
        <v>5.3</v>
      </c>
    </row>
    <row r="1896" spans="1:4" ht="18" customHeight="1" x14ac:dyDescent="0.25">
      <c r="A1896" s="1059">
        <v>1917274</v>
      </c>
      <c r="B1896" s="1060" t="s">
        <v>23554</v>
      </c>
      <c r="C1896" s="1059" t="s">
        <v>38</v>
      </c>
      <c r="D1896" s="1061">
        <v>4.8600000000000003</v>
      </c>
    </row>
    <row r="1897" spans="1:4" ht="18" customHeight="1" x14ac:dyDescent="0.25">
      <c r="A1897" s="1059">
        <v>1917275</v>
      </c>
      <c r="B1897" s="1060" t="s">
        <v>23555</v>
      </c>
      <c r="C1897" s="1059" t="s">
        <v>38</v>
      </c>
      <c r="D1897" s="1061">
        <v>5.17</v>
      </c>
    </row>
    <row r="1898" spans="1:4" ht="18" customHeight="1" x14ac:dyDescent="0.25">
      <c r="A1898" s="1059">
        <v>1917276</v>
      </c>
      <c r="B1898" s="1060" t="s">
        <v>23556</v>
      </c>
      <c r="C1898" s="1059" t="s">
        <v>38</v>
      </c>
      <c r="D1898" s="1061">
        <v>5.63</v>
      </c>
    </row>
    <row r="1899" spans="1:4" ht="18" customHeight="1" x14ac:dyDescent="0.25">
      <c r="A1899" s="1059">
        <v>1917277</v>
      </c>
      <c r="B1899" s="1060" t="s">
        <v>23557</v>
      </c>
      <c r="C1899" s="1059" t="s">
        <v>38</v>
      </c>
      <c r="D1899" s="1061">
        <v>6.04</v>
      </c>
    </row>
    <row r="1900" spans="1:4" ht="18" customHeight="1" x14ac:dyDescent="0.25">
      <c r="A1900" s="1059">
        <v>1917278</v>
      </c>
      <c r="B1900" s="1060" t="s">
        <v>23558</v>
      </c>
      <c r="C1900" s="1059" t="s">
        <v>38</v>
      </c>
      <c r="D1900" s="1061">
        <v>6.21</v>
      </c>
    </row>
    <row r="1901" spans="1:4" ht="18" customHeight="1" x14ac:dyDescent="0.25">
      <c r="A1901" s="1059">
        <v>1917279</v>
      </c>
      <c r="B1901" s="1060" t="s">
        <v>23559</v>
      </c>
      <c r="C1901" s="1059" t="s">
        <v>38</v>
      </c>
      <c r="D1901" s="1061">
        <v>6.62</v>
      </c>
    </row>
    <row r="1902" spans="1:4" ht="18" customHeight="1" x14ac:dyDescent="0.25">
      <c r="A1902" s="1059">
        <v>1917280</v>
      </c>
      <c r="B1902" s="1060" t="s">
        <v>23560</v>
      </c>
      <c r="C1902" s="1059" t="s">
        <v>38</v>
      </c>
      <c r="D1902" s="1061">
        <v>6.99</v>
      </c>
    </row>
    <row r="1903" spans="1:4" ht="18" customHeight="1" x14ac:dyDescent="0.25">
      <c r="A1903" s="1059">
        <v>1917281</v>
      </c>
      <c r="B1903" s="1060" t="s">
        <v>23561</v>
      </c>
      <c r="C1903" s="1059" t="s">
        <v>38</v>
      </c>
      <c r="D1903" s="1061">
        <v>7.48</v>
      </c>
    </row>
    <row r="1904" spans="1:4" ht="18" customHeight="1" x14ac:dyDescent="0.25">
      <c r="A1904" s="1059">
        <v>1917282</v>
      </c>
      <c r="B1904" s="1060" t="s">
        <v>23562</v>
      </c>
      <c r="C1904" s="1059" t="s">
        <v>38</v>
      </c>
      <c r="D1904" s="1061">
        <v>7.85</v>
      </c>
    </row>
    <row r="1905" spans="1:4" ht="18" customHeight="1" x14ac:dyDescent="0.25">
      <c r="A1905" s="1059">
        <v>1917283</v>
      </c>
      <c r="B1905" s="1060" t="s">
        <v>23563</v>
      </c>
      <c r="C1905" s="1059" t="s">
        <v>38</v>
      </c>
      <c r="D1905" s="1061">
        <v>8.2200000000000006</v>
      </c>
    </row>
    <row r="1906" spans="1:4" ht="18" customHeight="1" x14ac:dyDescent="0.25">
      <c r="A1906" s="1059">
        <v>1917284</v>
      </c>
      <c r="B1906" s="1060" t="s">
        <v>23564</v>
      </c>
      <c r="C1906" s="1059" t="s">
        <v>38</v>
      </c>
      <c r="D1906" s="1061">
        <v>8.57</v>
      </c>
    </row>
    <row r="1907" spans="1:4" ht="18" customHeight="1" x14ac:dyDescent="0.25">
      <c r="A1907" s="1059">
        <v>1917285</v>
      </c>
      <c r="B1907" s="1060" t="s">
        <v>23565</v>
      </c>
      <c r="C1907" s="1059" t="s">
        <v>38</v>
      </c>
      <c r="D1907" s="1061">
        <v>8.9600000000000009</v>
      </c>
    </row>
    <row r="1908" spans="1:4" ht="18" customHeight="1" x14ac:dyDescent="0.25">
      <c r="A1908" s="1059">
        <v>1917286</v>
      </c>
      <c r="B1908" s="1060" t="s">
        <v>23566</v>
      </c>
      <c r="C1908" s="1059" t="s">
        <v>38</v>
      </c>
      <c r="D1908" s="1061">
        <v>9.56</v>
      </c>
    </row>
    <row r="1909" spans="1:4" ht="18" customHeight="1" x14ac:dyDescent="0.25">
      <c r="A1909" s="1059">
        <v>1917287</v>
      </c>
      <c r="B1909" s="1060" t="s">
        <v>23567</v>
      </c>
      <c r="C1909" s="1059" t="s">
        <v>38</v>
      </c>
      <c r="D1909" s="1061">
        <v>9.99</v>
      </c>
    </row>
    <row r="1910" spans="1:4" ht="18" customHeight="1" x14ac:dyDescent="0.25">
      <c r="A1910" s="1059">
        <v>1917288</v>
      </c>
      <c r="B1910" s="1060" t="s">
        <v>23568</v>
      </c>
      <c r="C1910" s="1059" t="s">
        <v>38</v>
      </c>
      <c r="D1910" s="1061">
        <v>10.43</v>
      </c>
    </row>
    <row r="1911" spans="1:4" ht="18" customHeight="1" x14ac:dyDescent="0.25">
      <c r="A1911" s="1059">
        <v>1917289</v>
      </c>
      <c r="B1911" s="1060" t="s">
        <v>23569</v>
      </c>
      <c r="C1911" s="1059" t="s">
        <v>38</v>
      </c>
      <c r="D1911" s="1061">
        <v>10.91</v>
      </c>
    </row>
    <row r="1912" spans="1:4" ht="18" customHeight="1" x14ac:dyDescent="0.25">
      <c r="A1912" s="1059">
        <v>1917290</v>
      </c>
      <c r="B1912" s="1060" t="s">
        <v>23570</v>
      </c>
      <c r="C1912" s="1059" t="s">
        <v>38</v>
      </c>
      <c r="D1912" s="1061">
        <v>11.41</v>
      </c>
    </row>
    <row r="1913" spans="1:4" ht="18" customHeight="1" x14ac:dyDescent="0.25">
      <c r="A1913" s="1059">
        <v>1917291</v>
      </c>
      <c r="B1913" s="1060" t="s">
        <v>23571</v>
      </c>
      <c r="C1913" s="1059" t="s">
        <v>38</v>
      </c>
      <c r="D1913" s="1061">
        <v>12.09</v>
      </c>
    </row>
    <row r="1914" spans="1:4" ht="18" customHeight="1" x14ac:dyDescent="0.25">
      <c r="A1914" s="1059">
        <v>1917292</v>
      </c>
      <c r="B1914" s="1060" t="s">
        <v>23572</v>
      </c>
      <c r="C1914" s="1059" t="s">
        <v>38</v>
      </c>
      <c r="D1914" s="1061">
        <v>12.64</v>
      </c>
    </row>
    <row r="1915" spans="1:4" ht="18" customHeight="1" x14ac:dyDescent="0.25">
      <c r="A1915" s="1059">
        <v>1917293</v>
      </c>
      <c r="B1915" s="1060" t="s">
        <v>23573</v>
      </c>
      <c r="C1915" s="1059" t="s">
        <v>38</v>
      </c>
      <c r="D1915" s="1061">
        <v>13.21</v>
      </c>
    </row>
    <row r="1916" spans="1:4" ht="18" customHeight="1" x14ac:dyDescent="0.25">
      <c r="A1916" s="1059">
        <v>1917294</v>
      </c>
      <c r="B1916" s="1060" t="s">
        <v>23574</v>
      </c>
      <c r="C1916" s="1059" t="s">
        <v>38</v>
      </c>
      <c r="D1916" s="1061">
        <v>13.96</v>
      </c>
    </row>
    <row r="1917" spans="1:4" ht="18" customHeight="1" x14ac:dyDescent="0.25">
      <c r="A1917" s="1059">
        <v>1917295</v>
      </c>
      <c r="B1917" s="1060" t="s">
        <v>23575</v>
      </c>
      <c r="C1917" s="1059" t="s">
        <v>38</v>
      </c>
      <c r="D1917" s="1061">
        <v>14.71</v>
      </c>
    </row>
    <row r="1918" spans="1:4" ht="18" customHeight="1" x14ac:dyDescent="0.25">
      <c r="A1918" s="1059">
        <v>1917296</v>
      </c>
      <c r="B1918" s="1060" t="s">
        <v>23576</v>
      </c>
      <c r="C1918" s="1059" t="s">
        <v>38</v>
      </c>
      <c r="D1918" s="1061">
        <v>15.72</v>
      </c>
    </row>
    <row r="1919" spans="1:4" ht="18" customHeight="1" x14ac:dyDescent="0.25">
      <c r="A1919" s="1059">
        <v>1917297</v>
      </c>
      <c r="B1919" s="1060" t="s">
        <v>23577</v>
      </c>
      <c r="C1919" s="1059" t="s">
        <v>38</v>
      </c>
      <c r="D1919" s="1061">
        <v>16.68</v>
      </c>
    </row>
    <row r="1920" spans="1:4" ht="18" customHeight="1" x14ac:dyDescent="0.25">
      <c r="A1920" s="1059">
        <v>1917298</v>
      </c>
      <c r="B1920" s="1060" t="s">
        <v>23578</v>
      </c>
      <c r="C1920" s="1059" t="s">
        <v>38</v>
      </c>
      <c r="D1920" s="1061">
        <v>17.73</v>
      </c>
    </row>
    <row r="1921" spans="1:4" ht="18" customHeight="1" x14ac:dyDescent="0.25">
      <c r="A1921" s="1059">
        <v>1917271</v>
      </c>
      <c r="B1921" s="1060" t="s">
        <v>23579</v>
      </c>
      <c r="C1921" s="1059" t="s">
        <v>38</v>
      </c>
      <c r="D1921" s="1061">
        <v>4.09</v>
      </c>
    </row>
    <row r="1922" spans="1:4" ht="18" customHeight="1" x14ac:dyDescent="0.25">
      <c r="A1922" s="1059">
        <v>1917299</v>
      </c>
      <c r="B1922" s="1060" t="s">
        <v>23580</v>
      </c>
      <c r="C1922" s="1059" t="s">
        <v>38</v>
      </c>
      <c r="D1922" s="1061">
        <v>18.96</v>
      </c>
    </row>
    <row r="1923" spans="1:4" ht="18" customHeight="1" x14ac:dyDescent="0.25">
      <c r="A1923" s="1059">
        <v>1917300</v>
      </c>
      <c r="B1923" s="1060" t="s">
        <v>23581</v>
      </c>
      <c r="C1923" s="1059" t="s">
        <v>38</v>
      </c>
      <c r="D1923" s="1061">
        <v>20.32</v>
      </c>
    </row>
    <row r="1924" spans="1:4" ht="18" customHeight="1" x14ac:dyDescent="0.25">
      <c r="A1924" s="1059">
        <v>1917301</v>
      </c>
      <c r="B1924" s="1060" t="s">
        <v>23582</v>
      </c>
      <c r="C1924" s="1059" t="s">
        <v>38</v>
      </c>
      <c r="D1924" s="1061">
        <v>22.07</v>
      </c>
    </row>
    <row r="1925" spans="1:4" ht="18" customHeight="1" x14ac:dyDescent="0.25">
      <c r="A1925" s="1059">
        <v>1917302</v>
      </c>
      <c r="B1925" s="1060" t="s">
        <v>23583</v>
      </c>
      <c r="C1925" s="1059" t="s">
        <v>38</v>
      </c>
      <c r="D1925" s="1061">
        <v>23.76</v>
      </c>
    </row>
    <row r="1926" spans="1:4" ht="18" customHeight="1" x14ac:dyDescent="0.25">
      <c r="A1926" s="1059">
        <v>1917303</v>
      </c>
      <c r="B1926" s="1060" t="s">
        <v>23584</v>
      </c>
      <c r="C1926" s="1059" t="s">
        <v>38</v>
      </c>
      <c r="D1926" s="1061">
        <v>25.35</v>
      </c>
    </row>
    <row r="1927" spans="1:4" ht="18" customHeight="1" x14ac:dyDescent="0.25">
      <c r="A1927" s="1059">
        <v>1917304</v>
      </c>
      <c r="B1927" s="1060" t="s">
        <v>23585</v>
      </c>
      <c r="C1927" s="1059" t="s">
        <v>38</v>
      </c>
      <c r="D1927" s="1061">
        <v>26.9</v>
      </c>
    </row>
    <row r="1928" spans="1:4" ht="18" customHeight="1" x14ac:dyDescent="0.25">
      <c r="A1928" s="1059">
        <v>1917305</v>
      </c>
      <c r="B1928" s="1060" t="s">
        <v>23586</v>
      </c>
      <c r="C1928" s="1059" t="s">
        <v>38</v>
      </c>
      <c r="D1928" s="1061">
        <v>28.62</v>
      </c>
    </row>
    <row r="1929" spans="1:4" ht="18" customHeight="1" x14ac:dyDescent="0.25">
      <c r="A1929" s="1059">
        <v>1917306</v>
      </c>
      <c r="B1929" s="1060" t="s">
        <v>23587</v>
      </c>
      <c r="C1929" s="1059" t="s">
        <v>38</v>
      </c>
      <c r="D1929" s="1061">
        <v>30.7</v>
      </c>
    </row>
    <row r="1930" spans="1:4" ht="18" customHeight="1" x14ac:dyDescent="0.25">
      <c r="A1930" s="1059">
        <v>1917307</v>
      </c>
      <c r="B1930" s="1060" t="s">
        <v>23588</v>
      </c>
      <c r="C1930" s="1059" t="s">
        <v>38</v>
      </c>
      <c r="D1930" s="1061">
        <v>32.26</v>
      </c>
    </row>
    <row r="1931" spans="1:4" ht="18" customHeight="1" x14ac:dyDescent="0.25">
      <c r="A1931" s="1059">
        <v>1917272</v>
      </c>
      <c r="B1931" s="1060" t="s">
        <v>23589</v>
      </c>
      <c r="C1931" s="1059" t="s">
        <v>38</v>
      </c>
      <c r="D1931" s="1061">
        <v>4.29</v>
      </c>
    </row>
    <row r="1932" spans="1:4" ht="18" customHeight="1" x14ac:dyDescent="0.25">
      <c r="A1932" s="1059">
        <v>1917273</v>
      </c>
      <c r="B1932" s="1060" t="s">
        <v>23590</v>
      </c>
      <c r="C1932" s="1059" t="s">
        <v>38</v>
      </c>
      <c r="D1932" s="1061">
        <v>4.5199999999999996</v>
      </c>
    </row>
    <row r="1933" spans="1:4" ht="18" customHeight="1" x14ac:dyDescent="0.25">
      <c r="A1933" s="1059">
        <v>1917729</v>
      </c>
      <c r="B1933" s="1060" t="s">
        <v>23591</v>
      </c>
      <c r="C1933" s="1059" t="s">
        <v>38</v>
      </c>
      <c r="D1933" s="1061">
        <v>4.03</v>
      </c>
    </row>
    <row r="1934" spans="1:4" ht="18" customHeight="1" x14ac:dyDescent="0.25">
      <c r="A1934" s="1059">
        <v>1917367</v>
      </c>
      <c r="B1934" s="1060" t="s">
        <v>23592</v>
      </c>
      <c r="C1934" s="1059" t="s">
        <v>38</v>
      </c>
      <c r="D1934" s="1061">
        <v>4.59</v>
      </c>
    </row>
    <row r="1935" spans="1:4" ht="18" customHeight="1" x14ac:dyDescent="0.25">
      <c r="A1935" s="1059">
        <v>1917368</v>
      </c>
      <c r="B1935" s="1060" t="s">
        <v>23593</v>
      </c>
      <c r="C1935" s="1059" t="s">
        <v>38</v>
      </c>
      <c r="D1935" s="1061">
        <v>4.91</v>
      </c>
    </row>
    <row r="1936" spans="1:4" ht="18" customHeight="1" x14ac:dyDescent="0.25">
      <c r="A1936" s="1059">
        <v>1917369</v>
      </c>
      <c r="B1936" s="1060" t="s">
        <v>23594</v>
      </c>
      <c r="C1936" s="1059" t="s">
        <v>38</v>
      </c>
      <c r="D1936" s="1061">
        <v>5.36</v>
      </c>
    </row>
    <row r="1937" spans="1:4" ht="18" customHeight="1" x14ac:dyDescent="0.25">
      <c r="A1937" s="1059">
        <v>1917370</v>
      </c>
      <c r="B1937" s="1060" t="s">
        <v>23595</v>
      </c>
      <c r="C1937" s="1059" t="s">
        <v>38</v>
      </c>
      <c r="D1937" s="1061">
        <v>5.64</v>
      </c>
    </row>
    <row r="1938" spans="1:4" ht="18" customHeight="1" x14ac:dyDescent="0.25">
      <c r="A1938" s="1059">
        <v>1917371</v>
      </c>
      <c r="B1938" s="1060" t="s">
        <v>23596</v>
      </c>
      <c r="C1938" s="1059" t="s">
        <v>38</v>
      </c>
      <c r="D1938" s="1061">
        <v>5.91</v>
      </c>
    </row>
    <row r="1939" spans="1:4" ht="18" customHeight="1" x14ac:dyDescent="0.25">
      <c r="A1939" s="1059">
        <v>1917372</v>
      </c>
      <c r="B1939" s="1060" t="s">
        <v>23597</v>
      </c>
      <c r="C1939" s="1059" t="s">
        <v>38</v>
      </c>
      <c r="D1939" s="1061">
        <v>6.19</v>
      </c>
    </row>
    <row r="1940" spans="1:4" ht="18" customHeight="1" x14ac:dyDescent="0.25">
      <c r="A1940" s="1059">
        <v>1917373</v>
      </c>
      <c r="B1940" s="1060" t="s">
        <v>23598</v>
      </c>
      <c r="C1940" s="1059" t="s">
        <v>38</v>
      </c>
      <c r="D1940" s="1061">
        <v>6.42</v>
      </c>
    </row>
    <row r="1941" spans="1:4" ht="18" customHeight="1" x14ac:dyDescent="0.25">
      <c r="A1941" s="1059">
        <v>1917374</v>
      </c>
      <c r="B1941" s="1060" t="s">
        <v>23599</v>
      </c>
      <c r="C1941" s="1059" t="s">
        <v>38</v>
      </c>
      <c r="D1941" s="1061">
        <v>6.91</v>
      </c>
    </row>
    <row r="1942" spans="1:4" ht="18" customHeight="1" x14ac:dyDescent="0.25">
      <c r="A1942" s="1059">
        <v>1917375</v>
      </c>
      <c r="B1942" s="1060" t="s">
        <v>23600</v>
      </c>
      <c r="C1942" s="1059" t="s">
        <v>38</v>
      </c>
      <c r="D1942" s="1061">
        <v>7.16</v>
      </c>
    </row>
    <row r="1943" spans="1:4" ht="18" customHeight="1" x14ac:dyDescent="0.25">
      <c r="A1943" s="1059">
        <v>1917376</v>
      </c>
      <c r="B1943" s="1060" t="s">
        <v>23601</v>
      </c>
      <c r="C1943" s="1059" t="s">
        <v>38</v>
      </c>
      <c r="D1943" s="1061">
        <v>7.42</v>
      </c>
    </row>
    <row r="1944" spans="1:4" ht="18" customHeight="1" x14ac:dyDescent="0.25">
      <c r="A1944" s="1059">
        <v>1917377</v>
      </c>
      <c r="B1944" s="1060" t="s">
        <v>23602</v>
      </c>
      <c r="C1944" s="1059" t="s">
        <v>38</v>
      </c>
      <c r="D1944" s="1061">
        <v>7.68</v>
      </c>
    </row>
    <row r="1945" spans="1:4" ht="18" customHeight="1" x14ac:dyDescent="0.25">
      <c r="A1945" s="1059">
        <v>1917378</v>
      </c>
      <c r="B1945" s="1060" t="s">
        <v>23603</v>
      </c>
      <c r="C1945" s="1059" t="s">
        <v>38</v>
      </c>
      <c r="D1945" s="1061">
        <v>7.95</v>
      </c>
    </row>
    <row r="1946" spans="1:4" ht="18" customHeight="1" x14ac:dyDescent="0.25">
      <c r="A1946" s="1059">
        <v>1917379</v>
      </c>
      <c r="B1946" s="1060" t="s">
        <v>23604</v>
      </c>
      <c r="C1946" s="1059" t="s">
        <v>38</v>
      </c>
      <c r="D1946" s="1061">
        <v>8.4600000000000009</v>
      </c>
    </row>
    <row r="1947" spans="1:4" ht="18" customHeight="1" x14ac:dyDescent="0.25">
      <c r="A1947" s="1059">
        <v>1917380</v>
      </c>
      <c r="B1947" s="1060" t="s">
        <v>23605</v>
      </c>
      <c r="C1947" s="1059" t="s">
        <v>38</v>
      </c>
      <c r="D1947" s="1061">
        <v>8.7799999999999994</v>
      </c>
    </row>
    <row r="1948" spans="1:4" ht="18" customHeight="1" x14ac:dyDescent="0.25">
      <c r="A1948" s="1059">
        <v>1917381</v>
      </c>
      <c r="B1948" s="1060" t="s">
        <v>23606</v>
      </c>
      <c r="C1948" s="1059" t="s">
        <v>38</v>
      </c>
      <c r="D1948" s="1061">
        <v>9.11</v>
      </c>
    </row>
    <row r="1949" spans="1:4" ht="18" customHeight="1" x14ac:dyDescent="0.25">
      <c r="A1949" s="1059">
        <v>1917382</v>
      </c>
      <c r="B1949" s="1060" t="s">
        <v>23607</v>
      </c>
      <c r="C1949" s="1059" t="s">
        <v>38</v>
      </c>
      <c r="D1949" s="1061">
        <v>9.51</v>
      </c>
    </row>
    <row r="1950" spans="1:4" ht="18" customHeight="1" x14ac:dyDescent="0.25">
      <c r="A1950" s="1059">
        <v>1917383</v>
      </c>
      <c r="B1950" s="1060" t="s">
        <v>23608</v>
      </c>
      <c r="C1950" s="1059" t="s">
        <v>38</v>
      </c>
      <c r="D1950" s="1061">
        <v>9.86</v>
      </c>
    </row>
    <row r="1951" spans="1:4" ht="18" customHeight="1" x14ac:dyDescent="0.25">
      <c r="A1951" s="1059">
        <v>1917384</v>
      </c>
      <c r="B1951" s="1060" t="s">
        <v>23609</v>
      </c>
      <c r="C1951" s="1059" t="s">
        <v>38</v>
      </c>
      <c r="D1951" s="1061">
        <v>10.44</v>
      </c>
    </row>
    <row r="1952" spans="1:4" ht="18" customHeight="1" x14ac:dyDescent="0.25">
      <c r="A1952" s="1059">
        <v>1917385</v>
      </c>
      <c r="B1952" s="1060" t="s">
        <v>23610</v>
      </c>
      <c r="C1952" s="1059" t="s">
        <v>38</v>
      </c>
      <c r="D1952" s="1061">
        <v>10.87</v>
      </c>
    </row>
    <row r="1953" spans="1:4" ht="18" customHeight="1" x14ac:dyDescent="0.25">
      <c r="A1953" s="1059">
        <v>1917386</v>
      </c>
      <c r="B1953" s="1060" t="s">
        <v>23611</v>
      </c>
      <c r="C1953" s="1059" t="s">
        <v>38</v>
      </c>
      <c r="D1953" s="1061">
        <v>11.32</v>
      </c>
    </row>
    <row r="1954" spans="1:4" ht="18" customHeight="1" x14ac:dyDescent="0.25">
      <c r="A1954" s="1059">
        <v>1917387</v>
      </c>
      <c r="B1954" s="1060" t="s">
        <v>23612</v>
      </c>
      <c r="C1954" s="1059" t="s">
        <v>38</v>
      </c>
      <c r="D1954" s="1061">
        <v>11.8</v>
      </c>
    </row>
    <row r="1955" spans="1:4" ht="18" customHeight="1" x14ac:dyDescent="0.25">
      <c r="A1955" s="1059">
        <v>1917388</v>
      </c>
      <c r="B1955" s="1060" t="s">
        <v>23613</v>
      </c>
      <c r="C1955" s="1059" t="s">
        <v>38</v>
      </c>
      <c r="D1955" s="1061">
        <v>12.29</v>
      </c>
    </row>
    <row r="1956" spans="1:4" ht="18" customHeight="1" x14ac:dyDescent="0.25">
      <c r="A1956" s="1059">
        <v>1917389</v>
      </c>
      <c r="B1956" s="1060" t="s">
        <v>23614</v>
      </c>
      <c r="C1956" s="1059" t="s">
        <v>38</v>
      </c>
      <c r="D1956" s="1061">
        <v>13.02</v>
      </c>
    </row>
    <row r="1957" spans="1:4" ht="18" customHeight="1" x14ac:dyDescent="0.25">
      <c r="A1957" s="1059">
        <v>1917390</v>
      </c>
      <c r="B1957" s="1060" t="s">
        <v>23615</v>
      </c>
      <c r="C1957" s="1059" t="s">
        <v>38</v>
      </c>
      <c r="D1957" s="1061">
        <v>13.69</v>
      </c>
    </row>
    <row r="1958" spans="1:4" ht="18" customHeight="1" x14ac:dyDescent="0.25">
      <c r="A1958" s="1059">
        <v>1917391</v>
      </c>
      <c r="B1958" s="1060" t="s">
        <v>23616</v>
      </c>
      <c r="C1958" s="1059" t="s">
        <v>38</v>
      </c>
      <c r="D1958" s="1061">
        <v>14.41</v>
      </c>
    </row>
    <row r="1959" spans="1:4" ht="18" customHeight="1" x14ac:dyDescent="0.25">
      <c r="A1959" s="1059">
        <v>1917364</v>
      </c>
      <c r="B1959" s="1060" t="s">
        <v>23617</v>
      </c>
      <c r="C1959" s="1059" t="s">
        <v>38</v>
      </c>
      <c r="D1959" s="1061">
        <v>3.67</v>
      </c>
    </row>
    <row r="1960" spans="1:4" ht="18" customHeight="1" x14ac:dyDescent="0.25">
      <c r="A1960" s="1059">
        <v>1917392</v>
      </c>
      <c r="B1960" s="1060" t="s">
        <v>23618</v>
      </c>
      <c r="C1960" s="1059" t="s">
        <v>38</v>
      </c>
      <c r="D1960" s="1061">
        <v>15.3</v>
      </c>
    </row>
    <row r="1961" spans="1:4" ht="18" customHeight="1" x14ac:dyDescent="0.25">
      <c r="A1961" s="1059">
        <v>1917393</v>
      </c>
      <c r="B1961" s="1060" t="s">
        <v>23619</v>
      </c>
      <c r="C1961" s="1059" t="s">
        <v>38</v>
      </c>
      <c r="D1961" s="1061">
        <v>16.25</v>
      </c>
    </row>
    <row r="1962" spans="1:4" ht="18" customHeight="1" x14ac:dyDescent="0.25">
      <c r="A1962" s="1059">
        <v>1917394</v>
      </c>
      <c r="B1962" s="1060" t="s">
        <v>23620</v>
      </c>
      <c r="C1962" s="1059" t="s">
        <v>38</v>
      </c>
      <c r="D1962" s="1061">
        <v>17.55</v>
      </c>
    </row>
    <row r="1963" spans="1:4" ht="18" customHeight="1" x14ac:dyDescent="0.25">
      <c r="A1963" s="1059">
        <v>1917395</v>
      </c>
      <c r="B1963" s="1060" t="s">
        <v>23621</v>
      </c>
      <c r="C1963" s="1059" t="s">
        <v>38</v>
      </c>
      <c r="D1963" s="1061">
        <v>18.48</v>
      </c>
    </row>
    <row r="1964" spans="1:4" ht="18" customHeight="1" x14ac:dyDescent="0.25">
      <c r="A1964" s="1059">
        <v>1917396</v>
      </c>
      <c r="B1964" s="1060" t="s">
        <v>23622</v>
      </c>
      <c r="C1964" s="1059" t="s">
        <v>38</v>
      </c>
      <c r="D1964" s="1061">
        <v>19.54</v>
      </c>
    </row>
    <row r="1965" spans="1:4" ht="18" customHeight="1" x14ac:dyDescent="0.25">
      <c r="A1965" s="1059">
        <v>1917397</v>
      </c>
      <c r="B1965" s="1060" t="s">
        <v>23623</v>
      </c>
      <c r="C1965" s="1059" t="s">
        <v>38</v>
      </c>
      <c r="D1965" s="1061">
        <v>20.75</v>
      </c>
    </row>
    <row r="1966" spans="1:4" ht="18" customHeight="1" x14ac:dyDescent="0.25">
      <c r="A1966" s="1059">
        <v>1917398</v>
      </c>
      <c r="B1966" s="1060" t="s">
        <v>23624</v>
      </c>
      <c r="C1966" s="1059" t="s">
        <v>38</v>
      </c>
      <c r="D1966" s="1061">
        <v>21.82</v>
      </c>
    </row>
    <row r="1967" spans="1:4" ht="18" customHeight="1" x14ac:dyDescent="0.25">
      <c r="A1967" s="1059">
        <v>1917399</v>
      </c>
      <c r="B1967" s="1060" t="s">
        <v>23625</v>
      </c>
      <c r="C1967" s="1059" t="s">
        <v>38</v>
      </c>
      <c r="D1967" s="1061">
        <v>23.29</v>
      </c>
    </row>
    <row r="1968" spans="1:4" ht="18" customHeight="1" x14ac:dyDescent="0.25">
      <c r="A1968" s="1059">
        <v>1917400</v>
      </c>
      <c r="B1968" s="1060" t="s">
        <v>23626</v>
      </c>
      <c r="C1968" s="1059" t="s">
        <v>38</v>
      </c>
      <c r="D1968" s="1061">
        <v>24.66</v>
      </c>
    </row>
    <row r="1969" spans="1:4" ht="18" customHeight="1" x14ac:dyDescent="0.25">
      <c r="A1969" s="1059">
        <v>1917401</v>
      </c>
      <c r="B1969" s="1060" t="s">
        <v>23627</v>
      </c>
      <c r="C1969" s="1059" t="s">
        <v>38</v>
      </c>
      <c r="D1969" s="1061">
        <v>25.9</v>
      </c>
    </row>
    <row r="1970" spans="1:4" ht="18" customHeight="1" x14ac:dyDescent="0.25">
      <c r="A1970" s="1059">
        <v>1917365</v>
      </c>
      <c r="B1970" s="1060" t="s">
        <v>23628</v>
      </c>
      <c r="C1970" s="1059" t="s">
        <v>38</v>
      </c>
      <c r="D1970" s="1061">
        <v>4.0199999999999996</v>
      </c>
    </row>
    <row r="1971" spans="1:4" ht="18" customHeight="1" x14ac:dyDescent="0.25">
      <c r="A1971" s="1059">
        <v>1917402</v>
      </c>
      <c r="B1971" s="1060" t="s">
        <v>23629</v>
      </c>
      <c r="C1971" s="1059" t="s">
        <v>38</v>
      </c>
      <c r="D1971" s="1061">
        <v>27.35</v>
      </c>
    </row>
    <row r="1972" spans="1:4" ht="18" customHeight="1" x14ac:dyDescent="0.25">
      <c r="A1972" s="1059">
        <v>1917403</v>
      </c>
      <c r="B1972" s="1060" t="s">
        <v>23630</v>
      </c>
      <c r="C1972" s="1059" t="s">
        <v>38</v>
      </c>
      <c r="D1972" s="1061">
        <v>28.97</v>
      </c>
    </row>
    <row r="1973" spans="1:4" ht="18" customHeight="1" x14ac:dyDescent="0.25">
      <c r="A1973" s="1059">
        <v>1917404</v>
      </c>
      <c r="B1973" s="1060" t="s">
        <v>23631</v>
      </c>
      <c r="C1973" s="1059" t="s">
        <v>38</v>
      </c>
      <c r="D1973" s="1061">
        <v>30.61</v>
      </c>
    </row>
    <row r="1974" spans="1:4" ht="18" customHeight="1" x14ac:dyDescent="0.25">
      <c r="A1974" s="1059">
        <v>1917405</v>
      </c>
      <c r="B1974" s="1060" t="s">
        <v>23632</v>
      </c>
      <c r="C1974" s="1059" t="s">
        <v>38</v>
      </c>
      <c r="D1974" s="1061">
        <v>32.200000000000003</v>
      </c>
    </row>
    <row r="1975" spans="1:4" ht="18" customHeight="1" x14ac:dyDescent="0.25">
      <c r="A1975" s="1059">
        <v>1917406</v>
      </c>
      <c r="B1975" s="1060" t="s">
        <v>23633</v>
      </c>
      <c r="C1975" s="1059" t="s">
        <v>38</v>
      </c>
      <c r="D1975" s="1061">
        <v>33.96</v>
      </c>
    </row>
    <row r="1976" spans="1:4" ht="18" customHeight="1" x14ac:dyDescent="0.25">
      <c r="A1976" s="1059">
        <v>1917407</v>
      </c>
      <c r="B1976" s="1060" t="s">
        <v>23634</v>
      </c>
      <c r="C1976" s="1059" t="s">
        <v>38</v>
      </c>
      <c r="D1976" s="1061">
        <v>35.96</v>
      </c>
    </row>
    <row r="1977" spans="1:4" ht="18" customHeight="1" x14ac:dyDescent="0.25">
      <c r="A1977" s="1059">
        <v>1917408</v>
      </c>
      <c r="B1977" s="1060" t="s">
        <v>23635</v>
      </c>
      <c r="C1977" s="1059" t="s">
        <v>38</v>
      </c>
      <c r="D1977" s="1061">
        <v>38.19</v>
      </c>
    </row>
    <row r="1978" spans="1:4" ht="18" customHeight="1" x14ac:dyDescent="0.25">
      <c r="A1978" s="1059">
        <v>1917409</v>
      </c>
      <c r="B1978" s="1060" t="s">
        <v>23636</v>
      </c>
      <c r="C1978" s="1059" t="s">
        <v>38</v>
      </c>
      <c r="D1978" s="1061">
        <v>39.94</v>
      </c>
    </row>
    <row r="1979" spans="1:4" ht="18" customHeight="1" x14ac:dyDescent="0.25">
      <c r="A1979" s="1059">
        <v>1917410</v>
      </c>
      <c r="B1979" s="1060" t="s">
        <v>23637</v>
      </c>
      <c r="C1979" s="1059" t="s">
        <v>38</v>
      </c>
      <c r="D1979" s="1061">
        <v>41.56</v>
      </c>
    </row>
    <row r="1980" spans="1:4" ht="18" customHeight="1" x14ac:dyDescent="0.25">
      <c r="A1980" s="1059">
        <v>1917411</v>
      </c>
      <c r="B1980" s="1060" t="s">
        <v>23638</v>
      </c>
      <c r="C1980" s="1059" t="s">
        <v>38</v>
      </c>
      <c r="D1980" s="1061">
        <v>43.37</v>
      </c>
    </row>
    <row r="1981" spans="1:4" ht="18" customHeight="1" x14ac:dyDescent="0.25">
      <c r="A1981" s="1059">
        <v>1917366</v>
      </c>
      <c r="B1981" s="1060" t="s">
        <v>23639</v>
      </c>
      <c r="C1981" s="1059" t="s">
        <v>38</v>
      </c>
      <c r="D1981" s="1061">
        <v>4.28</v>
      </c>
    </row>
    <row r="1982" spans="1:4" ht="18" customHeight="1" x14ac:dyDescent="0.25">
      <c r="A1982" s="1059">
        <v>1917732</v>
      </c>
      <c r="B1982" s="1060" t="s">
        <v>23640</v>
      </c>
      <c r="C1982" s="1059" t="s">
        <v>38</v>
      </c>
      <c r="D1982" s="1061">
        <v>3.43</v>
      </c>
    </row>
    <row r="1983" spans="1:4" ht="9" customHeight="1" x14ac:dyDescent="0.25">
      <c r="A1983" s="1059">
        <v>1917043</v>
      </c>
      <c r="B1983" s="1060" t="s">
        <v>23641</v>
      </c>
      <c r="C1983" s="1059" t="s">
        <v>38</v>
      </c>
      <c r="D1983" s="1061">
        <v>12.36</v>
      </c>
    </row>
    <row r="1984" spans="1:4" ht="9" customHeight="1" x14ac:dyDescent="0.25">
      <c r="A1984" s="1059">
        <v>1917044</v>
      </c>
      <c r="B1984" s="1060" t="s">
        <v>23642</v>
      </c>
      <c r="C1984" s="1059" t="s">
        <v>38</v>
      </c>
      <c r="D1984" s="1061">
        <v>12.57</v>
      </c>
    </row>
    <row r="1985" spans="1:4" ht="9" customHeight="1" x14ac:dyDescent="0.25">
      <c r="A1985" s="1059">
        <v>1917045</v>
      </c>
      <c r="B1985" s="1060" t="s">
        <v>23643</v>
      </c>
      <c r="C1985" s="1059" t="s">
        <v>38</v>
      </c>
      <c r="D1985" s="1061">
        <v>12.79</v>
      </c>
    </row>
    <row r="1986" spans="1:4" ht="9" customHeight="1" x14ac:dyDescent="0.25">
      <c r="A1986" s="1059">
        <v>1917046</v>
      </c>
      <c r="B1986" s="1060" t="s">
        <v>23644</v>
      </c>
      <c r="C1986" s="1059" t="s">
        <v>38</v>
      </c>
      <c r="D1986" s="1061">
        <v>13.02</v>
      </c>
    </row>
    <row r="1987" spans="1:4" ht="9" customHeight="1" x14ac:dyDescent="0.25">
      <c r="A1987" s="1059">
        <v>1917047</v>
      </c>
      <c r="B1987" s="1060" t="s">
        <v>23645</v>
      </c>
      <c r="C1987" s="1059" t="s">
        <v>38</v>
      </c>
      <c r="D1987" s="1061">
        <v>13.27</v>
      </c>
    </row>
    <row r="1988" spans="1:4" ht="9" customHeight="1" x14ac:dyDescent="0.25">
      <c r="A1988" s="1059">
        <v>1917048</v>
      </c>
      <c r="B1988" s="1060" t="s">
        <v>23646</v>
      </c>
      <c r="C1988" s="1059" t="s">
        <v>38</v>
      </c>
      <c r="D1988" s="1061">
        <v>13.4</v>
      </c>
    </row>
    <row r="1989" spans="1:4" ht="9" customHeight="1" x14ac:dyDescent="0.25">
      <c r="A1989" s="1059">
        <v>1901518</v>
      </c>
      <c r="B1989" s="1060" t="s">
        <v>23647</v>
      </c>
      <c r="C1989" s="1059" t="s">
        <v>38</v>
      </c>
      <c r="D1989" s="1061">
        <v>8.4499999999999993</v>
      </c>
    </row>
    <row r="1990" spans="1:4" ht="9" customHeight="1" x14ac:dyDescent="0.25">
      <c r="A1990" s="1059">
        <v>1901519</v>
      </c>
      <c r="B1990" s="1060" t="s">
        <v>23648</v>
      </c>
      <c r="C1990" s="1059" t="s">
        <v>38</v>
      </c>
      <c r="D1990" s="1061">
        <v>8.51</v>
      </c>
    </row>
    <row r="1991" spans="1:4" ht="9" customHeight="1" x14ac:dyDescent="0.25">
      <c r="A1991" s="1059">
        <v>1901520</v>
      </c>
      <c r="B1991" s="1060" t="s">
        <v>23649</v>
      </c>
      <c r="C1991" s="1059" t="s">
        <v>38</v>
      </c>
      <c r="D1991" s="1061">
        <v>8.58</v>
      </c>
    </row>
    <row r="1992" spans="1:4" ht="9" customHeight="1" x14ac:dyDescent="0.25">
      <c r="A1992" s="1059">
        <v>1901521</v>
      </c>
      <c r="B1992" s="1060" t="s">
        <v>23650</v>
      </c>
      <c r="C1992" s="1059" t="s">
        <v>38</v>
      </c>
      <c r="D1992" s="1061">
        <v>8.65</v>
      </c>
    </row>
    <row r="1993" spans="1:4" ht="9" customHeight="1" x14ac:dyDescent="0.25">
      <c r="A1993" s="1059">
        <v>1901522</v>
      </c>
      <c r="B1993" s="1060" t="s">
        <v>23651</v>
      </c>
      <c r="C1993" s="1059" t="s">
        <v>38</v>
      </c>
      <c r="D1993" s="1061">
        <v>8.7200000000000006</v>
      </c>
    </row>
    <row r="1994" spans="1:4" ht="9" customHeight="1" x14ac:dyDescent="0.25">
      <c r="A1994" s="1059">
        <v>1901517</v>
      </c>
      <c r="B1994" s="1060" t="s">
        <v>23652</v>
      </c>
      <c r="C1994" s="1059" t="s">
        <v>38</v>
      </c>
      <c r="D1994" s="1061">
        <v>8.76</v>
      </c>
    </row>
    <row r="1995" spans="1:4" ht="9" customHeight="1" x14ac:dyDescent="0.25">
      <c r="A1995" s="1059">
        <v>1901523</v>
      </c>
      <c r="B1995" s="1060" t="s">
        <v>23653</v>
      </c>
      <c r="C1995" s="1059" t="s">
        <v>38</v>
      </c>
      <c r="D1995" s="1061">
        <v>11.24</v>
      </c>
    </row>
    <row r="1996" spans="1:4" ht="9" customHeight="1" x14ac:dyDescent="0.25">
      <c r="A1996" s="1059">
        <v>1901524</v>
      </c>
      <c r="B1996" s="1060" t="s">
        <v>23654</v>
      </c>
      <c r="C1996" s="1059" t="s">
        <v>38</v>
      </c>
      <c r="D1996" s="1061">
        <v>11.3</v>
      </c>
    </row>
    <row r="1997" spans="1:4" ht="9" customHeight="1" x14ac:dyDescent="0.25">
      <c r="A1997" s="1059">
        <v>1901525</v>
      </c>
      <c r="B1997" s="1060" t="s">
        <v>23655</v>
      </c>
      <c r="C1997" s="1059" t="s">
        <v>38</v>
      </c>
      <c r="D1997" s="1061">
        <v>11.36</v>
      </c>
    </row>
    <row r="1998" spans="1:4" ht="9" customHeight="1" x14ac:dyDescent="0.25">
      <c r="A1998" s="1059">
        <v>1901526</v>
      </c>
      <c r="B1998" s="1060" t="s">
        <v>23656</v>
      </c>
      <c r="C1998" s="1059" t="s">
        <v>38</v>
      </c>
      <c r="D1998" s="1061">
        <v>11.43</v>
      </c>
    </row>
    <row r="1999" spans="1:4" ht="9" customHeight="1" x14ac:dyDescent="0.25">
      <c r="A1999" s="1059">
        <v>1901527</v>
      </c>
      <c r="B1999" s="1060" t="s">
        <v>23657</v>
      </c>
      <c r="C1999" s="1059" t="s">
        <v>38</v>
      </c>
      <c r="D1999" s="1061">
        <v>11.5</v>
      </c>
    </row>
    <row r="2000" spans="1:4" ht="9" customHeight="1" x14ac:dyDescent="0.25">
      <c r="A2000" s="1059">
        <v>1901528</v>
      </c>
      <c r="B2000" s="1060" t="s">
        <v>23658</v>
      </c>
      <c r="C2000" s="1059" t="s">
        <v>38</v>
      </c>
      <c r="D2000" s="1061">
        <v>11.53</v>
      </c>
    </row>
    <row r="2001" spans="1:4" ht="9" customHeight="1" x14ac:dyDescent="0.25">
      <c r="A2001" s="1059">
        <v>1917079</v>
      </c>
      <c r="B2001" s="1060" t="s">
        <v>23659</v>
      </c>
      <c r="C2001" s="1059" t="s">
        <v>38</v>
      </c>
      <c r="D2001" s="1061">
        <v>10.96</v>
      </c>
    </row>
    <row r="2002" spans="1:4" ht="9" customHeight="1" x14ac:dyDescent="0.25">
      <c r="A2002" s="1059">
        <v>1917080</v>
      </c>
      <c r="B2002" s="1060" t="s">
        <v>23660</v>
      </c>
      <c r="C2002" s="1059" t="s">
        <v>38</v>
      </c>
      <c r="D2002" s="1061">
        <v>11.1</v>
      </c>
    </row>
    <row r="2003" spans="1:4" ht="9" customHeight="1" x14ac:dyDescent="0.25">
      <c r="A2003" s="1059">
        <v>1917081</v>
      </c>
      <c r="B2003" s="1060" t="s">
        <v>23661</v>
      </c>
      <c r="C2003" s="1059" t="s">
        <v>38</v>
      </c>
      <c r="D2003" s="1061">
        <v>11.24</v>
      </c>
    </row>
    <row r="2004" spans="1:4" ht="9" customHeight="1" x14ac:dyDescent="0.25">
      <c r="A2004" s="1059">
        <v>1917082</v>
      </c>
      <c r="B2004" s="1060" t="s">
        <v>23662</v>
      </c>
      <c r="C2004" s="1059" t="s">
        <v>38</v>
      </c>
      <c r="D2004" s="1061">
        <v>11.38</v>
      </c>
    </row>
    <row r="2005" spans="1:4" ht="9" customHeight="1" x14ac:dyDescent="0.25">
      <c r="A2005" s="1059">
        <v>1917083</v>
      </c>
      <c r="B2005" s="1060" t="s">
        <v>23663</v>
      </c>
      <c r="C2005" s="1059" t="s">
        <v>38</v>
      </c>
      <c r="D2005" s="1061">
        <v>11.53</v>
      </c>
    </row>
    <row r="2006" spans="1:4" ht="9" customHeight="1" x14ac:dyDescent="0.25">
      <c r="A2006" s="1059">
        <v>1917084</v>
      </c>
      <c r="B2006" s="1060" t="s">
        <v>23664</v>
      </c>
      <c r="C2006" s="1059" t="s">
        <v>38</v>
      </c>
      <c r="D2006" s="1061">
        <v>11.62</v>
      </c>
    </row>
    <row r="2007" spans="1:4" ht="9" customHeight="1" x14ac:dyDescent="0.25">
      <c r="A2007" s="1059">
        <v>1901529</v>
      </c>
      <c r="B2007" s="1060" t="s">
        <v>23665</v>
      </c>
      <c r="C2007" s="1059" t="s">
        <v>38</v>
      </c>
      <c r="D2007" s="1061">
        <v>14.09</v>
      </c>
    </row>
    <row r="2008" spans="1:4" ht="9" customHeight="1" x14ac:dyDescent="0.25">
      <c r="A2008" s="1059">
        <v>1901530</v>
      </c>
      <c r="B2008" s="1060" t="s">
        <v>23666</v>
      </c>
      <c r="C2008" s="1059" t="s">
        <v>38</v>
      </c>
      <c r="D2008" s="1061">
        <v>14.15</v>
      </c>
    </row>
    <row r="2009" spans="1:4" ht="9" customHeight="1" x14ac:dyDescent="0.25">
      <c r="A2009" s="1059">
        <v>1901531</v>
      </c>
      <c r="B2009" s="1060" t="s">
        <v>23667</v>
      </c>
      <c r="C2009" s="1059" t="s">
        <v>38</v>
      </c>
      <c r="D2009" s="1061">
        <v>14.21</v>
      </c>
    </row>
    <row r="2010" spans="1:4" ht="9" customHeight="1" x14ac:dyDescent="0.25">
      <c r="A2010" s="1059">
        <v>1901532</v>
      </c>
      <c r="B2010" s="1060" t="s">
        <v>23668</v>
      </c>
      <c r="C2010" s="1059" t="s">
        <v>38</v>
      </c>
      <c r="D2010" s="1061">
        <v>14.27</v>
      </c>
    </row>
    <row r="2011" spans="1:4" ht="9" customHeight="1" x14ac:dyDescent="0.25">
      <c r="A2011" s="1059">
        <v>1901533</v>
      </c>
      <c r="B2011" s="1060" t="s">
        <v>23669</v>
      </c>
      <c r="C2011" s="1059" t="s">
        <v>38</v>
      </c>
      <c r="D2011" s="1061">
        <v>14.34</v>
      </c>
    </row>
    <row r="2012" spans="1:4" ht="9" customHeight="1" x14ac:dyDescent="0.25">
      <c r="A2012" s="1059">
        <v>1901534</v>
      </c>
      <c r="B2012" s="1060" t="s">
        <v>23670</v>
      </c>
      <c r="C2012" s="1059" t="s">
        <v>38</v>
      </c>
      <c r="D2012" s="1061">
        <v>14.38</v>
      </c>
    </row>
    <row r="2013" spans="1:4" ht="9" customHeight="1" x14ac:dyDescent="0.25">
      <c r="A2013" s="1059">
        <v>1917115</v>
      </c>
      <c r="B2013" s="1060" t="s">
        <v>23671</v>
      </c>
      <c r="C2013" s="1059" t="s">
        <v>38</v>
      </c>
      <c r="D2013" s="1061">
        <v>10.32</v>
      </c>
    </row>
    <row r="2014" spans="1:4" ht="9" customHeight="1" x14ac:dyDescent="0.25">
      <c r="A2014" s="1059">
        <v>1917116</v>
      </c>
      <c r="B2014" s="1060" t="s">
        <v>23672</v>
      </c>
      <c r="C2014" s="1059" t="s">
        <v>38</v>
      </c>
      <c r="D2014" s="1061">
        <v>10.43</v>
      </c>
    </row>
    <row r="2015" spans="1:4" ht="9" customHeight="1" x14ac:dyDescent="0.25">
      <c r="A2015" s="1059">
        <v>1917117</v>
      </c>
      <c r="B2015" s="1060" t="s">
        <v>23673</v>
      </c>
      <c r="C2015" s="1059" t="s">
        <v>38</v>
      </c>
      <c r="D2015" s="1061">
        <v>10.54</v>
      </c>
    </row>
    <row r="2016" spans="1:4" ht="9" customHeight="1" x14ac:dyDescent="0.25">
      <c r="A2016" s="1059">
        <v>1917118</v>
      </c>
      <c r="B2016" s="1060" t="s">
        <v>23674</v>
      </c>
      <c r="C2016" s="1059" t="s">
        <v>38</v>
      </c>
      <c r="D2016" s="1061">
        <v>10.66</v>
      </c>
    </row>
    <row r="2017" spans="1:4" ht="9" customHeight="1" x14ac:dyDescent="0.25">
      <c r="A2017" s="1059">
        <v>1917119</v>
      </c>
      <c r="B2017" s="1060" t="s">
        <v>23675</v>
      </c>
      <c r="C2017" s="1059" t="s">
        <v>38</v>
      </c>
      <c r="D2017" s="1061">
        <v>10.78</v>
      </c>
    </row>
    <row r="2018" spans="1:4" ht="9" customHeight="1" x14ac:dyDescent="0.25">
      <c r="A2018" s="1059">
        <v>1917120</v>
      </c>
      <c r="B2018" s="1060" t="s">
        <v>23676</v>
      </c>
      <c r="C2018" s="1059" t="s">
        <v>38</v>
      </c>
      <c r="D2018" s="1061">
        <v>10.85</v>
      </c>
    </row>
    <row r="2019" spans="1:4" ht="9" customHeight="1" x14ac:dyDescent="0.25">
      <c r="A2019" s="1059">
        <v>1917151</v>
      </c>
      <c r="B2019" s="1060" t="s">
        <v>23677</v>
      </c>
      <c r="C2019" s="1059" t="s">
        <v>38</v>
      </c>
      <c r="D2019" s="1061">
        <v>9.65</v>
      </c>
    </row>
    <row r="2020" spans="1:4" ht="9" customHeight="1" x14ac:dyDescent="0.25">
      <c r="A2020" s="1059">
        <v>1917152</v>
      </c>
      <c r="B2020" s="1060" t="s">
        <v>23678</v>
      </c>
      <c r="C2020" s="1059" t="s">
        <v>38</v>
      </c>
      <c r="D2020" s="1061">
        <v>9.74</v>
      </c>
    </row>
    <row r="2021" spans="1:4" ht="9" customHeight="1" x14ac:dyDescent="0.25">
      <c r="A2021" s="1059">
        <v>1917153</v>
      </c>
      <c r="B2021" s="1060" t="s">
        <v>23679</v>
      </c>
      <c r="C2021" s="1059" t="s">
        <v>38</v>
      </c>
      <c r="D2021" s="1061">
        <v>9.84</v>
      </c>
    </row>
    <row r="2022" spans="1:4" ht="9" customHeight="1" x14ac:dyDescent="0.25">
      <c r="A2022" s="1059">
        <v>1917154</v>
      </c>
      <c r="B2022" s="1060" t="s">
        <v>23680</v>
      </c>
      <c r="C2022" s="1059" t="s">
        <v>38</v>
      </c>
      <c r="D2022" s="1061">
        <v>9.9499999999999993</v>
      </c>
    </row>
    <row r="2023" spans="1:4" ht="9" customHeight="1" x14ac:dyDescent="0.25">
      <c r="A2023" s="1059">
        <v>1917155</v>
      </c>
      <c r="B2023" s="1060" t="s">
        <v>23681</v>
      </c>
      <c r="C2023" s="1059" t="s">
        <v>38</v>
      </c>
      <c r="D2023" s="1061">
        <v>10.06</v>
      </c>
    </row>
    <row r="2024" spans="1:4" ht="9" customHeight="1" x14ac:dyDescent="0.25">
      <c r="A2024" s="1059">
        <v>1917156</v>
      </c>
      <c r="B2024" s="1060" t="s">
        <v>23682</v>
      </c>
      <c r="C2024" s="1059" t="s">
        <v>38</v>
      </c>
      <c r="D2024" s="1061">
        <v>10.119999999999999</v>
      </c>
    </row>
    <row r="2025" spans="1:4" ht="9" customHeight="1" x14ac:dyDescent="0.25">
      <c r="A2025" s="1059">
        <v>1917187</v>
      </c>
      <c r="B2025" s="1060" t="s">
        <v>23683</v>
      </c>
      <c r="C2025" s="1059" t="s">
        <v>38</v>
      </c>
      <c r="D2025" s="1061">
        <v>9</v>
      </c>
    </row>
    <row r="2026" spans="1:4" ht="9" customHeight="1" x14ac:dyDescent="0.25">
      <c r="A2026" s="1059">
        <v>1917188</v>
      </c>
      <c r="B2026" s="1060" t="s">
        <v>23684</v>
      </c>
      <c r="C2026" s="1059" t="s">
        <v>38</v>
      </c>
      <c r="D2026" s="1061">
        <v>9.09</v>
      </c>
    </row>
    <row r="2027" spans="1:4" ht="9" customHeight="1" x14ac:dyDescent="0.25">
      <c r="A2027" s="1059">
        <v>1917189</v>
      </c>
      <c r="B2027" s="1060" t="s">
        <v>23685</v>
      </c>
      <c r="C2027" s="1059" t="s">
        <v>38</v>
      </c>
      <c r="D2027" s="1061">
        <v>9.18</v>
      </c>
    </row>
    <row r="2028" spans="1:4" ht="9" customHeight="1" x14ac:dyDescent="0.25">
      <c r="A2028" s="1059">
        <v>1917190</v>
      </c>
      <c r="B2028" s="1060" t="s">
        <v>23686</v>
      </c>
      <c r="C2028" s="1059" t="s">
        <v>38</v>
      </c>
      <c r="D2028" s="1061">
        <v>9.27</v>
      </c>
    </row>
    <row r="2029" spans="1:4" ht="9" customHeight="1" x14ac:dyDescent="0.25">
      <c r="A2029" s="1059">
        <v>1917191</v>
      </c>
      <c r="B2029" s="1060" t="s">
        <v>23687</v>
      </c>
      <c r="C2029" s="1059" t="s">
        <v>38</v>
      </c>
      <c r="D2029" s="1061">
        <v>9.3699999999999992</v>
      </c>
    </row>
    <row r="2030" spans="1:4" ht="9" customHeight="1" x14ac:dyDescent="0.25">
      <c r="A2030" s="1059">
        <v>1917192</v>
      </c>
      <c r="B2030" s="1060" t="s">
        <v>23688</v>
      </c>
      <c r="C2030" s="1059" t="s">
        <v>38</v>
      </c>
      <c r="D2030" s="1061">
        <v>9.42</v>
      </c>
    </row>
    <row r="2031" spans="1:4" ht="9" customHeight="1" x14ac:dyDescent="0.25">
      <c r="A2031" s="1059">
        <v>1917007</v>
      </c>
      <c r="B2031" s="1060" t="s">
        <v>23689</v>
      </c>
      <c r="C2031" s="1059" t="s">
        <v>38</v>
      </c>
      <c r="D2031" s="1061">
        <v>16.77</v>
      </c>
    </row>
    <row r="2032" spans="1:4" ht="9" customHeight="1" x14ac:dyDescent="0.25">
      <c r="A2032" s="1059">
        <v>1917008</v>
      </c>
      <c r="B2032" s="1060" t="s">
        <v>23690</v>
      </c>
      <c r="C2032" s="1059" t="s">
        <v>38</v>
      </c>
      <c r="D2032" s="1061">
        <v>17.079999999999998</v>
      </c>
    </row>
    <row r="2033" spans="1:4" ht="9" customHeight="1" x14ac:dyDescent="0.25">
      <c r="A2033" s="1059">
        <v>1917009</v>
      </c>
      <c r="B2033" s="1060" t="s">
        <v>23691</v>
      </c>
      <c r="C2033" s="1059" t="s">
        <v>38</v>
      </c>
      <c r="D2033" s="1061">
        <v>17.39</v>
      </c>
    </row>
    <row r="2034" spans="1:4" ht="9" customHeight="1" x14ac:dyDescent="0.25">
      <c r="A2034" s="1059">
        <v>1917010</v>
      </c>
      <c r="B2034" s="1060" t="s">
        <v>23692</v>
      </c>
      <c r="C2034" s="1059" t="s">
        <v>38</v>
      </c>
      <c r="D2034" s="1061">
        <v>17.72</v>
      </c>
    </row>
    <row r="2035" spans="1:4" ht="9" customHeight="1" x14ac:dyDescent="0.25">
      <c r="A2035" s="1059">
        <v>1917011</v>
      </c>
      <c r="B2035" s="1060" t="s">
        <v>23693</v>
      </c>
      <c r="C2035" s="1059" t="s">
        <v>38</v>
      </c>
      <c r="D2035" s="1061">
        <v>18.07</v>
      </c>
    </row>
    <row r="2036" spans="1:4" ht="9" customHeight="1" x14ac:dyDescent="0.25">
      <c r="A2036" s="1059">
        <v>1917012</v>
      </c>
      <c r="B2036" s="1060" t="s">
        <v>23694</v>
      </c>
      <c r="C2036" s="1059" t="s">
        <v>38</v>
      </c>
      <c r="D2036" s="1061">
        <v>18.25</v>
      </c>
    </row>
    <row r="2037" spans="1:4" ht="18" customHeight="1" x14ac:dyDescent="0.25">
      <c r="A2037" s="1059">
        <v>1917578</v>
      </c>
      <c r="B2037" s="1060" t="s">
        <v>23695</v>
      </c>
      <c r="C2037" s="1059" t="s">
        <v>38</v>
      </c>
      <c r="D2037" s="1061">
        <v>6.55</v>
      </c>
    </row>
    <row r="2038" spans="1:4" ht="18" customHeight="1" x14ac:dyDescent="0.25">
      <c r="A2038" s="1059">
        <v>1917579</v>
      </c>
      <c r="B2038" s="1060" t="s">
        <v>23696</v>
      </c>
      <c r="C2038" s="1059" t="s">
        <v>38</v>
      </c>
      <c r="D2038" s="1061">
        <v>7.02</v>
      </c>
    </row>
    <row r="2039" spans="1:4" ht="18" customHeight="1" x14ac:dyDescent="0.25">
      <c r="A2039" s="1059">
        <v>1917580</v>
      </c>
      <c r="B2039" s="1060" t="s">
        <v>23697</v>
      </c>
      <c r="C2039" s="1059" t="s">
        <v>38</v>
      </c>
      <c r="D2039" s="1061">
        <v>7.43</v>
      </c>
    </row>
    <row r="2040" spans="1:4" ht="18" customHeight="1" x14ac:dyDescent="0.25">
      <c r="A2040" s="1059">
        <v>1917581</v>
      </c>
      <c r="B2040" s="1060" t="s">
        <v>23698</v>
      </c>
      <c r="C2040" s="1059" t="s">
        <v>38</v>
      </c>
      <c r="D2040" s="1061">
        <v>7.89</v>
      </c>
    </row>
    <row r="2041" spans="1:4" ht="18" customHeight="1" x14ac:dyDescent="0.25">
      <c r="A2041" s="1059">
        <v>1917582</v>
      </c>
      <c r="B2041" s="1060" t="s">
        <v>23699</v>
      </c>
      <c r="C2041" s="1059" t="s">
        <v>38</v>
      </c>
      <c r="D2041" s="1061">
        <v>8.5</v>
      </c>
    </row>
    <row r="2042" spans="1:4" ht="18" customHeight="1" x14ac:dyDescent="0.25">
      <c r="A2042" s="1059">
        <v>1917583</v>
      </c>
      <c r="B2042" s="1060" t="s">
        <v>23700</v>
      </c>
      <c r="C2042" s="1059" t="s">
        <v>38</v>
      </c>
      <c r="D2042" s="1061">
        <v>9</v>
      </c>
    </row>
    <row r="2043" spans="1:4" ht="18" customHeight="1" x14ac:dyDescent="0.25">
      <c r="A2043" s="1059">
        <v>1917584</v>
      </c>
      <c r="B2043" s="1060" t="s">
        <v>23701</v>
      </c>
      <c r="C2043" s="1059" t="s">
        <v>38</v>
      </c>
      <c r="D2043" s="1061">
        <v>9.4600000000000009</v>
      </c>
    </row>
    <row r="2044" spans="1:4" ht="18" customHeight="1" x14ac:dyDescent="0.25">
      <c r="A2044" s="1059">
        <v>1917585</v>
      </c>
      <c r="B2044" s="1060" t="s">
        <v>23702</v>
      </c>
      <c r="C2044" s="1059" t="s">
        <v>38</v>
      </c>
      <c r="D2044" s="1061">
        <v>10.11</v>
      </c>
    </row>
    <row r="2045" spans="1:4" ht="18" customHeight="1" x14ac:dyDescent="0.25">
      <c r="A2045" s="1059">
        <v>1917586</v>
      </c>
      <c r="B2045" s="1060" t="s">
        <v>23703</v>
      </c>
      <c r="C2045" s="1059" t="s">
        <v>38</v>
      </c>
      <c r="D2045" s="1061">
        <v>11</v>
      </c>
    </row>
    <row r="2046" spans="1:4" ht="18" customHeight="1" x14ac:dyDescent="0.25">
      <c r="A2046" s="1059">
        <v>1917587</v>
      </c>
      <c r="B2046" s="1060" t="s">
        <v>23704</v>
      </c>
      <c r="C2046" s="1059" t="s">
        <v>38</v>
      </c>
      <c r="D2046" s="1061">
        <v>11.73</v>
      </c>
    </row>
    <row r="2047" spans="1:4" ht="18" customHeight="1" x14ac:dyDescent="0.25">
      <c r="A2047" s="1059">
        <v>1917588</v>
      </c>
      <c r="B2047" s="1060" t="s">
        <v>23705</v>
      </c>
      <c r="C2047" s="1059" t="s">
        <v>38</v>
      </c>
      <c r="D2047" s="1061">
        <v>12.54</v>
      </c>
    </row>
    <row r="2048" spans="1:4" ht="18" customHeight="1" x14ac:dyDescent="0.25">
      <c r="A2048" s="1059">
        <v>1917589</v>
      </c>
      <c r="B2048" s="1060" t="s">
        <v>23706</v>
      </c>
      <c r="C2048" s="1059" t="s">
        <v>38</v>
      </c>
      <c r="D2048" s="1061">
        <v>14.1</v>
      </c>
    </row>
    <row r="2049" spans="1:4" ht="18" customHeight="1" x14ac:dyDescent="0.25">
      <c r="A2049" s="1059">
        <v>1917590</v>
      </c>
      <c r="B2049" s="1060" t="s">
        <v>23707</v>
      </c>
      <c r="C2049" s="1059" t="s">
        <v>38</v>
      </c>
      <c r="D2049" s="1061">
        <v>16.239999999999998</v>
      </c>
    </row>
    <row r="2050" spans="1:4" ht="18" customHeight="1" x14ac:dyDescent="0.25">
      <c r="A2050" s="1059">
        <v>1917591</v>
      </c>
      <c r="B2050" s="1060" t="s">
        <v>23708</v>
      </c>
      <c r="C2050" s="1059" t="s">
        <v>38</v>
      </c>
      <c r="D2050" s="1061">
        <v>18.190000000000001</v>
      </c>
    </row>
    <row r="2051" spans="1:4" ht="18" customHeight="1" x14ac:dyDescent="0.25">
      <c r="A2051" s="1059">
        <v>1917592</v>
      </c>
      <c r="B2051" s="1060" t="s">
        <v>23709</v>
      </c>
      <c r="C2051" s="1059" t="s">
        <v>38</v>
      </c>
      <c r="D2051" s="1061">
        <v>20.64</v>
      </c>
    </row>
    <row r="2052" spans="1:4" ht="18" customHeight="1" x14ac:dyDescent="0.25">
      <c r="A2052" s="1059">
        <v>1917593</v>
      </c>
      <c r="B2052" s="1060" t="s">
        <v>23710</v>
      </c>
      <c r="C2052" s="1059" t="s">
        <v>38</v>
      </c>
      <c r="D2052" s="1061">
        <v>23.19</v>
      </c>
    </row>
    <row r="2053" spans="1:4" ht="18" customHeight="1" x14ac:dyDescent="0.25">
      <c r="A2053" s="1059">
        <v>1917594</v>
      </c>
      <c r="B2053" s="1060" t="s">
        <v>23711</v>
      </c>
      <c r="C2053" s="1059" t="s">
        <v>38</v>
      </c>
      <c r="D2053" s="1061">
        <v>26.23</v>
      </c>
    </row>
    <row r="2054" spans="1:4" ht="18" customHeight="1" x14ac:dyDescent="0.25">
      <c r="A2054" s="1059">
        <v>1917595</v>
      </c>
      <c r="B2054" s="1060" t="s">
        <v>23712</v>
      </c>
      <c r="C2054" s="1059" t="s">
        <v>38</v>
      </c>
      <c r="D2054" s="1061">
        <v>29.52</v>
      </c>
    </row>
    <row r="2055" spans="1:4" ht="18" customHeight="1" x14ac:dyDescent="0.25">
      <c r="A2055" s="1059">
        <v>1917596</v>
      </c>
      <c r="B2055" s="1060" t="s">
        <v>23713</v>
      </c>
      <c r="C2055" s="1059" t="s">
        <v>38</v>
      </c>
      <c r="D2055" s="1061">
        <v>32.51</v>
      </c>
    </row>
    <row r="2056" spans="1:4" ht="18" customHeight="1" x14ac:dyDescent="0.25">
      <c r="A2056" s="1059">
        <v>1917597</v>
      </c>
      <c r="B2056" s="1060" t="s">
        <v>23714</v>
      </c>
      <c r="C2056" s="1059" t="s">
        <v>38</v>
      </c>
      <c r="D2056" s="1061">
        <v>36.61</v>
      </c>
    </row>
    <row r="2057" spans="1:4" ht="18" customHeight="1" x14ac:dyDescent="0.25">
      <c r="A2057" s="1059">
        <v>1917598</v>
      </c>
      <c r="B2057" s="1060" t="s">
        <v>23715</v>
      </c>
      <c r="C2057" s="1059" t="s">
        <v>38</v>
      </c>
      <c r="D2057" s="1061">
        <v>40.33</v>
      </c>
    </row>
    <row r="2058" spans="1:4" ht="18" customHeight="1" x14ac:dyDescent="0.25">
      <c r="A2058" s="1059">
        <v>1917599</v>
      </c>
      <c r="B2058" s="1060" t="s">
        <v>23716</v>
      </c>
      <c r="C2058" s="1059" t="s">
        <v>38</v>
      </c>
      <c r="D2058" s="1061">
        <v>44.64</v>
      </c>
    </row>
    <row r="2059" spans="1:4" ht="18" customHeight="1" x14ac:dyDescent="0.25">
      <c r="A2059" s="1059">
        <v>1917600</v>
      </c>
      <c r="B2059" s="1060" t="s">
        <v>23717</v>
      </c>
      <c r="C2059" s="1059" t="s">
        <v>38</v>
      </c>
      <c r="D2059" s="1061">
        <v>50.13</v>
      </c>
    </row>
    <row r="2060" spans="1:4" ht="18" customHeight="1" x14ac:dyDescent="0.25">
      <c r="A2060" s="1059">
        <v>1917601</v>
      </c>
      <c r="B2060" s="1060" t="s">
        <v>23718</v>
      </c>
      <c r="C2060" s="1059" t="s">
        <v>38</v>
      </c>
      <c r="D2060" s="1061">
        <v>52.62</v>
      </c>
    </row>
    <row r="2061" spans="1:4" ht="18" customHeight="1" x14ac:dyDescent="0.25">
      <c r="A2061" s="1059">
        <v>1917575</v>
      </c>
      <c r="B2061" s="1060" t="s">
        <v>23719</v>
      </c>
      <c r="C2061" s="1059" t="s">
        <v>38</v>
      </c>
      <c r="D2061" s="1061">
        <v>5.08</v>
      </c>
    </row>
    <row r="2062" spans="1:4" ht="18" customHeight="1" x14ac:dyDescent="0.25">
      <c r="A2062" s="1059">
        <v>1917576</v>
      </c>
      <c r="B2062" s="1060" t="s">
        <v>23720</v>
      </c>
      <c r="C2062" s="1059" t="s">
        <v>38</v>
      </c>
      <c r="D2062" s="1061">
        <v>5.48</v>
      </c>
    </row>
    <row r="2063" spans="1:4" ht="18" customHeight="1" x14ac:dyDescent="0.25">
      <c r="A2063" s="1059">
        <v>1917577</v>
      </c>
      <c r="B2063" s="1060" t="s">
        <v>23721</v>
      </c>
      <c r="C2063" s="1059" t="s">
        <v>38</v>
      </c>
      <c r="D2063" s="1061">
        <v>5.93</v>
      </c>
    </row>
    <row r="2064" spans="1:4" ht="18" customHeight="1" x14ac:dyDescent="0.25">
      <c r="A2064" s="1059">
        <v>1917739</v>
      </c>
      <c r="B2064" s="1060" t="s">
        <v>23722</v>
      </c>
      <c r="C2064" s="1059" t="s">
        <v>38</v>
      </c>
      <c r="D2064" s="1061">
        <v>5</v>
      </c>
    </row>
    <row r="2065" spans="1:4" ht="18" customHeight="1" x14ac:dyDescent="0.25">
      <c r="A2065" s="1059">
        <v>1917253</v>
      </c>
      <c r="B2065" s="1060" t="s">
        <v>23723</v>
      </c>
      <c r="C2065" s="1059" t="s">
        <v>38</v>
      </c>
      <c r="D2065" s="1061">
        <v>7.86</v>
      </c>
    </row>
    <row r="2066" spans="1:4" ht="18" customHeight="1" x14ac:dyDescent="0.25">
      <c r="A2066" s="1059">
        <v>1917254</v>
      </c>
      <c r="B2066" s="1060" t="s">
        <v>23724</v>
      </c>
      <c r="C2066" s="1059" t="s">
        <v>38</v>
      </c>
      <c r="D2066" s="1061">
        <v>8.42</v>
      </c>
    </row>
    <row r="2067" spans="1:4" ht="18" customHeight="1" x14ac:dyDescent="0.25">
      <c r="A2067" s="1059">
        <v>1917255</v>
      </c>
      <c r="B2067" s="1060" t="s">
        <v>23725</v>
      </c>
      <c r="C2067" s="1059" t="s">
        <v>38</v>
      </c>
      <c r="D2067" s="1061">
        <v>9.1</v>
      </c>
    </row>
    <row r="2068" spans="1:4" ht="18" customHeight="1" x14ac:dyDescent="0.25">
      <c r="A2068" s="1059">
        <v>1917256</v>
      </c>
      <c r="B2068" s="1060" t="s">
        <v>23726</v>
      </c>
      <c r="C2068" s="1059" t="s">
        <v>38</v>
      </c>
      <c r="D2068" s="1061">
        <v>9.83</v>
      </c>
    </row>
    <row r="2069" spans="1:4" ht="18" customHeight="1" x14ac:dyDescent="0.25">
      <c r="A2069" s="1059">
        <v>1917257</v>
      </c>
      <c r="B2069" s="1060" t="s">
        <v>23727</v>
      </c>
      <c r="C2069" s="1059" t="s">
        <v>38</v>
      </c>
      <c r="D2069" s="1061">
        <v>10.8</v>
      </c>
    </row>
    <row r="2070" spans="1:4" ht="18" customHeight="1" x14ac:dyDescent="0.25">
      <c r="A2070" s="1059">
        <v>1917258</v>
      </c>
      <c r="B2070" s="1060" t="s">
        <v>23728</v>
      </c>
      <c r="C2070" s="1059" t="s">
        <v>38</v>
      </c>
      <c r="D2070" s="1061">
        <v>11.8</v>
      </c>
    </row>
    <row r="2071" spans="1:4" ht="18" customHeight="1" x14ac:dyDescent="0.25">
      <c r="A2071" s="1059">
        <v>1917259</v>
      </c>
      <c r="B2071" s="1060" t="s">
        <v>23729</v>
      </c>
      <c r="C2071" s="1059" t="s">
        <v>38</v>
      </c>
      <c r="D2071" s="1061">
        <v>14.68</v>
      </c>
    </row>
    <row r="2072" spans="1:4" ht="18" customHeight="1" x14ac:dyDescent="0.25">
      <c r="A2072" s="1059">
        <v>1917250</v>
      </c>
      <c r="B2072" s="1060" t="s">
        <v>23730</v>
      </c>
      <c r="C2072" s="1059" t="s">
        <v>38</v>
      </c>
      <c r="D2072" s="1061">
        <v>5.93</v>
      </c>
    </row>
    <row r="2073" spans="1:4" ht="18" customHeight="1" x14ac:dyDescent="0.25">
      <c r="A2073" s="1059">
        <v>1917251</v>
      </c>
      <c r="B2073" s="1060" t="s">
        <v>23731</v>
      </c>
      <c r="C2073" s="1059" t="s">
        <v>38</v>
      </c>
      <c r="D2073" s="1061">
        <v>6.28</v>
      </c>
    </row>
    <row r="2074" spans="1:4" ht="18" customHeight="1" x14ac:dyDescent="0.25">
      <c r="A2074" s="1059">
        <v>1917252</v>
      </c>
      <c r="B2074" s="1060" t="s">
        <v>23732</v>
      </c>
      <c r="C2074" s="1059" t="s">
        <v>38</v>
      </c>
      <c r="D2074" s="1061">
        <v>7.01</v>
      </c>
    </row>
    <row r="2075" spans="1:4" ht="18" customHeight="1" x14ac:dyDescent="0.25">
      <c r="A2075" s="1059">
        <v>1917726</v>
      </c>
      <c r="B2075" s="1060" t="s">
        <v>23733</v>
      </c>
      <c r="C2075" s="1059" t="s">
        <v>38</v>
      </c>
      <c r="D2075" s="1061">
        <v>5.81</v>
      </c>
    </row>
    <row r="2076" spans="1:4" ht="18" customHeight="1" x14ac:dyDescent="0.25">
      <c r="A2076" s="1059">
        <v>1917335</v>
      </c>
      <c r="B2076" s="1060" t="s">
        <v>23734</v>
      </c>
      <c r="C2076" s="1059" t="s">
        <v>38</v>
      </c>
      <c r="D2076" s="1061">
        <v>5.84</v>
      </c>
    </row>
    <row r="2077" spans="1:4" ht="18" customHeight="1" x14ac:dyDescent="0.25">
      <c r="A2077" s="1059">
        <v>1917336</v>
      </c>
      <c r="B2077" s="1060" t="s">
        <v>23735</v>
      </c>
      <c r="C2077" s="1059" t="s">
        <v>38</v>
      </c>
      <c r="D2077" s="1061">
        <v>6.57</v>
      </c>
    </row>
    <row r="2078" spans="1:4" ht="18" customHeight="1" x14ac:dyDescent="0.25">
      <c r="A2078" s="1059">
        <v>1917337</v>
      </c>
      <c r="B2078" s="1060" t="s">
        <v>23736</v>
      </c>
      <c r="C2078" s="1059" t="s">
        <v>38</v>
      </c>
      <c r="D2078" s="1061">
        <v>7.17</v>
      </c>
    </row>
    <row r="2079" spans="1:4" ht="18" customHeight="1" x14ac:dyDescent="0.25">
      <c r="A2079" s="1059">
        <v>1917338</v>
      </c>
      <c r="B2079" s="1060" t="s">
        <v>23737</v>
      </c>
      <c r="C2079" s="1059" t="s">
        <v>38</v>
      </c>
      <c r="D2079" s="1061">
        <v>7.93</v>
      </c>
    </row>
    <row r="2080" spans="1:4" ht="18" customHeight="1" x14ac:dyDescent="0.25">
      <c r="A2080" s="1059">
        <v>1917339</v>
      </c>
      <c r="B2080" s="1060" t="s">
        <v>23738</v>
      </c>
      <c r="C2080" s="1059" t="s">
        <v>38</v>
      </c>
      <c r="D2080" s="1061">
        <v>8.84</v>
      </c>
    </row>
    <row r="2081" spans="1:4" ht="18" customHeight="1" x14ac:dyDescent="0.25">
      <c r="A2081" s="1059">
        <v>1917340</v>
      </c>
      <c r="B2081" s="1060" t="s">
        <v>23739</v>
      </c>
      <c r="C2081" s="1059" t="s">
        <v>38</v>
      </c>
      <c r="D2081" s="1061">
        <v>10.27</v>
      </c>
    </row>
    <row r="2082" spans="1:4" ht="18" customHeight="1" x14ac:dyDescent="0.25">
      <c r="A2082" s="1059">
        <v>1917341</v>
      </c>
      <c r="B2082" s="1060" t="s">
        <v>23740</v>
      </c>
      <c r="C2082" s="1059" t="s">
        <v>38</v>
      </c>
      <c r="D2082" s="1061">
        <v>12.99</v>
      </c>
    </row>
    <row r="2083" spans="1:4" ht="18" customHeight="1" x14ac:dyDescent="0.25">
      <c r="A2083" s="1059">
        <v>1917342</v>
      </c>
      <c r="B2083" s="1060" t="s">
        <v>23741</v>
      </c>
      <c r="C2083" s="1059" t="s">
        <v>38</v>
      </c>
      <c r="D2083" s="1061">
        <v>16.11</v>
      </c>
    </row>
    <row r="2084" spans="1:4" ht="18" customHeight="1" x14ac:dyDescent="0.25">
      <c r="A2084" s="1059">
        <v>1917343</v>
      </c>
      <c r="B2084" s="1060" t="s">
        <v>23742</v>
      </c>
      <c r="C2084" s="1059" t="s">
        <v>38</v>
      </c>
      <c r="D2084" s="1061">
        <v>20.07</v>
      </c>
    </row>
    <row r="2085" spans="1:4" ht="18" customHeight="1" x14ac:dyDescent="0.25">
      <c r="A2085" s="1059">
        <v>1917344</v>
      </c>
      <c r="B2085" s="1060" t="s">
        <v>23743</v>
      </c>
      <c r="C2085" s="1059" t="s">
        <v>38</v>
      </c>
      <c r="D2085" s="1061">
        <v>24.24</v>
      </c>
    </row>
    <row r="2086" spans="1:4" ht="18" customHeight="1" x14ac:dyDescent="0.25">
      <c r="A2086" s="1059">
        <v>1917345</v>
      </c>
      <c r="B2086" s="1060" t="s">
        <v>23744</v>
      </c>
      <c r="C2086" s="1059" t="s">
        <v>38</v>
      </c>
      <c r="D2086" s="1061">
        <v>30.04</v>
      </c>
    </row>
    <row r="2087" spans="1:4" ht="18" customHeight="1" x14ac:dyDescent="0.25">
      <c r="A2087" s="1059">
        <v>1917346</v>
      </c>
      <c r="B2087" s="1060" t="s">
        <v>23745</v>
      </c>
      <c r="C2087" s="1059" t="s">
        <v>38</v>
      </c>
      <c r="D2087" s="1061">
        <v>35.78</v>
      </c>
    </row>
    <row r="2088" spans="1:4" ht="18" customHeight="1" x14ac:dyDescent="0.25">
      <c r="A2088" s="1059">
        <v>1917347</v>
      </c>
      <c r="B2088" s="1060" t="s">
        <v>23746</v>
      </c>
      <c r="C2088" s="1059" t="s">
        <v>38</v>
      </c>
      <c r="D2088" s="1061">
        <v>44.71</v>
      </c>
    </row>
    <row r="2089" spans="1:4" ht="18" customHeight="1" x14ac:dyDescent="0.25">
      <c r="A2089" s="1059">
        <v>1917332</v>
      </c>
      <c r="B2089" s="1060" t="s">
        <v>23747</v>
      </c>
      <c r="C2089" s="1059" t="s">
        <v>38</v>
      </c>
      <c r="D2089" s="1061">
        <v>4.76</v>
      </c>
    </row>
    <row r="2090" spans="1:4" ht="18" customHeight="1" x14ac:dyDescent="0.25">
      <c r="A2090" s="1059">
        <v>1917333</v>
      </c>
      <c r="B2090" s="1060" t="s">
        <v>23748</v>
      </c>
      <c r="C2090" s="1059" t="s">
        <v>38</v>
      </c>
      <c r="D2090" s="1061">
        <v>5.08</v>
      </c>
    </row>
    <row r="2091" spans="1:4" ht="18" customHeight="1" x14ac:dyDescent="0.25">
      <c r="A2091" s="1059">
        <v>1917334</v>
      </c>
      <c r="B2091" s="1060" t="s">
        <v>23749</v>
      </c>
      <c r="C2091" s="1059" t="s">
        <v>38</v>
      </c>
      <c r="D2091" s="1061">
        <v>5.4</v>
      </c>
    </row>
    <row r="2092" spans="1:4" ht="18" customHeight="1" x14ac:dyDescent="0.25">
      <c r="A2092" s="1059">
        <v>1917331</v>
      </c>
      <c r="B2092" s="1060" t="s">
        <v>23750</v>
      </c>
      <c r="C2092" s="1059" t="s">
        <v>38</v>
      </c>
      <c r="D2092" s="1061">
        <v>4.3099999999999996</v>
      </c>
    </row>
    <row r="2093" spans="1:4" ht="18" customHeight="1" x14ac:dyDescent="0.25">
      <c r="A2093" s="1059">
        <v>1917443</v>
      </c>
      <c r="B2093" s="1060" t="s">
        <v>23751</v>
      </c>
      <c r="C2093" s="1059" t="s">
        <v>38</v>
      </c>
      <c r="D2093" s="1061">
        <v>6.47</v>
      </c>
    </row>
    <row r="2094" spans="1:4" ht="18" customHeight="1" x14ac:dyDescent="0.25">
      <c r="A2094" s="1059">
        <v>1917444</v>
      </c>
      <c r="B2094" s="1060" t="s">
        <v>23752</v>
      </c>
      <c r="C2094" s="1059" t="s">
        <v>38</v>
      </c>
      <c r="D2094" s="1061">
        <v>7.02</v>
      </c>
    </row>
    <row r="2095" spans="1:4" ht="18" customHeight="1" x14ac:dyDescent="0.25">
      <c r="A2095" s="1059">
        <v>1917445</v>
      </c>
      <c r="B2095" s="1060" t="s">
        <v>23753</v>
      </c>
      <c r="C2095" s="1059" t="s">
        <v>38</v>
      </c>
      <c r="D2095" s="1061">
        <v>7.61</v>
      </c>
    </row>
    <row r="2096" spans="1:4" ht="18" customHeight="1" x14ac:dyDescent="0.25">
      <c r="A2096" s="1059">
        <v>1917446</v>
      </c>
      <c r="B2096" s="1060" t="s">
        <v>23754</v>
      </c>
      <c r="C2096" s="1059" t="s">
        <v>38</v>
      </c>
      <c r="D2096" s="1061">
        <v>8.2100000000000009</v>
      </c>
    </row>
    <row r="2097" spans="1:4" ht="18" customHeight="1" x14ac:dyDescent="0.25">
      <c r="A2097" s="1059">
        <v>1917447</v>
      </c>
      <c r="B2097" s="1060" t="s">
        <v>23755</v>
      </c>
      <c r="C2097" s="1059" t="s">
        <v>38</v>
      </c>
      <c r="D2097" s="1061">
        <v>9.08</v>
      </c>
    </row>
    <row r="2098" spans="1:4" ht="18" customHeight="1" x14ac:dyDescent="0.25">
      <c r="A2098" s="1059">
        <v>1917448</v>
      </c>
      <c r="B2098" s="1060" t="s">
        <v>23756</v>
      </c>
      <c r="C2098" s="1059" t="s">
        <v>38</v>
      </c>
      <c r="D2098" s="1061">
        <v>9.86</v>
      </c>
    </row>
    <row r="2099" spans="1:4" ht="18" customHeight="1" x14ac:dyDescent="0.25">
      <c r="A2099" s="1059">
        <v>1917449</v>
      </c>
      <c r="B2099" s="1060" t="s">
        <v>23757</v>
      </c>
      <c r="C2099" s="1059" t="s">
        <v>38</v>
      </c>
      <c r="D2099" s="1061">
        <v>10.85</v>
      </c>
    </row>
    <row r="2100" spans="1:4" ht="18" customHeight="1" x14ac:dyDescent="0.25">
      <c r="A2100" s="1059">
        <v>1917450</v>
      </c>
      <c r="B2100" s="1060" t="s">
        <v>23758</v>
      </c>
      <c r="C2100" s="1059" t="s">
        <v>38</v>
      </c>
      <c r="D2100" s="1061">
        <v>12.06</v>
      </c>
    </row>
    <row r="2101" spans="1:4" ht="18" customHeight="1" x14ac:dyDescent="0.25">
      <c r="A2101" s="1059">
        <v>1917451</v>
      </c>
      <c r="B2101" s="1060" t="s">
        <v>23759</v>
      </c>
      <c r="C2101" s="1059" t="s">
        <v>38</v>
      </c>
      <c r="D2101" s="1061">
        <v>14.64</v>
      </c>
    </row>
    <row r="2102" spans="1:4" ht="18" customHeight="1" x14ac:dyDescent="0.25">
      <c r="A2102" s="1059">
        <v>1917452</v>
      </c>
      <c r="B2102" s="1060" t="s">
        <v>23760</v>
      </c>
      <c r="C2102" s="1059" t="s">
        <v>38</v>
      </c>
      <c r="D2102" s="1061">
        <v>17.190000000000001</v>
      </c>
    </row>
    <row r="2103" spans="1:4" ht="18" customHeight="1" x14ac:dyDescent="0.25">
      <c r="A2103" s="1059">
        <v>1917453</v>
      </c>
      <c r="B2103" s="1060" t="s">
        <v>23761</v>
      </c>
      <c r="C2103" s="1059" t="s">
        <v>38</v>
      </c>
      <c r="D2103" s="1061">
        <v>20.260000000000002</v>
      </c>
    </row>
    <row r="2104" spans="1:4" ht="18" customHeight="1" x14ac:dyDescent="0.25">
      <c r="A2104" s="1059">
        <v>1917454</v>
      </c>
      <c r="B2104" s="1060" t="s">
        <v>23762</v>
      </c>
      <c r="C2104" s="1059" t="s">
        <v>38</v>
      </c>
      <c r="D2104" s="1061">
        <v>23.63</v>
      </c>
    </row>
    <row r="2105" spans="1:4" ht="18" customHeight="1" x14ac:dyDescent="0.25">
      <c r="A2105" s="1059">
        <v>1917455</v>
      </c>
      <c r="B2105" s="1060" t="s">
        <v>23763</v>
      </c>
      <c r="C2105" s="1059" t="s">
        <v>38</v>
      </c>
      <c r="D2105" s="1061">
        <v>27.89</v>
      </c>
    </row>
    <row r="2106" spans="1:4" ht="18" customHeight="1" x14ac:dyDescent="0.25">
      <c r="A2106" s="1059">
        <v>1917456</v>
      </c>
      <c r="B2106" s="1060" t="s">
        <v>23764</v>
      </c>
      <c r="C2106" s="1059" t="s">
        <v>38</v>
      </c>
      <c r="D2106" s="1061">
        <v>32.51</v>
      </c>
    </row>
    <row r="2107" spans="1:4" ht="18" customHeight="1" x14ac:dyDescent="0.25">
      <c r="A2107" s="1059">
        <v>1917457</v>
      </c>
      <c r="B2107" s="1060" t="s">
        <v>23765</v>
      </c>
      <c r="C2107" s="1059" t="s">
        <v>38</v>
      </c>
      <c r="D2107" s="1061">
        <v>36.65</v>
      </c>
    </row>
    <row r="2108" spans="1:4" ht="18" customHeight="1" x14ac:dyDescent="0.25">
      <c r="A2108" s="1059">
        <v>1917458</v>
      </c>
      <c r="B2108" s="1060" t="s">
        <v>23766</v>
      </c>
      <c r="C2108" s="1059" t="s">
        <v>38</v>
      </c>
      <c r="D2108" s="1061">
        <v>42.11</v>
      </c>
    </row>
    <row r="2109" spans="1:4" ht="18" customHeight="1" x14ac:dyDescent="0.25">
      <c r="A2109" s="1059">
        <v>1917459</v>
      </c>
      <c r="B2109" s="1060" t="s">
        <v>23767</v>
      </c>
      <c r="C2109" s="1059" t="s">
        <v>38</v>
      </c>
      <c r="D2109" s="1061">
        <v>44.25</v>
      </c>
    </row>
    <row r="2110" spans="1:4" ht="18" customHeight="1" x14ac:dyDescent="0.25">
      <c r="A2110" s="1059">
        <v>1917440</v>
      </c>
      <c r="B2110" s="1060" t="s">
        <v>23768</v>
      </c>
      <c r="C2110" s="1059" t="s">
        <v>38</v>
      </c>
      <c r="D2110" s="1061">
        <v>4.5199999999999996</v>
      </c>
    </row>
    <row r="2111" spans="1:4" ht="18" customHeight="1" x14ac:dyDescent="0.25">
      <c r="A2111" s="1059">
        <v>1917441</v>
      </c>
      <c r="B2111" s="1060" t="s">
        <v>23769</v>
      </c>
      <c r="C2111" s="1059" t="s">
        <v>38</v>
      </c>
      <c r="D2111" s="1061">
        <v>5.1100000000000003</v>
      </c>
    </row>
    <row r="2112" spans="1:4" ht="18" customHeight="1" x14ac:dyDescent="0.25">
      <c r="A2112" s="1059">
        <v>1917442</v>
      </c>
      <c r="B2112" s="1060" t="s">
        <v>23770</v>
      </c>
      <c r="C2112" s="1059" t="s">
        <v>38</v>
      </c>
      <c r="D2112" s="1061">
        <v>5.7</v>
      </c>
    </row>
    <row r="2113" spans="1:4" ht="18" customHeight="1" x14ac:dyDescent="0.25">
      <c r="A2113" s="1059">
        <v>1917734</v>
      </c>
      <c r="B2113" s="1060" t="s">
        <v>23771</v>
      </c>
      <c r="C2113" s="1059" t="s">
        <v>38</v>
      </c>
      <c r="D2113" s="1061">
        <v>4.1900000000000004</v>
      </c>
    </row>
    <row r="2114" spans="1:4" ht="9" customHeight="1" x14ac:dyDescent="0.25">
      <c r="A2114" s="1059">
        <v>1917055</v>
      </c>
      <c r="B2114" s="1060" t="s">
        <v>23772</v>
      </c>
      <c r="C2114" s="1059" t="s">
        <v>38</v>
      </c>
      <c r="D2114" s="1061">
        <v>11.26</v>
      </c>
    </row>
    <row r="2115" spans="1:4" ht="9" customHeight="1" x14ac:dyDescent="0.25">
      <c r="A2115" s="1059">
        <v>1917056</v>
      </c>
      <c r="B2115" s="1060" t="s">
        <v>23773</v>
      </c>
      <c r="C2115" s="1059" t="s">
        <v>38</v>
      </c>
      <c r="D2115" s="1061">
        <v>11.47</v>
      </c>
    </row>
    <row r="2116" spans="1:4" ht="9" customHeight="1" x14ac:dyDescent="0.25">
      <c r="A2116" s="1059">
        <v>1917057</v>
      </c>
      <c r="B2116" s="1060" t="s">
        <v>23774</v>
      </c>
      <c r="C2116" s="1059" t="s">
        <v>38</v>
      </c>
      <c r="D2116" s="1061">
        <v>11.68</v>
      </c>
    </row>
    <row r="2117" spans="1:4" ht="9" customHeight="1" x14ac:dyDescent="0.25">
      <c r="A2117" s="1059">
        <v>1917058</v>
      </c>
      <c r="B2117" s="1060" t="s">
        <v>23775</v>
      </c>
      <c r="C2117" s="1059" t="s">
        <v>38</v>
      </c>
      <c r="D2117" s="1061">
        <v>11.91</v>
      </c>
    </row>
    <row r="2118" spans="1:4" ht="9" customHeight="1" x14ac:dyDescent="0.25">
      <c r="A2118" s="1059">
        <v>1917059</v>
      </c>
      <c r="B2118" s="1060" t="s">
        <v>23776</v>
      </c>
      <c r="C2118" s="1059" t="s">
        <v>38</v>
      </c>
      <c r="D2118" s="1061">
        <v>12.15</v>
      </c>
    </row>
    <row r="2119" spans="1:4" ht="9" customHeight="1" x14ac:dyDescent="0.25">
      <c r="A2119" s="1059">
        <v>1917060</v>
      </c>
      <c r="B2119" s="1060" t="s">
        <v>23777</v>
      </c>
      <c r="C2119" s="1059" t="s">
        <v>38</v>
      </c>
      <c r="D2119" s="1061">
        <v>12.27</v>
      </c>
    </row>
    <row r="2120" spans="1:4" ht="9" customHeight="1" x14ac:dyDescent="0.25">
      <c r="A2120" s="1059">
        <v>1901536</v>
      </c>
      <c r="B2120" s="1060" t="s">
        <v>23778</v>
      </c>
      <c r="C2120" s="1059" t="s">
        <v>38</v>
      </c>
      <c r="D2120" s="1061">
        <v>7.59</v>
      </c>
    </row>
    <row r="2121" spans="1:4" ht="9" customHeight="1" x14ac:dyDescent="0.25">
      <c r="A2121" s="1059">
        <v>1901537</v>
      </c>
      <c r="B2121" s="1060" t="s">
        <v>23779</v>
      </c>
      <c r="C2121" s="1059" t="s">
        <v>38</v>
      </c>
      <c r="D2121" s="1061">
        <v>7.65</v>
      </c>
    </row>
    <row r="2122" spans="1:4" ht="9" customHeight="1" x14ac:dyDescent="0.25">
      <c r="A2122" s="1059">
        <v>1901538</v>
      </c>
      <c r="B2122" s="1060" t="s">
        <v>23780</v>
      </c>
      <c r="C2122" s="1059" t="s">
        <v>38</v>
      </c>
      <c r="D2122" s="1061">
        <v>7.72</v>
      </c>
    </row>
    <row r="2123" spans="1:4" ht="9" customHeight="1" x14ac:dyDescent="0.25">
      <c r="A2123" s="1059">
        <v>1901539</v>
      </c>
      <c r="B2123" s="1060" t="s">
        <v>23781</v>
      </c>
      <c r="C2123" s="1059" t="s">
        <v>38</v>
      </c>
      <c r="D2123" s="1061">
        <v>7.79</v>
      </c>
    </row>
    <row r="2124" spans="1:4" ht="9" customHeight="1" x14ac:dyDescent="0.25">
      <c r="A2124" s="1059">
        <v>1901540</v>
      </c>
      <c r="B2124" s="1060" t="s">
        <v>23782</v>
      </c>
      <c r="C2124" s="1059" t="s">
        <v>38</v>
      </c>
      <c r="D2124" s="1061">
        <v>7.86</v>
      </c>
    </row>
    <row r="2125" spans="1:4" ht="9" customHeight="1" x14ac:dyDescent="0.25">
      <c r="A2125" s="1059">
        <v>1901535</v>
      </c>
      <c r="B2125" s="1060" t="s">
        <v>23783</v>
      </c>
      <c r="C2125" s="1059" t="s">
        <v>38</v>
      </c>
      <c r="D2125" s="1061">
        <v>7.9</v>
      </c>
    </row>
    <row r="2126" spans="1:4" ht="9" customHeight="1" x14ac:dyDescent="0.25">
      <c r="A2126" s="1059">
        <v>1901542</v>
      </c>
      <c r="B2126" s="1060" t="s">
        <v>23784</v>
      </c>
      <c r="C2126" s="1059" t="s">
        <v>38</v>
      </c>
      <c r="D2126" s="1061">
        <v>10.039999999999999</v>
      </c>
    </row>
    <row r="2127" spans="1:4" ht="9" customHeight="1" x14ac:dyDescent="0.25">
      <c r="A2127" s="1059">
        <v>1901543</v>
      </c>
      <c r="B2127" s="1060" t="s">
        <v>23785</v>
      </c>
      <c r="C2127" s="1059" t="s">
        <v>38</v>
      </c>
      <c r="D2127" s="1061">
        <v>10.1</v>
      </c>
    </row>
    <row r="2128" spans="1:4" ht="9" customHeight="1" x14ac:dyDescent="0.25">
      <c r="A2128" s="1059">
        <v>1901544</v>
      </c>
      <c r="B2128" s="1060" t="s">
        <v>23786</v>
      </c>
      <c r="C2128" s="1059" t="s">
        <v>38</v>
      </c>
      <c r="D2128" s="1061">
        <v>10.16</v>
      </c>
    </row>
    <row r="2129" spans="1:4" ht="9" customHeight="1" x14ac:dyDescent="0.25">
      <c r="A2129" s="1059">
        <v>1901545</v>
      </c>
      <c r="B2129" s="1060" t="s">
        <v>23787</v>
      </c>
      <c r="C2129" s="1059" t="s">
        <v>38</v>
      </c>
      <c r="D2129" s="1061">
        <v>10.220000000000001</v>
      </c>
    </row>
    <row r="2130" spans="1:4" ht="9" customHeight="1" x14ac:dyDescent="0.25">
      <c r="A2130" s="1059">
        <v>1901546</v>
      </c>
      <c r="B2130" s="1060" t="s">
        <v>23788</v>
      </c>
      <c r="C2130" s="1059" t="s">
        <v>38</v>
      </c>
      <c r="D2130" s="1061">
        <v>10.29</v>
      </c>
    </row>
    <row r="2131" spans="1:4" ht="9" customHeight="1" x14ac:dyDescent="0.25">
      <c r="A2131" s="1059">
        <v>1901541</v>
      </c>
      <c r="B2131" s="1060" t="s">
        <v>23789</v>
      </c>
      <c r="C2131" s="1059" t="s">
        <v>38</v>
      </c>
      <c r="D2131" s="1061">
        <v>10.33</v>
      </c>
    </row>
    <row r="2132" spans="1:4" ht="9" customHeight="1" x14ac:dyDescent="0.25">
      <c r="A2132" s="1059">
        <v>1917091</v>
      </c>
      <c r="B2132" s="1060" t="s">
        <v>23790</v>
      </c>
      <c r="C2132" s="1059" t="s">
        <v>38</v>
      </c>
      <c r="D2132" s="1061">
        <v>9.91</v>
      </c>
    </row>
    <row r="2133" spans="1:4" ht="9" customHeight="1" x14ac:dyDescent="0.25">
      <c r="A2133" s="1059">
        <v>1917092</v>
      </c>
      <c r="B2133" s="1060" t="s">
        <v>23791</v>
      </c>
      <c r="C2133" s="1059" t="s">
        <v>38</v>
      </c>
      <c r="D2133" s="1061">
        <v>10.039999999999999</v>
      </c>
    </row>
    <row r="2134" spans="1:4" ht="9" customHeight="1" x14ac:dyDescent="0.25">
      <c r="A2134" s="1059">
        <v>1917093</v>
      </c>
      <c r="B2134" s="1060" t="s">
        <v>23792</v>
      </c>
      <c r="C2134" s="1059" t="s">
        <v>38</v>
      </c>
      <c r="D2134" s="1061">
        <v>10.18</v>
      </c>
    </row>
    <row r="2135" spans="1:4" ht="9" customHeight="1" x14ac:dyDescent="0.25">
      <c r="A2135" s="1059">
        <v>1917094</v>
      </c>
      <c r="B2135" s="1060" t="s">
        <v>23793</v>
      </c>
      <c r="C2135" s="1059" t="s">
        <v>38</v>
      </c>
      <c r="D2135" s="1061">
        <v>10.32</v>
      </c>
    </row>
    <row r="2136" spans="1:4" ht="9" customHeight="1" x14ac:dyDescent="0.25">
      <c r="A2136" s="1059">
        <v>1917095</v>
      </c>
      <c r="B2136" s="1060" t="s">
        <v>23794</v>
      </c>
      <c r="C2136" s="1059" t="s">
        <v>38</v>
      </c>
      <c r="D2136" s="1061">
        <v>10.47</v>
      </c>
    </row>
    <row r="2137" spans="1:4" ht="9" customHeight="1" x14ac:dyDescent="0.25">
      <c r="A2137" s="1059">
        <v>1917096</v>
      </c>
      <c r="B2137" s="1060" t="s">
        <v>23795</v>
      </c>
      <c r="C2137" s="1059" t="s">
        <v>38</v>
      </c>
      <c r="D2137" s="1061">
        <v>10.55</v>
      </c>
    </row>
    <row r="2138" spans="1:4" ht="9" customHeight="1" x14ac:dyDescent="0.25">
      <c r="A2138" s="1059">
        <v>1901548</v>
      </c>
      <c r="B2138" s="1060" t="s">
        <v>23796</v>
      </c>
      <c r="C2138" s="1059" t="s">
        <v>38</v>
      </c>
      <c r="D2138" s="1061">
        <v>12.54</v>
      </c>
    </row>
    <row r="2139" spans="1:4" ht="9" customHeight="1" x14ac:dyDescent="0.25">
      <c r="A2139" s="1059">
        <v>1901549</v>
      </c>
      <c r="B2139" s="1060" t="s">
        <v>23797</v>
      </c>
      <c r="C2139" s="1059" t="s">
        <v>38</v>
      </c>
      <c r="D2139" s="1061">
        <v>12.6</v>
      </c>
    </row>
    <row r="2140" spans="1:4" ht="9" customHeight="1" x14ac:dyDescent="0.25">
      <c r="A2140" s="1059">
        <v>1901550</v>
      </c>
      <c r="B2140" s="1060" t="s">
        <v>23798</v>
      </c>
      <c r="C2140" s="1059" t="s">
        <v>38</v>
      </c>
      <c r="D2140" s="1061">
        <v>12.66</v>
      </c>
    </row>
    <row r="2141" spans="1:4" ht="9" customHeight="1" x14ac:dyDescent="0.25">
      <c r="A2141" s="1059">
        <v>1901551</v>
      </c>
      <c r="B2141" s="1060" t="s">
        <v>23799</v>
      </c>
      <c r="C2141" s="1059" t="s">
        <v>38</v>
      </c>
      <c r="D2141" s="1061">
        <v>12.72</v>
      </c>
    </row>
    <row r="2142" spans="1:4" ht="9" customHeight="1" x14ac:dyDescent="0.25">
      <c r="A2142" s="1059">
        <v>1901552</v>
      </c>
      <c r="B2142" s="1060" t="s">
        <v>23800</v>
      </c>
      <c r="C2142" s="1059" t="s">
        <v>38</v>
      </c>
      <c r="D2142" s="1061">
        <v>12.79</v>
      </c>
    </row>
    <row r="2143" spans="1:4" ht="9" customHeight="1" x14ac:dyDescent="0.25">
      <c r="A2143" s="1059">
        <v>1901547</v>
      </c>
      <c r="B2143" s="1060" t="s">
        <v>23801</v>
      </c>
      <c r="C2143" s="1059" t="s">
        <v>38</v>
      </c>
      <c r="D2143" s="1061">
        <v>12.83</v>
      </c>
    </row>
    <row r="2144" spans="1:4" ht="9" customHeight="1" x14ac:dyDescent="0.25">
      <c r="A2144" s="1059">
        <v>1917127</v>
      </c>
      <c r="B2144" s="1060" t="s">
        <v>23802</v>
      </c>
      <c r="C2144" s="1059" t="s">
        <v>38</v>
      </c>
      <c r="D2144" s="1061">
        <v>9.3000000000000007</v>
      </c>
    </row>
    <row r="2145" spans="1:4" ht="9" customHeight="1" x14ac:dyDescent="0.25">
      <c r="A2145" s="1059">
        <v>1917128</v>
      </c>
      <c r="B2145" s="1060" t="s">
        <v>23803</v>
      </c>
      <c r="C2145" s="1059" t="s">
        <v>38</v>
      </c>
      <c r="D2145" s="1061">
        <v>9.41</v>
      </c>
    </row>
    <row r="2146" spans="1:4" ht="9" customHeight="1" x14ac:dyDescent="0.25">
      <c r="A2146" s="1059">
        <v>1917129</v>
      </c>
      <c r="B2146" s="1060" t="s">
        <v>23804</v>
      </c>
      <c r="C2146" s="1059" t="s">
        <v>38</v>
      </c>
      <c r="D2146" s="1061">
        <v>9.52</v>
      </c>
    </row>
    <row r="2147" spans="1:4" ht="9" customHeight="1" x14ac:dyDescent="0.25">
      <c r="A2147" s="1059">
        <v>1917130</v>
      </c>
      <c r="B2147" s="1060" t="s">
        <v>23805</v>
      </c>
      <c r="C2147" s="1059" t="s">
        <v>38</v>
      </c>
      <c r="D2147" s="1061">
        <v>9.6300000000000008</v>
      </c>
    </row>
    <row r="2148" spans="1:4" ht="9" customHeight="1" x14ac:dyDescent="0.25">
      <c r="A2148" s="1059">
        <v>1917131</v>
      </c>
      <c r="B2148" s="1060" t="s">
        <v>23806</v>
      </c>
      <c r="C2148" s="1059" t="s">
        <v>38</v>
      </c>
      <c r="D2148" s="1061">
        <v>9.76</v>
      </c>
    </row>
    <row r="2149" spans="1:4" ht="9" customHeight="1" x14ac:dyDescent="0.25">
      <c r="A2149" s="1059">
        <v>1917132</v>
      </c>
      <c r="B2149" s="1060" t="s">
        <v>23807</v>
      </c>
      <c r="C2149" s="1059" t="s">
        <v>38</v>
      </c>
      <c r="D2149" s="1061">
        <v>9.82</v>
      </c>
    </row>
    <row r="2150" spans="1:4" ht="9" customHeight="1" x14ac:dyDescent="0.25">
      <c r="A2150" s="1059">
        <v>1917163</v>
      </c>
      <c r="B2150" s="1060" t="s">
        <v>23808</v>
      </c>
      <c r="C2150" s="1059" t="s">
        <v>38</v>
      </c>
      <c r="D2150" s="1061">
        <v>8.69</v>
      </c>
    </row>
    <row r="2151" spans="1:4" ht="9" customHeight="1" x14ac:dyDescent="0.25">
      <c r="A2151" s="1059">
        <v>1917164</v>
      </c>
      <c r="B2151" s="1060" t="s">
        <v>23809</v>
      </c>
      <c r="C2151" s="1059" t="s">
        <v>38</v>
      </c>
      <c r="D2151" s="1061">
        <v>8.7899999999999991</v>
      </c>
    </row>
    <row r="2152" spans="1:4" ht="9" customHeight="1" x14ac:dyDescent="0.25">
      <c r="A2152" s="1059">
        <v>1917165</v>
      </c>
      <c r="B2152" s="1060" t="s">
        <v>23810</v>
      </c>
      <c r="C2152" s="1059" t="s">
        <v>38</v>
      </c>
      <c r="D2152" s="1061">
        <v>8.8800000000000008</v>
      </c>
    </row>
    <row r="2153" spans="1:4" ht="9" customHeight="1" x14ac:dyDescent="0.25">
      <c r="A2153" s="1059">
        <v>1917166</v>
      </c>
      <c r="B2153" s="1060" t="s">
        <v>23811</v>
      </c>
      <c r="C2153" s="1059" t="s">
        <v>38</v>
      </c>
      <c r="D2153" s="1061">
        <v>8.99</v>
      </c>
    </row>
    <row r="2154" spans="1:4" ht="9" customHeight="1" x14ac:dyDescent="0.25">
      <c r="A2154" s="1059">
        <v>1917167</v>
      </c>
      <c r="B2154" s="1060" t="s">
        <v>23812</v>
      </c>
      <c r="C2154" s="1059" t="s">
        <v>38</v>
      </c>
      <c r="D2154" s="1061">
        <v>9.09</v>
      </c>
    </row>
    <row r="2155" spans="1:4" ht="9" customHeight="1" x14ac:dyDescent="0.25">
      <c r="A2155" s="1059">
        <v>1917168</v>
      </c>
      <c r="B2155" s="1060" t="s">
        <v>23813</v>
      </c>
      <c r="C2155" s="1059" t="s">
        <v>38</v>
      </c>
      <c r="D2155" s="1061">
        <v>9.15</v>
      </c>
    </row>
    <row r="2156" spans="1:4" ht="9" customHeight="1" x14ac:dyDescent="0.25">
      <c r="A2156" s="1059">
        <v>1917199</v>
      </c>
      <c r="B2156" s="1060" t="s">
        <v>23814</v>
      </c>
      <c r="C2156" s="1059" t="s">
        <v>38</v>
      </c>
      <c r="D2156" s="1061">
        <v>8.11</v>
      </c>
    </row>
    <row r="2157" spans="1:4" ht="9" customHeight="1" x14ac:dyDescent="0.25">
      <c r="A2157" s="1059">
        <v>1917200</v>
      </c>
      <c r="B2157" s="1060" t="s">
        <v>23815</v>
      </c>
      <c r="C2157" s="1059" t="s">
        <v>38</v>
      </c>
      <c r="D2157" s="1061">
        <v>8.1999999999999993</v>
      </c>
    </row>
    <row r="2158" spans="1:4" ht="9" customHeight="1" x14ac:dyDescent="0.25">
      <c r="A2158" s="1059">
        <v>1917201</v>
      </c>
      <c r="B2158" s="1060" t="s">
        <v>23816</v>
      </c>
      <c r="C2158" s="1059" t="s">
        <v>38</v>
      </c>
      <c r="D2158" s="1061">
        <v>8.2799999999999994</v>
      </c>
    </row>
    <row r="2159" spans="1:4" ht="9" customHeight="1" x14ac:dyDescent="0.25">
      <c r="A2159" s="1059">
        <v>1917202</v>
      </c>
      <c r="B2159" s="1060" t="s">
        <v>23817</v>
      </c>
      <c r="C2159" s="1059" t="s">
        <v>38</v>
      </c>
      <c r="D2159" s="1061">
        <v>8.3699999999999992</v>
      </c>
    </row>
    <row r="2160" spans="1:4" ht="9" customHeight="1" x14ac:dyDescent="0.25">
      <c r="A2160" s="1059">
        <v>1917203</v>
      </c>
      <c r="B2160" s="1060" t="s">
        <v>23818</v>
      </c>
      <c r="C2160" s="1059" t="s">
        <v>38</v>
      </c>
      <c r="D2160" s="1061">
        <v>8.4700000000000006</v>
      </c>
    </row>
    <row r="2161" spans="1:4" ht="9" customHeight="1" x14ac:dyDescent="0.25">
      <c r="A2161" s="1059">
        <v>1917204</v>
      </c>
      <c r="B2161" s="1060" t="s">
        <v>23819</v>
      </c>
      <c r="C2161" s="1059" t="s">
        <v>38</v>
      </c>
      <c r="D2161" s="1061">
        <v>8.52</v>
      </c>
    </row>
    <row r="2162" spans="1:4" ht="9" customHeight="1" x14ac:dyDescent="0.25">
      <c r="A2162" s="1059">
        <v>1917019</v>
      </c>
      <c r="B2162" s="1060" t="s">
        <v>23820</v>
      </c>
      <c r="C2162" s="1059" t="s">
        <v>38</v>
      </c>
      <c r="D2162" s="1061">
        <v>15.25</v>
      </c>
    </row>
    <row r="2163" spans="1:4" ht="9" customHeight="1" x14ac:dyDescent="0.25">
      <c r="A2163" s="1059">
        <v>1917020</v>
      </c>
      <c r="B2163" s="1060" t="s">
        <v>23821</v>
      </c>
      <c r="C2163" s="1059" t="s">
        <v>38</v>
      </c>
      <c r="D2163" s="1061">
        <v>15.55</v>
      </c>
    </row>
    <row r="2164" spans="1:4" ht="9" customHeight="1" x14ac:dyDescent="0.25">
      <c r="A2164" s="1059">
        <v>1917021</v>
      </c>
      <c r="B2164" s="1060" t="s">
        <v>23822</v>
      </c>
      <c r="C2164" s="1059" t="s">
        <v>38</v>
      </c>
      <c r="D2164" s="1061">
        <v>15.85</v>
      </c>
    </row>
    <row r="2165" spans="1:4" ht="9" customHeight="1" x14ac:dyDescent="0.25">
      <c r="A2165" s="1059">
        <v>1917022</v>
      </c>
      <c r="B2165" s="1060" t="s">
        <v>23823</v>
      </c>
      <c r="C2165" s="1059" t="s">
        <v>38</v>
      </c>
      <c r="D2165" s="1061">
        <v>16.18</v>
      </c>
    </row>
    <row r="2166" spans="1:4" ht="9" customHeight="1" x14ac:dyDescent="0.25">
      <c r="A2166" s="1059">
        <v>1917023</v>
      </c>
      <c r="B2166" s="1060" t="s">
        <v>23824</v>
      </c>
      <c r="C2166" s="1059" t="s">
        <v>38</v>
      </c>
      <c r="D2166" s="1061">
        <v>16.52</v>
      </c>
    </row>
    <row r="2167" spans="1:4" ht="9" customHeight="1" x14ac:dyDescent="0.25">
      <c r="A2167" s="1059">
        <v>1917024</v>
      </c>
      <c r="B2167" s="1060" t="s">
        <v>23825</v>
      </c>
      <c r="C2167" s="1059" t="s">
        <v>38</v>
      </c>
      <c r="D2167" s="1061">
        <v>16.7</v>
      </c>
    </row>
    <row r="2168" spans="1:4" ht="18" customHeight="1" x14ac:dyDescent="0.25">
      <c r="A2168" s="1059">
        <v>1917541</v>
      </c>
      <c r="B2168" s="1060" t="s">
        <v>23826</v>
      </c>
      <c r="C2168" s="1059" t="s">
        <v>38</v>
      </c>
      <c r="D2168" s="1061">
        <v>5.6</v>
      </c>
    </row>
    <row r="2169" spans="1:4" ht="18" customHeight="1" x14ac:dyDescent="0.25">
      <c r="A2169" s="1059">
        <v>1917542</v>
      </c>
      <c r="B2169" s="1060" t="s">
        <v>23827</v>
      </c>
      <c r="C2169" s="1059" t="s">
        <v>38</v>
      </c>
      <c r="D2169" s="1061">
        <v>6.19</v>
      </c>
    </row>
    <row r="2170" spans="1:4" ht="18" customHeight="1" x14ac:dyDescent="0.25">
      <c r="A2170" s="1059">
        <v>1917543</v>
      </c>
      <c r="B2170" s="1060" t="s">
        <v>23828</v>
      </c>
      <c r="C2170" s="1059" t="s">
        <v>38</v>
      </c>
      <c r="D2170" s="1061">
        <v>6.52</v>
      </c>
    </row>
    <row r="2171" spans="1:4" ht="18" customHeight="1" x14ac:dyDescent="0.25">
      <c r="A2171" s="1059">
        <v>1917544</v>
      </c>
      <c r="B2171" s="1060" t="s">
        <v>23829</v>
      </c>
      <c r="C2171" s="1059" t="s">
        <v>38</v>
      </c>
      <c r="D2171" s="1061">
        <v>6.86</v>
      </c>
    </row>
    <row r="2172" spans="1:4" ht="18" customHeight="1" x14ac:dyDescent="0.25">
      <c r="A2172" s="1059">
        <v>1917545</v>
      </c>
      <c r="B2172" s="1060" t="s">
        <v>23830</v>
      </c>
      <c r="C2172" s="1059" t="s">
        <v>38</v>
      </c>
      <c r="D2172" s="1061">
        <v>7.26</v>
      </c>
    </row>
    <row r="2173" spans="1:4" ht="18" customHeight="1" x14ac:dyDescent="0.25">
      <c r="A2173" s="1059">
        <v>1917546</v>
      </c>
      <c r="B2173" s="1060" t="s">
        <v>23831</v>
      </c>
      <c r="C2173" s="1059" t="s">
        <v>38</v>
      </c>
      <c r="D2173" s="1061">
        <v>7.62</v>
      </c>
    </row>
    <row r="2174" spans="1:4" ht="18" customHeight="1" x14ac:dyDescent="0.25">
      <c r="A2174" s="1059">
        <v>1917547</v>
      </c>
      <c r="B2174" s="1060" t="s">
        <v>23832</v>
      </c>
      <c r="C2174" s="1059" t="s">
        <v>38</v>
      </c>
      <c r="D2174" s="1061">
        <v>8.25</v>
      </c>
    </row>
    <row r="2175" spans="1:4" ht="18" customHeight="1" x14ac:dyDescent="0.25">
      <c r="A2175" s="1059">
        <v>1917548</v>
      </c>
      <c r="B2175" s="1060" t="s">
        <v>23833</v>
      </c>
      <c r="C2175" s="1059" t="s">
        <v>38</v>
      </c>
      <c r="D2175" s="1061">
        <v>8.68</v>
      </c>
    </row>
    <row r="2176" spans="1:4" ht="18" customHeight="1" x14ac:dyDescent="0.25">
      <c r="A2176" s="1059">
        <v>1917549</v>
      </c>
      <c r="B2176" s="1060" t="s">
        <v>23834</v>
      </c>
      <c r="C2176" s="1059" t="s">
        <v>38</v>
      </c>
      <c r="D2176" s="1061">
        <v>9.14</v>
      </c>
    </row>
    <row r="2177" spans="1:4" ht="18" customHeight="1" x14ac:dyDescent="0.25">
      <c r="A2177" s="1059">
        <v>1917550</v>
      </c>
      <c r="B2177" s="1060" t="s">
        <v>23835</v>
      </c>
      <c r="C2177" s="1059" t="s">
        <v>38</v>
      </c>
      <c r="D2177" s="1061">
        <v>9.6300000000000008</v>
      </c>
    </row>
    <row r="2178" spans="1:4" ht="18" customHeight="1" x14ac:dyDescent="0.25">
      <c r="A2178" s="1059">
        <v>1917551</v>
      </c>
      <c r="B2178" s="1060" t="s">
        <v>23836</v>
      </c>
      <c r="C2178" s="1059" t="s">
        <v>38</v>
      </c>
      <c r="D2178" s="1061">
        <v>10.33</v>
      </c>
    </row>
    <row r="2179" spans="1:4" ht="18" customHeight="1" x14ac:dyDescent="0.25">
      <c r="A2179" s="1059">
        <v>1917552</v>
      </c>
      <c r="B2179" s="1060" t="s">
        <v>23837</v>
      </c>
      <c r="C2179" s="1059" t="s">
        <v>38</v>
      </c>
      <c r="D2179" s="1061">
        <v>10.86</v>
      </c>
    </row>
    <row r="2180" spans="1:4" ht="18" customHeight="1" x14ac:dyDescent="0.25">
      <c r="A2180" s="1059">
        <v>1917553</v>
      </c>
      <c r="B2180" s="1060" t="s">
        <v>23838</v>
      </c>
      <c r="C2180" s="1059" t="s">
        <v>38</v>
      </c>
      <c r="D2180" s="1061">
        <v>10.89</v>
      </c>
    </row>
    <row r="2181" spans="1:4" ht="18" customHeight="1" x14ac:dyDescent="0.25">
      <c r="A2181" s="1059">
        <v>1917554</v>
      </c>
      <c r="B2181" s="1060" t="s">
        <v>23839</v>
      </c>
      <c r="C2181" s="1059" t="s">
        <v>38</v>
      </c>
      <c r="D2181" s="1061">
        <v>11.86</v>
      </c>
    </row>
    <row r="2182" spans="1:4" ht="18" customHeight="1" x14ac:dyDescent="0.25">
      <c r="A2182" s="1059">
        <v>1917555</v>
      </c>
      <c r="B2182" s="1060" t="s">
        <v>23840</v>
      </c>
      <c r="C2182" s="1059" t="s">
        <v>38</v>
      </c>
      <c r="D2182" s="1061">
        <v>12.42</v>
      </c>
    </row>
    <row r="2183" spans="1:4" ht="18" customHeight="1" x14ac:dyDescent="0.25">
      <c r="A2183" s="1059">
        <v>1917556</v>
      </c>
      <c r="B2183" s="1060" t="s">
        <v>23841</v>
      </c>
      <c r="C2183" s="1059" t="s">
        <v>38</v>
      </c>
      <c r="D2183" s="1061">
        <v>13.26</v>
      </c>
    </row>
    <row r="2184" spans="1:4" ht="18" customHeight="1" x14ac:dyDescent="0.25">
      <c r="A2184" s="1059">
        <v>1917557</v>
      </c>
      <c r="B2184" s="1060" t="s">
        <v>23842</v>
      </c>
      <c r="C2184" s="1059" t="s">
        <v>38</v>
      </c>
      <c r="D2184" s="1061">
        <v>13.87</v>
      </c>
    </row>
    <row r="2185" spans="1:4" ht="18" customHeight="1" x14ac:dyDescent="0.25">
      <c r="A2185" s="1059">
        <v>1917558</v>
      </c>
      <c r="B2185" s="1060" t="s">
        <v>23843</v>
      </c>
      <c r="C2185" s="1059" t="s">
        <v>38</v>
      </c>
      <c r="D2185" s="1061">
        <v>14.74</v>
      </c>
    </row>
    <row r="2186" spans="1:4" ht="18" customHeight="1" x14ac:dyDescent="0.25">
      <c r="A2186" s="1059">
        <v>1917559</v>
      </c>
      <c r="B2186" s="1060" t="s">
        <v>23844</v>
      </c>
      <c r="C2186" s="1059" t="s">
        <v>38</v>
      </c>
      <c r="D2186" s="1061">
        <v>16.18</v>
      </c>
    </row>
    <row r="2187" spans="1:4" ht="18" customHeight="1" x14ac:dyDescent="0.25">
      <c r="A2187" s="1059">
        <v>1917560</v>
      </c>
      <c r="B2187" s="1060" t="s">
        <v>23845</v>
      </c>
      <c r="C2187" s="1059" t="s">
        <v>38</v>
      </c>
      <c r="D2187" s="1061">
        <v>17.95</v>
      </c>
    </row>
    <row r="2188" spans="1:4" ht="18" customHeight="1" x14ac:dyDescent="0.25">
      <c r="A2188" s="1059">
        <v>1917561</v>
      </c>
      <c r="B2188" s="1060" t="s">
        <v>23846</v>
      </c>
      <c r="C2188" s="1059" t="s">
        <v>38</v>
      </c>
      <c r="D2188" s="1061">
        <v>19.739999999999998</v>
      </c>
    </row>
    <row r="2189" spans="1:4" ht="18" customHeight="1" x14ac:dyDescent="0.25">
      <c r="A2189" s="1059">
        <v>1917562</v>
      </c>
      <c r="B2189" s="1060" t="s">
        <v>23847</v>
      </c>
      <c r="C2189" s="1059" t="s">
        <v>38</v>
      </c>
      <c r="D2189" s="1061">
        <v>21.77</v>
      </c>
    </row>
    <row r="2190" spans="1:4" ht="18" customHeight="1" x14ac:dyDescent="0.25">
      <c r="A2190" s="1059">
        <v>1917563</v>
      </c>
      <c r="B2190" s="1060" t="s">
        <v>23848</v>
      </c>
      <c r="C2190" s="1059" t="s">
        <v>38</v>
      </c>
      <c r="D2190" s="1061">
        <v>23.63</v>
      </c>
    </row>
    <row r="2191" spans="1:4" ht="18" customHeight="1" x14ac:dyDescent="0.25">
      <c r="A2191" s="1059">
        <v>1917564</v>
      </c>
      <c r="B2191" s="1060" t="s">
        <v>23849</v>
      </c>
      <c r="C2191" s="1059" t="s">
        <v>38</v>
      </c>
      <c r="D2191" s="1061">
        <v>25.64</v>
      </c>
    </row>
    <row r="2192" spans="1:4" ht="18" customHeight="1" x14ac:dyDescent="0.25">
      <c r="A2192" s="1059">
        <v>1917565</v>
      </c>
      <c r="B2192" s="1060" t="s">
        <v>23850</v>
      </c>
      <c r="C2192" s="1059" t="s">
        <v>38</v>
      </c>
      <c r="D2192" s="1061">
        <v>28.25</v>
      </c>
    </row>
    <row r="2193" spans="1:4" ht="18" customHeight="1" x14ac:dyDescent="0.25">
      <c r="A2193" s="1059">
        <v>1917538</v>
      </c>
      <c r="B2193" s="1060" t="s">
        <v>23851</v>
      </c>
      <c r="C2193" s="1059" t="s">
        <v>38</v>
      </c>
      <c r="D2193" s="1061">
        <v>4.59</v>
      </c>
    </row>
    <row r="2194" spans="1:4" ht="18" customHeight="1" x14ac:dyDescent="0.25">
      <c r="A2194" s="1059">
        <v>1917566</v>
      </c>
      <c r="B2194" s="1060" t="s">
        <v>23852</v>
      </c>
      <c r="C2194" s="1059" t="s">
        <v>38</v>
      </c>
      <c r="D2194" s="1061">
        <v>30.94</v>
      </c>
    </row>
    <row r="2195" spans="1:4" ht="18" customHeight="1" x14ac:dyDescent="0.25">
      <c r="A2195" s="1059">
        <v>1917567</v>
      </c>
      <c r="B2195" s="1060" t="s">
        <v>23853</v>
      </c>
      <c r="C2195" s="1059" t="s">
        <v>38</v>
      </c>
      <c r="D2195" s="1061">
        <v>33.770000000000003</v>
      </c>
    </row>
    <row r="2196" spans="1:4" ht="18" customHeight="1" x14ac:dyDescent="0.25">
      <c r="A2196" s="1059">
        <v>1917568</v>
      </c>
      <c r="B2196" s="1060" t="s">
        <v>23854</v>
      </c>
      <c r="C2196" s="1059" t="s">
        <v>38</v>
      </c>
      <c r="D2196" s="1061">
        <v>36.47</v>
      </c>
    </row>
    <row r="2197" spans="1:4" ht="18" customHeight="1" x14ac:dyDescent="0.25">
      <c r="A2197" s="1059">
        <v>1917569</v>
      </c>
      <c r="B2197" s="1060" t="s">
        <v>23855</v>
      </c>
      <c r="C2197" s="1059" t="s">
        <v>38</v>
      </c>
      <c r="D2197" s="1061">
        <v>39.78</v>
      </c>
    </row>
    <row r="2198" spans="1:4" ht="18" customHeight="1" x14ac:dyDescent="0.25">
      <c r="A2198" s="1059">
        <v>1917570</v>
      </c>
      <c r="B2198" s="1060" t="s">
        <v>23856</v>
      </c>
      <c r="C2198" s="1059" t="s">
        <v>38</v>
      </c>
      <c r="D2198" s="1061">
        <v>42.86</v>
      </c>
    </row>
    <row r="2199" spans="1:4" ht="18" customHeight="1" x14ac:dyDescent="0.25">
      <c r="A2199" s="1059">
        <v>1917571</v>
      </c>
      <c r="B2199" s="1060" t="s">
        <v>23857</v>
      </c>
      <c r="C2199" s="1059" t="s">
        <v>38</v>
      </c>
      <c r="D2199" s="1061">
        <v>46.49</v>
      </c>
    </row>
    <row r="2200" spans="1:4" ht="18" customHeight="1" x14ac:dyDescent="0.25">
      <c r="A2200" s="1059">
        <v>1917572</v>
      </c>
      <c r="B2200" s="1060" t="s">
        <v>23858</v>
      </c>
      <c r="C2200" s="1059" t="s">
        <v>38</v>
      </c>
      <c r="D2200" s="1061">
        <v>50.52</v>
      </c>
    </row>
    <row r="2201" spans="1:4" ht="18" customHeight="1" x14ac:dyDescent="0.25">
      <c r="A2201" s="1059">
        <v>1917573</v>
      </c>
      <c r="B2201" s="1060" t="s">
        <v>23859</v>
      </c>
      <c r="C2201" s="1059" t="s">
        <v>38</v>
      </c>
      <c r="D2201" s="1061">
        <v>54.92</v>
      </c>
    </row>
    <row r="2202" spans="1:4" ht="18" customHeight="1" x14ac:dyDescent="0.25">
      <c r="A2202" s="1059">
        <v>1917574</v>
      </c>
      <c r="B2202" s="1060" t="s">
        <v>23860</v>
      </c>
      <c r="C2202" s="1059" t="s">
        <v>38</v>
      </c>
      <c r="D2202" s="1061">
        <v>58.89</v>
      </c>
    </row>
    <row r="2203" spans="1:4" ht="18" customHeight="1" x14ac:dyDescent="0.25">
      <c r="A2203" s="1059">
        <v>1917539</v>
      </c>
      <c r="B2203" s="1060" t="s">
        <v>23861</v>
      </c>
      <c r="C2203" s="1059" t="s">
        <v>38</v>
      </c>
      <c r="D2203" s="1061">
        <v>4.91</v>
      </c>
    </row>
    <row r="2204" spans="1:4" ht="18" customHeight="1" x14ac:dyDescent="0.25">
      <c r="A2204" s="1059">
        <v>1917540</v>
      </c>
      <c r="B2204" s="1060" t="s">
        <v>23862</v>
      </c>
      <c r="C2204" s="1059" t="s">
        <v>38</v>
      </c>
      <c r="D2204" s="1061">
        <v>5.28</v>
      </c>
    </row>
    <row r="2205" spans="1:4" ht="18" customHeight="1" x14ac:dyDescent="0.25">
      <c r="A2205" s="1059">
        <v>1917738</v>
      </c>
      <c r="B2205" s="1060" t="s">
        <v>23863</v>
      </c>
      <c r="C2205" s="1059" t="s">
        <v>38</v>
      </c>
      <c r="D2205" s="1061">
        <v>4.5199999999999996</v>
      </c>
    </row>
    <row r="2206" spans="1:4" ht="18" customHeight="1" x14ac:dyDescent="0.25">
      <c r="A2206" s="1059">
        <v>1917238</v>
      </c>
      <c r="B2206" s="1060" t="s">
        <v>23864</v>
      </c>
      <c r="C2206" s="1059" t="s">
        <v>38</v>
      </c>
      <c r="D2206" s="1061">
        <v>7</v>
      </c>
    </row>
    <row r="2207" spans="1:4" ht="18" customHeight="1" x14ac:dyDescent="0.25">
      <c r="A2207" s="1059">
        <v>1917239</v>
      </c>
      <c r="B2207" s="1060" t="s">
        <v>23865</v>
      </c>
      <c r="C2207" s="1059" t="s">
        <v>38</v>
      </c>
      <c r="D2207" s="1061">
        <v>7.65</v>
      </c>
    </row>
    <row r="2208" spans="1:4" ht="18" customHeight="1" x14ac:dyDescent="0.25">
      <c r="A2208" s="1059">
        <v>1917240</v>
      </c>
      <c r="B2208" s="1060" t="s">
        <v>23866</v>
      </c>
      <c r="C2208" s="1059" t="s">
        <v>38</v>
      </c>
      <c r="D2208" s="1061">
        <v>8.16</v>
      </c>
    </row>
    <row r="2209" spans="1:4" ht="18" customHeight="1" x14ac:dyDescent="0.25">
      <c r="A2209" s="1059">
        <v>1917241</v>
      </c>
      <c r="B2209" s="1060" t="s">
        <v>23867</v>
      </c>
      <c r="C2209" s="1059" t="s">
        <v>38</v>
      </c>
      <c r="D2209" s="1061">
        <v>8.6300000000000008</v>
      </c>
    </row>
    <row r="2210" spans="1:4" ht="18" customHeight="1" x14ac:dyDescent="0.25">
      <c r="A2210" s="1059">
        <v>1917242</v>
      </c>
      <c r="B2210" s="1060" t="s">
        <v>23868</v>
      </c>
      <c r="C2210" s="1059" t="s">
        <v>38</v>
      </c>
      <c r="D2210" s="1061">
        <v>9.08</v>
      </c>
    </row>
    <row r="2211" spans="1:4" ht="18" customHeight="1" x14ac:dyDescent="0.25">
      <c r="A2211" s="1059">
        <v>1917243</v>
      </c>
      <c r="B2211" s="1060" t="s">
        <v>23869</v>
      </c>
      <c r="C2211" s="1059" t="s">
        <v>38</v>
      </c>
      <c r="D2211" s="1061">
        <v>9.5</v>
      </c>
    </row>
    <row r="2212" spans="1:4" ht="18" customHeight="1" x14ac:dyDescent="0.25">
      <c r="A2212" s="1059">
        <v>1917244</v>
      </c>
      <c r="B2212" s="1060" t="s">
        <v>23870</v>
      </c>
      <c r="C2212" s="1059" t="s">
        <v>38</v>
      </c>
      <c r="D2212" s="1061">
        <v>10.11</v>
      </c>
    </row>
    <row r="2213" spans="1:4" ht="18" customHeight="1" x14ac:dyDescent="0.25">
      <c r="A2213" s="1059">
        <v>1917245</v>
      </c>
      <c r="B2213" s="1060" t="s">
        <v>23871</v>
      </c>
      <c r="C2213" s="1059" t="s">
        <v>38</v>
      </c>
      <c r="D2213" s="1061">
        <v>10.62</v>
      </c>
    </row>
    <row r="2214" spans="1:4" ht="18" customHeight="1" x14ac:dyDescent="0.25">
      <c r="A2214" s="1059">
        <v>1917246</v>
      </c>
      <c r="B2214" s="1060" t="s">
        <v>23872</v>
      </c>
      <c r="C2214" s="1059" t="s">
        <v>38</v>
      </c>
      <c r="D2214" s="1061">
        <v>11.16</v>
      </c>
    </row>
    <row r="2215" spans="1:4" ht="18" customHeight="1" x14ac:dyDescent="0.25">
      <c r="A2215" s="1059">
        <v>1917247</v>
      </c>
      <c r="B2215" s="1060" t="s">
        <v>23873</v>
      </c>
      <c r="C2215" s="1059" t="s">
        <v>38</v>
      </c>
      <c r="D2215" s="1061">
        <v>12.08</v>
      </c>
    </row>
    <row r="2216" spans="1:4" ht="18" customHeight="1" x14ac:dyDescent="0.25">
      <c r="A2216" s="1059">
        <v>1917248</v>
      </c>
      <c r="B2216" s="1060" t="s">
        <v>23874</v>
      </c>
      <c r="C2216" s="1059" t="s">
        <v>38</v>
      </c>
      <c r="D2216" s="1061">
        <v>13.78</v>
      </c>
    </row>
    <row r="2217" spans="1:4" ht="18" customHeight="1" x14ac:dyDescent="0.25">
      <c r="A2217" s="1059">
        <v>1917249</v>
      </c>
      <c r="B2217" s="1060" t="s">
        <v>23875</v>
      </c>
      <c r="C2217" s="1059" t="s">
        <v>38</v>
      </c>
      <c r="D2217" s="1061">
        <v>16.5</v>
      </c>
    </row>
    <row r="2218" spans="1:4" ht="18" customHeight="1" x14ac:dyDescent="0.25">
      <c r="A2218" s="1059">
        <v>1917235</v>
      </c>
      <c r="B2218" s="1060" t="s">
        <v>23876</v>
      </c>
      <c r="C2218" s="1059" t="s">
        <v>38</v>
      </c>
      <c r="D2218" s="1061">
        <v>5.6</v>
      </c>
    </row>
    <row r="2219" spans="1:4" ht="18" customHeight="1" x14ac:dyDescent="0.25">
      <c r="A2219" s="1059">
        <v>1917236</v>
      </c>
      <c r="B2219" s="1060" t="s">
        <v>23877</v>
      </c>
      <c r="C2219" s="1059" t="s">
        <v>38</v>
      </c>
      <c r="D2219" s="1061">
        <v>5.97</v>
      </c>
    </row>
    <row r="2220" spans="1:4" ht="18" customHeight="1" x14ac:dyDescent="0.25">
      <c r="A2220" s="1059">
        <v>1917237</v>
      </c>
      <c r="B2220" s="1060" t="s">
        <v>23878</v>
      </c>
      <c r="C2220" s="1059" t="s">
        <v>38</v>
      </c>
      <c r="D2220" s="1061">
        <v>6.43</v>
      </c>
    </row>
    <row r="2221" spans="1:4" ht="18" customHeight="1" x14ac:dyDescent="0.25">
      <c r="A2221" s="1059">
        <v>1917725</v>
      </c>
      <c r="B2221" s="1060" t="s">
        <v>23879</v>
      </c>
      <c r="C2221" s="1059" t="s">
        <v>38</v>
      </c>
      <c r="D2221" s="1061">
        <v>5.45</v>
      </c>
    </row>
    <row r="2222" spans="1:4" ht="18" customHeight="1" x14ac:dyDescent="0.25">
      <c r="A2222" s="1059">
        <v>1917311</v>
      </c>
      <c r="B2222" s="1060" t="s">
        <v>23880</v>
      </c>
      <c r="C2222" s="1059" t="s">
        <v>38</v>
      </c>
      <c r="D2222" s="1061">
        <v>5.55</v>
      </c>
    </row>
    <row r="2223" spans="1:4" ht="18" customHeight="1" x14ac:dyDescent="0.25">
      <c r="A2223" s="1059">
        <v>1917312</v>
      </c>
      <c r="B2223" s="1060" t="s">
        <v>23881</v>
      </c>
      <c r="C2223" s="1059" t="s">
        <v>38</v>
      </c>
      <c r="D2223" s="1061">
        <v>6.21</v>
      </c>
    </row>
    <row r="2224" spans="1:4" ht="18" customHeight="1" x14ac:dyDescent="0.25">
      <c r="A2224" s="1059">
        <v>1917313</v>
      </c>
      <c r="B2224" s="1060" t="s">
        <v>23882</v>
      </c>
      <c r="C2224" s="1059" t="s">
        <v>38</v>
      </c>
      <c r="D2224" s="1061">
        <v>6.67</v>
      </c>
    </row>
    <row r="2225" spans="1:4" ht="18" customHeight="1" x14ac:dyDescent="0.25">
      <c r="A2225" s="1059">
        <v>1917314</v>
      </c>
      <c r="B2225" s="1060" t="s">
        <v>23883</v>
      </c>
      <c r="C2225" s="1059" t="s">
        <v>38</v>
      </c>
      <c r="D2225" s="1061">
        <v>7.11</v>
      </c>
    </row>
    <row r="2226" spans="1:4" ht="18" customHeight="1" x14ac:dyDescent="0.25">
      <c r="A2226" s="1059">
        <v>1917315</v>
      </c>
      <c r="B2226" s="1060" t="s">
        <v>23884</v>
      </c>
      <c r="C2226" s="1059" t="s">
        <v>38</v>
      </c>
      <c r="D2226" s="1061">
        <v>7.64</v>
      </c>
    </row>
    <row r="2227" spans="1:4" ht="18" customHeight="1" x14ac:dyDescent="0.25">
      <c r="A2227" s="1059">
        <v>1917316</v>
      </c>
      <c r="B2227" s="1060" t="s">
        <v>23885</v>
      </c>
      <c r="C2227" s="1059" t="s">
        <v>38</v>
      </c>
      <c r="D2227" s="1061">
        <v>8.17</v>
      </c>
    </row>
    <row r="2228" spans="1:4" ht="18" customHeight="1" x14ac:dyDescent="0.25">
      <c r="A2228" s="1059">
        <v>1917317</v>
      </c>
      <c r="B2228" s="1060" t="s">
        <v>23886</v>
      </c>
      <c r="C2228" s="1059" t="s">
        <v>38</v>
      </c>
      <c r="D2228" s="1061">
        <v>8.94</v>
      </c>
    </row>
    <row r="2229" spans="1:4" ht="18" customHeight="1" x14ac:dyDescent="0.25">
      <c r="A2229" s="1059">
        <v>1917318</v>
      </c>
      <c r="B2229" s="1060" t="s">
        <v>23887</v>
      </c>
      <c r="C2229" s="1059" t="s">
        <v>38</v>
      </c>
      <c r="D2229" s="1061">
        <v>9.65</v>
      </c>
    </row>
    <row r="2230" spans="1:4" ht="18" customHeight="1" x14ac:dyDescent="0.25">
      <c r="A2230" s="1059">
        <v>1917319</v>
      </c>
      <c r="B2230" s="1060" t="s">
        <v>23888</v>
      </c>
      <c r="C2230" s="1059" t="s">
        <v>38</v>
      </c>
      <c r="D2230" s="1061">
        <v>10.33</v>
      </c>
    </row>
    <row r="2231" spans="1:4" ht="18" customHeight="1" x14ac:dyDescent="0.25">
      <c r="A2231" s="1059">
        <v>1917320</v>
      </c>
      <c r="B2231" s="1060" t="s">
        <v>23889</v>
      </c>
      <c r="C2231" s="1059" t="s">
        <v>38</v>
      </c>
      <c r="D2231" s="1061">
        <v>11.04</v>
      </c>
    </row>
    <row r="2232" spans="1:4" ht="18" customHeight="1" x14ac:dyDescent="0.25">
      <c r="A2232" s="1059">
        <v>1917321</v>
      </c>
      <c r="B2232" s="1060" t="s">
        <v>23890</v>
      </c>
      <c r="C2232" s="1059" t="s">
        <v>38</v>
      </c>
      <c r="D2232" s="1061">
        <v>13.42</v>
      </c>
    </row>
    <row r="2233" spans="1:4" ht="18" customHeight="1" x14ac:dyDescent="0.25">
      <c r="A2233" s="1059">
        <v>1917322</v>
      </c>
      <c r="B2233" s="1060" t="s">
        <v>23891</v>
      </c>
      <c r="C2233" s="1059" t="s">
        <v>38</v>
      </c>
      <c r="D2233" s="1061">
        <v>15.52</v>
      </c>
    </row>
    <row r="2234" spans="1:4" ht="18" customHeight="1" x14ac:dyDescent="0.25">
      <c r="A2234" s="1059">
        <v>1917323</v>
      </c>
      <c r="B2234" s="1060" t="s">
        <v>23892</v>
      </c>
      <c r="C2234" s="1059" t="s">
        <v>38</v>
      </c>
      <c r="D2234" s="1061">
        <v>18.2</v>
      </c>
    </row>
    <row r="2235" spans="1:4" ht="18" customHeight="1" x14ac:dyDescent="0.25">
      <c r="A2235" s="1059">
        <v>1917324</v>
      </c>
      <c r="B2235" s="1060" t="s">
        <v>23893</v>
      </c>
      <c r="C2235" s="1059" t="s">
        <v>38</v>
      </c>
      <c r="D2235" s="1061">
        <v>21.01</v>
      </c>
    </row>
    <row r="2236" spans="1:4" ht="18" customHeight="1" x14ac:dyDescent="0.25">
      <c r="A2236" s="1059">
        <v>1917325</v>
      </c>
      <c r="B2236" s="1060" t="s">
        <v>23894</v>
      </c>
      <c r="C2236" s="1059" t="s">
        <v>38</v>
      </c>
      <c r="D2236" s="1061">
        <v>24.32</v>
      </c>
    </row>
    <row r="2237" spans="1:4" ht="18" customHeight="1" x14ac:dyDescent="0.25">
      <c r="A2237" s="1059">
        <v>1917326</v>
      </c>
      <c r="B2237" s="1060" t="s">
        <v>23895</v>
      </c>
      <c r="C2237" s="1059" t="s">
        <v>38</v>
      </c>
      <c r="D2237" s="1061">
        <v>28.76</v>
      </c>
    </row>
    <row r="2238" spans="1:4" ht="18" customHeight="1" x14ac:dyDescent="0.25">
      <c r="A2238" s="1059">
        <v>1917327</v>
      </c>
      <c r="B2238" s="1060" t="s">
        <v>23896</v>
      </c>
      <c r="C2238" s="1059" t="s">
        <v>38</v>
      </c>
      <c r="D2238" s="1061">
        <v>33.31</v>
      </c>
    </row>
    <row r="2239" spans="1:4" ht="18" customHeight="1" x14ac:dyDescent="0.25">
      <c r="A2239" s="1059">
        <v>1917328</v>
      </c>
      <c r="B2239" s="1060" t="s">
        <v>23897</v>
      </c>
      <c r="C2239" s="1059" t="s">
        <v>38</v>
      </c>
      <c r="D2239" s="1061">
        <v>38.520000000000003</v>
      </c>
    </row>
    <row r="2240" spans="1:4" ht="18" customHeight="1" x14ac:dyDescent="0.25">
      <c r="A2240" s="1059">
        <v>1917329</v>
      </c>
      <c r="B2240" s="1060" t="s">
        <v>23898</v>
      </c>
      <c r="C2240" s="1059" t="s">
        <v>38</v>
      </c>
      <c r="D2240" s="1061">
        <v>42.05</v>
      </c>
    </row>
    <row r="2241" spans="1:4" ht="18" customHeight="1" x14ac:dyDescent="0.25">
      <c r="A2241" s="1059">
        <v>1917330</v>
      </c>
      <c r="B2241" s="1060" t="s">
        <v>23899</v>
      </c>
      <c r="C2241" s="1059" t="s">
        <v>38</v>
      </c>
      <c r="D2241" s="1061">
        <v>46.38</v>
      </c>
    </row>
    <row r="2242" spans="1:4" ht="18" customHeight="1" x14ac:dyDescent="0.25">
      <c r="A2242" s="1059">
        <v>1917308</v>
      </c>
      <c r="B2242" s="1060" t="s">
        <v>23900</v>
      </c>
      <c r="C2242" s="1059" t="s">
        <v>38</v>
      </c>
      <c r="D2242" s="1061">
        <v>4.53</v>
      </c>
    </row>
    <row r="2243" spans="1:4" ht="18" customHeight="1" x14ac:dyDescent="0.25">
      <c r="A2243" s="1059">
        <v>1917309</v>
      </c>
      <c r="B2243" s="1060" t="s">
        <v>23901</v>
      </c>
      <c r="C2243" s="1059" t="s">
        <v>38</v>
      </c>
      <c r="D2243" s="1061">
        <v>4.82</v>
      </c>
    </row>
    <row r="2244" spans="1:4" ht="18" customHeight="1" x14ac:dyDescent="0.25">
      <c r="A2244" s="1059">
        <v>1917310</v>
      </c>
      <c r="B2244" s="1060" t="s">
        <v>23902</v>
      </c>
      <c r="C2244" s="1059" t="s">
        <v>38</v>
      </c>
      <c r="D2244" s="1061">
        <v>5.13</v>
      </c>
    </row>
    <row r="2245" spans="1:4" ht="18" customHeight="1" x14ac:dyDescent="0.25">
      <c r="A2245" s="1059">
        <v>1917730</v>
      </c>
      <c r="B2245" s="1060" t="s">
        <v>23903</v>
      </c>
      <c r="C2245" s="1059" t="s">
        <v>38</v>
      </c>
      <c r="D2245" s="1061">
        <v>4.4800000000000004</v>
      </c>
    </row>
    <row r="2246" spans="1:4" ht="18" customHeight="1" x14ac:dyDescent="0.25">
      <c r="A2246" s="1059">
        <v>1917415</v>
      </c>
      <c r="B2246" s="1060" t="s">
        <v>23904</v>
      </c>
      <c r="C2246" s="1059" t="s">
        <v>38</v>
      </c>
      <c r="D2246" s="1061">
        <v>5.53</v>
      </c>
    </row>
    <row r="2247" spans="1:4" ht="18" customHeight="1" x14ac:dyDescent="0.25">
      <c r="A2247" s="1059">
        <v>1917416</v>
      </c>
      <c r="B2247" s="1060" t="s">
        <v>23905</v>
      </c>
      <c r="C2247" s="1059" t="s">
        <v>38</v>
      </c>
      <c r="D2247" s="1061">
        <v>6.17</v>
      </c>
    </row>
    <row r="2248" spans="1:4" ht="18" customHeight="1" x14ac:dyDescent="0.25">
      <c r="A2248" s="1059">
        <v>1917417</v>
      </c>
      <c r="B2248" s="1060" t="s">
        <v>23906</v>
      </c>
      <c r="C2248" s="1059" t="s">
        <v>38</v>
      </c>
      <c r="D2248" s="1061">
        <v>6.61</v>
      </c>
    </row>
    <row r="2249" spans="1:4" ht="18" customHeight="1" x14ac:dyDescent="0.25">
      <c r="A2249" s="1059">
        <v>1917418</v>
      </c>
      <c r="B2249" s="1060" t="s">
        <v>23907</v>
      </c>
      <c r="C2249" s="1059" t="s">
        <v>38</v>
      </c>
      <c r="D2249" s="1061">
        <v>7.03</v>
      </c>
    </row>
    <row r="2250" spans="1:4" ht="18" customHeight="1" x14ac:dyDescent="0.25">
      <c r="A2250" s="1059">
        <v>1917419</v>
      </c>
      <c r="B2250" s="1060" t="s">
        <v>23908</v>
      </c>
      <c r="C2250" s="1059" t="s">
        <v>38</v>
      </c>
      <c r="D2250" s="1061">
        <v>7.42</v>
      </c>
    </row>
    <row r="2251" spans="1:4" ht="18" customHeight="1" x14ac:dyDescent="0.25">
      <c r="A2251" s="1059">
        <v>1917420</v>
      </c>
      <c r="B2251" s="1060" t="s">
        <v>23909</v>
      </c>
      <c r="C2251" s="1059" t="s">
        <v>38</v>
      </c>
      <c r="D2251" s="1061">
        <v>7.86</v>
      </c>
    </row>
    <row r="2252" spans="1:4" ht="18" customHeight="1" x14ac:dyDescent="0.25">
      <c r="A2252" s="1059">
        <v>1917421</v>
      </c>
      <c r="B2252" s="1060" t="s">
        <v>23910</v>
      </c>
      <c r="C2252" s="1059" t="s">
        <v>38</v>
      </c>
      <c r="D2252" s="1061">
        <v>8.52</v>
      </c>
    </row>
    <row r="2253" spans="1:4" ht="18" customHeight="1" x14ac:dyDescent="0.25">
      <c r="A2253" s="1059">
        <v>1917422</v>
      </c>
      <c r="B2253" s="1060" t="s">
        <v>23911</v>
      </c>
      <c r="C2253" s="1059" t="s">
        <v>38</v>
      </c>
      <c r="D2253" s="1061">
        <v>8.94</v>
      </c>
    </row>
    <row r="2254" spans="1:4" ht="18" customHeight="1" x14ac:dyDescent="0.25">
      <c r="A2254" s="1059">
        <v>1917423</v>
      </c>
      <c r="B2254" s="1060" t="s">
        <v>23912</v>
      </c>
      <c r="C2254" s="1059" t="s">
        <v>38</v>
      </c>
      <c r="D2254" s="1061">
        <v>9.3800000000000008</v>
      </c>
    </row>
    <row r="2255" spans="1:4" ht="18" customHeight="1" x14ac:dyDescent="0.25">
      <c r="A2255" s="1059">
        <v>1917424</v>
      </c>
      <c r="B2255" s="1060" t="s">
        <v>23913</v>
      </c>
      <c r="C2255" s="1059" t="s">
        <v>38</v>
      </c>
      <c r="D2255" s="1061">
        <v>9.82</v>
      </c>
    </row>
    <row r="2256" spans="1:4" ht="18" customHeight="1" x14ac:dyDescent="0.25">
      <c r="A2256" s="1059">
        <v>1917425</v>
      </c>
      <c r="B2256" s="1060" t="s">
        <v>23914</v>
      </c>
      <c r="C2256" s="1059" t="s">
        <v>38</v>
      </c>
      <c r="D2256" s="1061">
        <v>10.63</v>
      </c>
    </row>
    <row r="2257" spans="1:4" ht="18" customHeight="1" x14ac:dyDescent="0.25">
      <c r="A2257" s="1059">
        <v>1917426</v>
      </c>
      <c r="B2257" s="1060" t="s">
        <v>23915</v>
      </c>
      <c r="C2257" s="1059" t="s">
        <v>38</v>
      </c>
      <c r="D2257" s="1061">
        <v>11.52</v>
      </c>
    </row>
    <row r="2258" spans="1:4" ht="18" customHeight="1" x14ac:dyDescent="0.25">
      <c r="A2258" s="1059">
        <v>1917427</v>
      </c>
      <c r="B2258" s="1060" t="s">
        <v>23916</v>
      </c>
      <c r="C2258" s="1059" t="s">
        <v>38</v>
      </c>
      <c r="D2258" s="1061">
        <v>13.1</v>
      </c>
    </row>
    <row r="2259" spans="1:4" ht="18" customHeight="1" x14ac:dyDescent="0.25">
      <c r="A2259" s="1059">
        <v>1917428</v>
      </c>
      <c r="B2259" s="1060" t="s">
        <v>23917</v>
      </c>
      <c r="C2259" s="1059" t="s">
        <v>38</v>
      </c>
      <c r="D2259" s="1061">
        <v>14.95</v>
      </c>
    </row>
    <row r="2260" spans="1:4" ht="18" customHeight="1" x14ac:dyDescent="0.25">
      <c r="A2260" s="1059">
        <v>1917429</v>
      </c>
      <c r="B2260" s="1060" t="s">
        <v>23918</v>
      </c>
      <c r="C2260" s="1059" t="s">
        <v>38</v>
      </c>
      <c r="D2260" s="1061">
        <v>16.88</v>
      </c>
    </row>
    <row r="2261" spans="1:4" ht="18" customHeight="1" x14ac:dyDescent="0.25">
      <c r="A2261" s="1059">
        <v>1917430</v>
      </c>
      <c r="B2261" s="1060" t="s">
        <v>23919</v>
      </c>
      <c r="C2261" s="1059" t="s">
        <v>38</v>
      </c>
      <c r="D2261" s="1061">
        <v>19.420000000000002</v>
      </c>
    </row>
    <row r="2262" spans="1:4" ht="18" customHeight="1" x14ac:dyDescent="0.25">
      <c r="A2262" s="1059">
        <v>1917431</v>
      </c>
      <c r="B2262" s="1060" t="s">
        <v>23920</v>
      </c>
      <c r="C2262" s="1059" t="s">
        <v>38</v>
      </c>
      <c r="D2262" s="1061">
        <v>21.66</v>
      </c>
    </row>
    <row r="2263" spans="1:4" ht="18" customHeight="1" x14ac:dyDescent="0.25">
      <c r="A2263" s="1059">
        <v>1917432</v>
      </c>
      <c r="B2263" s="1060" t="s">
        <v>23921</v>
      </c>
      <c r="C2263" s="1059" t="s">
        <v>38</v>
      </c>
      <c r="D2263" s="1061">
        <v>24.56</v>
      </c>
    </row>
    <row r="2264" spans="1:4" ht="18" customHeight="1" x14ac:dyDescent="0.25">
      <c r="A2264" s="1059">
        <v>1917433</v>
      </c>
      <c r="B2264" s="1060" t="s">
        <v>23922</v>
      </c>
      <c r="C2264" s="1059" t="s">
        <v>38</v>
      </c>
      <c r="D2264" s="1061">
        <v>27.52</v>
      </c>
    </row>
    <row r="2265" spans="1:4" ht="18" customHeight="1" x14ac:dyDescent="0.25">
      <c r="A2265" s="1059">
        <v>1917434</v>
      </c>
      <c r="B2265" s="1060" t="s">
        <v>23923</v>
      </c>
      <c r="C2265" s="1059" t="s">
        <v>38</v>
      </c>
      <c r="D2265" s="1061">
        <v>31</v>
      </c>
    </row>
    <row r="2266" spans="1:4" ht="18" customHeight="1" x14ac:dyDescent="0.25">
      <c r="A2266" s="1059">
        <v>1917435</v>
      </c>
      <c r="B2266" s="1060" t="s">
        <v>23924</v>
      </c>
      <c r="C2266" s="1059" t="s">
        <v>38</v>
      </c>
      <c r="D2266" s="1061">
        <v>35.19</v>
      </c>
    </row>
    <row r="2267" spans="1:4" ht="18" customHeight="1" x14ac:dyDescent="0.25">
      <c r="A2267" s="1059">
        <v>1917436</v>
      </c>
      <c r="B2267" s="1060" t="s">
        <v>23925</v>
      </c>
      <c r="C2267" s="1059" t="s">
        <v>38</v>
      </c>
      <c r="D2267" s="1061">
        <v>38.979999999999997</v>
      </c>
    </row>
    <row r="2268" spans="1:4" ht="18" customHeight="1" x14ac:dyDescent="0.25">
      <c r="A2268" s="1059">
        <v>1917437</v>
      </c>
      <c r="B2268" s="1060" t="s">
        <v>23926</v>
      </c>
      <c r="C2268" s="1059" t="s">
        <v>38</v>
      </c>
      <c r="D2268" s="1061">
        <v>43.81</v>
      </c>
    </row>
    <row r="2269" spans="1:4" ht="18" customHeight="1" x14ac:dyDescent="0.25">
      <c r="A2269" s="1059">
        <v>1917438</v>
      </c>
      <c r="B2269" s="1060" t="s">
        <v>23927</v>
      </c>
      <c r="C2269" s="1059" t="s">
        <v>38</v>
      </c>
      <c r="D2269" s="1061">
        <v>47.19</v>
      </c>
    </row>
    <row r="2270" spans="1:4" ht="18" customHeight="1" x14ac:dyDescent="0.25">
      <c r="A2270" s="1059">
        <v>1917439</v>
      </c>
      <c r="B2270" s="1060" t="s">
        <v>23928</v>
      </c>
      <c r="C2270" s="1059" t="s">
        <v>38</v>
      </c>
      <c r="D2270" s="1061">
        <v>50.14</v>
      </c>
    </row>
    <row r="2271" spans="1:4" ht="18" customHeight="1" x14ac:dyDescent="0.25">
      <c r="A2271" s="1059">
        <v>1917412</v>
      </c>
      <c r="B2271" s="1060" t="s">
        <v>23929</v>
      </c>
      <c r="C2271" s="1059" t="s">
        <v>38</v>
      </c>
      <c r="D2271" s="1061">
        <v>4.1500000000000004</v>
      </c>
    </row>
    <row r="2272" spans="1:4" ht="18" customHeight="1" x14ac:dyDescent="0.25">
      <c r="A2272" s="1059">
        <v>1917413</v>
      </c>
      <c r="B2272" s="1060" t="s">
        <v>23930</v>
      </c>
      <c r="C2272" s="1059" t="s">
        <v>38</v>
      </c>
      <c r="D2272" s="1061">
        <v>4.6399999999999997</v>
      </c>
    </row>
    <row r="2273" spans="1:4" ht="18" customHeight="1" x14ac:dyDescent="0.25">
      <c r="A2273" s="1059">
        <v>1917414</v>
      </c>
      <c r="B2273" s="1060" t="s">
        <v>23931</v>
      </c>
      <c r="C2273" s="1059" t="s">
        <v>38</v>
      </c>
      <c r="D2273" s="1061">
        <v>5.14</v>
      </c>
    </row>
    <row r="2274" spans="1:4" ht="18" customHeight="1" x14ac:dyDescent="0.25">
      <c r="A2274" s="1059">
        <v>1917733</v>
      </c>
      <c r="B2274" s="1060" t="s">
        <v>23932</v>
      </c>
      <c r="C2274" s="1059" t="s">
        <v>38</v>
      </c>
      <c r="D2274" s="1061">
        <v>3.88</v>
      </c>
    </row>
    <row r="2275" spans="1:4" ht="9" customHeight="1" x14ac:dyDescent="0.25">
      <c r="A2275" s="1059">
        <v>1917049</v>
      </c>
      <c r="B2275" s="1060" t="s">
        <v>23933</v>
      </c>
      <c r="C2275" s="1059" t="s">
        <v>38</v>
      </c>
      <c r="D2275" s="1061">
        <v>11.63</v>
      </c>
    </row>
    <row r="2276" spans="1:4" ht="9" customHeight="1" x14ac:dyDescent="0.25">
      <c r="A2276" s="1059">
        <v>1917050</v>
      </c>
      <c r="B2276" s="1060" t="s">
        <v>23934</v>
      </c>
      <c r="C2276" s="1059" t="s">
        <v>38</v>
      </c>
      <c r="D2276" s="1061">
        <v>11.84</v>
      </c>
    </row>
    <row r="2277" spans="1:4" ht="9" customHeight="1" x14ac:dyDescent="0.25">
      <c r="A2277" s="1059">
        <v>1917051</v>
      </c>
      <c r="B2277" s="1060" t="s">
        <v>23935</v>
      </c>
      <c r="C2277" s="1059" t="s">
        <v>38</v>
      </c>
      <c r="D2277" s="1061">
        <v>12.06</v>
      </c>
    </row>
    <row r="2278" spans="1:4" ht="9" customHeight="1" x14ac:dyDescent="0.25">
      <c r="A2278" s="1059">
        <v>1917052</v>
      </c>
      <c r="B2278" s="1060" t="s">
        <v>23936</v>
      </c>
      <c r="C2278" s="1059" t="s">
        <v>38</v>
      </c>
      <c r="D2278" s="1061">
        <v>12.29</v>
      </c>
    </row>
    <row r="2279" spans="1:4" ht="9" customHeight="1" x14ac:dyDescent="0.25">
      <c r="A2279" s="1059">
        <v>1917053</v>
      </c>
      <c r="B2279" s="1060" t="s">
        <v>23937</v>
      </c>
      <c r="C2279" s="1059" t="s">
        <v>38</v>
      </c>
      <c r="D2279" s="1061">
        <v>12.53</v>
      </c>
    </row>
    <row r="2280" spans="1:4" ht="9" customHeight="1" x14ac:dyDescent="0.25">
      <c r="A2280" s="1059">
        <v>1917054</v>
      </c>
      <c r="B2280" s="1060" t="s">
        <v>23938</v>
      </c>
      <c r="C2280" s="1059" t="s">
        <v>38</v>
      </c>
      <c r="D2280" s="1061">
        <v>12.66</v>
      </c>
    </row>
    <row r="2281" spans="1:4" ht="9" customHeight="1" x14ac:dyDescent="0.25">
      <c r="A2281" s="1059">
        <v>1901553</v>
      </c>
      <c r="B2281" s="1060" t="s">
        <v>23939</v>
      </c>
      <c r="C2281" s="1059" t="s">
        <v>38</v>
      </c>
      <c r="D2281" s="1061">
        <v>7.88</v>
      </c>
    </row>
    <row r="2282" spans="1:4" ht="9" customHeight="1" x14ac:dyDescent="0.25">
      <c r="A2282" s="1059">
        <v>1901554</v>
      </c>
      <c r="B2282" s="1060" t="s">
        <v>23940</v>
      </c>
      <c r="C2282" s="1059" t="s">
        <v>38</v>
      </c>
      <c r="D2282" s="1061">
        <v>7.94</v>
      </c>
    </row>
    <row r="2283" spans="1:4" ht="9" customHeight="1" x14ac:dyDescent="0.25">
      <c r="A2283" s="1059">
        <v>1901555</v>
      </c>
      <c r="B2283" s="1060" t="s">
        <v>23941</v>
      </c>
      <c r="C2283" s="1059" t="s">
        <v>38</v>
      </c>
      <c r="D2283" s="1061">
        <v>8.01</v>
      </c>
    </row>
    <row r="2284" spans="1:4" ht="9" customHeight="1" x14ac:dyDescent="0.25">
      <c r="A2284" s="1059">
        <v>1901556</v>
      </c>
      <c r="B2284" s="1060" t="s">
        <v>23942</v>
      </c>
      <c r="C2284" s="1059" t="s">
        <v>38</v>
      </c>
      <c r="D2284" s="1061">
        <v>8.08</v>
      </c>
    </row>
    <row r="2285" spans="1:4" ht="9" customHeight="1" x14ac:dyDescent="0.25">
      <c r="A2285" s="1059">
        <v>1901557</v>
      </c>
      <c r="B2285" s="1060" t="s">
        <v>23943</v>
      </c>
      <c r="C2285" s="1059" t="s">
        <v>38</v>
      </c>
      <c r="D2285" s="1061">
        <v>8.15</v>
      </c>
    </row>
    <row r="2286" spans="1:4" ht="9" customHeight="1" x14ac:dyDescent="0.25">
      <c r="A2286" s="1059">
        <v>1901558</v>
      </c>
      <c r="B2286" s="1060" t="s">
        <v>23944</v>
      </c>
      <c r="C2286" s="1059" t="s">
        <v>38</v>
      </c>
      <c r="D2286" s="1061">
        <v>8.19</v>
      </c>
    </row>
    <row r="2287" spans="1:4" ht="9" customHeight="1" x14ac:dyDescent="0.25">
      <c r="A2287" s="1059">
        <v>1901560</v>
      </c>
      <c r="B2287" s="1060" t="s">
        <v>23945</v>
      </c>
      <c r="C2287" s="1059" t="s">
        <v>38</v>
      </c>
      <c r="D2287" s="1061">
        <v>10.44</v>
      </c>
    </row>
    <row r="2288" spans="1:4" ht="9" customHeight="1" x14ac:dyDescent="0.25">
      <c r="A2288" s="1059">
        <v>1901561</v>
      </c>
      <c r="B2288" s="1060" t="s">
        <v>23946</v>
      </c>
      <c r="C2288" s="1059" t="s">
        <v>38</v>
      </c>
      <c r="D2288" s="1061">
        <v>10.5</v>
      </c>
    </row>
    <row r="2289" spans="1:4" ht="9" customHeight="1" x14ac:dyDescent="0.25">
      <c r="A2289" s="1059">
        <v>1901562</v>
      </c>
      <c r="B2289" s="1060" t="s">
        <v>23947</v>
      </c>
      <c r="C2289" s="1059" t="s">
        <v>38</v>
      </c>
      <c r="D2289" s="1061">
        <v>10.56</v>
      </c>
    </row>
    <row r="2290" spans="1:4" ht="9" customHeight="1" x14ac:dyDescent="0.25">
      <c r="A2290" s="1059">
        <v>1901563</v>
      </c>
      <c r="B2290" s="1060" t="s">
        <v>23948</v>
      </c>
      <c r="C2290" s="1059" t="s">
        <v>38</v>
      </c>
      <c r="D2290" s="1061">
        <v>10.63</v>
      </c>
    </row>
    <row r="2291" spans="1:4" ht="9" customHeight="1" x14ac:dyDescent="0.25">
      <c r="A2291" s="1059">
        <v>1901564</v>
      </c>
      <c r="B2291" s="1060" t="s">
        <v>23949</v>
      </c>
      <c r="C2291" s="1059" t="s">
        <v>38</v>
      </c>
      <c r="D2291" s="1061">
        <v>10.7</v>
      </c>
    </row>
    <row r="2292" spans="1:4" ht="9" customHeight="1" x14ac:dyDescent="0.25">
      <c r="A2292" s="1059">
        <v>1901559</v>
      </c>
      <c r="B2292" s="1060" t="s">
        <v>23950</v>
      </c>
      <c r="C2292" s="1059" t="s">
        <v>38</v>
      </c>
      <c r="D2292" s="1061">
        <v>10.73</v>
      </c>
    </row>
    <row r="2293" spans="1:4" ht="9" customHeight="1" x14ac:dyDescent="0.25">
      <c r="A2293" s="1059">
        <v>1917085</v>
      </c>
      <c r="B2293" s="1060" t="s">
        <v>23951</v>
      </c>
      <c r="C2293" s="1059" t="s">
        <v>38</v>
      </c>
      <c r="D2293" s="1061">
        <v>10.27</v>
      </c>
    </row>
    <row r="2294" spans="1:4" ht="9" customHeight="1" x14ac:dyDescent="0.25">
      <c r="A2294" s="1059">
        <v>1917086</v>
      </c>
      <c r="B2294" s="1060" t="s">
        <v>23952</v>
      </c>
      <c r="C2294" s="1059" t="s">
        <v>38</v>
      </c>
      <c r="D2294" s="1061">
        <v>10.4</v>
      </c>
    </row>
    <row r="2295" spans="1:4" ht="9" customHeight="1" x14ac:dyDescent="0.25">
      <c r="A2295" s="1059">
        <v>1917087</v>
      </c>
      <c r="B2295" s="1060" t="s">
        <v>23953</v>
      </c>
      <c r="C2295" s="1059" t="s">
        <v>38</v>
      </c>
      <c r="D2295" s="1061">
        <v>10.53</v>
      </c>
    </row>
    <row r="2296" spans="1:4" ht="9" customHeight="1" x14ac:dyDescent="0.25">
      <c r="A2296" s="1059">
        <v>1917088</v>
      </c>
      <c r="B2296" s="1060" t="s">
        <v>23954</v>
      </c>
      <c r="C2296" s="1059" t="s">
        <v>38</v>
      </c>
      <c r="D2296" s="1061">
        <v>10.68</v>
      </c>
    </row>
    <row r="2297" spans="1:4" ht="9" customHeight="1" x14ac:dyDescent="0.25">
      <c r="A2297" s="1059">
        <v>1917089</v>
      </c>
      <c r="B2297" s="1060" t="s">
        <v>23955</v>
      </c>
      <c r="C2297" s="1059" t="s">
        <v>38</v>
      </c>
      <c r="D2297" s="1061">
        <v>10.83</v>
      </c>
    </row>
    <row r="2298" spans="1:4" ht="9" customHeight="1" x14ac:dyDescent="0.25">
      <c r="A2298" s="1059">
        <v>1917090</v>
      </c>
      <c r="B2298" s="1060" t="s">
        <v>23956</v>
      </c>
      <c r="C2298" s="1059" t="s">
        <v>38</v>
      </c>
      <c r="D2298" s="1061">
        <v>10.91</v>
      </c>
    </row>
    <row r="2299" spans="1:4" ht="9" customHeight="1" x14ac:dyDescent="0.25">
      <c r="A2299" s="1059">
        <v>1901566</v>
      </c>
      <c r="B2299" s="1060" t="s">
        <v>23957</v>
      </c>
      <c r="C2299" s="1059" t="s">
        <v>38</v>
      </c>
      <c r="D2299" s="1061">
        <v>13.06</v>
      </c>
    </row>
    <row r="2300" spans="1:4" ht="9" customHeight="1" x14ac:dyDescent="0.25">
      <c r="A2300" s="1059">
        <v>1901567</v>
      </c>
      <c r="B2300" s="1060" t="s">
        <v>23958</v>
      </c>
      <c r="C2300" s="1059" t="s">
        <v>38</v>
      </c>
      <c r="D2300" s="1061">
        <v>13.12</v>
      </c>
    </row>
    <row r="2301" spans="1:4" ht="9" customHeight="1" x14ac:dyDescent="0.25">
      <c r="A2301" s="1059">
        <v>1901568</v>
      </c>
      <c r="B2301" s="1060" t="s">
        <v>23959</v>
      </c>
      <c r="C2301" s="1059" t="s">
        <v>38</v>
      </c>
      <c r="D2301" s="1061">
        <v>13.18</v>
      </c>
    </row>
    <row r="2302" spans="1:4" ht="9" customHeight="1" x14ac:dyDescent="0.25">
      <c r="A2302" s="1059">
        <v>1901569</v>
      </c>
      <c r="B2302" s="1060" t="s">
        <v>23960</v>
      </c>
      <c r="C2302" s="1059" t="s">
        <v>38</v>
      </c>
      <c r="D2302" s="1061">
        <v>13.24</v>
      </c>
    </row>
    <row r="2303" spans="1:4" ht="9" customHeight="1" x14ac:dyDescent="0.25">
      <c r="A2303" s="1059">
        <v>1901570</v>
      </c>
      <c r="B2303" s="1060" t="s">
        <v>23961</v>
      </c>
      <c r="C2303" s="1059" t="s">
        <v>38</v>
      </c>
      <c r="D2303" s="1061">
        <v>13.31</v>
      </c>
    </row>
    <row r="2304" spans="1:4" ht="9" customHeight="1" x14ac:dyDescent="0.25">
      <c r="A2304" s="1059">
        <v>1901565</v>
      </c>
      <c r="B2304" s="1060" t="s">
        <v>23962</v>
      </c>
      <c r="C2304" s="1059" t="s">
        <v>38</v>
      </c>
      <c r="D2304" s="1061">
        <v>13.35</v>
      </c>
    </row>
    <row r="2305" spans="1:4" ht="9" customHeight="1" x14ac:dyDescent="0.25">
      <c r="A2305" s="1059">
        <v>1917121</v>
      </c>
      <c r="B2305" s="1060" t="s">
        <v>23963</v>
      </c>
      <c r="C2305" s="1059" t="s">
        <v>38</v>
      </c>
      <c r="D2305" s="1061">
        <v>9.64</v>
      </c>
    </row>
    <row r="2306" spans="1:4" ht="9" customHeight="1" x14ac:dyDescent="0.25">
      <c r="A2306" s="1059">
        <v>1917122</v>
      </c>
      <c r="B2306" s="1060" t="s">
        <v>23964</v>
      </c>
      <c r="C2306" s="1059" t="s">
        <v>38</v>
      </c>
      <c r="D2306" s="1061">
        <v>9.75</v>
      </c>
    </row>
    <row r="2307" spans="1:4" ht="9" customHeight="1" x14ac:dyDescent="0.25">
      <c r="A2307" s="1059">
        <v>1917123</v>
      </c>
      <c r="B2307" s="1060" t="s">
        <v>23965</v>
      </c>
      <c r="C2307" s="1059" t="s">
        <v>38</v>
      </c>
      <c r="D2307" s="1061">
        <v>9.86</v>
      </c>
    </row>
    <row r="2308" spans="1:4" ht="9" customHeight="1" x14ac:dyDescent="0.25">
      <c r="A2308" s="1059">
        <v>1917124</v>
      </c>
      <c r="B2308" s="1060" t="s">
        <v>23966</v>
      </c>
      <c r="C2308" s="1059" t="s">
        <v>38</v>
      </c>
      <c r="D2308" s="1061">
        <v>9.98</v>
      </c>
    </row>
    <row r="2309" spans="1:4" ht="9" customHeight="1" x14ac:dyDescent="0.25">
      <c r="A2309" s="1059">
        <v>1917125</v>
      </c>
      <c r="B2309" s="1060" t="s">
        <v>23967</v>
      </c>
      <c r="C2309" s="1059" t="s">
        <v>38</v>
      </c>
      <c r="D2309" s="1061">
        <v>10.1</v>
      </c>
    </row>
    <row r="2310" spans="1:4" ht="9" customHeight="1" x14ac:dyDescent="0.25">
      <c r="A2310" s="1059">
        <v>1917126</v>
      </c>
      <c r="B2310" s="1060" t="s">
        <v>23968</v>
      </c>
      <c r="C2310" s="1059" t="s">
        <v>38</v>
      </c>
      <c r="D2310" s="1061">
        <v>10.17</v>
      </c>
    </row>
    <row r="2311" spans="1:4" ht="9" customHeight="1" x14ac:dyDescent="0.25">
      <c r="A2311" s="1059">
        <v>1917157</v>
      </c>
      <c r="B2311" s="1060" t="s">
        <v>23969</v>
      </c>
      <c r="C2311" s="1059" t="s">
        <v>38</v>
      </c>
      <c r="D2311" s="1061">
        <v>9.01</v>
      </c>
    </row>
    <row r="2312" spans="1:4" ht="9" customHeight="1" x14ac:dyDescent="0.25">
      <c r="A2312" s="1059">
        <v>1917158</v>
      </c>
      <c r="B2312" s="1060" t="s">
        <v>23970</v>
      </c>
      <c r="C2312" s="1059" t="s">
        <v>38</v>
      </c>
      <c r="D2312" s="1061">
        <v>9.11</v>
      </c>
    </row>
    <row r="2313" spans="1:4" ht="9" customHeight="1" x14ac:dyDescent="0.25">
      <c r="A2313" s="1059">
        <v>1917159</v>
      </c>
      <c r="B2313" s="1060" t="s">
        <v>23971</v>
      </c>
      <c r="C2313" s="1059" t="s">
        <v>38</v>
      </c>
      <c r="D2313" s="1061">
        <v>9.2100000000000009</v>
      </c>
    </row>
    <row r="2314" spans="1:4" ht="9" customHeight="1" x14ac:dyDescent="0.25">
      <c r="A2314" s="1059">
        <v>1917160</v>
      </c>
      <c r="B2314" s="1060" t="s">
        <v>23972</v>
      </c>
      <c r="C2314" s="1059" t="s">
        <v>38</v>
      </c>
      <c r="D2314" s="1061">
        <v>9.31</v>
      </c>
    </row>
    <row r="2315" spans="1:4" ht="9" customHeight="1" x14ac:dyDescent="0.25">
      <c r="A2315" s="1059">
        <v>1917161</v>
      </c>
      <c r="B2315" s="1060" t="s">
        <v>23973</v>
      </c>
      <c r="C2315" s="1059" t="s">
        <v>38</v>
      </c>
      <c r="D2315" s="1061">
        <v>9.42</v>
      </c>
    </row>
    <row r="2316" spans="1:4" ht="9" customHeight="1" x14ac:dyDescent="0.25">
      <c r="A2316" s="1059">
        <v>1917162</v>
      </c>
      <c r="B2316" s="1060" t="s">
        <v>23974</v>
      </c>
      <c r="C2316" s="1059" t="s">
        <v>38</v>
      </c>
      <c r="D2316" s="1061">
        <v>9.48</v>
      </c>
    </row>
    <row r="2317" spans="1:4" ht="9" customHeight="1" x14ac:dyDescent="0.25">
      <c r="A2317" s="1059">
        <v>1917193</v>
      </c>
      <c r="B2317" s="1060" t="s">
        <v>23975</v>
      </c>
      <c r="C2317" s="1059" t="s">
        <v>38</v>
      </c>
      <c r="D2317" s="1061">
        <v>8.41</v>
      </c>
    </row>
    <row r="2318" spans="1:4" ht="9" customHeight="1" x14ac:dyDescent="0.25">
      <c r="A2318" s="1059">
        <v>1917194</v>
      </c>
      <c r="B2318" s="1060" t="s">
        <v>23976</v>
      </c>
      <c r="C2318" s="1059" t="s">
        <v>38</v>
      </c>
      <c r="D2318" s="1061">
        <v>8.5</v>
      </c>
    </row>
    <row r="2319" spans="1:4" ht="9" customHeight="1" x14ac:dyDescent="0.25">
      <c r="A2319" s="1059">
        <v>1917195</v>
      </c>
      <c r="B2319" s="1060" t="s">
        <v>23977</v>
      </c>
      <c r="C2319" s="1059" t="s">
        <v>38</v>
      </c>
      <c r="D2319" s="1061">
        <v>8.59</v>
      </c>
    </row>
    <row r="2320" spans="1:4" ht="9" customHeight="1" x14ac:dyDescent="0.25">
      <c r="A2320" s="1059">
        <v>1917196</v>
      </c>
      <c r="B2320" s="1060" t="s">
        <v>23978</v>
      </c>
      <c r="C2320" s="1059" t="s">
        <v>38</v>
      </c>
      <c r="D2320" s="1061">
        <v>8.68</v>
      </c>
    </row>
    <row r="2321" spans="1:4" ht="9" customHeight="1" x14ac:dyDescent="0.25">
      <c r="A2321" s="1059">
        <v>1917197</v>
      </c>
      <c r="B2321" s="1060" t="s">
        <v>23979</v>
      </c>
      <c r="C2321" s="1059" t="s">
        <v>38</v>
      </c>
      <c r="D2321" s="1061">
        <v>8.7799999999999994</v>
      </c>
    </row>
    <row r="2322" spans="1:4" ht="9" customHeight="1" x14ac:dyDescent="0.25">
      <c r="A2322" s="1059">
        <v>1917198</v>
      </c>
      <c r="B2322" s="1060" t="s">
        <v>23980</v>
      </c>
      <c r="C2322" s="1059" t="s">
        <v>38</v>
      </c>
      <c r="D2322" s="1061">
        <v>8.83</v>
      </c>
    </row>
    <row r="2323" spans="1:4" ht="9" customHeight="1" x14ac:dyDescent="0.25">
      <c r="A2323" s="1059">
        <v>1917013</v>
      </c>
      <c r="B2323" s="1060" t="s">
        <v>23981</v>
      </c>
      <c r="C2323" s="1059" t="s">
        <v>38</v>
      </c>
      <c r="D2323" s="1061">
        <v>15.77</v>
      </c>
    </row>
    <row r="2324" spans="1:4" ht="9" customHeight="1" x14ac:dyDescent="0.25">
      <c r="A2324" s="1059">
        <v>1917014</v>
      </c>
      <c r="B2324" s="1060" t="s">
        <v>23982</v>
      </c>
      <c r="C2324" s="1059" t="s">
        <v>38</v>
      </c>
      <c r="D2324" s="1061">
        <v>16.07</v>
      </c>
    </row>
    <row r="2325" spans="1:4" ht="9" customHeight="1" x14ac:dyDescent="0.25">
      <c r="A2325" s="1059">
        <v>1917015</v>
      </c>
      <c r="B2325" s="1060" t="s">
        <v>23983</v>
      </c>
      <c r="C2325" s="1059" t="s">
        <v>38</v>
      </c>
      <c r="D2325" s="1061">
        <v>16.38</v>
      </c>
    </row>
    <row r="2326" spans="1:4" ht="9" customHeight="1" x14ac:dyDescent="0.25">
      <c r="A2326" s="1059">
        <v>1917016</v>
      </c>
      <c r="B2326" s="1060" t="s">
        <v>23984</v>
      </c>
      <c r="C2326" s="1059" t="s">
        <v>38</v>
      </c>
      <c r="D2326" s="1061">
        <v>16.71</v>
      </c>
    </row>
    <row r="2327" spans="1:4" ht="9" customHeight="1" x14ac:dyDescent="0.25">
      <c r="A2327" s="1059">
        <v>1917017</v>
      </c>
      <c r="B2327" s="1060" t="s">
        <v>23985</v>
      </c>
      <c r="C2327" s="1059" t="s">
        <v>38</v>
      </c>
      <c r="D2327" s="1061">
        <v>17.05</v>
      </c>
    </row>
    <row r="2328" spans="1:4" ht="9" customHeight="1" x14ac:dyDescent="0.25">
      <c r="A2328" s="1059">
        <v>1917018</v>
      </c>
      <c r="B2328" s="1060" t="s">
        <v>23986</v>
      </c>
      <c r="C2328" s="1059" t="s">
        <v>38</v>
      </c>
      <c r="D2328" s="1061">
        <v>17.23</v>
      </c>
    </row>
    <row r="2329" spans="1:4" ht="18" customHeight="1" x14ac:dyDescent="0.25">
      <c r="A2329" s="1059">
        <v>1917623</v>
      </c>
      <c r="B2329" s="1060" t="s">
        <v>23987</v>
      </c>
      <c r="C2329" s="1059" t="s">
        <v>38</v>
      </c>
      <c r="D2329" s="1061">
        <v>19.27</v>
      </c>
    </row>
    <row r="2330" spans="1:4" ht="18" customHeight="1" x14ac:dyDescent="0.25">
      <c r="A2330" s="1059">
        <v>1917624</v>
      </c>
      <c r="B2330" s="1060" t="s">
        <v>23988</v>
      </c>
      <c r="C2330" s="1059" t="s">
        <v>38</v>
      </c>
      <c r="D2330" s="1061">
        <v>24.25</v>
      </c>
    </row>
    <row r="2331" spans="1:4" ht="18" customHeight="1" x14ac:dyDescent="0.25">
      <c r="A2331" s="1059">
        <v>1917625</v>
      </c>
      <c r="B2331" s="1060" t="s">
        <v>23989</v>
      </c>
      <c r="C2331" s="1059" t="s">
        <v>38</v>
      </c>
      <c r="D2331" s="1061">
        <v>30.27</v>
      </c>
    </row>
    <row r="2332" spans="1:4" ht="18" customHeight="1" x14ac:dyDescent="0.25">
      <c r="A2332" s="1059">
        <v>1917626</v>
      </c>
      <c r="B2332" s="1060" t="s">
        <v>23990</v>
      </c>
      <c r="C2332" s="1059" t="s">
        <v>38</v>
      </c>
      <c r="D2332" s="1061">
        <v>36.96</v>
      </c>
    </row>
    <row r="2333" spans="1:4" ht="18" customHeight="1" x14ac:dyDescent="0.25">
      <c r="A2333" s="1059">
        <v>1917627</v>
      </c>
      <c r="B2333" s="1060" t="s">
        <v>23991</v>
      </c>
      <c r="C2333" s="1059" t="s">
        <v>38</v>
      </c>
      <c r="D2333" s="1061">
        <v>44.34</v>
      </c>
    </row>
    <row r="2334" spans="1:4" ht="18" customHeight="1" x14ac:dyDescent="0.25">
      <c r="A2334" s="1059">
        <v>1917628</v>
      </c>
      <c r="B2334" s="1060" t="s">
        <v>23992</v>
      </c>
      <c r="C2334" s="1059" t="s">
        <v>38</v>
      </c>
      <c r="D2334" s="1061">
        <v>51.73</v>
      </c>
    </row>
    <row r="2335" spans="1:4" ht="18" customHeight="1" x14ac:dyDescent="0.25">
      <c r="A2335" s="1059">
        <v>1917620</v>
      </c>
      <c r="B2335" s="1060" t="s">
        <v>23993</v>
      </c>
      <c r="C2335" s="1059" t="s">
        <v>38</v>
      </c>
      <c r="D2335" s="1061">
        <v>9.07</v>
      </c>
    </row>
    <row r="2336" spans="1:4" ht="18" customHeight="1" x14ac:dyDescent="0.25">
      <c r="A2336" s="1059">
        <v>1917621</v>
      </c>
      <c r="B2336" s="1060" t="s">
        <v>23994</v>
      </c>
      <c r="C2336" s="1059" t="s">
        <v>38</v>
      </c>
      <c r="D2336" s="1061">
        <v>10.59</v>
      </c>
    </row>
    <row r="2337" spans="1:4" ht="18" customHeight="1" x14ac:dyDescent="0.25">
      <c r="A2337" s="1059">
        <v>1917622</v>
      </c>
      <c r="B2337" s="1060" t="s">
        <v>23995</v>
      </c>
      <c r="C2337" s="1059" t="s">
        <v>38</v>
      </c>
      <c r="D2337" s="1061">
        <v>13.16</v>
      </c>
    </row>
    <row r="2338" spans="1:4" ht="18" customHeight="1" x14ac:dyDescent="0.25">
      <c r="A2338" s="1059">
        <v>1917741</v>
      </c>
      <c r="B2338" s="1060" t="s">
        <v>23996</v>
      </c>
      <c r="C2338" s="1059" t="s">
        <v>38</v>
      </c>
      <c r="D2338" s="1061">
        <v>8.41</v>
      </c>
    </row>
    <row r="2339" spans="1:4" ht="18" customHeight="1" x14ac:dyDescent="0.25">
      <c r="A2339" s="1059">
        <v>1917269</v>
      </c>
      <c r="B2339" s="1060" t="s">
        <v>23997</v>
      </c>
      <c r="C2339" s="1059" t="s">
        <v>38</v>
      </c>
      <c r="D2339" s="1061">
        <v>22.98</v>
      </c>
    </row>
    <row r="2340" spans="1:4" ht="18" customHeight="1" x14ac:dyDescent="0.25">
      <c r="A2340" s="1059">
        <v>1917270</v>
      </c>
      <c r="B2340" s="1060" t="s">
        <v>23998</v>
      </c>
      <c r="C2340" s="1059" t="s">
        <v>38</v>
      </c>
      <c r="D2340" s="1061">
        <v>30.9</v>
      </c>
    </row>
    <row r="2341" spans="1:4" ht="18" customHeight="1" x14ac:dyDescent="0.25">
      <c r="A2341" s="1059">
        <v>1917266</v>
      </c>
      <c r="B2341" s="1060" t="s">
        <v>23999</v>
      </c>
      <c r="C2341" s="1059" t="s">
        <v>38</v>
      </c>
      <c r="D2341" s="1061">
        <v>7.6</v>
      </c>
    </row>
    <row r="2342" spans="1:4" ht="18" customHeight="1" x14ac:dyDescent="0.25">
      <c r="A2342" s="1059">
        <v>1917267</v>
      </c>
      <c r="B2342" s="1060" t="s">
        <v>24000</v>
      </c>
      <c r="C2342" s="1059" t="s">
        <v>38</v>
      </c>
      <c r="D2342" s="1061">
        <v>11</v>
      </c>
    </row>
    <row r="2343" spans="1:4" ht="18" customHeight="1" x14ac:dyDescent="0.25">
      <c r="A2343" s="1059">
        <v>1917268</v>
      </c>
      <c r="B2343" s="1060" t="s">
        <v>24001</v>
      </c>
      <c r="C2343" s="1059" t="s">
        <v>38</v>
      </c>
      <c r="D2343" s="1061">
        <v>16.72</v>
      </c>
    </row>
    <row r="2344" spans="1:4" ht="18" customHeight="1" x14ac:dyDescent="0.25">
      <c r="A2344" s="1059">
        <v>1917728</v>
      </c>
      <c r="B2344" s="1060" t="s">
        <v>24002</v>
      </c>
      <c r="C2344" s="1059" t="s">
        <v>38</v>
      </c>
      <c r="D2344" s="1061">
        <v>7.02</v>
      </c>
    </row>
    <row r="2345" spans="1:4" ht="9" customHeight="1" x14ac:dyDescent="0.25">
      <c r="A2345" s="1059">
        <v>1917358</v>
      </c>
      <c r="B2345" s="1060" t="s">
        <v>24003</v>
      </c>
      <c r="C2345" s="1059" t="s">
        <v>38</v>
      </c>
      <c r="D2345" s="1061">
        <v>7.15</v>
      </c>
    </row>
    <row r="2346" spans="1:4" ht="18" customHeight="1" x14ac:dyDescent="0.25">
      <c r="A2346" s="1059">
        <v>1917362</v>
      </c>
      <c r="B2346" s="1060" t="s">
        <v>24004</v>
      </c>
      <c r="C2346" s="1059" t="s">
        <v>38</v>
      </c>
      <c r="D2346" s="1061">
        <v>33.950000000000003</v>
      </c>
    </row>
    <row r="2347" spans="1:4" ht="18" customHeight="1" x14ac:dyDescent="0.25">
      <c r="A2347" s="1059">
        <v>1917363</v>
      </c>
      <c r="B2347" s="1060" t="s">
        <v>24005</v>
      </c>
      <c r="C2347" s="1059" t="s">
        <v>38</v>
      </c>
      <c r="D2347" s="1061">
        <v>41.29</v>
      </c>
    </row>
    <row r="2348" spans="1:4" ht="18" customHeight="1" x14ac:dyDescent="0.25">
      <c r="A2348" s="1059">
        <v>1917359</v>
      </c>
      <c r="B2348" s="1060" t="s">
        <v>24006</v>
      </c>
      <c r="C2348" s="1059" t="s">
        <v>38</v>
      </c>
      <c r="D2348" s="1061">
        <v>10.07</v>
      </c>
    </row>
    <row r="2349" spans="1:4" ht="18" customHeight="1" x14ac:dyDescent="0.25">
      <c r="A2349" s="1059">
        <v>1917360</v>
      </c>
      <c r="B2349" s="1060" t="s">
        <v>24007</v>
      </c>
      <c r="C2349" s="1059" t="s">
        <v>38</v>
      </c>
      <c r="D2349" s="1061">
        <v>16.399999999999999</v>
      </c>
    </row>
    <row r="2350" spans="1:4" ht="18" customHeight="1" x14ac:dyDescent="0.25">
      <c r="A2350" s="1059">
        <v>1917361</v>
      </c>
      <c r="B2350" s="1060" t="s">
        <v>24008</v>
      </c>
      <c r="C2350" s="1059" t="s">
        <v>38</v>
      </c>
      <c r="D2350" s="1061">
        <v>24.41</v>
      </c>
    </row>
    <row r="2351" spans="1:4" ht="18" customHeight="1" x14ac:dyDescent="0.25">
      <c r="A2351" s="1059">
        <v>1917476</v>
      </c>
      <c r="B2351" s="1060" t="s">
        <v>24009</v>
      </c>
      <c r="C2351" s="1059" t="s">
        <v>38</v>
      </c>
      <c r="D2351" s="1061">
        <v>25.34</v>
      </c>
    </row>
    <row r="2352" spans="1:4" ht="18" customHeight="1" x14ac:dyDescent="0.25">
      <c r="A2352" s="1059">
        <v>1917477</v>
      </c>
      <c r="B2352" s="1060" t="s">
        <v>24010</v>
      </c>
      <c r="C2352" s="1059" t="s">
        <v>38</v>
      </c>
      <c r="D2352" s="1061">
        <v>32.56</v>
      </c>
    </row>
    <row r="2353" spans="1:4" ht="18" customHeight="1" x14ac:dyDescent="0.25">
      <c r="A2353" s="1059">
        <v>1917478</v>
      </c>
      <c r="B2353" s="1060" t="s">
        <v>24011</v>
      </c>
      <c r="C2353" s="1059" t="s">
        <v>38</v>
      </c>
      <c r="D2353" s="1061">
        <v>41.66</v>
      </c>
    </row>
    <row r="2354" spans="1:4" ht="18" customHeight="1" x14ac:dyDescent="0.25">
      <c r="A2354" s="1059">
        <v>1917479</v>
      </c>
      <c r="B2354" s="1060" t="s">
        <v>24012</v>
      </c>
      <c r="C2354" s="1059" t="s">
        <v>38</v>
      </c>
      <c r="D2354" s="1061">
        <v>45.27</v>
      </c>
    </row>
    <row r="2355" spans="1:4" ht="18" customHeight="1" x14ac:dyDescent="0.25">
      <c r="A2355" s="1059">
        <v>1917473</v>
      </c>
      <c r="B2355" s="1060" t="s">
        <v>24013</v>
      </c>
      <c r="C2355" s="1059" t="s">
        <v>38</v>
      </c>
      <c r="D2355" s="1061">
        <v>11.68</v>
      </c>
    </row>
    <row r="2356" spans="1:4" ht="18" customHeight="1" x14ac:dyDescent="0.25">
      <c r="A2356" s="1059">
        <v>1917474</v>
      </c>
      <c r="B2356" s="1060" t="s">
        <v>24014</v>
      </c>
      <c r="C2356" s="1059" t="s">
        <v>38</v>
      </c>
      <c r="D2356" s="1061">
        <v>15.01</v>
      </c>
    </row>
    <row r="2357" spans="1:4" ht="18" customHeight="1" x14ac:dyDescent="0.25">
      <c r="A2357" s="1059">
        <v>1917475</v>
      </c>
      <c r="B2357" s="1060" t="s">
        <v>24015</v>
      </c>
      <c r="C2357" s="1059" t="s">
        <v>38</v>
      </c>
      <c r="D2357" s="1061">
        <v>19.16</v>
      </c>
    </row>
    <row r="2358" spans="1:4" ht="18" customHeight="1" x14ac:dyDescent="0.25">
      <c r="A2358" s="1059">
        <v>1917736</v>
      </c>
      <c r="B2358" s="1060" t="s">
        <v>24016</v>
      </c>
      <c r="C2358" s="1059" t="s">
        <v>38</v>
      </c>
      <c r="D2358" s="1061">
        <v>8.44</v>
      </c>
    </row>
    <row r="2359" spans="1:4" ht="9" customHeight="1" x14ac:dyDescent="0.25">
      <c r="A2359" s="1059">
        <v>1917067</v>
      </c>
      <c r="B2359" s="1060" t="s">
        <v>24017</v>
      </c>
      <c r="C2359" s="1059" t="s">
        <v>38</v>
      </c>
      <c r="D2359" s="1061">
        <v>10.87</v>
      </c>
    </row>
    <row r="2360" spans="1:4" ht="9" customHeight="1" x14ac:dyDescent="0.25">
      <c r="A2360" s="1059">
        <v>1917068</v>
      </c>
      <c r="B2360" s="1060" t="s">
        <v>24018</v>
      </c>
      <c r="C2360" s="1059" t="s">
        <v>38</v>
      </c>
      <c r="D2360" s="1061">
        <v>11.08</v>
      </c>
    </row>
    <row r="2361" spans="1:4" ht="9" customHeight="1" x14ac:dyDescent="0.25">
      <c r="A2361" s="1059">
        <v>1917069</v>
      </c>
      <c r="B2361" s="1060" t="s">
        <v>24019</v>
      </c>
      <c r="C2361" s="1059" t="s">
        <v>38</v>
      </c>
      <c r="D2361" s="1061">
        <v>11.31</v>
      </c>
    </row>
    <row r="2362" spans="1:4" ht="9" customHeight="1" x14ac:dyDescent="0.25">
      <c r="A2362" s="1059">
        <v>1917070</v>
      </c>
      <c r="B2362" s="1060" t="s">
        <v>24020</v>
      </c>
      <c r="C2362" s="1059" t="s">
        <v>38</v>
      </c>
      <c r="D2362" s="1061">
        <v>11.54</v>
      </c>
    </row>
    <row r="2363" spans="1:4" ht="9" customHeight="1" x14ac:dyDescent="0.25">
      <c r="A2363" s="1059">
        <v>1917071</v>
      </c>
      <c r="B2363" s="1060" t="s">
        <v>24021</v>
      </c>
      <c r="C2363" s="1059" t="s">
        <v>38</v>
      </c>
      <c r="D2363" s="1061">
        <v>11.79</v>
      </c>
    </row>
    <row r="2364" spans="1:4" ht="9" customHeight="1" x14ac:dyDescent="0.25">
      <c r="A2364" s="1059">
        <v>1917072</v>
      </c>
      <c r="B2364" s="1060" t="s">
        <v>24022</v>
      </c>
      <c r="C2364" s="1059" t="s">
        <v>38</v>
      </c>
      <c r="D2364" s="1061">
        <v>11.92</v>
      </c>
    </row>
    <row r="2365" spans="1:4" ht="9" customHeight="1" x14ac:dyDescent="0.25">
      <c r="A2365" s="1059">
        <v>1901572</v>
      </c>
      <c r="B2365" s="1060" t="s">
        <v>24023</v>
      </c>
      <c r="C2365" s="1059" t="s">
        <v>38</v>
      </c>
      <c r="D2365" s="1061">
        <v>7.21</v>
      </c>
    </row>
    <row r="2366" spans="1:4" ht="9" customHeight="1" x14ac:dyDescent="0.25">
      <c r="A2366" s="1059">
        <v>1901573</v>
      </c>
      <c r="B2366" s="1060" t="s">
        <v>24024</v>
      </c>
      <c r="C2366" s="1059" t="s">
        <v>38</v>
      </c>
      <c r="D2366" s="1061">
        <v>7.28</v>
      </c>
    </row>
    <row r="2367" spans="1:4" ht="9" customHeight="1" x14ac:dyDescent="0.25">
      <c r="A2367" s="1059">
        <v>1901574</v>
      </c>
      <c r="B2367" s="1060" t="s">
        <v>24025</v>
      </c>
      <c r="C2367" s="1059" t="s">
        <v>38</v>
      </c>
      <c r="D2367" s="1061">
        <v>7.34</v>
      </c>
    </row>
    <row r="2368" spans="1:4" ht="9" customHeight="1" x14ac:dyDescent="0.25">
      <c r="A2368" s="1059">
        <v>1901575</v>
      </c>
      <c r="B2368" s="1060" t="s">
        <v>24026</v>
      </c>
      <c r="C2368" s="1059" t="s">
        <v>38</v>
      </c>
      <c r="D2368" s="1061">
        <v>7.41</v>
      </c>
    </row>
    <row r="2369" spans="1:4" ht="9" customHeight="1" x14ac:dyDescent="0.25">
      <c r="A2369" s="1059">
        <v>1901576</v>
      </c>
      <c r="B2369" s="1060" t="s">
        <v>24027</v>
      </c>
      <c r="C2369" s="1059" t="s">
        <v>38</v>
      </c>
      <c r="D2369" s="1061">
        <v>7.49</v>
      </c>
    </row>
    <row r="2370" spans="1:4" ht="9" customHeight="1" x14ac:dyDescent="0.25">
      <c r="A2370" s="1059">
        <v>1901571</v>
      </c>
      <c r="B2370" s="1060" t="s">
        <v>24028</v>
      </c>
      <c r="C2370" s="1059" t="s">
        <v>38</v>
      </c>
      <c r="D2370" s="1061">
        <v>7.53</v>
      </c>
    </row>
    <row r="2371" spans="1:4" ht="9" customHeight="1" x14ac:dyDescent="0.25">
      <c r="A2371" s="1059">
        <v>1901578</v>
      </c>
      <c r="B2371" s="1060" t="s">
        <v>24029</v>
      </c>
      <c r="C2371" s="1059" t="s">
        <v>38</v>
      </c>
      <c r="D2371" s="1061">
        <v>9.4700000000000006</v>
      </c>
    </row>
    <row r="2372" spans="1:4" ht="9" customHeight="1" x14ac:dyDescent="0.25">
      <c r="A2372" s="1059">
        <v>1901579</v>
      </c>
      <c r="B2372" s="1060" t="s">
        <v>24030</v>
      </c>
      <c r="C2372" s="1059" t="s">
        <v>38</v>
      </c>
      <c r="D2372" s="1061">
        <v>9.5299999999999994</v>
      </c>
    </row>
    <row r="2373" spans="1:4" ht="9" customHeight="1" x14ac:dyDescent="0.25">
      <c r="A2373" s="1059">
        <v>1901580</v>
      </c>
      <c r="B2373" s="1060" t="s">
        <v>24031</v>
      </c>
      <c r="C2373" s="1059" t="s">
        <v>38</v>
      </c>
      <c r="D2373" s="1061">
        <v>9.6</v>
      </c>
    </row>
    <row r="2374" spans="1:4" ht="9" customHeight="1" x14ac:dyDescent="0.25">
      <c r="A2374" s="1059">
        <v>1901581</v>
      </c>
      <c r="B2374" s="1060" t="s">
        <v>24032</v>
      </c>
      <c r="C2374" s="1059" t="s">
        <v>38</v>
      </c>
      <c r="D2374" s="1061">
        <v>9.66</v>
      </c>
    </row>
    <row r="2375" spans="1:4" ht="9" customHeight="1" x14ac:dyDescent="0.25">
      <c r="A2375" s="1059">
        <v>1901582</v>
      </c>
      <c r="B2375" s="1060" t="s">
        <v>24033</v>
      </c>
      <c r="C2375" s="1059" t="s">
        <v>38</v>
      </c>
      <c r="D2375" s="1061">
        <v>9.73</v>
      </c>
    </row>
    <row r="2376" spans="1:4" ht="9" customHeight="1" x14ac:dyDescent="0.25">
      <c r="A2376" s="1059">
        <v>1901577</v>
      </c>
      <c r="B2376" s="1060" t="s">
        <v>24034</v>
      </c>
      <c r="C2376" s="1059" t="s">
        <v>38</v>
      </c>
      <c r="D2376" s="1061">
        <v>9.77</v>
      </c>
    </row>
    <row r="2377" spans="1:4" ht="9" customHeight="1" x14ac:dyDescent="0.25">
      <c r="A2377" s="1059">
        <v>1917103</v>
      </c>
      <c r="B2377" s="1060" t="s">
        <v>24035</v>
      </c>
      <c r="C2377" s="1059" t="s">
        <v>38</v>
      </c>
      <c r="D2377" s="1061">
        <v>9.48</v>
      </c>
    </row>
    <row r="2378" spans="1:4" ht="9" customHeight="1" x14ac:dyDescent="0.25">
      <c r="A2378" s="1059">
        <v>1917104</v>
      </c>
      <c r="B2378" s="1060" t="s">
        <v>24036</v>
      </c>
      <c r="C2378" s="1059" t="s">
        <v>38</v>
      </c>
      <c r="D2378" s="1061">
        <v>9.61</v>
      </c>
    </row>
    <row r="2379" spans="1:4" ht="9" customHeight="1" x14ac:dyDescent="0.25">
      <c r="A2379" s="1059">
        <v>1917105</v>
      </c>
      <c r="B2379" s="1060" t="s">
        <v>24037</v>
      </c>
      <c r="C2379" s="1059" t="s">
        <v>38</v>
      </c>
      <c r="D2379" s="1061">
        <v>9.75</v>
      </c>
    </row>
    <row r="2380" spans="1:4" ht="9" customHeight="1" x14ac:dyDescent="0.25">
      <c r="A2380" s="1059">
        <v>1917106</v>
      </c>
      <c r="B2380" s="1060" t="s">
        <v>24038</v>
      </c>
      <c r="C2380" s="1059" t="s">
        <v>38</v>
      </c>
      <c r="D2380" s="1061">
        <v>9.9</v>
      </c>
    </row>
    <row r="2381" spans="1:4" ht="9" customHeight="1" x14ac:dyDescent="0.25">
      <c r="A2381" s="1059">
        <v>1917107</v>
      </c>
      <c r="B2381" s="1060" t="s">
        <v>24039</v>
      </c>
      <c r="C2381" s="1059" t="s">
        <v>38</v>
      </c>
      <c r="D2381" s="1061">
        <v>10.050000000000001</v>
      </c>
    </row>
    <row r="2382" spans="1:4" ht="9" customHeight="1" x14ac:dyDescent="0.25">
      <c r="A2382" s="1059">
        <v>1917108</v>
      </c>
      <c r="B2382" s="1060" t="s">
        <v>24040</v>
      </c>
      <c r="C2382" s="1059" t="s">
        <v>38</v>
      </c>
      <c r="D2382" s="1061">
        <v>10.14</v>
      </c>
    </row>
    <row r="2383" spans="1:4" ht="9" customHeight="1" x14ac:dyDescent="0.25">
      <c r="A2383" s="1059">
        <v>1901583</v>
      </c>
      <c r="B2383" s="1060" t="s">
        <v>24041</v>
      </c>
      <c r="C2383" s="1059" t="s">
        <v>38</v>
      </c>
      <c r="D2383" s="1061">
        <v>11.79</v>
      </c>
    </row>
    <row r="2384" spans="1:4" ht="9" customHeight="1" x14ac:dyDescent="0.25">
      <c r="A2384" s="1059">
        <v>1901584</v>
      </c>
      <c r="B2384" s="1060" t="s">
        <v>24042</v>
      </c>
      <c r="C2384" s="1059" t="s">
        <v>38</v>
      </c>
      <c r="D2384" s="1061">
        <v>11.85</v>
      </c>
    </row>
    <row r="2385" spans="1:4" ht="9" customHeight="1" x14ac:dyDescent="0.25">
      <c r="A2385" s="1059">
        <v>1901585</v>
      </c>
      <c r="B2385" s="1060" t="s">
        <v>24043</v>
      </c>
      <c r="C2385" s="1059" t="s">
        <v>38</v>
      </c>
      <c r="D2385" s="1061">
        <v>11.91</v>
      </c>
    </row>
    <row r="2386" spans="1:4" ht="9" customHeight="1" x14ac:dyDescent="0.25">
      <c r="A2386" s="1059">
        <v>1901586</v>
      </c>
      <c r="B2386" s="1060" t="s">
        <v>24044</v>
      </c>
      <c r="C2386" s="1059" t="s">
        <v>38</v>
      </c>
      <c r="D2386" s="1061">
        <v>11.98</v>
      </c>
    </row>
    <row r="2387" spans="1:4" ht="9" customHeight="1" x14ac:dyDescent="0.25">
      <c r="A2387" s="1059">
        <v>1901587</v>
      </c>
      <c r="B2387" s="1060" t="s">
        <v>24045</v>
      </c>
      <c r="C2387" s="1059" t="s">
        <v>38</v>
      </c>
      <c r="D2387" s="1061">
        <v>12.05</v>
      </c>
    </row>
    <row r="2388" spans="1:4" ht="9" customHeight="1" x14ac:dyDescent="0.25">
      <c r="A2388" s="1059">
        <v>1901588</v>
      </c>
      <c r="B2388" s="1060" t="s">
        <v>24046</v>
      </c>
      <c r="C2388" s="1059" t="s">
        <v>38</v>
      </c>
      <c r="D2388" s="1061">
        <v>12.08</v>
      </c>
    </row>
    <row r="2389" spans="1:4" ht="9" customHeight="1" x14ac:dyDescent="0.25">
      <c r="A2389" s="1059">
        <v>1917139</v>
      </c>
      <c r="B2389" s="1060" t="s">
        <v>24047</v>
      </c>
      <c r="C2389" s="1059" t="s">
        <v>38</v>
      </c>
      <c r="D2389" s="1061">
        <v>8.8699999999999992</v>
      </c>
    </row>
    <row r="2390" spans="1:4" ht="9" customHeight="1" x14ac:dyDescent="0.25">
      <c r="A2390" s="1059">
        <v>1917140</v>
      </c>
      <c r="B2390" s="1060" t="s">
        <v>24048</v>
      </c>
      <c r="C2390" s="1059" t="s">
        <v>38</v>
      </c>
      <c r="D2390" s="1061">
        <v>8.98</v>
      </c>
    </row>
    <row r="2391" spans="1:4" ht="9" customHeight="1" x14ac:dyDescent="0.25">
      <c r="A2391" s="1059">
        <v>1917141</v>
      </c>
      <c r="B2391" s="1060" t="s">
        <v>24049</v>
      </c>
      <c r="C2391" s="1059" t="s">
        <v>38</v>
      </c>
      <c r="D2391" s="1061">
        <v>9.1</v>
      </c>
    </row>
    <row r="2392" spans="1:4" ht="9" customHeight="1" x14ac:dyDescent="0.25">
      <c r="A2392" s="1059">
        <v>1917142</v>
      </c>
      <c r="B2392" s="1060" t="s">
        <v>24050</v>
      </c>
      <c r="C2392" s="1059" t="s">
        <v>38</v>
      </c>
      <c r="D2392" s="1061">
        <v>9.2200000000000006</v>
      </c>
    </row>
    <row r="2393" spans="1:4" ht="9" customHeight="1" x14ac:dyDescent="0.25">
      <c r="A2393" s="1059">
        <v>1917143</v>
      </c>
      <c r="B2393" s="1060" t="s">
        <v>24051</v>
      </c>
      <c r="C2393" s="1059" t="s">
        <v>38</v>
      </c>
      <c r="D2393" s="1061">
        <v>9.34</v>
      </c>
    </row>
    <row r="2394" spans="1:4" ht="9" customHeight="1" x14ac:dyDescent="0.25">
      <c r="A2394" s="1059">
        <v>1917144</v>
      </c>
      <c r="B2394" s="1060" t="s">
        <v>24052</v>
      </c>
      <c r="C2394" s="1059" t="s">
        <v>38</v>
      </c>
      <c r="D2394" s="1061">
        <v>9.41</v>
      </c>
    </row>
    <row r="2395" spans="1:4" ht="9" customHeight="1" x14ac:dyDescent="0.25">
      <c r="A2395" s="1059">
        <v>1917175</v>
      </c>
      <c r="B2395" s="1060" t="s">
        <v>24053</v>
      </c>
      <c r="C2395" s="1059" t="s">
        <v>38</v>
      </c>
      <c r="D2395" s="1061">
        <v>8.2899999999999991</v>
      </c>
    </row>
    <row r="2396" spans="1:4" ht="9" customHeight="1" x14ac:dyDescent="0.25">
      <c r="A2396" s="1059">
        <v>1917176</v>
      </c>
      <c r="B2396" s="1060" t="s">
        <v>24054</v>
      </c>
      <c r="C2396" s="1059" t="s">
        <v>38</v>
      </c>
      <c r="D2396" s="1061">
        <v>8.3800000000000008</v>
      </c>
    </row>
    <row r="2397" spans="1:4" ht="9" customHeight="1" x14ac:dyDescent="0.25">
      <c r="A2397" s="1059">
        <v>1917177</v>
      </c>
      <c r="B2397" s="1060" t="s">
        <v>24055</v>
      </c>
      <c r="C2397" s="1059" t="s">
        <v>38</v>
      </c>
      <c r="D2397" s="1061">
        <v>8.49</v>
      </c>
    </row>
    <row r="2398" spans="1:4" ht="9" customHeight="1" x14ac:dyDescent="0.25">
      <c r="A2398" s="1059">
        <v>1917178</v>
      </c>
      <c r="B2398" s="1060" t="s">
        <v>24056</v>
      </c>
      <c r="C2398" s="1059" t="s">
        <v>38</v>
      </c>
      <c r="D2398" s="1061">
        <v>8.59</v>
      </c>
    </row>
    <row r="2399" spans="1:4" ht="9" customHeight="1" x14ac:dyDescent="0.25">
      <c r="A2399" s="1059">
        <v>1917179</v>
      </c>
      <c r="B2399" s="1060" t="s">
        <v>24057</v>
      </c>
      <c r="C2399" s="1059" t="s">
        <v>38</v>
      </c>
      <c r="D2399" s="1061">
        <v>8.6999999999999993</v>
      </c>
    </row>
    <row r="2400" spans="1:4" ht="9" customHeight="1" x14ac:dyDescent="0.25">
      <c r="A2400" s="1059">
        <v>1917180</v>
      </c>
      <c r="B2400" s="1060" t="s">
        <v>24058</v>
      </c>
      <c r="C2400" s="1059" t="s">
        <v>38</v>
      </c>
      <c r="D2400" s="1061">
        <v>8.76</v>
      </c>
    </row>
    <row r="2401" spans="1:4" ht="9" customHeight="1" x14ac:dyDescent="0.25">
      <c r="A2401" s="1059">
        <v>1917211</v>
      </c>
      <c r="B2401" s="1060" t="s">
        <v>24059</v>
      </c>
      <c r="C2401" s="1059" t="s">
        <v>38</v>
      </c>
      <c r="D2401" s="1061">
        <v>7.73</v>
      </c>
    </row>
    <row r="2402" spans="1:4" ht="9" customHeight="1" x14ac:dyDescent="0.25">
      <c r="A2402" s="1059">
        <v>1917212</v>
      </c>
      <c r="B2402" s="1060" t="s">
        <v>24060</v>
      </c>
      <c r="C2402" s="1059" t="s">
        <v>38</v>
      </c>
      <c r="D2402" s="1061">
        <v>7.82</v>
      </c>
    </row>
    <row r="2403" spans="1:4" ht="9" customHeight="1" x14ac:dyDescent="0.25">
      <c r="A2403" s="1059">
        <v>1917213</v>
      </c>
      <c r="B2403" s="1060" t="s">
        <v>24061</v>
      </c>
      <c r="C2403" s="1059" t="s">
        <v>38</v>
      </c>
      <c r="D2403" s="1061">
        <v>7.91</v>
      </c>
    </row>
    <row r="2404" spans="1:4" ht="9" customHeight="1" x14ac:dyDescent="0.25">
      <c r="A2404" s="1059">
        <v>1917214</v>
      </c>
      <c r="B2404" s="1060" t="s">
        <v>24062</v>
      </c>
      <c r="C2404" s="1059" t="s">
        <v>38</v>
      </c>
      <c r="D2404" s="1061">
        <v>8</v>
      </c>
    </row>
    <row r="2405" spans="1:4" ht="9" customHeight="1" x14ac:dyDescent="0.25">
      <c r="A2405" s="1059">
        <v>1917215</v>
      </c>
      <c r="B2405" s="1060" t="s">
        <v>24063</v>
      </c>
      <c r="C2405" s="1059" t="s">
        <v>38</v>
      </c>
      <c r="D2405" s="1061">
        <v>8.1</v>
      </c>
    </row>
    <row r="2406" spans="1:4" ht="9" customHeight="1" x14ac:dyDescent="0.25">
      <c r="A2406" s="1059">
        <v>1917216</v>
      </c>
      <c r="B2406" s="1060" t="s">
        <v>24064</v>
      </c>
      <c r="C2406" s="1059" t="s">
        <v>38</v>
      </c>
      <c r="D2406" s="1061">
        <v>8.16</v>
      </c>
    </row>
    <row r="2407" spans="1:4" ht="9" customHeight="1" x14ac:dyDescent="0.25">
      <c r="A2407" s="1059">
        <v>1917031</v>
      </c>
      <c r="B2407" s="1060" t="s">
        <v>24065</v>
      </c>
      <c r="C2407" s="1059" t="s">
        <v>38</v>
      </c>
      <c r="D2407" s="1061">
        <v>14.69</v>
      </c>
    </row>
    <row r="2408" spans="1:4" ht="9" customHeight="1" x14ac:dyDescent="0.25">
      <c r="A2408" s="1059">
        <v>1917032</v>
      </c>
      <c r="B2408" s="1060" t="s">
        <v>24066</v>
      </c>
      <c r="C2408" s="1059" t="s">
        <v>38</v>
      </c>
      <c r="D2408" s="1061">
        <v>15</v>
      </c>
    </row>
    <row r="2409" spans="1:4" ht="9" customHeight="1" x14ac:dyDescent="0.25">
      <c r="A2409" s="1059">
        <v>1917033</v>
      </c>
      <c r="B2409" s="1060" t="s">
        <v>24067</v>
      </c>
      <c r="C2409" s="1059" t="s">
        <v>38</v>
      </c>
      <c r="D2409" s="1061">
        <v>15.31</v>
      </c>
    </row>
    <row r="2410" spans="1:4" ht="9" customHeight="1" x14ac:dyDescent="0.25">
      <c r="A2410" s="1059">
        <v>1917034</v>
      </c>
      <c r="B2410" s="1060" t="s">
        <v>24068</v>
      </c>
      <c r="C2410" s="1059" t="s">
        <v>38</v>
      </c>
      <c r="D2410" s="1061">
        <v>15.65</v>
      </c>
    </row>
    <row r="2411" spans="1:4" ht="9" customHeight="1" x14ac:dyDescent="0.25">
      <c r="A2411" s="1059">
        <v>1917035</v>
      </c>
      <c r="B2411" s="1060" t="s">
        <v>24069</v>
      </c>
      <c r="C2411" s="1059" t="s">
        <v>38</v>
      </c>
      <c r="D2411" s="1061">
        <v>16</v>
      </c>
    </row>
    <row r="2412" spans="1:4" ht="9" customHeight="1" x14ac:dyDescent="0.25">
      <c r="A2412" s="1059">
        <v>1917036</v>
      </c>
      <c r="B2412" s="1060" t="s">
        <v>24070</v>
      </c>
      <c r="C2412" s="1059" t="s">
        <v>38</v>
      </c>
      <c r="D2412" s="1061">
        <v>16.190000000000001</v>
      </c>
    </row>
    <row r="2413" spans="1:4" ht="18" customHeight="1" x14ac:dyDescent="0.25">
      <c r="A2413" s="1059">
        <v>1917605</v>
      </c>
      <c r="B2413" s="1060" t="s">
        <v>24071</v>
      </c>
      <c r="C2413" s="1059" t="s">
        <v>38</v>
      </c>
      <c r="D2413" s="1061">
        <v>8.5</v>
      </c>
    </row>
    <row r="2414" spans="1:4" ht="18" customHeight="1" x14ac:dyDescent="0.25">
      <c r="A2414" s="1059">
        <v>1917606</v>
      </c>
      <c r="B2414" s="1060" t="s">
        <v>24072</v>
      </c>
      <c r="C2414" s="1059" t="s">
        <v>38</v>
      </c>
      <c r="D2414" s="1061">
        <v>9.19</v>
      </c>
    </row>
    <row r="2415" spans="1:4" ht="18" customHeight="1" x14ac:dyDescent="0.25">
      <c r="A2415" s="1059">
        <v>1917607</v>
      </c>
      <c r="B2415" s="1060" t="s">
        <v>24073</v>
      </c>
      <c r="C2415" s="1059" t="s">
        <v>38</v>
      </c>
      <c r="D2415" s="1061">
        <v>9.89</v>
      </c>
    </row>
    <row r="2416" spans="1:4" ht="18" customHeight="1" x14ac:dyDescent="0.25">
      <c r="A2416" s="1059">
        <v>1917608</v>
      </c>
      <c r="B2416" s="1060" t="s">
        <v>24074</v>
      </c>
      <c r="C2416" s="1059" t="s">
        <v>38</v>
      </c>
      <c r="D2416" s="1061">
        <v>10.96</v>
      </c>
    </row>
    <row r="2417" spans="1:4" ht="18" customHeight="1" x14ac:dyDescent="0.25">
      <c r="A2417" s="1059">
        <v>1917609</v>
      </c>
      <c r="B2417" s="1060" t="s">
        <v>24075</v>
      </c>
      <c r="C2417" s="1059" t="s">
        <v>38</v>
      </c>
      <c r="D2417" s="1061">
        <v>12.49</v>
      </c>
    </row>
    <row r="2418" spans="1:4" ht="18" customHeight="1" x14ac:dyDescent="0.25">
      <c r="A2418" s="1059">
        <v>1917610</v>
      </c>
      <c r="B2418" s="1060" t="s">
        <v>24076</v>
      </c>
      <c r="C2418" s="1059" t="s">
        <v>38</v>
      </c>
      <c r="D2418" s="1061">
        <v>14.79</v>
      </c>
    </row>
    <row r="2419" spans="1:4" ht="18" customHeight="1" x14ac:dyDescent="0.25">
      <c r="A2419" s="1059">
        <v>1917611</v>
      </c>
      <c r="B2419" s="1060" t="s">
        <v>24077</v>
      </c>
      <c r="C2419" s="1059" t="s">
        <v>38</v>
      </c>
      <c r="D2419" s="1061">
        <v>17.32</v>
      </c>
    </row>
    <row r="2420" spans="1:4" ht="18" customHeight="1" x14ac:dyDescent="0.25">
      <c r="A2420" s="1059">
        <v>1917612</v>
      </c>
      <c r="B2420" s="1060" t="s">
        <v>24078</v>
      </c>
      <c r="C2420" s="1059" t="s">
        <v>38</v>
      </c>
      <c r="D2420" s="1061">
        <v>20.28</v>
      </c>
    </row>
    <row r="2421" spans="1:4" ht="18" customHeight="1" x14ac:dyDescent="0.25">
      <c r="A2421" s="1059">
        <v>1917613</v>
      </c>
      <c r="B2421" s="1060" t="s">
        <v>24079</v>
      </c>
      <c r="C2421" s="1059" t="s">
        <v>38</v>
      </c>
      <c r="D2421" s="1061">
        <v>23.6</v>
      </c>
    </row>
    <row r="2422" spans="1:4" ht="18" customHeight="1" x14ac:dyDescent="0.25">
      <c r="A2422" s="1059">
        <v>1917614</v>
      </c>
      <c r="B2422" s="1060" t="s">
        <v>24080</v>
      </c>
      <c r="C2422" s="1059" t="s">
        <v>38</v>
      </c>
      <c r="D2422" s="1061">
        <v>27.23</v>
      </c>
    </row>
    <row r="2423" spans="1:4" ht="18" customHeight="1" x14ac:dyDescent="0.25">
      <c r="A2423" s="1059">
        <v>1917615</v>
      </c>
      <c r="B2423" s="1060" t="s">
        <v>24081</v>
      </c>
      <c r="C2423" s="1059" t="s">
        <v>38</v>
      </c>
      <c r="D2423" s="1061">
        <v>31.29</v>
      </c>
    </row>
    <row r="2424" spans="1:4" ht="18" customHeight="1" x14ac:dyDescent="0.25">
      <c r="A2424" s="1059">
        <v>1917616</v>
      </c>
      <c r="B2424" s="1060" t="s">
        <v>24082</v>
      </c>
      <c r="C2424" s="1059" t="s">
        <v>38</v>
      </c>
      <c r="D2424" s="1061">
        <v>36.22</v>
      </c>
    </row>
    <row r="2425" spans="1:4" ht="18" customHeight="1" x14ac:dyDescent="0.25">
      <c r="A2425" s="1059">
        <v>1917617</v>
      </c>
      <c r="B2425" s="1060" t="s">
        <v>24083</v>
      </c>
      <c r="C2425" s="1059" t="s">
        <v>38</v>
      </c>
      <c r="D2425" s="1061">
        <v>40.57</v>
      </c>
    </row>
    <row r="2426" spans="1:4" ht="18" customHeight="1" x14ac:dyDescent="0.25">
      <c r="A2426" s="1059">
        <v>1917618</v>
      </c>
      <c r="B2426" s="1060" t="s">
        <v>24084</v>
      </c>
      <c r="C2426" s="1059" t="s">
        <v>38</v>
      </c>
      <c r="D2426" s="1061">
        <v>46.19</v>
      </c>
    </row>
    <row r="2427" spans="1:4" ht="18" customHeight="1" x14ac:dyDescent="0.25">
      <c r="A2427" s="1059">
        <v>1917619</v>
      </c>
      <c r="B2427" s="1060" t="s">
        <v>24085</v>
      </c>
      <c r="C2427" s="1059" t="s">
        <v>38</v>
      </c>
      <c r="D2427" s="1061">
        <v>49.98</v>
      </c>
    </row>
    <row r="2428" spans="1:4" ht="18" customHeight="1" x14ac:dyDescent="0.25">
      <c r="A2428" s="1059">
        <v>1917602</v>
      </c>
      <c r="B2428" s="1060" t="s">
        <v>24086</v>
      </c>
      <c r="C2428" s="1059" t="s">
        <v>38</v>
      </c>
      <c r="D2428" s="1061">
        <v>6.25</v>
      </c>
    </row>
    <row r="2429" spans="1:4" ht="18" customHeight="1" x14ac:dyDescent="0.25">
      <c r="A2429" s="1059">
        <v>1917603</v>
      </c>
      <c r="B2429" s="1060" t="s">
        <v>24087</v>
      </c>
      <c r="C2429" s="1059" t="s">
        <v>38</v>
      </c>
      <c r="D2429" s="1061">
        <v>6.96</v>
      </c>
    </row>
    <row r="2430" spans="1:4" ht="18" customHeight="1" x14ac:dyDescent="0.25">
      <c r="A2430" s="1059">
        <v>1917604</v>
      </c>
      <c r="B2430" s="1060" t="s">
        <v>24088</v>
      </c>
      <c r="C2430" s="1059" t="s">
        <v>38</v>
      </c>
      <c r="D2430" s="1061">
        <v>7.61</v>
      </c>
    </row>
    <row r="2431" spans="1:4" ht="18" customHeight="1" x14ac:dyDescent="0.25">
      <c r="A2431" s="1059">
        <v>1917740</v>
      </c>
      <c r="B2431" s="1060" t="s">
        <v>24089</v>
      </c>
      <c r="C2431" s="1059" t="s">
        <v>38</v>
      </c>
      <c r="D2431" s="1061">
        <v>6.01</v>
      </c>
    </row>
    <row r="2432" spans="1:4" ht="18" customHeight="1" x14ac:dyDescent="0.25">
      <c r="A2432" s="1059">
        <v>1917263</v>
      </c>
      <c r="B2432" s="1060" t="s">
        <v>24090</v>
      </c>
      <c r="C2432" s="1059" t="s">
        <v>38</v>
      </c>
      <c r="D2432" s="1061">
        <v>10.61</v>
      </c>
    </row>
    <row r="2433" spans="1:4" ht="18" customHeight="1" x14ac:dyDescent="0.25">
      <c r="A2433" s="1059">
        <v>1917264</v>
      </c>
      <c r="B2433" s="1060" t="s">
        <v>24091</v>
      </c>
      <c r="C2433" s="1059" t="s">
        <v>38</v>
      </c>
      <c r="D2433" s="1061">
        <v>13.13</v>
      </c>
    </row>
    <row r="2434" spans="1:4" ht="18" customHeight="1" x14ac:dyDescent="0.25">
      <c r="A2434" s="1059">
        <v>1917265</v>
      </c>
      <c r="B2434" s="1060" t="s">
        <v>24092</v>
      </c>
      <c r="C2434" s="1059" t="s">
        <v>38</v>
      </c>
      <c r="D2434" s="1061">
        <v>16.97</v>
      </c>
    </row>
    <row r="2435" spans="1:4" ht="18" customHeight="1" x14ac:dyDescent="0.25">
      <c r="A2435" s="1059">
        <v>1917260</v>
      </c>
      <c r="B2435" s="1060" t="s">
        <v>24093</v>
      </c>
      <c r="C2435" s="1059" t="s">
        <v>38</v>
      </c>
      <c r="D2435" s="1061">
        <v>6.51</v>
      </c>
    </row>
    <row r="2436" spans="1:4" ht="18" customHeight="1" x14ac:dyDescent="0.25">
      <c r="A2436" s="1059">
        <v>1917261</v>
      </c>
      <c r="B2436" s="1060" t="s">
        <v>24094</v>
      </c>
      <c r="C2436" s="1059" t="s">
        <v>38</v>
      </c>
      <c r="D2436" s="1061">
        <v>7.23</v>
      </c>
    </row>
    <row r="2437" spans="1:4" ht="18" customHeight="1" x14ac:dyDescent="0.25">
      <c r="A2437" s="1059">
        <v>1917262</v>
      </c>
      <c r="B2437" s="1060" t="s">
        <v>24095</v>
      </c>
      <c r="C2437" s="1059" t="s">
        <v>38</v>
      </c>
      <c r="D2437" s="1061">
        <v>8.5299999999999994</v>
      </c>
    </row>
    <row r="2438" spans="1:4" ht="18" customHeight="1" x14ac:dyDescent="0.25">
      <c r="A2438" s="1059">
        <v>1917727</v>
      </c>
      <c r="B2438" s="1060" t="s">
        <v>24096</v>
      </c>
      <c r="C2438" s="1059" t="s">
        <v>38</v>
      </c>
      <c r="D2438" s="1061">
        <v>6.3</v>
      </c>
    </row>
    <row r="2439" spans="1:4" ht="18" customHeight="1" x14ac:dyDescent="0.25">
      <c r="A2439" s="1059">
        <v>1917351</v>
      </c>
      <c r="B2439" s="1060" t="s">
        <v>24097</v>
      </c>
      <c r="C2439" s="1059" t="s">
        <v>38</v>
      </c>
      <c r="D2439" s="1061">
        <v>9.3000000000000007</v>
      </c>
    </row>
    <row r="2440" spans="1:4" ht="18" customHeight="1" x14ac:dyDescent="0.25">
      <c r="A2440" s="1059">
        <v>1917352</v>
      </c>
      <c r="B2440" s="1060" t="s">
        <v>24098</v>
      </c>
      <c r="C2440" s="1059" t="s">
        <v>38</v>
      </c>
      <c r="D2440" s="1061">
        <v>12.27</v>
      </c>
    </row>
    <row r="2441" spans="1:4" ht="18" customHeight="1" x14ac:dyDescent="0.25">
      <c r="A2441" s="1059">
        <v>1917353</v>
      </c>
      <c r="B2441" s="1060" t="s">
        <v>24099</v>
      </c>
      <c r="C2441" s="1059" t="s">
        <v>38</v>
      </c>
      <c r="D2441" s="1061">
        <v>15.76</v>
      </c>
    </row>
    <row r="2442" spans="1:4" ht="18" customHeight="1" x14ac:dyDescent="0.25">
      <c r="A2442" s="1059">
        <v>1917354</v>
      </c>
      <c r="B2442" s="1060" t="s">
        <v>24100</v>
      </c>
      <c r="C2442" s="1059" t="s">
        <v>38</v>
      </c>
      <c r="D2442" s="1061">
        <v>20.36</v>
      </c>
    </row>
    <row r="2443" spans="1:4" ht="18" customHeight="1" x14ac:dyDescent="0.25">
      <c r="A2443" s="1059">
        <v>1917355</v>
      </c>
      <c r="B2443" s="1060" t="s">
        <v>24101</v>
      </c>
      <c r="C2443" s="1059" t="s">
        <v>38</v>
      </c>
      <c r="D2443" s="1061">
        <v>26.2</v>
      </c>
    </row>
    <row r="2444" spans="1:4" ht="18" customHeight="1" x14ac:dyDescent="0.25">
      <c r="A2444" s="1059">
        <v>1917356</v>
      </c>
      <c r="B2444" s="1060" t="s">
        <v>24102</v>
      </c>
      <c r="C2444" s="1059" t="s">
        <v>38</v>
      </c>
      <c r="D2444" s="1061">
        <v>32.03</v>
      </c>
    </row>
    <row r="2445" spans="1:4" ht="18" customHeight="1" x14ac:dyDescent="0.25">
      <c r="A2445" s="1059">
        <v>1917357</v>
      </c>
      <c r="B2445" s="1060" t="s">
        <v>24103</v>
      </c>
      <c r="C2445" s="1059" t="s">
        <v>38</v>
      </c>
      <c r="D2445" s="1061">
        <v>36.54</v>
      </c>
    </row>
    <row r="2446" spans="1:4" ht="18" customHeight="1" x14ac:dyDescent="0.25">
      <c r="A2446" s="1059">
        <v>1917348</v>
      </c>
      <c r="B2446" s="1060" t="s">
        <v>24104</v>
      </c>
      <c r="C2446" s="1059" t="s">
        <v>38</v>
      </c>
      <c r="D2446" s="1061">
        <v>5.67</v>
      </c>
    </row>
    <row r="2447" spans="1:4" ht="18" customHeight="1" x14ac:dyDescent="0.25">
      <c r="A2447" s="1059">
        <v>1917349</v>
      </c>
      <c r="B2447" s="1060" t="s">
        <v>24105</v>
      </c>
      <c r="C2447" s="1059" t="s">
        <v>38</v>
      </c>
      <c r="D2447" s="1061">
        <v>6.15</v>
      </c>
    </row>
    <row r="2448" spans="1:4" ht="18" customHeight="1" x14ac:dyDescent="0.25">
      <c r="A2448" s="1059">
        <v>1917350</v>
      </c>
      <c r="B2448" s="1060" t="s">
        <v>24106</v>
      </c>
      <c r="C2448" s="1059" t="s">
        <v>38</v>
      </c>
      <c r="D2448" s="1061">
        <v>7</v>
      </c>
    </row>
    <row r="2449" spans="1:4" ht="18" customHeight="1" x14ac:dyDescent="0.25">
      <c r="A2449" s="1059">
        <v>1917731</v>
      </c>
      <c r="B2449" s="1060" t="s">
        <v>24107</v>
      </c>
      <c r="C2449" s="1059" t="s">
        <v>38</v>
      </c>
      <c r="D2449" s="1061">
        <v>5.55</v>
      </c>
    </row>
    <row r="2450" spans="1:4" ht="18" customHeight="1" x14ac:dyDescent="0.25">
      <c r="A2450" s="1059">
        <v>1917463</v>
      </c>
      <c r="B2450" s="1060" t="s">
        <v>24108</v>
      </c>
      <c r="C2450" s="1059" t="s">
        <v>38</v>
      </c>
      <c r="D2450" s="1061">
        <v>9.51</v>
      </c>
    </row>
    <row r="2451" spans="1:4" ht="18" customHeight="1" x14ac:dyDescent="0.25">
      <c r="A2451" s="1059">
        <v>1917464</v>
      </c>
      <c r="B2451" s="1060" t="s">
        <v>24109</v>
      </c>
      <c r="C2451" s="1059" t="s">
        <v>38</v>
      </c>
      <c r="D2451" s="1061">
        <v>11.01</v>
      </c>
    </row>
    <row r="2452" spans="1:4" ht="18" customHeight="1" x14ac:dyDescent="0.25">
      <c r="A2452" s="1059">
        <v>1917465</v>
      </c>
      <c r="B2452" s="1060" t="s">
        <v>24110</v>
      </c>
      <c r="C2452" s="1059" t="s">
        <v>38</v>
      </c>
      <c r="D2452" s="1061">
        <v>12.69</v>
      </c>
    </row>
    <row r="2453" spans="1:4" ht="18" customHeight="1" x14ac:dyDescent="0.25">
      <c r="A2453" s="1059">
        <v>1917466</v>
      </c>
      <c r="B2453" s="1060" t="s">
        <v>24111</v>
      </c>
      <c r="C2453" s="1059" t="s">
        <v>38</v>
      </c>
      <c r="D2453" s="1061">
        <v>15.04</v>
      </c>
    </row>
    <row r="2454" spans="1:4" ht="18" customHeight="1" x14ac:dyDescent="0.25">
      <c r="A2454" s="1059">
        <v>1917467</v>
      </c>
      <c r="B2454" s="1060" t="s">
        <v>24112</v>
      </c>
      <c r="C2454" s="1059" t="s">
        <v>38</v>
      </c>
      <c r="D2454" s="1061">
        <v>18.559999999999999</v>
      </c>
    </row>
    <row r="2455" spans="1:4" ht="18" customHeight="1" x14ac:dyDescent="0.25">
      <c r="A2455" s="1059">
        <v>1917468</v>
      </c>
      <c r="B2455" s="1060" t="s">
        <v>24113</v>
      </c>
      <c r="C2455" s="1059" t="s">
        <v>38</v>
      </c>
      <c r="D2455" s="1061">
        <v>22.58</v>
      </c>
    </row>
    <row r="2456" spans="1:4" ht="18" customHeight="1" x14ac:dyDescent="0.25">
      <c r="A2456" s="1059">
        <v>1917469</v>
      </c>
      <c r="B2456" s="1060" t="s">
        <v>24114</v>
      </c>
      <c r="C2456" s="1059" t="s">
        <v>38</v>
      </c>
      <c r="D2456" s="1061">
        <v>26.99</v>
      </c>
    </row>
    <row r="2457" spans="1:4" ht="18" customHeight="1" x14ac:dyDescent="0.25">
      <c r="A2457" s="1059">
        <v>1917470</v>
      </c>
      <c r="B2457" s="1060" t="s">
        <v>24115</v>
      </c>
      <c r="C2457" s="1059" t="s">
        <v>38</v>
      </c>
      <c r="D2457" s="1061">
        <v>32.090000000000003</v>
      </c>
    </row>
    <row r="2458" spans="1:4" ht="18" customHeight="1" x14ac:dyDescent="0.25">
      <c r="A2458" s="1059">
        <v>1917471</v>
      </c>
      <c r="B2458" s="1060" t="s">
        <v>24116</v>
      </c>
      <c r="C2458" s="1059" t="s">
        <v>38</v>
      </c>
      <c r="D2458" s="1061">
        <v>38.14</v>
      </c>
    </row>
    <row r="2459" spans="1:4" ht="18" customHeight="1" x14ac:dyDescent="0.25">
      <c r="A2459" s="1059">
        <v>1917472</v>
      </c>
      <c r="B2459" s="1060" t="s">
        <v>24117</v>
      </c>
      <c r="C2459" s="1059" t="s">
        <v>38</v>
      </c>
      <c r="D2459" s="1061">
        <v>40.770000000000003</v>
      </c>
    </row>
    <row r="2460" spans="1:4" ht="18" customHeight="1" x14ac:dyDescent="0.25">
      <c r="A2460" s="1059">
        <v>1917460</v>
      </c>
      <c r="B2460" s="1060" t="s">
        <v>24118</v>
      </c>
      <c r="C2460" s="1059" t="s">
        <v>38</v>
      </c>
      <c r="D2460" s="1061">
        <v>5.53</v>
      </c>
    </row>
    <row r="2461" spans="1:4" ht="18" customHeight="1" x14ac:dyDescent="0.25">
      <c r="A2461" s="1059">
        <v>1917461</v>
      </c>
      <c r="B2461" s="1060" t="s">
        <v>24119</v>
      </c>
      <c r="C2461" s="1059" t="s">
        <v>38</v>
      </c>
      <c r="D2461" s="1061">
        <v>6.58</v>
      </c>
    </row>
    <row r="2462" spans="1:4" ht="18" customHeight="1" x14ac:dyDescent="0.25">
      <c r="A2462" s="1059">
        <v>1917462</v>
      </c>
      <c r="B2462" s="1060" t="s">
        <v>24120</v>
      </c>
      <c r="C2462" s="1059" t="s">
        <v>38</v>
      </c>
      <c r="D2462" s="1061">
        <v>7.83</v>
      </c>
    </row>
    <row r="2463" spans="1:4" ht="18" customHeight="1" x14ac:dyDescent="0.25">
      <c r="A2463" s="1059">
        <v>1917735</v>
      </c>
      <c r="B2463" s="1060" t="s">
        <v>24121</v>
      </c>
      <c r="C2463" s="1059" t="s">
        <v>38</v>
      </c>
      <c r="D2463" s="1061">
        <v>4.9400000000000004</v>
      </c>
    </row>
    <row r="2464" spans="1:4" ht="9" customHeight="1" x14ac:dyDescent="0.25">
      <c r="A2464" s="1059">
        <v>1917061</v>
      </c>
      <c r="B2464" s="1060" t="s">
        <v>24122</v>
      </c>
      <c r="C2464" s="1059" t="s">
        <v>38</v>
      </c>
      <c r="D2464" s="1061">
        <v>10.99</v>
      </c>
    </row>
    <row r="2465" spans="1:4" ht="9" customHeight="1" x14ac:dyDescent="0.25">
      <c r="A2465" s="1059">
        <v>1917062</v>
      </c>
      <c r="B2465" s="1060" t="s">
        <v>24123</v>
      </c>
      <c r="C2465" s="1059" t="s">
        <v>38</v>
      </c>
      <c r="D2465" s="1061">
        <v>11.2</v>
      </c>
    </row>
    <row r="2466" spans="1:4" ht="9" customHeight="1" x14ac:dyDescent="0.25">
      <c r="A2466" s="1059">
        <v>1917063</v>
      </c>
      <c r="B2466" s="1060" t="s">
        <v>24124</v>
      </c>
      <c r="C2466" s="1059" t="s">
        <v>38</v>
      </c>
      <c r="D2466" s="1061">
        <v>11.42</v>
      </c>
    </row>
    <row r="2467" spans="1:4" ht="9" customHeight="1" x14ac:dyDescent="0.25">
      <c r="A2467" s="1059">
        <v>1917064</v>
      </c>
      <c r="B2467" s="1060" t="s">
        <v>24125</v>
      </c>
      <c r="C2467" s="1059" t="s">
        <v>38</v>
      </c>
      <c r="D2467" s="1061">
        <v>11.65</v>
      </c>
    </row>
    <row r="2468" spans="1:4" ht="9" customHeight="1" x14ac:dyDescent="0.25">
      <c r="A2468" s="1059">
        <v>1917065</v>
      </c>
      <c r="B2468" s="1060" t="s">
        <v>24126</v>
      </c>
      <c r="C2468" s="1059" t="s">
        <v>38</v>
      </c>
      <c r="D2468" s="1061">
        <v>11.89</v>
      </c>
    </row>
    <row r="2469" spans="1:4" ht="9" customHeight="1" x14ac:dyDescent="0.25">
      <c r="A2469" s="1059">
        <v>1917066</v>
      </c>
      <c r="B2469" s="1060" t="s">
        <v>24127</v>
      </c>
      <c r="C2469" s="1059" t="s">
        <v>38</v>
      </c>
      <c r="D2469" s="1061">
        <v>12.02</v>
      </c>
    </row>
    <row r="2470" spans="1:4" ht="9" customHeight="1" x14ac:dyDescent="0.25">
      <c r="A2470" s="1059">
        <v>1901590</v>
      </c>
      <c r="B2470" s="1060" t="s">
        <v>24128</v>
      </c>
      <c r="C2470" s="1059" t="s">
        <v>38</v>
      </c>
      <c r="D2470" s="1061">
        <v>7.35</v>
      </c>
    </row>
    <row r="2471" spans="1:4" ht="9" customHeight="1" x14ac:dyDescent="0.25">
      <c r="A2471" s="1059">
        <v>1901591</v>
      </c>
      <c r="B2471" s="1060" t="s">
        <v>24129</v>
      </c>
      <c r="C2471" s="1059" t="s">
        <v>38</v>
      </c>
      <c r="D2471" s="1061">
        <v>7.41</v>
      </c>
    </row>
    <row r="2472" spans="1:4" ht="9" customHeight="1" x14ac:dyDescent="0.25">
      <c r="A2472" s="1059">
        <v>1901592</v>
      </c>
      <c r="B2472" s="1060" t="s">
        <v>24130</v>
      </c>
      <c r="C2472" s="1059" t="s">
        <v>38</v>
      </c>
      <c r="D2472" s="1061">
        <v>7.47</v>
      </c>
    </row>
    <row r="2473" spans="1:4" ht="9" customHeight="1" x14ac:dyDescent="0.25">
      <c r="A2473" s="1059">
        <v>1901593</v>
      </c>
      <c r="B2473" s="1060" t="s">
        <v>24131</v>
      </c>
      <c r="C2473" s="1059" t="s">
        <v>38</v>
      </c>
      <c r="D2473" s="1061">
        <v>7.54</v>
      </c>
    </row>
    <row r="2474" spans="1:4" ht="9" customHeight="1" x14ac:dyDescent="0.25">
      <c r="A2474" s="1059">
        <v>1901594</v>
      </c>
      <c r="B2474" s="1060" t="s">
        <v>24132</v>
      </c>
      <c r="C2474" s="1059" t="s">
        <v>38</v>
      </c>
      <c r="D2474" s="1061">
        <v>7.62</v>
      </c>
    </row>
    <row r="2475" spans="1:4" ht="9" customHeight="1" x14ac:dyDescent="0.25">
      <c r="A2475" s="1059">
        <v>1901589</v>
      </c>
      <c r="B2475" s="1060" t="s">
        <v>24133</v>
      </c>
      <c r="C2475" s="1059" t="s">
        <v>38</v>
      </c>
      <c r="D2475" s="1061">
        <v>7.65</v>
      </c>
    </row>
    <row r="2476" spans="1:4" ht="9" customHeight="1" x14ac:dyDescent="0.25">
      <c r="A2476" s="1059">
        <v>1901596</v>
      </c>
      <c r="B2476" s="1060" t="s">
        <v>24134</v>
      </c>
      <c r="C2476" s="1059" t="s">
        <v>38</v>
      </c>
      <c r="D2476" s="1061">
        <v>9.67</v>
      </c>
    </row>
    <row r="2477" spans="1:4" ht="9" customHeight="1" x14ac:dyDescent="0.25">
      <c r="A2477" s="1059">
        <v>1901597</v>
      </c>
      <c r="B2477" s="1060" t="s">
        <v>24135</v>
      </c>
      <c r="C2477" s="1059" t="s">
        <v>38</v>
      </c>
      <c r="D2477" s="1061">
        <v>9.73</v>
      </c>
    </row>
    <row r="2478" spans="1:4" ht="9" customHeight="1" x14ac:dyDescent="0.25">
      <c r="A2478" s="1059">
        <v>1901598</v>
      </c>
      <c r="B2478" s="1060" t="s">
        <v>24136</v>
      </c>
      <c r="C2478" s="1059" t="s">
        <v>38</v>
      </c>
      <c r="D2478" s="1061">
        <v>9.8000000000000007</v>
      </c>
    </row>
    <row r="2479" spans="1:4" ht="9" customHeight="1" x14ac:dyDescent="0.25">
      <c r="A2479" s="1059">
        <v>1901599</v>
      </c>
      <c r="B2479" s="1060" t="s">
        <v>24137</v>
      </c>
      <c r="C2479" s="1059" t="s">
        <v>38</v>
      </c>
      <c r="D2479" s="1061">
        <v>9.86</v>
      </c>
    </row>
    <row r="2480" spans="1:4" ht="9" customHeight="1" x14ac:dyDescent="0.25">
      <c r="A2480" s="1059">
        <v>1901600</v>
      </c>
      <c r="B2480" s="1060" t="s">
        <v>24138</v>
      </c>
      <c r="C2480" s="1059" t="s">
        <v>38</v>
      </c>
      <c r="D2480" s="1061">
        <v>9.93</v>
      </c>
    </row>
    <row r="2481" spans="1:4" ht="9" customHeight="1" x14ac:dyDescent="0.25">
      <c r="A2481" s="1059">
        <v>1901595</v>
      </c>
      <c r="B2481" s="1060" t="s">
        <v>24139</v>
      </c>
      <c r="C2481" s="1059" t="s">
        <v>38</v>
      </c>
      <c r="D2481" s="1061">
        <v>9.9700000000000006</v>
      </c>
    </row>
    <row r="2482" spans="1:4" ht="9" customHeight="1" x14ac:dyDescent="0.25">
      <c r="A2482" s="1059">
        <v>1917097</v>
      </c>
      <c r="B2482" s="1060" t="s">
        <v>24140</v>
      </c>
      <c r="C2482" s="1059" t="s">
        <v>38</v>
      </c>
      <c r="D2482" s="1061">
        <v>9.6199999999999992</v>
      </c>
    </row>
    <row r="2483" spans="1:4" ht="9" customHeight="1" x14ac:dyDescent="0.25">
      <c r="A2483" s="1059">
        <v>1917098</v>
      </c>
      <c r="B2483" s="1060" t="s">
        <v>24141</v>
      </c>
      <c r="C2483" s="1059" t="s">
        <v>38</v>
      </c>
      <c r="D2483" s="1061">
        <v>9.76</v>
      </c>
    </row>
    <row r="2484" spans="1:4" ht="9" customHeight="1" x14ac:dyDescent="0.25">
      <c r="A2484" s="1059">
        <v>1917099</v>
      </c>
      <c r="B2484" s="1060" t="s">
        <v>24142</v>
      </c>
      <c r="C2484" s="1059" t="s">
        <v>38</v>
      </c>
      <c r="D2484" s="1061">
        <v>9.89</v>
      </c>
    </row>
    <row r="2485" spans="1:4" ht="9" customHeight="1" x14ac:dyDescent="0.25">
      <c r="A2485" s="1059">
        <v>1917100</v>
      </c>
      <c r="B2485" s="1060" t="s">
        <v>24143</v>
      </c>
      <c r="C2485" s="1059" t="s">
        <v>38</v>
      </c>
      <c r="D2485" s="1061">
        <v>10.039999999999999</v>
      </c>
    </row>
    <row r="2486" spans="1:4" ht="9" customHeight="1" x14ac:dyDescent="0.25">
      <c r="A2486" s="1059">
        <v>1917101</v>
      </c>
      <c r="B2486" s="1060" t="s">
        <v>24144</v>
      </c>
      <c r="C2486" s="1059" t="s">
        <v>38</v>
      </c>
      <c r="D2486" s="1061">
        <v>10.19</v>
      </c>
    </row>
    <row r="2487" spans="1:4" ht="9" customHeight="1" x14ac:dyDescent="0.25">
      <c r="A2487" s="1059">
        <v>1917102</v>
      </c>
      <c r="B2487" s="1060" t="s">
        <v>24145</v>
      </c>
      <c r="C2487" s="1059" t="s">
        <v>38</v>
      </c>
      <c r="D2487" s="1061">
        <v>10.27</v>
      </c>
    </row>
    <row r="2488" spans="1:4" ht="9" customHeight="1" x14ac:dyDescent="0.25">
      <c r="A2488" s="1059">
        <v>1901601</v>
      </c>
      <c r="B2488" s="1060" t="s">
        <v>24146</v>
      </c>
      <c r="C2488" s="1059" t="s">
        <v>38</v>
      </c>
      <c r="D2488" s="1061">
        <v>12.07</v>
      </c>
    </row>
    <row r="2489" spans="1:4" ht="9" customHeight="1" x14ac:dyDescent="0.25">
      <c r="A2489" s="1059">
        <v>1901602</v>
      </c>
      <c r="B2489" s="1060" t="s">
        <v>24147</v>
      </c>
      <c r="C2489" s="1059" t="s">
        <v>38</v>
      </c>
      <c r="D2489" s="1061">
        <v>12.12</v>
      </c>
    </row>
    <row r="2490" spans="1:4" ht="9" customHeight="1" x14ac:dyDescent="0.25">
      <c r="A2490" s="1059">
        <v>1901603</v>
      </c>
      <c r="B2490" s="1060" t="s">
        <v>24148</v>
      </c>
      <c r="C2490" s="1059" t="s">
        <v>38</v>
      </c>
      <c r="D2490" s="1061">
        <v>12.18</v>
      </c>
    </row>
    <row r="2491" spans="1:4" ht="9" customHeight="1" x14ac:dyDescent="0.25">
      <c r="A2491" s="1059">
        <v>1901604</v>
      </c>
      <c r="B2491" s="1060" t="s">
        <v>24149</v>
      </c>
      <c r="C2491" s="1059" t="s">
        <v>38</v>
      </c>
      <c r="D2491" s="1061">
        <v>12.25</v>
      </c>
    </row>
    <row r="2492" spans="1:4" ht="9" customHeight="1" x14ac:dyDescent="0.25">
      <c r="A2492" s="1059">
        <v>1901605</v>
      </c>
      <c r="B2492" s="1060" t="s">
        <v>24150</v>
      </c>
      <c r="C2492" s="1059" t="s">
        <v>38</v>
      </c>
      <c r="D2492" s="1061">
        <v>12.31</v>
      </c>
    </row>
    <row r="2493" spans="1:4" ht="9" customHeight="1" x14ac:dyDescent="0.25">
      <c r="A2493" s="1059">
        <v>1901606</v>
      </c>
      <c r="B2493" s="1060" t="s">
        <v>24151</v>
      </c>
      <c r="C2493" s="1059" t="s">
        <v>38</v>
      </c>
      <c r="D2493" s="1061">
        <v>12.35</v>
      </c>
    </row>
    <row r="2494" spans="1:4" ht="9" customHeight="1" x14ac:dyDescent="0.25">
      <c r="A2494" s="1059">
        <v>1917133</v>
      </c>
      <c r="B2494" s="1060" t="s">
        <v>24152</v>
      </c>
      <c r="C2494" s="1059" t="s">
        <v>38</v>
      </c>
      <c r="D2494" s="1061">
        <v>9.02</v>
      </c>
    </row>
    <row r="2495" spans="1:4" ht="9" customHeight="1" x14ac:dyDescent="0.25">
      <c r="A2495" s="1059">
        <v>1917134</v>
      </c>
      <c r="B2495" s="1060" t="s">
        <v>24153</v>
      </c>
      <c r="C2495" s="1059" t="s">
        <v>38</v>
      </c>
      <c r="D2495" s="1061">
        <v>9.1300000000000008</v>
      </c>
    </row>
    <row r="2496" spans="1:4" ht="9" customHeight="1" x14ac:dyDescent="0.25">
      <c r="A2496" s="1059">
        <v>1917135</v>
      </c>
      <c r="B2496" s="1060" t="s">
        <v>24154</v>
      </c>
      <c r="C2496" s="1059" t="s">
        <v>38</v>
      </c>
      <c r="D2496" s="1061">
        <v>9.24</v>
      </c>
    </row>
    <row r="2497" spans="1:4" ht="9" customHeight="1" x14ac:dyDescent="0.25">
      <c r="A2497" s="1059">
        <v>1917136</v>
      </c>
      <c r="B2497" s="1060" t="s">
        <v>24155</v>
      </c>
      <c r="C2497" s="1059" t="s">
        <v>38</v>
      </c>
      <c r="D2497" s="1061">
        <v>9.36</v>
      </c>
    </row>
    <row r="2498" spans="1:4" ht="9" customHeight="1" x14ac:dyDescent="0.25">
      <c r="A2498" s="1059">
        <v>1917137</v>
      </c>
      <c r="B2498" s="1060" t="s">
        <v>24156</v>
      </c>
      <c r="C2498" s="1059" t="s">
        <v>38</v>
      </c>
      <c r="D2498" s="1061">
        <v>9.48</v>
      </c>
    </row>
    <row r="2499" spans="1:4" ht="9" customHeight="1" x14ac:dyDescent="0.25">
      <c r="A2499" s="1059">
        <v>1917138</v>
      </c>
      <c r="B2499" s="1060" t="s">
        <v>24157</v>
      </c>
      <c r="C2499" s="1059" t="s">
        <v>38</v>
      </c>
      <c r="D2499" s="1061">
        <v>9.5500000000000007</v>
      </c>
    </row>
    <row r="2500" spans="1:4" ht="9" customHeight="1" x14ac:dyDescent="0.25">
      <c r="A2500" s="1059">
        <v>1917169</v>
      </c>
      <c r="B2500" s="1060" t="s">
        <v>24158</v>
      </c>
      <c r="C2500" s="1059" t="s">
        <v>38</v>
      </c>
      <c r="D2500" s="1061">
        <v>8.43</v>
      </c>
    </row>
    <row r="2501" spans="1:4" ht="9" customHeight="1" x14ac:dyDescent="0.25">
      <c r="A2501" s="1059">
        <v>1917170</v>
      </c>
      <c r="B2501" s="1060" t="s">
        <v>24159</v>
      </c>
      <c r="C2501" s="1059" t="s">
        <v>38</v>
      </c>
      <c r="D2501" s="1061">
        <v>8.52</v>
      </c>
    </row>
    <row r="2502" spans="1:4" ht="9" customHeight="1" x14ac:dyDescent="0.25">
      <c r="A2502" s="1059">
        <v>1917171</v>
      </c>
      <c r="B2502" s="1060" t="s">
        <v>24160</v>
      </c>
      <c r="C2502" s="1059" t="s">
        <v>38</v>
      </c>
      <c r="D2502" s="1061">
        <v>8.6199999999999992</v>
      </c>
    </row>
    <row r="2503" spans="1:4" ht="9" customHeight="1" x14ac:dyDescent="0.25">
      <c r="A2503" s="1059">
        <v>1917172</v>
      </c>
      <c r="B2503" s="1060" t="s">
        <v>24161</v>
      </c>
      <c r="C2503" s="1059" t="s">
        <v>38</v>
      </c>
      <c r="D2503" s="1061">
        <v>8.7200000000000006</v>
      </c>
    </row>
    <row r="2504" spans="1:4" ht="9" customHeight="1" x14ac:dyDescent="0.25">
      <c r="A2504" s="1059">
        <v>1917173</v>
      </c>
      <c r="B2504" s="1060" t="s">
        <v>24162</v>
      </c>
      <c r="C2504" s="1059" t="s">
        <v>38</v>
      </c>
      <c r="D2504" s="1061">
        <v>8.83</v>
      </c>
    </row>
    <row r="2505" spans="1:4" ht="9" customHeight="1" x14ac:dyDescent="0.25">
      <c r="A2505" s="1059">
        <v>1917174</v>
      </c>
      <c r="B2505" s="1060" t="s">
        <v>24163</v>
      </c>
      <c r="C2505" s="1059" t="s">
        <v>38</v>
      </c>
      <c r="D2505" s="1061">
        <v>8.89</v>
      </c>
    </row>
    <row r="2506" spans="1:4" ht="9" customHeight="1" x14ac:dyDescent="0.25">
      <c r="A2506" s="1059">
        <v>1917205</v>
      </c>
      <c r="B2506" s="1060" t="s">
        <v>24164</v>
      </c>
      <c r="C2506" s="1059" t="s">
        <v>38</v>
      </c>
      <c r="D2506" s="1061">
        <v>7.86</v>
      </c>
    </row>
    <row r="2507" spans="1:4" ht="9" customHeight="1" x14ac:dyDescent="0.25">
      <c r="A2507" s="1059">
        <v>1917206</v>
      </c>
      <c r="B2507" s="1060" t="s">
        <v>24165</v>
      </c>
      <c r="C2507" s="1059" t="s">
        <v>38</v>
      </c>
      <c r="D2507" s="1061">
        <v>7.95</v>
      </c>
    </row>
    <row r="2508" spans="1:4" ht="9" customHeight="1" x14ac:dyDescent="0.25">
      <c r="A2508" s="1059">
        <v>1917207</v>
      </c>
      <c r="B2508" s="1060" t="s">
        <v>24166</v>
      </c>
      <c r="C2508" s="1059" t="s">
        <v>38</v>
      </c>
      <c r="D2508" s="1061">
        <v>8.0399999999999991</v>
      </c>
    </row>
    <row r="2509" spans="1:4" ht="9" customHeight="1" x14ac:dyDescent="0.25">
      <c r="A2509" s="1059">
        <v>1917208</v>
      </c>
      <c r="B2509" s="1060" t="s">
        <v>24167</v>
      </c>
      <c r="C2509" s="1059" t="s">
        <v>38</v>
      </c>
      <c r="D2509" s="1061">
        <v>8.1300000000000008</v>
      </c>
    </row>
    <row r="2510" spans="1:4" ht="9" customHeight="1" x14ac:dyDescent="0.25">
      <c r="A2510" s="1059">
        <v>1917209</v>
      </c>
      <c r="B2510" s="1060" t="s">
        <v>24168</v>
      </c>
      <c r="C2510" s="1059" t="s">
        <v>38</v>
      </c>
      <c r="D2510" s="1061">
        <v>8.23</v>
      </c>
    </row>
    <row r="2511" spans="1:4" ht="9" customHeight="1" x14ac:dyDescent="0.25">
      <c r="A2511" s="1059">
        <v>1917210</v>
      </c>
      <c r="B2511" s="1060" t="s">
        <v>24169</v>
      </c>
      <c r="C2511" s="1059" t="s">
        <v>38</v>
      </c>
      <c r="D2511" s="1061">
        <v>8.2799999999999994</v>
      </c>
    </row>
    <row r="2512" spans="1:4" ht="9" customHeight="1" x14ac:dyDescent="0.25">
      <c r="A2512" s="1059">
        <v>1917025</v>
      </c>
      <c r="B2512" s="1060" t="s">
        <v>24170</v>
      </c>
      <c r="C2512" s="1059" t="s">
        <v>38</v>
      </c>
      <c r="D2512" s="1061">
        <v>14.87</v>
      </c>
    </row>
    <row r="2513" spans="1:4" ht="9" customHeight="1" x14ac:dyDescent="0.25">
      <c r="A2513" s="1059">
        <v>1917026</v>
      </c>
      <c r="B2513" s="1060" t="s">
        <v>24171</v>
      </c>
      <c r="C2513" s="1059" t="s">
        <v>38</v>
      </c>
      <c r="D2513" s="1061">
        <v>15.17</v>
      </c>
    </row>
    <row r="2514" spans="1:4" ht="9" customHeight="1" x14ac:dyDescent="0.25">
      <c r="A2514" s="1059">
        <v>1917027</v>
      </c>
      <c r="B2514" s="1060" t="s">
        <v>24172</v>
      </c>
      <c r="C2514" s="1059" t="s">
        <v>38</v>
      </c>
      <c r="D2514" s="1061">
        <v>15.48</v>
      </c>
    </row>
    <row r="2515" spans="1:4" ht="9" customHeight="1" x14ac:dyDescent="0.25">
      <c r="A2515" s="1059">
        <v>1917028</v>
      </c>
      <c r="B2515" s="1060" t="s">
        <v>24173</v>
      </c>
      <c r="C2515" s="1059" t="s">
        <v>38</v>
      </c>
      <c r="D2515" s="1061">
        <v>15.81</v>
      </c>
    </row>
    <row r="2516" spans="1:4" ht="9" customHeight="1" x14ac:dyDescent="0.25">
      <c r="A2516" s="1059">
        <v>1917029</v>
      </c>
      <c r="B2516" s="1060" t="s">
        <v>24174</v>
      </c>
      <c r="C2516" s="1059" t="s">
        <v>38</v>
      </c>
      <c r="D2516" s="1061">
        <v>16.16</v>
      </c>
    </row>
    <row r="2517" spans="1:4" ht="9" customHeight="1" x14ac:dyDescent="0.25">
      <c r="A2517" s="1059">
        <v>1917030</v>
      </c>
      <c r="B2517" s="1060" t="s">
        <v>24175</v>
      </c>
      <c r="C2517" s="1059" t="s">
        <v>38</v>
      </c>
      <c r="D2517" s="1061">
        <v>16.34</v>
      </c>
    </row>
    <row r="2518" spans="1:4" ht="18" customHeight="1" x14ac:dyDescent="0.25">
      <c r="A2518" s="1059">
        <v>1917629</v>
      </c>
      <c r="B2518" s="1060" t="s">
        <v>24176</v>
      </c>
      <c r="C2518" s="1059" t="s">
        <v>38</v>
      </c>
      <c r="D2518" s="1061">
        <v>13.95</v>
      </c>
    </row>
    <row r="2519" spans="1:4" ht="18" customHeight="1" x14ac:dyDescent="0.25">
      <c r="A2519" s="1059">
        <v>1917633</v>
      </c>
      <c r="B2519" s="1060" t="s">
        <v>24177</v>
      </c>
      <c r="C2519" s="1059" t="s">
        <v>38</v>
      </c>
      <c r="D2519" s="1061">
        <v>15.79</v>
      </c>
    </row>
    <row r="2520" spans="1:4" ht="18" customHeight="1" x14ac:dyDescent="0.25">
      <c r="A2520" s="1059">
        <v>1917634</v>
      </c>
      <c r="B2520" s="1060" t="s">
        <v>24178</v>
      </c>
      <c r="C2520" s="1059" t="s">
        <v>38</v>
      </c>
      <c r="D2520" s="1061">
        <v>16.12</v>
      </c>
    </row>
    <row r="2521" spans="1:4" ht="18" customHeight="1" x14ac:dyDescent="0.25">
      <c r="A2521" s="1059">
        <v>1917635</v>
      </c>
      <c r="B2521" s="1060" t="s">
        <v>24179</v>
      </c>
      <c r="C2521" s="1059" t="s">
        <v>38</v>
      </c>
      <c r="D2521" s="1061">
        <v>16.45</v>
      </c>
    </row>
    <row r="2522" spans="1:4" ht="18" customHeight="1" x14ac:dyDescent="0.25">
      <c r="A2522" s="1059">
        <v>1917636</v>
      </c>
      <c r="B2522" s="1060" t="s">
        <v>24180</v>
      </c>
      <c r="C2522" s="1059" t="s">
        <v>38</v>
      </c>
      <c r="D2522" s="1061">
        <v>18.309999999999999</v>
      </c>
    </row>
    <row r="2523" spans="1:4" ht="18" customHeight="1" x14ac:dyDescent="0.25">
      <c r="A2523" s="1059">
        <v>1917637</v>
      </c>
      <c r="B2523" s="1060" t="s">
        <v>24181</v>
      </c>
      <c r="C2523" s="1059" t="s">
        <v>38</v>
      </c>
      <c r="D2523" s="1061">
        <v>18.760000000000002</v>
      </c>
    </row>
    <row r="2524" spans="1:4" ht="18" customHeight="1" x14ac:dyDescent="0.25">
      <c r="A2524" s="1059">
        <v>1917638</v>
      </c>
      <c r="B2524" s="1060" t="s">
        <v>24182</v>
      </c>
      <c r="C2524" s="1059" t="s">
        <v>38</v>
      </c>
      <c r="D2524" s="1061">
        <v>19.2</v>
      </c>
    </row>
    <row r="2525" spans="1:4" ht="18" customHeight="1" x14ac:dyDescent="0.25">
      <c r="A2525" s="1059">
        <v>1917630</v>
      </c>
      <c r="B2525" s="1060" t="s">
        <v>24183</v>
      </c>
      <c r="C2525" s="1059" t="s">
        <v>38</v>
      </c>
      <c r="D2525" s="1061">
        <v>14.54</v>
      </c>
    </row>
    <row r="2526" spans="1:4" ht="18" customHeight="1" x14ac:dyDescent="0.25">
      <c r="A2526" s="1059">
        <v>1917631</v>
      </c>
      <c r="B2526" s="1060" t="s">
        <v>24184</v>
      </c>
      <c r="C2526" s="1059" t="s">
        <v>38</v>
      </c>
      <c r="D2526" s="1061">
        <v>15.04</v>
      </c>
    </row>
    <row r="2527" spans="1:4" ht="18" customHeight="1" x14ac:dyDescent="0.25">
      <c r="A2527" s="1059">
        <v>1917632</v>
      </c>
      <c r="B2527" s="1060" t="s">
        <v>24185</v>
      </c>
      <c r="C2527" s="1059" t="s">
        <v>38</v>
      </c>
      <c r="D2527" s="1061">
        <v>15.37</v>
      </c>
    </row>
    <row r="2528" spans="1:4" ht="18" customHeight="1" x14ac:dyDescent="0.25">
      <c r="A2528" s="1059">
        <v>1917639</v>
      </c>
      <c r="B2528" s="1060" t="s">
        <v>24186</v>
      </c>
      <c r="C2528" s="1059" t="s">
        <v>38</v>
      </c>
      <c r="D2528" s="1061">
        <v>19.420000000000002</v>
      </c>
    </row>
    <row r="2529" spans="1:4" ht="18" customHeight="1" x14ac:dyDescent="0.25">
      <c r="A2529" s="1059">
        <v>1917646</v>
      </c>
      <c r="B2529" s="1060" t="s">
        <v>24187</v>
      </c>
      <c r="C2529" s="1059" t="s">
        <v>38</v>
      </c>
      <c r="D2529" s="1061">
        <v>19.02</v>
      </c>
    </row>
    <row r="2530" spans="1:4" ht="18" customHeight="1" x14ac:dyDescent="0.25">
      <c r="A2530" s="1059">
        <v>1917647</v>
      </c>
      <c r="B2530" s="1060" t="s">
        <v>24188</v>
      </c>
      <c r="C2530" s="1059" t="s">
        <v>38</v>
      </c>
      <c r="D2530" s="1061">
        <v>19.3</v>
      </c>
    </row>
    <row r="2531" spans="1:4" ht="18" customHeight="1" x14ac:dyDescent="0.25">
      <c r="A2531" s="1059">
        <v>1917648</v>
      </c>
      <c r="B2531" s="1060" t="s">
        <v>24189</v>
      </c>
      <c r="C2531" s="1059" t="s">
        <v>38</v>
      </c>
      <c r="D2531" s="1061">
        <v>19.510000000000002</v>
      </c>
    </row>
    <row r="2532" spans="1:4" ht="18" customHeight="1" x14ac:dyDescent="0.25">
      <c r="A2532" s="1059">
        <v>1917649</v>
      </c>
      <c r="B2532" s="1060" t="s">
        <v>24190</v>
      </c>
      <c r="C2532" s="1059" t="s">
        <v>38</v>
      </c>
      <c r="D2532" s="1061">
        <v>19.8</v>
      </c>
    </row>
    <row r="2533" spans="1:4" ht="18" customHeight="1" x14ac:dyDescent="0.25">
      <c r="A2533" s="1059">
        <v>1917650</v>
      </c>
      <c r="B2533" s="1060" t="s">
        <v>24191</v>
      </c>
      <c r="C2533" s="1059" t="s">
        <v>38</v>
      </c>
      <c r="D2533" s="1061">
        <v>20.079999999999998</v>
      </c>
    </row>
    <row r="2534" spans="1:4" ht="18" customHeight="1" x14ac:dyDescent="0.25">
      <c r="A2534" s="1059">
        <v>1917651</v>
      </c>
      <c r="B2534" s="1060" t="s">
        <v>24192</v>
      </c>
      <c r="C2534" s="1059" t="s">
        <v>38</v>
      </c>
      <c r="D2534" s="1061">
        <v>20.51</v>
      </c>
    </row>
    <row r="2535" spans="1:4" ht="18" customHeight="1" x14ac:dyDescent="0.25">
      <c r="A2535" s="1059">
        <v>1917652</v>
      </c>
      <c r="B2535" s="1060" t="s">
        <v>24193</v>
      </c>
      <c r="C2535" s="1059" t="s">
        <v>38</v>
      </c>
      <c r="D2535" s="1061">
        <v>22.74</v>
      </c>
    </row>
    <row r="2536" spans="1:4" ht="18" customHeight="1" x14ac:dyDescent="0.25">
      <c r="A2536" s="1059">
        <v>1917642</v>
      </c>
      <c r="B2536" s="1060" t="s">
        <v>24194</v>
      </c>
      <c r="C2536" s="1059" t="s">
        <v>38</v>
      </c>
      <c r="D2536" s="1061">
        <v>17.809999999999999</v>
      </c>
    </row>
    <row r="2537" spans="1:4" ht="18" customHeight="1" x14ac:dyDescent="0.25">
      <c r="A2537" s="1059">
        <v>1917643</v>
      </c>
      <c r="B2537" s="1060" t="s">
        <v>24195</v>
      </c>
      <c r="C2537" s="1059" t="s">
        <v>38</v>
      </c>
      <c r="D2537" s="1061">
        <v>18.16</v>
      </c>
    </row>
    <row r="2538" spans="1:4" ht="18" customHeight="1" x14ac:dyDescent="0.25">
      <c r="A2538" s="1059">
        <v>1917641</v>
      </c>
      <c r="B2538" s="1060" t="s">
        <v>24196</v>
      </c>
      <c r="C2538" s="1059" t="s">
        <v>38</v>
      </c>
      <c r="D2538" s="1061">
        <v>15.93</v>
      </c>
    </row>
    <row r="2539" spans="1:4" ht="18" customHeight="1" x14ac:dyDescent="0.25">
      <c r="A2539" s="1059">
        <v>1917644</v>
      </c>
      <c r="B2539" s="1060" t="s">
        <v>24197</v>
      </c>
      <c r="C2539" s="1059" t="s">
        <v>38</v>
      </c>
      <c r="D2539" s="1061">
        <v>18.52</v>
      </c>
    </row>
    <row r="2540" spans="1:4" ht="18" customHeight="1" x14ac:dyDescent="0.25">
      <c r="A2540" s="1059">
        <v>1917645</v>
      </c>
      <c r="B2540" s="1060" t="s">
        <v>24198</v>
      </c>
      <c r="C2540" s="1059" t="s">
        <v>38</v>
      </c>
      <c r="D2540" s="1061">
        <v>18.73</v>
      </c>
    </row>
    <row r="2541" spans="1:4" ht="18" customHeight="1" x14ac:dyDescent="0.25">
      <c r="A2541" s="1059">
        <v>1917653</v>
      </c>
      <c r="B2541" s="1060" t="s">
        <v>24199</v>
      </c>
      <c r="C2541" s="1059" t="s">
        <v>38</v>
      </c>
      <c r="D2541" s="1061">
        <v>23.06</v>
      </c>
    </row>
    <row r="2542" spans="1:4" ht="18" customHeight="1" x14ac:dyDescent="0.25">
      <c r="A2542" s="1059">
        <v>1917659</v>
      </c>
      <c r="B2542" s="1060" t="s">
        <v>24200</v>
      </c>
      <c r="C2542" s="1059" t="s">
        <v>38</v>
      </c>
      <c r="D2542" s="1061">
        <v>18.23</v>
      </c>
    </row>
    <row r="2543" spans="1:4" ht="18" customHeight="1" x14ac:dyDescent="0.25">
      <c r="A2543" s="1059">
        <v>1917660</v>
      </c>
      <c r="B2543" s="1060" t="s">
        <v>24201</v>
      </c>
      <c r="C2543" s="1059" t="s">
        <v>38</v>
      </c>
      <c r="D2543" s="1061">
        <v>18.38</v>
      </c>
    </row>
    <row r="2544" spans="1:4" ht="18" customHeight="1" x14ac:dyDescent="0.25">
      <c r="A2544" s="1059">
        <v>1917661</v>
      </c>
      <c r="B2544" s="1060" t="s">
        <v>24202</v>
      </c>
      <c r="C2544" s="1059" t="s">
        <v>38</v>
      </c>
      <c r="D2544" s="1061">
        <v>18.52</v>
      </c>
    </row>
    <row r="2545" spans="1:4" ht="18" customHeight="1" x14ac:dyDescent="0.25">
      <c r="A2545" s="1059">
        <v>1917662</v>
      </c>
      <c r="B2545" s="1060" t="s">
        <v>24203</v>
      </c>
      <c r="C2545" s="1059" t="s">
        <v>38</v>
      </c>
      <c r="D2545" s="1061">
        <v>18.66</v>
      </c>
    </row>
    <row r="2546" spans="1:4" ht="18" customHeight="1" x14ac:dyDescent="0.25">
      <c r="A2546" s="1059">
        <v>1917663</v>
      </c>
      <c r="B2546" s="1060" t="s">
        <v>24204</v>
      </c>
      <c r="C2546" s="1059" t="s">
        <v>38</v>
      </c>
      <c r="D2546" s="1061">
        <v>18.87</v>
      </c>
    </row>
    <row r="2547" spans="1:4" ht="18" customHeight="1" x14ac:dyDescent="0.25">
      <c r="A2547" s="1059">
        <v>1917664</v>
      </c>
      <c r="B2547" s="1060" t="s">
        <v>24205</v>
      </c>
      <c r="C2547" s="1059" t="s">
        <v>38</v>
      </c>
      <c r="D2547" s="1061">
        <v>19.16</v>
      </c>
    </row>
    <row r="2548" spans="1:4" ht="18" customHeight="1" x14ac:dyDescent="0.25">
      <c r="A2548" s="1059">
        <v>1917665</v>
      </c>
      <c r="B2548" s="1060" t="s">
        <v>24206</v>
      </c>
      <c r="C2548" s="1059" t="s">
        <v>38</v>
      </c>
      <c r="D2548" s="1061">
        <v>19.579999999999998</v>
      </c>
    </row>
    <row r="2549" spans="1:4" ht="18" customHeight="1" x14ac:dyDescent="0.25">
      <c r="A2549" s="1059">
        <v>1917655</v>
      </c>
      <c r="B2549" s="1060" t="s">
        <v>24207</v>
      </c>
      <c r="C2549" s="1059" t="s">
        <v>38</v>
      </c>
      <c r="D2549" s="1061">
        <v>15.93</v>
      </c>
    </row>
    <row r="2550" spans="1:4" ht="18" customHeight="1" x14ac:dyDescent="0.25">
      <c r="A2550" s="1059">
        <v>1917656</v>
      </c>
      <c r="B2550" s="1060" t="s">
        <v>24208</v>
      </c>
      <c r="C2550" s="1059" t="s">
        <v>38</v>
      </c>
      <c r="D2550" s="1061">
        <v>17.670000000000002</v>
      </c>
    </row>
    <row r="2551" spans="1:4" ht="18" customHeight="1" x14ac:dyDescent="0.25">
      <c r="A2551" s="1059">
        <v>1917654</v>
      </c>
      <c r="B2551" s="1060" t="s">
        <v>24209</v>
      </c>
      <c r="C2551" s="1059" t="s">
        <v>38</v>
      </c>
      <c r="D2551" s="1061">
        <v>15.68</v>
      </c>
    </row>
    <row r="2552" spans="1:4" ht="18" customHeight="1" x14ac:dyDescent="0.25">
      <c r="A2552" s="1059">
        <v>1917657</v>
      </c>
      <c r="B2552" s="1060" t="s">
        <v>24210</v>
      </c>
      <c r="C2552" s="1059" t="s">
        <v>38</v>
      </c>
      <c r="D2552" s="1061">
        <v>17.88</v>
      </c>
    </row>
    <row r="2553" spans="1:4" ht="18" customHeight="1" x14ac:dyDescent="0.25">
      <c r="A2553" s="1059">
        <v>1917658</v>
      </c>
      <c r="B2553" s="1060" t="s">
        <v>24211</v>
      </c>
      <c r="C2553" s="1059" t="s">
        <v>38</v>
      </c>
      <c r="D2553" s="1061">
        <v>18.02</v>
      </c>
    </row>
    <row r="2554" spans="1:4" ht="18" customHeight="1" x14ac:dyDescent="0.25">
      <c r="A2554" s="1059">
        <v>1917666</v>
      </c>
      <c r="B2554" s="1060" t="s">
        <v>24212</v>
      </c>
      <c r="C2554" s="1059" t="s">
        <v>38</v>
      </c>
      <c r="D2554" s="1061">
        <v>19.87</v>
      </c>
    </row>
    <row r="2555" spans="1:4" ht="18" customHeight="1" x14ac:dyDescent="0.25">
      <c r="A2555" s="1059">
        <v>1917672</v>
      </c>
      <c r="B2555" s="1060" t="s">
        <v>24213</v>
      </c>
      <c r="C2555" s="1059" t="s">
        <v>38</v>
      </c>
      <c r="D2555" s="1061">
        <v>17.95</v>
      </c>
    </row>
    <row r="2556" spans="1:4" ht="18" customHeight="1" x14ac:dyDescent="0.25">
      <c r="A2556" s="1059">
        <v>1917673</v>
      </c>
      <c r="B2556" s="1060" t="s">
        <v>24214</v>
      </c>
      <c r="C2556" s="1059" t="s">
        <v>38</v>
      </c>
      <c r="D2556" s="1061">
        <v>18.09</v>
      </c>
    </row>
    <row r="2557" spans="1:4" ht="18" customHeight="1" x14ac:dyDescent="0.25">
      <c r="A2557" s="1059">
        <v>1917674</v>
      </c>
      <c r="B2557" s="1060" t="s">
        <v>24215</v>
      </c>
      <c r="C2557" s="1059" t="s">
        <v>38</v>
      </c>
      <c r="D2557" s="1061">
        <v>18.23</v>
      </c>
    </row>
    <row r="2558" spans="1:4" ht="18" customHeight="1" x14ac:dyDescent="0.25">
      <c r="A2558" s="1059">
        <v>1917675</v>
      </c>
      <c r="B2558" s="1060" t="s">
        <v>24216</v>
      </c>
      <c r="C2558" s="1059" t="s">
        <v>38</v>
      </c>
      <c r="D2558" s="1061">
        <v>18.38</v>
      </c>
    </row>
    <row r="2559" spans="1:4" ht="18" customHeight="1" x14ac:dyDescent="0.25">
      <c r="A2559" s="1059">
        <v>1917676</v>
      </c>
      <c r="B2559" s="1060" t="s">
        <v>24217</v>
      </c>
      <c r="C2559" s="1059" t="s">
        <v>38</v>
      </c>
      <c r="D2559" s="1061">
        <v>18.45</v>
      </c>
    </row>
    <row r="2560" spans="1:4" ht="18" customHeight="1" x14ac:dyDescent="0.25">
      <c r="A2560" s="1059">
        <v>1917677</v>
      </c>
      <c r="B2560" s="1060" t="s">
        <v>24218</v>
      </c>
      <c r="C2560" s="1059" t="s">
        <v>38</v>
      </c>
      <c r="D2560" s="1061">
        <v>18.73</v>
      </c>
    </row>
    <row r="2561" spans="1:4" ht="18" customHeight="1" x14ac:dyDescent="0.25">
      <c r="A2561" s="1059">
        <v>1917678</v>
      </c>
      <c r="B2561" s="1060" t="s">
        <v>24219</v>
      </c>
      <c r="C2561" s="1059" t="s">
        <v>38</v>
      </c>
      <c r="D2561" s="1061">
        <v>19.09</v>
      </c>
    </row>
    <row r="2562" spans="1:4" ht="18" customHeight="1" x14ac:dyDescent="0.25">
      <c r="A2562" s="1059">
        <v>1917668</v>
      </c>
      <c r="B2562" s="1060" t="s">
        <v>24220</v>
      </c>
      <c r="C2562" s="1059" t="s">
        <v>38</v>
      </c>
      <c r="D2562" s="1061">
        <v>15.82</v>
      </c>
    </row>
    <row r="2563" spans="1:4" ht="18" customHeight="1" x14ac:dyDescent="0.25">
      <c r="A2563" s="1059">
        <v>1917669</v>
      </c>
      <c r="B2563" s="1060" t="s">
        <v>24221</v>
      </c>
      <c r="C2563" s="1059" t="s">
        <v>38</v>
      </c>
      <c r="D2563" s="1061">
        <v>17.45</v>
      </c>
    </row>
    <row r="2564" spans="1:4" ht="18" customHeight="1" x14ac:dyDescent="0.25">
      <c r="A2564" s="1059">
        <v>1917667</v>
      </c>
      <c r="B2564" s="1060" t="s">
        <v>24222</v>
      </c>
      <c r="C2564" s="1059" t="s">
        <v>38</v>
      </c>
      <c r="D2564" s="1061">
        <v>15.57</v>
      </c>
    </row>
    <row r="2565" spans="1:4" ht="18" customHeight="1" x14ac:dyDescent="0.25">
      <c r="A2565" s="1059">
        <v>1917670</v>
      </c>
      <c r="B2565" s="1060" t="s">
        <v>24223</v>
      </c>
      <c r="C2565" s="1059" t="s">
        <v>38</v>
      </c>
      <c r="D2565" s="1061">
        <v>17.670000000000002</v>
      </c>
    </row>
    <row r="2566" spans="1:4" ht="18" customHeight="1" x14ac:dyDescent="0.25">
      <c r="A2566" s="1059">
        <v>1917671</v>
      </c>
      <c r="B2566" s="1060" t="s">
        <v>24224</v>
      </c>
      <c r="C2566" s="1059" t="s">
        <v>38</v>
      </c>
      <c r="D2566" s="1061">
        <v>17.809999999999999</v>
      </c>
    </row>
    <row r="2567" spans="1:4" ht="18" customHeight="1" x14ac:dyDescent="0.25">
      <c r="A2567" s="1059">
        <v>1917679</v>
      </c>
      <c r="B2567" s="1060" t="s">
        <v>24225</v>
      </c>
      <c r="C2567" s="1059" t="s">
        <v>38</v>
      </c>
      <c r="D2567" s="1061">
        <v>19.3</v>
      </c>
    </row>
    <row r="2568" spans="1:4" ht="9" customHeight="1" x14ac:dyDescent="0.25">
      <c r="A2568" s="1059">
        <v>1917640</v>
      </c>
      <c r="B2568" s="1060" t="s">
        <v>24226</v>
      </c>
      <c r="C2568" s="1059" t="s">
        <v>38</v>
      </c>
      <c r="D2568" s="1061">
        <v>8.4700000000000006</v>
      </c>
    </row>
    <row r="2569" spans="1:4" ht="18" customHeight="1" x14ac:dyDescent="0.25">
      <c r="A2569" s="1059">
        <v>1917686</v>
      </c>
      <c r="B2569" s="1060" t="s">
        <v>24227</v>
      </c>
      <c r="C2569" s="1059" t="s">
        <v>38</v>
      </c>
      <c r="D2569" s="1061">
        <v>10.62</v>
      </c>
    </row>
    <row r="2570" spans="1:4" ht="18" customHeight="1" x14ac:dyDescent="0.25">
      <c r="A2570" s="1059">
        <v>1917687</v>
      </c>
      <c r="B2570" s="1060" t="s">
        <v>24228</v>
      </c>
      <c r="C2570" s="1059" t="s">
        <v>38</v>
      </c>
      <c r="D2570" s="1061">
        <v>10.9</v>
      </c>
    </row>
    <row r="2571" spans="1:4" ht="18" customHeight="1" x14ac:dyDescent="0.25">
      <c r="A2571" s="1059">
        <v>1917688</v>
      </c>
      <c r="B2571" s="1060" t="s">
        <v>24229</v>
      </c>
      <c r="C2571" s="1059" t="s">
        <v>38</v>
      </c>
      <c r="D2571" s="1061">
        <v>11.9</v>
      </c>
    </row>
    <row r="2572" spans="1:4" ht="18" customHeight="1" x14ac:dyDescent="0.25">
      <c r="A2572" s="1059">
        <v>1917689</v>
      </c>
      <c r="B2572" s="1060" t="s">
        <v>24230</v>
      </c>
      <c r="C2572" s="1059" t="s">
        <v>38</v>
      </c>
      <c r="D2572" s="1061">
        <v>12.2</v>
      </c>
    </row>
    <row r="2573" spans="1:4" ht="18" customHeight="1" x14ac:dyDescent="0.25">
      <c r="A2573" s="1059">
        <v>1917690</v>
      </c>
      <c r="B2573" s="1060" t="s">
        <v>24231</v>
      </c>
      <c r="C2573" s="1059" t="s">
        <v>38</v>
      </c>
      <c r="D2573" s="1061">
        <v>12.42</v>
      </c>
    </row>
    <row r="2574" spans="1:4" ht="18" customHeight="1" x14ac:dyDescent="0.25">
      <c r="A2574" s="1059">
        <v>1917691</v>
      </c>
      <c r="B2574" s="1060" t="s">
        <v>24232</v>
      </c>
      <c r="C2574" s="1059" t="s">
        <v>38</v>
      </c>
      <c r="D2574" s="1061">
        <v>12.87</v>
      </c>
    </row>
    <row r="2575" spans="1:4" ht="18" customHeight="1" x14ac:dyDescent="0.25">
      <c r="A2575" s="1059">
        <v>1917692</v>
      </c>
      <c r="B2575" s="1060" t="s">
        <v>24233</v>
      </c>
      <c r="C2575" s="1059" t="s">
        <v>38</v>
      </c>
      <c r="D2575" s="1061">
        <v>14.41</v>
      </c>
    </row>
    <row r="2576" spans="1:4" ht="18" customHeight="1" x14ac:dyDescent="0.25">
      <c r="A2576" s="1059">
        <v>1917682</v>
      </c>
      <c r="B2576" s="1060" t="s">
        <v>24234</v>
      </c>
      <c r="C2576" s="1059" t="s">
        <v>38</v>
      </c>
      <c r="D2576" s="1061">
        <v>9.4499999999999993</v>
      </c>
    </row>
    <row r="2577" spans="1:4" ht="18" customHeight="1" x14ac:dyDescent="0.25">
      <c r="A2577" s="1059">
        <v>1917693</v>
      </c>
      <c r="B2577" s="1060" t="s">
        <v>24235</v>
      </c>
      <c r="C2577" s="1059" t="s">
        <v>38</v>
      </c>
      <c r="D2577" s="1061">
        <v>14.78</v>
      </c>
    </row>
    <row r="2578" spans="1:4" ht="18" customHeight="1" x14ac:dyDescent="0.25">
      <c r="A2578" s="1059">
        <v>1917683</v>
      </c>
      <c r="B2578" s="1060" t="s">
        <v>24236</v>
      </c>
      <c r="C2578" s="1059" t="s">
        <v>38</v>
      </c>
      <c r="D2578" s="1061">
        <v>9.7799999999999994</v>
      </c>
    </row>
    <row r="2579" spans="1:4" ht="18" customHeight="1" x14ac:dyDescent="0.25">
      <c r="A2579" s="1059">
        <v>1917681</v>
      </c>
      <c r="B2579" s="1060" t="s">
        <v>24237</v>
      </c>
      <c r="C2579" s="1059" t="s">
        <v>38</v>
      </c>
      <c r="D2579" s="1061">
        <v>8.2200000000000006</v>
      </c>
    </row>
    <row r="2580" spans="1:4" ht="18" customHeight="1" x14ac:dyDescent="0.25">
      <c r="A2580" s="1059">
        <v>1917684</v>
      </c>
      <c r="B2580" s="1060" t="s">
        <v>24238</v>
      </c>
      <c r="C2580" s="1059" t="s">
        <v>38</v>
      </c>
      <c r="D2580" s="1061">
        <v>10.06</v>
      </c>
    </row>
    <row r="2581" spans="1:4" ht="18" customHeight="1" x14ac:dyDescent="0.25">
      <c r="A2581" s="1059">
        <v>1917685</v>
      </c>
      <c r="B2581" s="1060" t="s">
        <v>24239</v>
      </c>
      <c r="C2581" s="1059" t="s">
        <v>38</v>
      </c>
      <c r="D2581" s="1061">
        <v>10.34</v>
      </c>
    </row>
    <row r="2582" spans="1:4" ht="18" customHeight="1" x14ac:dyDescent="0.25">
      <c r="A2582" s="1059">
        <v>1917699</v>
      </c>
      <c r="B2582" s="1060" t="s">
        <v>24240</v>
      </c>
      <c r="C2582" s="1059" t="s">
        <v>38</v>
      </c>
      <c r="D2582" s="1061">
        <v>9.7799999999999994</v>
      </c>
    </row>
    <row r="2583" spans="1:4" ht="18" customHeight="1" x14ac:dyDescent="0.25">
      <c r="A2583" s="1059">
        <v>1917700</v>
      </c>
      <c r="B2583" s="1060" t="s">
        <v>24241</v>
      </c>
      <c r="C2583" s="1059" t="s">
        <v>38</v>
      </c>
      <c r="D2583" s="1061">
        <v>9.9499999999999993</v>
      </c>
    </row>
    <row r="2584" spans="1:4" ht="18" customHeight="1" x14ac:dyDescent="0.25">
      <c r="A2584" s="1059">
        <v>1917701</v>
      </c>
      <c r="B2584" s="1060" t="s">
        <v>24242</v>
      </c>
      <c r="C2584" s="1059" t="s">
        <v>38</v>
      </c>
      <c r="D2584" s="1061">
        <v>10.119999999999999</v>
      </c>
    </row>
    <row r="2585" spans="1:4" ht="18" customHeight="1" x14ac:dyDescent="0.25">
      <c r="A2585" s="1059">
        <v>1917702</v>
      </c>
      <c r="B2585" s="1060" t="s">
        <v>24243</v>
      </c>
      <c r="C2585" s="1059" t="s">
        <v>38</v>
      </c>
      <c r="D2585" s="1061">
        <v>10.28</v>
      </c>
    </row>
    <row r="2586" spans="1:4" ht="18" customHeight="1" x14ac:dyDescent="0.25">
      <c r="A2586" s="1059">
        <v>1917703</v>
      </c>
      <c r="B2586" s="1060" t="s">
        <v>24244</v>
      </c>
      <c r="C2586" s="1059" t="s">
        <v>38</v>
      </c>
      <c r="D2586" s="1061">
        <v>10.45</v>
      </c>
    </row>
    <row r="2587" spans="1:4" ht="18" customHeight="1" x14ac:dyDescent="0.25">
      <c r="A2587" s="1059">
        <v>1917704</v>
      </c>
      <c r="B2587" s="1060" t="s">
        <v>24245</v>
      </c>
      <c r="C2587" s="1059" t="s">
        <v>38</v>
      </c>
      <c r="D2587" s="1061">
        <v>10.73</v>
      </c>
    </row>
    <row r="2588" spans="1:4" ht="18" customHeight="1" x14ac:dyDescent="0.25">
      <c r="A2588" s="1059">
        <v>1917705</v>
      </c>
      <c r="B2588" s="1060" t="s">
        <v>24246</v>
      </c>
      <c r="C2588" s="1059" t="s">
        <v>38</v>
      </c>
      <c r="D2588" s="1061">
        <v>11.98</v>
      </c>
    </row>
    <row r="2589" spans="1:4" ht="18" customHeight="1" x14ac:dyDescent="0.25">
      <c r="A2589" s="1059">
        <v>1917695</v>
      </c>
      <c r="B2589" s="1060" t="s">
        <v>24247</v>
      </c>
      <c r="C2589" s="1059" t="s">
        <v>38</v>
      </c>
      <c r="D2589" s="1061">
        <v>8.2200000000000006</v>
      </c>
    </row>
    <row r="2590" spans="1:4" ht="18" customHeight="1" x14ac:dyDescent="0.25">
      <c r="A2590" s="1059">
        <v>1917706</v>
      </c>
      <c r="B2590" s="1060" t="s">
        <v>24248</v>
      </c>
      <c r="C2590" s="1059" t="s">
        <v>38</v>
      </c>
      <c r="D2590" s="1061">
        <v>12.27</v>
      </c>
    </row>
    <row r="2591" spans="1:4" ht="18" customHeight="1" x14ac:dyDescent="0.25">
      <c r="A2591" s="1059">
        <v>1917696</v>
      </c>
      <c r="B2591" s="1060" t="s">
        <v>24249</v>
      </c>
      <c r="C2591" s="1059" t="s">
        <v>38</v>
      </c>
      <c r="D2591" s="1061">
        <v>9.2200000000000006</v>
      </c>
    </row>
    <row r="2592" spans="1:4" ht="18" customHeight="1" x14ac:dyDescent="0.25">
      <c r="A2592" s="1059">
        <v>1917694</v>
      </c>
      <c r="B2592" s="1060" t="s">
        <v>24250</v>
      </c>
      <c r="C2592" s="1059" t="s">
        <v>38</v>
      </c>
      <c r="D2592" s="1061">
        <v>7.96</v>
      </c>
    </row>
    <row r="2593" spans="1:4" ht="18" customHeight="1" x14ac:dyDescent="0.25">
      <c r="A2593" s="1059">
        <v>1917697</v>
      </c>
      <c r="B2593" s="1060" t="s">
        <v>24251</v>
      </c>
      <c r="C2593" s="1059" t="s">
        <v>38</v>
      </c>
      <c r="D2593" s="1061">
        <v>9.4499999999999993</v>
      </c>
    </row>
    <row r="2594" spans="1:4" ht="18" customHeight="1" x14ac:dyDescent="0.25">
      <c r="A2594" s="1059">
        <v>1917698</v>
      </c>
      <c r="B2594" s="1060" t="s">
        <v>24252</v>
      </c>
      <c r="C2594" s="1059" t="s">
        <v>38</v>
      </c>
      <c r="D2594" s="1061">
        <v>9.61</v>
      </c>
    </row>
    <row r="2595" spans="1:4" ht="18" customHeight="1" x14ac:dyDescent="0.25">
      <c r="A2595" s="1059">
        <v>1917712</v>
      </c>
      <c r="B2595" s="1060" t="s">
        <v>24253</v>
      </c>
      <c r="C2595" s="1059" t="s">
        <v>38</v>
      </c>
      <c r="D2595" s="1061">
        <v>9.5</v>
      </c>
    </row>
    <row r="2596" spans="1:4" ht="18" customHeight="1" x14ac:dyDescent="0.25">
      <c r="A2596" s="1059">
        <v>1917713</v>
      </c>
      <c r="B2596" s="1060" t="s">
        <v>24254</v>
      </c>
      <c r="C2596" s="1059" t="s">
        <v>38</v>
      </c>
      <c r="D2596" s="1061">
        <v>9.67</v>
      </c>
    </row>
    <row r="2597" spans="1:4" ht="18" customHeight="1" x14ac:dyDescent="0.25">
      <c r="A2597" s="1059">
        <v>1917714</v>
      </c>
      <c r="B2597" s="1060" t="s">
        <v>24255</v>
      </c>
      <c r="C2597" s="1059" t="s">
        <v>38</v>
      </c>
      <c r="D2597" s="1061">
        <v>9.7799999999999994</v>
      </c>
    </row>
    <row r="2598" spans="1:4" ht="18" customHeight="1" x14ac:dyDescent="0.25">
      <c r="A2598" s="1059">
        <v>1917715</v>
      </c>
      <c r="B2598" s="1060" t="s">
        <v>24256</v>
      </c>
      <c r="C2598" s="1059" t="s">
        <v>38</v>
      </c>
      <c r="D2598" s="1061">
        <v>9.9499999999999993</v>
      </c>
    </row>
    <row r="2599" spans="1:4" ht="18" customHeight="1" x14ac:dyDescent="0.25">
      <c r="A2599" s="1059">
        <v>1917716</v>
      </c>
      <c r="B2599" s="1060" t="s">
        <v>24257</v>
      </c>
      <c r="C2599" s="1059" t="s">
        <v>38</v>
      </c>
      <c r="D2599" s="1061">
        <v>10.06</v>
      </c>
    </row>
    <row r="2600" spans="1:4" ht="18" customHeight="1" x14ac:dyDescent="0.25">
      <c r="A2600" s="1059">
        <v>1917717</v>
      </c>
      <c r="B2600" s="1060" t="s">
        <v>24258</v>
      </c>
      <c r="C2600" s="1059" t="s">
        <v>38</v>
      </c>
      <c r="D2600" s="1061">
        <v>10.34</v>
      </c>
    </row>
    <row r="2601" spans="1:4" ht="18" customHeight="1" x14ac:dyDescent="0.25">
      <c r="A2601" s="1059">
        <v>1917718</v>
      </c>
      <c r="B2601" s="1060" t="s">
        <v>24259</v>
      </c>
      <c r="C2601" s="1059" t="s">
        <v>38</v>
      </c>
      <c r="D2601" s="1061">
        <v>10.67</v>
      </c>
    </row>
    <row r="2602" spans="1:4" ht="18" customHeight="1" x14ac:dyDescent="0.25">
      <c r="A2602" s="1059">
        <v>1917708</v>
      </c>
      <c r="B2602" s="1060" t="s">
        <v>24260</v>
      </c>
      <c r="C2602" s="1059" t="s">
        <v>38</v>
      </c>
      <c r="D2602" s="1061">
        <v>8.11</v>
      </c>
    </row>
    <row r="2603" spans="1:4" ht="18" customHeight="1" x14ac:dyDescent="0.25">
      <c r="A2603" s="1059">
        <v>1917719</v>
      </c>
      <c r="B2603" s="1060" t="s">
        <v>24261</v>
      </c>
      <c r="C2603" s="1059" t="s">
        <v>38</v>
      </c>
      <c r="D2603" s="1061">
        <v>10.9</v>
      </c>
    </row>
    <row r="2604" spans="1:4" ht="18" customHeight="1" x14ac:dyDescent="0.25">
      <c r="A2604" s="1059">
        <v>1917709</v>
      </c>
      <c r="B2604" s="1060" t="s">
        <v>24262</v>
      </c>
      <c r="C2604" s="1059" t="s">
        <v>38</v>
      </c>
      <c r="D2604" s="1061">
        <v>9.06</v>
      </c>
    </row>
    <row r="2605" spans="1:4" ht="18" customHeight="1" x14ac:dyDescent="0.25">
      <c r="A2605" s="1059">
        <v>1917707</v>
      </c>
      <c r="B2605" s="1060" t="s">
        <v>24263</v>
      </c>
      <c r="C2605" s="1059" t="s">
        <v>38</v>
      </c>
      <c r="D2605" s="1061">
        <v>7.89</v>
      </c>
    </row>
    <row r="2606" spans="1:4" ht="18" customHeight="1" x14ac:dyDescent="0.25">
      <c r="A2606" s="1059">
        <v>1917710</v>
      </c>
      <c r="B2606" s="1060" t="s">
        <v>24264</v>
      </c>
      <c r="C2606" s="1059" t="s">
        <v>38</v>
      </c>
      <c r="D2606" s="1061">
        <v>9.2200000000000006</v>
      </c>
    </row>
    <row r="2607" spans="1:4" ht="18" customHeight="1" x14ac:dyDescent="0.25">
      <c r="A2607" s="1059">
        <v>1917711</v>
      </c>
      <c r="B2607" s="1060" t="s">
        <v>24265</v>
      </c>
      <c r="C2607" s="1059" t="s">
        <v>38</v>
      </c>
      <c r="D2607" s="1061">
        <v>9.39</v>
      </c>
    </row>
    <row r="2608" spans="1:4" ht="9" customHeight="1" x14ac:dyDescent="0.25">
      <c r="A2608" s="1059">
        <v>1917680</v>
      </c>
      <c r="B2608" s="1060" t="s">
        <v>24266</v>
      </c>
      <c r="C2608" s="1059" t="s">
        <v>38</v>
      </c>
      <c r="D2608" s="1061">
        <v>2.98</v>
      </c>
    </row>
    <row r="2609" spans="1:4" ht="18" customHeight="1" x14ac:dyDescent="0.25">
      <c r="A2609" s="1059">
        <v>1901607</v>
      </c>
      <c r="B2609" s="1060" t="s">
        <v>24267</v>
      </c>
      <c r="C2609" s="1059" t="s">
        <v>38</v>
      </c>
      <c r="D2609" s="1061">
        <v>15.19</v>
      </c>
    </row>
    <row r="2610" spans="1:4" ht="18" customHeight="1" x14ac:dyDescent="0.25">
      <c r="A2610" s="1059">
        <v>1901611</v>
      </c>
      <c r="B2610" s="1060" t="s">
        <v>24268</v>
      </c>
      <c r="C2610" s="1059" t="s">
        <v>38</v>
      </c>
      <c r="D2610" s="1061">
        <v>18.93</v>
      </c>
    </row>
    <row r="2611" spans="1:4" ht="18" customHeight="1" x14ac:dyDescent="0.25">
      <c r="A2611" s="1059">
        <v>1901612</v>
      </c>
      <c r="B2611" s="1060" t="s">
        <v>24269</v>
      </c>
      <c r="C2611" s="1059" t="s">
        <v>38</v>
      </c>
      <c r="D2611" s="1061">
        <v>19.39</v>
      </c>
    </row>
    <row r="2612" spans="1:4" ht="18" customHeight="1" x14ac:dyDescent="0.25">
      <c r="A2612" s="1059">
        <v>1901613</v>
      </c>
      <c r="B2612" s="1060" t="s">
        <v>24270</v>
      </c>
      <c r="C2612" s="1059" t="s">
        <v>38</v>
      </c>
      <c r="D2612" s="1061">
        <v>19.73</v>
      </c>
    </row>
    <row r="2613" spans="1:4" ht="18" customHeight="1" x14ac:dyDescent="0.25">
      <c r="A2613" s="1059">
        <v>1901614</v>
      </c>
      <c r="B2613" s="1060" t="s">
        <v>24271</v>
      </c>
      <c r="C2613" s="1059" t="s">
        <v>38</v>
      </c>
      <c r="D2613" s="1061">
        <v>20.079999999999998</v>
      </c>
    </row>
    <row r="2614" spans="1:4" ht="18" customHeight="1" x14ac:dyDescent="0.25">
      <c r="A2614" s="1059">
        <v>1901615</v>
      </c>
      <c r="B2614" s="1060" t="s">
        <v>24272</v>
      </c>
      <c r="C2614" s="1059" t="s">
        <v>38</v>
      </c>
      <c r="D2614" s="1061">
        <v>20.54</v>
      </c>
    </row>
    <row r="2615" spans="1:4" ht="18" customHeight="1" x14ac:dyDescent="0.25">
      <c r="A2615" s="1059">
        <v>1901616</v>
      </c>
      <c r="B2615" s="1060" t="s">
        <v>24273</v>
      </c>
      <c r="C2615" s="1059" t="s">
        <v>38</v>
      </c>
      <c r="D2615" s="1061">
        <v>20.88</v>
      </c>
    </row>
    <row r="2616" spans="1:4" ht="18" customHeight="1" x14ac:dyDescent="0.25">
      <c r="A2616" s="1059">
        <v>1901608</v>
      </c>
      <c r="B2616" s="1060" t="s">
        <v>24274</v>
      </c>
      <c r="C2616" s="1059" t="s">
        <v>38</v>
      </c>
      <c r="D2616" s="1061">
        <v>15.72</v>
      </c>
    </row>
    <row r="2617" spans="1:4" ht="18" customHeight="1" x14ac:dyDescent="0.25">
      <c r="A2617" s="1059">
        <v>1901609</v>
      </c>
      <c r="B2617" s="1060" t="s">
        <v>24275</v>
      </c>
      <c r="C2617" s="1059" t="s">
        <v>38</v>
      </c>
      <c r="D2617" s="1061">
        <v>16.18</v>
      </c>
    </row>
    <row r="2618" spans="1:4" ht="18" customHeight="1" x14ac:dyDescent="0.25">
      <c r="A2618" s="1059">
        <v>1901610</v>
      </c>
      <c r="B2618" s="1060" t="s">
        <v>24276</v>
      </c>
      <c r="C2618" s="1059" t="s">
        <v>38</v>
      </c>
      <c r="D2618" s="1061">
        <v>18.579999999999998</v>
      </c>
    </row>
    <row r="2619" spans="1:4" ht="18" customHeight="1" x14ac:dyDescent="0.25">
      <c r="A2619" s="1059">
        <v>1901617</v>
      </c>
      <c r="B2619" s="1060" t="s">
        <v>24277</v>
      </c>
      <c r="C2619" s="1059" t="s">
        <v>38</v>
      </c>
      <c r="D2619" s="1061">
        <v>21.11</v>
      </c>
    </row>
    <row r="2620" spans="1:4" ht="9" customHeight="1" x14ac:dyDescent="0.25">
      <c r="A2620" s="1059">
        <v>1917037</v>
      </c>
      <c r="B2620" s="1060" t="s">
        <v>24278</v>
      </c>
      <c r="C2620" s="1059" t="s">
        <v>38</v>
      </c>
      <c r="D2620" s="1061">
        <v>18.29</v>
      </c>
    </row>
    <row r="2621" spans="1:4" ht="9" customHeight="1" x14ac:dyDescent="0.25">
      <c r="A2621" s="1059">
        <v>1917038</v>
      </c>
      <c r="B2621" s="1060" t="s">
        <v>24279</v>
      </c>
      <c r="C2621" s="1059" t="s">
        <v>38</v>
      </c>
      <c r="D2621" s="1061">
        <v>18.899999999999999</v>
      </c>
    </row>
    <row r="2622" spans="1:4" ht="9" customHeight="1" x14ac:dyDescent="0.25">
      <c r="A2622" s="1059">
        <v>1917039</v>
      </c>
      <c r="B2622" s="1060" t="s">
        <v>24280</v>
      </c>
      <c r="C2622" s="1059" t="s">
        <v>38</v>
      </c>
      <c r="D2622" s="1061">
        <v>19.54</v>
      </c>
    </row>
    <row r="2623" spans="1:4" ht="9" customHeight="1" x14ac:dyDescent="0.25">
      <c r="A2623" s="1059">
        <v>1917040</v>
      </c>
      <c r="B2623" s="1060" t="s">
        <v>24281</v>
      </c>
      <c r="C2623" s="1059" t="s">
        <v>38</v>
      </c>
      <c r="D2623" s="1061">
        <v>20.2</v>
      </c>
    </row>
    <row r="2624" spans="1:4" ht="9" customHeight="1" x14ac:dyDescent="0.25">
      <c r="A2624" s="1059">
        <v>1917041</v>
      </c>
      <c r="B2624" s="1060" t="s">
        <v>24282</v>
      </c>
      <c r="C2624" s="1059" t="s">
        <v>38</v>
      </c>
      <c r="D2624" s="1061">
        <v>20.9</v>
      </c>
    </row>
    <row r="2625" spans="1:4" ht="9" customHeight="1" x14ac:dyDescent="0.25">
      <c r="A2625" s="1059">
        <v>1917042</v>
      </c>
      <c r="B2625" s="1060" t="s">
        <v>24283</v>
      </c>
      <c r="C2625" s="1059" t="s">
        <v>38</v>
      </c>
      <c r="D2625" s="1061">
        <v>21.27</v>
      </c>
    </row>
    <row r="2626" spans="1:4" ht="9" customHeight="1" x14ac:dyDescent="0.25">
      <c r="A2626" s="1059">
        <v>1901619</v>
      </c>
      <c r="B2626" s="1060" t="s">
        <v>24284</v>
      </c>
      <c r="C2626" s="1059" t="s">
        <v>38</v>
      </c>
      <c r="D2626" s="1061">
        <v>10.17</v>
      </c>
    </row>
    <row r="2627" spans="1:4" ht="9" customHeight="1" x14ac:dyDescent="0.25">
      <c r="A2627" s="1059">
        <v>1901620</v>
      </c>
      <c r="B2627" s="1060" t="s">
        <v>24285</v>
      </c>
      <c r="C2627" s="1059" t="s">
        <v>38</v>
      </c>
      <c r="D2627" s="1061">
        <v>10.35</v>
      </c>
    </row>
    <row r="2628" spans="1:4" ht="9" customHeight="1" x14ac:dyDescent="0.25">
      <c r="A2628" s="1059">
        <v>1901621</v>
      </c>
      <c r="B2628" s="1060" t="s">
        <v>24286</v>
      </c>
      <c r="C2628" s="1059" t="s">
        <v>38</v>
      </c>
      <c r="D2628" s="1061">
        <v>10.54</v>
      </c>
    </row>
    <row r="2629" spans="1:4" ht="9" customHeight="1" x14ac:dyDescent="0.25">
      <c r="A2629" s="1059">
        <v>1901622</v>
      </c>
      <c r="B2629" s="1060" t="s">
        <v>24287</v>
      </c>
      <c r="C2629" s="1059" t="s">
        <v>38</v>
      </c>
      <c r="D2629" s="1061">
        <v>10.74</v>
      </c>
    </row>
    <row r="2630" spans="1:4" ht="9" customHeight="1" x14ac:dyDescent="0.25">
      <c r="A2630" s="1059">
        <v>1901623</v>
      </c>
      <c r="B2630" s="1060" t="s">
        <v>24288</v>
      </c>
      <c r="C2630" s="1059" t="s">
        <v>38</v>
      </c>
      <c r="D2630" s="1061">
        <v>10.95</v>
      </c>
    </row>
    <row r="2631" spans="1:4" ht="9" customHeight="1" x14ac:dyDescent="0.25">
      <c r="A2631" s="1059">
        <v>1901618</v>
      </c>
      <c r="B2631" s="1060" t="s">
        <v>24289</v>
      </c>
      <c r="C2631" s="1059" t="s">
        <v>38</v>
      </c>
      <c r="D2631" s="1061">
        <v>11.06</v>
      </c>
    </row>
    <row r="2632" spans="1:4" ht="9" customHeight="1" x14ac:dyDescent="0.25">
      <c r="A2632" s="1059">
        <v>1901625</v>
      </c>
      <c r="B2632" s="1060" t="s">
        <v>24290</v>
      </c>
      <c r="C2632" s="1059" t="s">
        <v>38</v>
      </c>
      <c r="D2632" s="1061">
        <v>12.22</v>
      </c>
    </row>
    <row r="2633" spans="1:4" ht="9" customHeight="1" x14ac:dyDescent="0.25">
      <c r="A2633" s="1059">
        <v>1901626</v>
      </c>
      <c r="B2633" s="1060" t="s">
        <v>24291</v>
      </c>
      <c r="C2633" s="1059" t="s">
        <v>38</v>
      </c>
      <c r="D2633" s="1061">
        <v>12.39</v>
      </c>
    </row>
    <row r="2634" spans="1:4" ht="9" customHeight="1" x14ac:dyDescent="0.25">
      <c r="A2634" s="1059">
        <v>1901627</v>
      </c>
      <c r="B2634" s="1060" t="s">
        <v>24292</v>
      </c>
      <c r="C2634" s="1059" t="s">
        <v>38</v>
      </c>
      <c r="D2634" s="1061">
        <v>12.57</v>
      </c>
    </row>
    <row r="2635" spans="1:4" ht="9" customHeight="1" x14ac:dyDescent="0.25">
      <c r="A2635" s="1059">
        <v>1901628</v>
      </c>
      <c r="B2635" s="1060" t="s">
        <v>24293</v>
      </c>
      <c r="C2635" s="1059" t="s">
        <v>38</v>
      </c>
      <c r="D2635" s="1061">
        <v>12.76</v>
      </c>
    </row>
    <row r="2636" spans="1:4" ht="9" customHeight="1" x14ac:dyDescent="0.25">
      <c r="A2636" s="1059">
        <v>1901629</v>
      </c>
      <c r="B2636" s="1060" t="s">
        <v>24294</v>
      </c>
      <c r="C2636" s="1059" t="s">
        <v>38</v>
      </c>
      <c r="D2636" s="1061">
        <v>12.96</v>
      </c>
    </row>
    <row r="2637" spans="1:4" ht="9" customHeight="1" x14ac:dyDescent="0.25">
      <c r="A2637" s="1059">
        <v>1901624</v>
      </c>
      <c r="B2637" s="1060" t="s">
        <v>24295</v>
      </c>
      <c r="C2637" s="1059" t="s">
        <v>38</v>
      </c>
      <c r="D2637" s="1061">
        <v>13.07</v>
      </c>
    </row>
    <row r="2638" spans="1:4" ht="9" customHeight="1" x14ac:dyDescent="0.25">
      <c r="A2638" s="1059">
        <v>1917073</v>
      </c>
      <c r="B2638" s="1060" t="s">
        <v>24296</v>
      </c>
      <c r="C2638" s="1059" t="s">
        <v>38</v>
      </c>
      <c r="D2638" s="1061">
        <v>14.48</v>
      </c>
    </row>
    <row r="2639" spans="1:4" ht="9" customHeight="1" x14ac:dyDescent="0.25">
      <c r="A2639" s="1059">
        <v>1917074</v>
      </c>
      <c r="B2639" s="1060" t="s">
        <v>24297</v>
      </c>
      <c r="C2639" s="1059" t="s">
        <v>38</v>
      </c>
      <c r="D2639" s="1061">
        <v>14.86</v>
      </c>
    </row>
    <row r="2640" spans="1:4" ht="9" customHeight="1" x14ac:dyDescent="0.25">
      <c r="A2640" s="1059">
        <v>1917075</v>
      </c>
      <c r="B2640" s="1060" t="s">
        <v>24298</v>
      </c>
      <c r="C2640" s="1059" t="s">
        <v>38</v>
      </c>
      <c r="D2640" s="1061">
        <v>15.26</v>
      </c>
    </row>
    <row r="2641" spans="1:4" ht="9" customHeight="1" x14ac:dyDescent="0.25">
      <c r="A2641" s="1059">
        <v>1917076</v>
      </c>
      <c r="B2641" s="1060" t="s">
        <v>24299</v>
      </c>
      <c r="C2641" s="1059" t="s">
        <v>38</v>
      </c>
      <c r="D2641" s="1061">
        <v>15.67</v>
      </c>
    </row>
    <row r="2642" spans="1:4" ht="9" customHeight="1" x14ac:dyDescent="0.25">
      <c r="A2642" s="1059">
        <v>1917077</v>
      </c>
      <c r="B2642" s="1060" t="s">
        <v>24300</v>
      </c>
      <c r="C2642" s="1059" t="s">
        <v>38</v>
      </c>
      <c r="D2642" s="1061">
        <v>16.12</v>
      </c>
    </row>
    <row r="2643" spans="1:4" ht="9" customHeight="1" x14ac:dyDescent="0.25">
      <c r="A2643" s="1059">
        <v>1917078</v>
      </c>
      <c r="B2643" s="1060" t="s">
        <v>24301</v>
      </c>
      <c r="C2643" s="1059" t="s">
        <v>38</v>
      </c>
      <c r="D2643" s="1061">
        <v>16.350000000000001</v>
      </c>
    </row>
    <row r="2644" spans="1:4" ht="9" customHeight="1" x14ac:dyDescent="0.25">
      <c r="A2644" s="1059">
        <v>1901631</v>
      </c>
      <c r="B2644" s="1060" t="s">
        <v>24302</v>
      </c>
      <c r="C2644" s="1059" t="s">
        <v>38</v>
      </c>
      <c r="D2644" s="1061">
        <v>14.42</v>
      </c>
    </row>
    <row r="2645" spans="1:4" ht="9" customHeight="1" x14ac:dyDescent="0.25">
      <c r="A2645" s="1059">
        <v>1901632</v>
      </c>
      <c r="B2645" s="1060" t="s">
        <v>24303</v>
      </c>
      <c r="C2645" s="1059" t="s">
        <v>38</v>
      </c>
      <c r="D2645" s="1061">
        <v>14.59</v>
      </c>
    </row>
    <row r="2646" spans="1:4" ht="9" customHeight="1" x14ac:dyDescent="0.25">
      <c r="A2646" s="1059">
        <v>1901633</v>
      </c>
      <c r="B2646" s="1060" t="s">
        <v>24304</v>
      </c>
      <c r="C2646" s="1059" t="s">
        <v>38</v>
      </c>
      <c r="D2646" s="1061">
        <v>14.76</v>
      </c>
    </row>
    <row r="2647" spans="1:4" ht="9" customHeight="1" x14ac:dyDescent="0.25">
      <c r="A2647" s="1059">
        <v>1901634</v>
      </c>
      <c r="B2647" s="1060" t="s">
        <v>24305</v>
      </c>
      <c r="C2647" s="1059" t="s">
        <v>38</v>
      </c>
      <c r="D2647" s="1061">
        <v>14.95</v>
      </c>
    </row>
    <row r="2648" spans="1:4" ht="9" customHeight="1" x14ac:dyDescent="0.25">
      <c r="A2648" s="1059">
        <v>1901635</v>
      </c>
      <c r="B2648" s="1060" t="s">
        <v>24306</v>
      </c>
      <c r="C2648" s="1059" t="s">
        <v>38</v>
      </c>
      <c r="D2648" s="1061">
        <v>15.14</v>
      </c>
    </row>
    <row r="2649" spans="1:4" ht="9" customHeight="1" x14ac:dyDescent="0.25">
      <c r="A2649" s="1059">
        <v>1901630</v>
      </c>
      <c r="B2649" s="1060" t="s">
        <v>24307</v>
      </c>
      <c r="C2649" s="1059" t="s">
        <v>38</v>
      </c>
      <c r="D2649" s="1061">
        <v>15.25</v>
      </c>
    </row>
    <row r="2650" spans="1:4" ht="9" customHeight="1" x14ac:dyDescent="0.25">
      <c r="A2650" s="1059">
        <v>1917109</v>
      </c>
      <c r="B2650" s="1060" t="s">
        <v>24308</v>
      </c>
      <c r="C2650" s="1059" t="s">
        <v>38</v>
      </c>
      <c r="D2650" s="1061">
        <v>13.15</v>
      </c>
    </row>
    <row r="2651" spans="1:4" ht="9" customHeight="1" x14ac:dyDescent="0.25">
      <c r="A2651" s="1059">
        <v>1917110</v>
      </c>
      <c r="B2651" s="1060" t="s">
        <v>24309</v>
      </c>
      <c r="C2651" s="1059" t="s">
        <v>38</v>
      </c>
      <c r="D2651" s="1061">
        <v>13.46</v>
      </c>
    </row>
    <row r="2652" spans="1:4" ht="9" customHeight="1" x14ac:dyDescent="0.25">
      <c r="A2652" s="1059">
        <v>1917111</v>
      </c>
      <c r="B2652" s="1060" t="s">
        <v>24310</v>
      </c>
      <c r="C2652" s="1059" t="s">
        <v>38</v>
      </c>
      <c r="D2652" s="1061">
        <v>13.78</v>
      </c>
    </row>
    <row r="2653" spans="1:4" ht="9" customHeight="1" x14ac:dyDescent="0.25">
      <c r="A2653" s="1059">
        <v>1917112</v>
      </c>
      <c r="B2653" s="1060" t="s">
        <v>24311</v>
      </c>
      <c r="C2653" s="1059" t="s">
        <v>38</v>
      </c>
      <c r="D2653" s="1061">
        <v>14.12</v>
      </c>
    </row>
    <row r="2654" spans="1:4" ht="9" customHeight="1" x14ac:dyDescent="0.25">
      <c r="A2654" s="1059">
        <v>1917113</v>
      </c>
      <c r="B2654" s="1060" t="s">
        <v>24312</v>
      </c>
      <c r="C2654" s="1059" t="s">
        <v>38</v>
      </c>
      <c r="D2654" s="1061">
        <v>14.48</v>
      </c>
    </row>
    <row r="2655" spans="1:4" ht="9" customHeight="1" x14ac:dyDescent="0.25">
      <c r="A2655" s="1059">
        <v>1917114</v>
      </c>
      <c r="B2655" s="1060" t="s">
        <v>24313</v>
      </c>
      <c r="C2655" s="1059" t="s">
        <v>38</v>
      </c>
      <c r="D2655" s="1061">
        <v>14.68</v>
      </c>
    </row>
    <row r="2656" spans="1:4" ht="9" customHeight="1" x14ac:dyDescent="0.25">
      <c r="A2656" s="1059">
        <v>1917145</v>
      </c>
      <c r="B2656" s="1060" t="s">
        <v>24314</v>
      </c>
      <c r="C2656" s="1059" t="s">
        <v>38</v>
      </c>
      <c r="D2656" s="1061">
        <v>12.17</v>
      </c>
    </row>
    <row r="2657" spans="1:4" ht="9" customHeight="1" x14ac:dyDescent="0.25">
      <c r="A2657" s="1059">
        <v>1917146</v>
      </c>
      <c r="B2657" s="1060" t="s">
        <v>24315</v>
      </c>
      <c r="C2657" s="1059" t="s">
        <v>38</v>
      </c>
      <c r="D2657" s="1061">
        <v>12.45</v>
      </c>
    </row>
    <row r="2658" spans="1:4" ht="9" customHeight="1" x14ac:dyDescent="0.25">
      <c r="A2658" s="1059">
        <v>1917147</v>
      </c>
      <c r="B2658" s="1060" t="s">
        <v>24316</v>
      </c>
      <c r="C2658" s="1059" t="s">
        <v>38</v>
      </c>
      <c r="D2658" s="1061">
        <v>12.73</v>
      </c>
    </row>
    <row r="2659" spans="1:4" ht="9" customHeight="1" x14ac:dyDescent="0.25">
      <c r="A2659" s="1059">
        <v>1917148</v>
      </c>
      <c r="B2659" s="1060" t="s">
        <v>24317</v>
      </c>
      <c r="C2659" s="1059" t="s">
        <v>38</v>
      </c>
      <c r="D2659" s="1061">
        <v>13.03</v>
      </c>
    </row>
    <row r="2660" spans="1:4" ht="9" customHeight="1" x14ac:dyDescent="0.25">
      <c r="A2660" s="1059">
        <v>1917149</v>
      </c>
      <c r="B2660" s="1060" t="s">
        <v>24318</v>
      </c>
      <c r="C2660" s="1059" t="s">
        <v>38</v>
      </c>
      <c r="D2660" s="1061">
        <v>13.35</v>
      </c>
    </row>
    <row r="2661" spans="1:4" ht="9" customHeight="1" x14ac:dyDescent="0.25">
      <c r="A2661" s="1059">
        <v>1917150</v>
      </c>
      <c r="B2661" s="1060" t="s">
        <v>24319</v>
      </c>
      <c r="C2661" s="1059" t="s">
        <v>38</v>
      </c>
      <c r="D2661" s="1061">
        <v>13.52</v>
      </c>
    </row>
    <row r="2662" spans="1:4" ht="9" customHeight="1" x14ac:dyDescent="0.25">
      <c r="A2662" s="1059">
        <v>1917181</v>
      </c>
      <c r="B2662" s="1060" t="s">
        <v>24320</v>
      </c>
      <c r="C2662" s="1059" t="s">
        <v>38</v>
      </c>
      <c r="D2662" s="1061">
        <v>11.33</v>
      </c>
    </row>
    <row r="2663" spans="1:4" ht="9" customHeight="1" x14ac:dyDescent="0.25">
      <c r="A2663" s="1059">
        <v>1917182</v>
      </c>
      <c r="B2663" s="1060" t="s">
        <v>24321</v>
      </c>
      <c r="C2663" s="1059" t="s">
        <v>38</v>
      </c>
      <c r="D2663" s="1061">
        <v>11.58</v>
      </c>
    </row>
    <row r="2664" spans="1:4" ht="9" customHeight="1" x14ac:dyDescent="0.25">
      <c r="A2664" s="1059">
        <v>1917183</v>
      </c>
      <c r="B2664" s="1060" t="s">
        <v>24322</v>
      </c>
      <c r="C2664" s="1059" t="s">
        <v>38</v>
      </c>
      <c r="D2664" s="1061">
        <v>11.84</v>
      </c>
    </row>
    <row r="2665" spans="1:4" ht="9" customHeight="1" x14ac:dyDescent="0.25">
      <c r="A2665" s="1059">
        <v>1917184</v>
      </c>
      <c r="B2665" s="1060" t="s">
        <v>24323</v>
      </c>
      <c r="C2665" s="1059" t="s">
        <v>38</v>
      </c>
      <c r="D2665" s="1061">
        <v>12.1</v>
      </c>
    </row>
    <row r="2666" spans="1:4" ht="9" customHeight="1" x14ac:dyDescent="0.25">
      <c r="A2666" s="1059">
        <v>1917185</v>
      </c>
      <c r="B2666" s="1060" t="s">
        <v>24324</v>
      </c>
      <c r="C2666" s="1059" t="s">
        <v>38</v>
      </c>
      <c r="D2666" s="1061">
        <v>12.39</v>
      </c>
    </row>
    <row r="2667" spans="1:4" ht="9" customHeight="1" x14ac:dyDescent="0.25">
      <c r="A2667" s="1059">
        <v>1917186</v>
      </c>
      <c r="B2667" s="1060" t="s">
        <v>24325</v>
      </c>
      <c r="C2667" s="1059" t="s">
        <v>38</v>
      </c>
      <c r="D2667" s="1061">
        <v>12.54</v>
      </c>
    </row>
    <row r="2668" spans="1:4" ht="9" customHeight="1" x14ac:dyDescent="0.25">
      <c r="A2668" s="1059">
        <v>1917001</v>
      </c>
      <c r="B2668" s="1060" t="s">
        <v>24326</v>
      </c>
      <c r="C2668" s="1059" t="s">
        <v>38</v>
      </c>
      <c r="D2668" s="1061">
        <v>24.17</v>
      </c>
    </row>
    <row r="2669" spans="1:4" ht="9" customHeight="1" x14ac:dyDescent="0.25">
      <c r="A2669" s="1059">
        <v>1917002</v>
      </c>
      <c r="B2669" s="1060" t="s">
        <v>24327</v>
      </c>
      <c r="C2669" s="1059" t="s">
        <v>38</v>
      </c>
      <c r="D2669" s="1061">
        <v>25.05</v>
      </c>
    </row>
    <row r="2670" spans="1:4" ht="9" customHeight="1" x14ac:dyDescent="0.25">
      <c r="A2670" s="1059">
        <v>1917003</v>
      </c>
      <c r="B2670" s="1060" t="s">
        <v>24328</v>
      </c>
      <c r="C2670" s="1059" t="s">
        <v>38</v>
      </c>
      <c r="D2670" s="1061">
        <v>25.95</v>
      </c>
    </row>
    <row r="2671" spans="1:4" ht="9" customHeight="1" x14ac:dyDescent="0.25">
      <c r="A2671" s="1059">
        <v>1917004</v>
      </c>
      <c r="B2671" s="1060" t="s">
        <v>24329</v>
      </c>
      <c r="C2671" s="1059" t="s">
        <v>38</v>
      </c>
      <c r="D2671" s="1061">
        <v>26.9</v>
      </c>
    </row>
    <row r="2672" spans="1:4" ht="9" customHeight="1" x14ac:dyDescent="0.25">
      <c r="A2672" s="1059">
        <v>1917005</v>
      </c>
      <c r="B2672" s="1060" t="s">
        <v>24330</v>
      </c>
      <c r="C2672" s="1059" t="s">
        <v>38</v>
      </c>
      <c r="D2672" s="1061">
        <v>27.9</v>
      </c>
    </row>
    <row r="2673" spans="1:4" ht="9" customHeight="1" x14ac:dyDescent="0.25">
      <c r="A2673" s="1059">
        <v>1917006</v>
      </c>
      <c r="B2673" s="1060" t="s">
        <v>24331</v>
      </c>
      <c r="C2673" s="1059" t="s">
        <v>38</v>
      </c>
      <c r="D2673" s="1061">
        <v>28.43</v>
      </c>
    </row>
    <row r="2674" spans="1:4" ht="9" customHeight="1" x14ac:dyDescent="0.25">
      <c r="A2674" s="1059">
        <v>2009619</v>
      </c>
      <c r="B2674" s="1060" t="s">
        <v>24332</v>
      </c>
      <c r="C2674" s="1059" t="s">
        <v>39</v>
      </c>
      <c r="D2674" s="1061">
        <v>110.55</v>
      </c>
    </row>
    <row r="2675" spans="1:4" ht="9" customHeight="1" x14ac:dyDescent="0.25">
      <c r="A2675" s="1059">
        <v>2009618</v>
      </c>
      <c r="B2675" s="1060" t="s">
        <v>24333</v>
      </c>
      <c r="C2675" s="1059" t="s">
        <v>39</v>
      </c>
      <c r="D2675" s="1061">
        <v>108.57</v>
      </c>
    </row>
    <row r="2676" spans="1:4" ht="9" customHeight="1" x14ac:dyDescent="0.25">
      <c r="A2676" s="1059">
        <v>2003866</v>
      </c>
      <c r="B2676" s="1060" t="s">
        <v>24334</v>
      </c>
      <c r="C2676" s="1059" t="s">
        <v>39</v>
      </c>
      <c r="D2676" s="1061">
        <v>8.06</v>
      </c>
    </row>
    <row r="2677" spans="1:4" ht="9" customHeight="1" x14ac:dyDescent="0.25">
      <c r="A2677" s="1059">
        <v>2003867</v>
      </c>
      <c r="B2677" s="1060" t="s">
        <v>24335</v>
      </c>
      <c r="C2677" s="1059" t="s">
        <v>39</v>
      </c>
      <c r="D2677" s="1061">
        <v>17.78</v>
      </c>
    </row>
    <row r="2678" spans="1:4" ht="9" customHeight="1" x14ac:dyDescent="0.25">
      <c r="A2678" s="1059">
        <v>2003622</v>
      </c>
      <c r="B2678" s="1060" t="s">
        <v>24336</v>
      </c>
      <c r="C2678" s="1059" t="s">
        <v>3</v>
      </c>
      <c r="D2678" s="1061">
        <v>2279.23</v>
      </c>
    </row>
    <row r="2679" spans="1:4" ht="9" customHeight="1" x14ac:dyDescent="0.25">
      <c r="A2679" s="1059">
        <v>2003621</v>
      </c>
      <c r="B2679" s="1060" t="s">
        <v>24337</v>
      </c>
      <c r="C2679" s="1059" t="s">
        <v>3</v>
      </c>
      <c r="D2679" s="1061">
        <v>2177.96</v>
      </c>
    </row>
    <row r="2680" spans="1:4" ht="9" customHeight="1" x14ac:dyDescent="0.25">
      <c r="A2680" s="1059">
        <v>2003624</v>
      </c>
      <c r="B2680" s="1060" t="s">
        <v>24338</v>
      </c>
      <c r="C2680" s="1059" t="s">
        <v>3</v>
      </c>
      <c r="D2680" s="1061">
        <v>2642.27</v>
      </c>
    </row>
    <row r="2681" spans="1:4" ht="9" customHeight="1" x14ac:dyDescent="0.25">
      <c r="A2681" s="1059">
        <v>2003623</v>
      </c>
      <c r="B2681" s="1060" t="s">
        <v>24339</v>
      </c>
      <c r="C2681" s="1059" t="s">
        <v>3</v>
      </c>
      <c r="D2681" s="1061">
        <v>2528.58</v>
      </c>
    </row>
    <row r="2682" spans="1:4" ht="9" customHeight="1" x14ac:dyDescent="0.25">
      <c r="A2682" s="1059">
        <v>2003634</v>
      </c>
      <c r="B2682" s="1060" t="s">
        <v>24340</v>
      </c>
      <c r="C2682" s="1059" t="s">
        <v>3</v>
      </c>
      <c r="D2682" s="1061">
        <v>1666.01</v>
      </c>
    </row>
    <row r="2683" spans="1:4" ht="9" customHeight="1" x14ac:dyDescent="0.25">
      <c r="A2683" s="1059">
        <v>2003633</v>
      </c>
      <c r="B2683" s="1060" t="s">
        <v>24341</v>
      </c>
      <c r="C2683" s="1059" t="s">
        <v>3</v>
      </c>
      <c r="D2683" s="1061">
        <v>1564.74</v>
      </c>
    </row>
    <row r="2684" spans="1:4" ht="9" customHeight="1" x14ac:dyDescent="0.25">
      <c r="A2684" s="1059">
        <v>2003636</v>
      </c>
      <c r="B2684" s="1060" t="s">
        <v>24342</v>
      </c>
      <c r="C2684" s="1059" t="s">
        <v>3</v>
      </c>
      <c r="D2684" s="1061">
        <v>2029.06</v>
      </c>
    </row>
    <row r="2685" spans="1:4" ht="9" customHeight="1" x14ac:dyDescent="0.25">
      <c r="A2685" s="1059">
        <v>2003635</v>
      </c>
      <c r="B2685" s="1060" t="s">
        <v>24343</v>
      </c>
      <c r="C2685" s="1059" t="s">
        <v>3</v>
      </c>
      <c r="D2685" s="1061">
        <v>1915.36</v>
      </c>
    </row>
    <row r="2686" spans="1:4" ht="9" customHeight="1" x14ac:dyDescent="0.25">
      <c r="A2686" s="1059">
        <v>2003638</v>
      </c>
      <c r="B2686" s="1060" t="s">
        <v>24344</v>
      </c>
      <c r="C2686" s="1059" t="s">
        <v>3</v>
      </c>
      <c r="D2686" s="1061">
        <v>2397.0500000000002</v>
      </c>
    </row>
    <row r="2687" spans="1:4" ht="9" customHeight="1" x14ac:dyDescent="0.25">
      <c r="A2687" s="1059">
        <v>2003637</v>
      </c>
      <c r="B2687" s="1060" t="s">
        <v>24345</v>
      </c>
      <c r="C2687" s="1059" t="s">
        <v>3</v>
      </c>
      <c r="D2687" s="1061">
        <v>2269.66</v>
      </c>
    </row>
    <row r="2688" spans="1:4" ht="9" customHeight="1" x14ac:dyDescent="0.25">
      <c r="A2688" s="1059">
        <v>2003640</v>
      </c>
      <c r="B2688" s="1060" t="s">
        <v>24346</v>
      </c>
      <c r="C2688" s="1059" t="s">
        <v>3</v>
      </c>
      <c r="D2688" s="1061">
        <v>2760.09</v>
      </c>
    </row>
    <row r="2689" spans="1:4" ht="9" customHeight="1" x14ac:dyDescent="0.25">
      <c r="A2689" s="1059">
        <v>2003639</v>
      </c>
      <c r="B2689" s="1060" t="s">
        <v>24347</v>
      </c>
      <c r="C2689" s="1059" t="s">
        <v>3</v>
      </c>
      <c r="D2689" s="1061">
        <v>2620.2800000000002</v>
      </c>
    </row>
    <row r="2690" spans="1:4" ht="9" customHeight="1" x14ac:dyDescent="0.25">
      <c r="A2690" s="1059">
        <v>2003618</v>
      </c>
      <c r="B2690" s="1060" t="s">
        <v>24348</v>
      </c>
      <c r="C2690" s="1059" t="s">
        <v>3</v>
      </c>
      <c r="D2690" s="1061">
        <v>918.84</v>
      </c>
    </row>
    <row r="2691" spans="1:4" ht="9" customHeight="1" x14ac:dyDescent="0.25">
      <c r="A2691" s="1059">
        <v>2003617</v>
      </c>
      <c r="B2691" s="1060" t="s">
        <v>24349</v>
      </c>
      <c r="C2691" s="1059" t="s">
        <v>3</v>
      </c>
      <c r="D2691" s="1061">
        <v>863.06</v>
      </c>
    </row>
    <row r="2692" spans="1:4" ht="9" customHeight="1" x14ac:dyDescent="0.25">
      <c r="A2692" s="1059">
        <v>2003620</v>
      </c>
      <c r="B2692" s="1060" t="s">
        <v>24350</v>
      </c>
      <c r="C2692" s="1059" t="s">
        <v>3</v>
      </c>
      <c r="D2692" s="1061">
        <v>1140.43</v>
      </c>
    </row>
    <row r="2693" spans="1:4" ht="9" customHeight="1" x14ac:dyDescent="0.25">
      <c r="A2693" s="1059">
        <v>2003619</v>
      </c>
      <c r="B2693" s="1060" t="s">
        <v>24351</v>
      </c>
      <c r="C2693" s="1059" t="s">
        <v>3</v>
      </c>
      <c r="D2693" s="1061">
        <v>1077.1199999999999</v>
      </c>
    </row>
    <row r="2694" spans="1:4" ht="9" customHeight="1" x14ac:dyDescent="0.25">
      <c r="A2694" s="1059">
        <v>2003626</v>
      </c>
      <c r="B2694" s="1060" t="s">
        <v>24352</v>
      </c>
      <c r="C2694" s="1059" t="s">
        <v>3</v>
      </c>
      <c r="D2694" s="1061">
        <v>860.74</v>
      </c>
    </row>
    <row r="2695" spans="1:4" ht="9" customHeight="1" x14ac:dyDescent="0.25">
      <c r="A2695" s="1059">
        <v>2003625</v>
      </c>
      <c r="B2695" s="1060" t="s">
        <v>24353</v>
      </c>
      <c r="C2695" s="1059" t="s">
        <v>3</v>
      </c>
      <c r="D2695" s="1061">
        <v>804.96</v>
      </c>
    </row>
    <row r="2696" spans="1:4" ht="9" customHeight="1" x14ac:dyDescent="0.25">
      <c r="A2696" s="1059">
        <v>2003628</v>
      </c>
      <c r="B2696" s="1060" t="s">
        <v>24354</v>
      </c>
      <c r="C2696" s="1059" t="s">
        <v>3</v>
      </c>
      <c r="D2696" s="1061">
        <v>1082.33</v>
      </c>
    </row>
    <row r="2697" spans="1:4" ht="9" customHeight="1" x14ac:dyDescent="0.25">
      <c r="A2697" s="1059">
        <v>2003627</v>
      </c>
      <c r="B2697" s="1060" t="s">
        <v>24355</v>
      </c>
      <c r="C2697" s="1059" t="s">
        <v>3</v>
      </c>
      <c r="D2697" s="1061">
        <v>1019.02</v>
      </c>
    </row>
    <row r="2698" spans="1:4" ht="9" customHeight="1" x14ac:dyDescent="0.25">
      <c r="A2698" s="1059">
        <v>2003630</v>
      </c>
      <c r="B2698" s="1060" t="s">
        <v>24356</v>
      </c>
      <c r="C2698" s="1059" t="s">
        <v>3</v>
      </c>
      <c r="D2698" s="1061">
        <v>1303.9100000000001</v>
      </c>
    </row>
    <row r="2699" spans="1:4" ht="9" customHeight="1" x14ac:dyDescent="0.25">
      <c r="A2699" s="1059">
        <v>2003629</v>
      </c>
      <c r="B2699" s="1060" t="s">
        <v>24357</v>
      </c>
      <c r="C2699" s="1059" t="s">
        <v>3</v>
      </c>
      <c r="D2699" s="1061">
        <v>1233.0899999999999</v>
      </c>
    </row>
    <row r="2700" spans="1:4" ht="9" customHeight="1" x14ac:dyDescent="0.25">
      <c r="A2700" s="1059">
        <v>2003632</v>
      </c>
      <c r="B2700" s="1060" t="s">
        <v>24358</v>
      </c>
      <c r="C2700" s="1059" t="s">
        <v>3</v>
      </c>
      <c r="D2700" s="1061">
        <v>1525.49</v>
      </c>
    </row>
    <row r="2701" spans="1:4" ht="9" customHeight="1" x14ac:dyDescent="0.25">
      <c r="A2701" s="1059">
        <v>2003631</v>
      </c>
      <c r="B2701" s="1060" t="s">
        <v>24359</v>
      </c>
      <c r="C2701" s="1059" t="s">
        <v>3</v>
      </c>
      <c r="D2701" s="1061">
        <v>1447.15</v>
      </c>
    </row>
    <row r="2702" spans="1:4" ht="9" customHeight="1" x14ac:dyDescent="0.25">
      <c r="A2702" s="1059">
        <v>2003599</v>
      </c>
      <c r="B2702" s="1060" t="s">
        <v>24360</v>
      </c>
      <c r="C2702" s="1059" t="s">
        <v>3</v>
      </c>
      <c r="D2702" s="1061">
        <v>194.44</v>
      </c>
    </row>
    <row r="2703" spans="1:4" ht="9" customHeight="1" x14ac:dyDescent="0.25">
      <c r="A2703" s="1059">
        <v>2003598</v>
      </c>
      <c r="B2703" s="1060" t="s">
        <v>24361</v>
      </c>
      <c r="C2703" s="1059" t="s">
        <v>3</v>
      </c>
      <c r="D2703" s="1061">
        <v>173.94</v>
      </c>
    </row>
    <row r="2704" spans="1:4" ht="9" customHeight="1" x14ac:dyDescent="0.25">
      <c r="A2704" s="1059">
        <v>2003919</v>
      </c>
      <c r="B2704" s="1060" t="s">
        <v>24362</v>
      </c>
      <c r="C2704" s="1059" t="s">
        <v>3</v>
      </c>
      <c r="D2704" s="1061">
        <v>194.44</v>
      </c>
    </row>
    <row r="2705" spans="1:4" ht="9" customHeight="1" x14ac:dyDescent="0.25">
      <c r="A2705" s="1059">
        <v>2003918</v>
      </c>
      <c r="B2705" s="1060" t="s">
        <v>24363</v>
      </c>
      <c r="C2705" s="1059" t="s">
        <v>3</v>
      </c>
      <c r="D2705" s="1061">
        <v>173.94</v>
      </c>
    </row>
    <row r="2706" spans="1:4" ht="9" customHeight="1" x14ac:dyDescent="0.25">
      <c r="A2706" s="1059">
        <v>2003601</v>
      </c>
      <c r="B2706" s="1060" t="s">
        <v>24364</v>
      </c>
      <c r="C2706" s="1059" t="s">
        <v>3</v>
      </c>
      <c r="D2706" s="1061">
        <v>244.17</v>
      </c>
    </row>
    <row r="2707" spans="1:4" ht="9" customHeight="1" x14ac:dyDescent="0.25">
      <c r="A2707" s="1059">
        <v>2003600</v>
      </c>
      <c r="B2707" s="1060" t="s">
        <v>24365</v>
      </c>
      <c r="C2707" s="1059" t="s">
        <v>3</v>
      </c>
      <c r="D2707" s="1061">
        <v>217.35</v>
      </c>
    </row>
    <row r="2708" spans="1:4" ht="9" customHeight="1" x14ac:dyDescent="0.25">
      <c r="A2708" s="1059">
        <v>2003921</v>
      </c>
      <c r="B2708" s="1060" t="s">
        <v>24366</v>
      </c>
      <c r="C2708" s="1059" t="s">
        <v>3</v>
      </c>
      <c r="D2708" s="1061">
        <v>244.17</v>
      </c>
    </row>
    <row r="2709" spans="1:4" ht="9" customHeight="1" x14ac:dyDescent="0.25">
      <c r="A2709" s="1059">
        <v>2003920</v>
      </c>
      <c r="B2709" s="1060" t="s">
        <v>24367</v>
      </c>
      <c r="C2709" s="1059" t="s">
        <v>3</v>
      </c>
      <c r="D2709" s="1061">
        <v>217.35</v>
      </c>
    </row>
    <row r="2710" spans="1:4" ht="9" customHeight="1" x14ac:dyDescent="0.25">
      <c r="A2710" s="1059">
        <v>2003616</v>
      </c>
      <c r="B2710" s="1060" t="s">
        <v>24368</v>
      </c>
      <c r="C2710" s="1059" t="s">
        <v>3</v>
      </c>
      <c r="D2710" s="1061">
        <v>21.34</v>
      </c>
    </row>
    <row r="2711" spans="1:4" ht="9" customHeight="1" x14ac:dyDescent="0.25">
      <c r="A2711" s="1059">
        <v>2003615</v>
      </c>
      <c r="B2711" s="1060" t="s">
        <v>24369</v>
      </c>
      <c r="C2711" s="1059" t="s">
        <v>3</v>
      </c>
      <c r="D2711" s="1061">
        <v>18.45</v>
      </c>
    </row>
    <row r="2712" spans="1:4" ht="9" customHeight="1" x14ac:dyDescent="0.25">
      <c r="A2712" s="1059">
        <v>2003927</v>
      </c>
      <c r="B2712" s="1060" t="s">
        <v>24370</v>
      </c>
      <c r="C2712" s="1059" t="s">
        <v>3</v>
      </c>
      <c r="D2712" s="1061">
        <v>22.27</v>
      </c>
    </row>
    <row r="2713" spans="1:4" ht="9" customHeight="1" x14ac:dyDescent="0.25">
      <c r="A2713" s="1059">
        <v>2003926</v>
      </c>
      <c r="B2713" s="1060" t="s">
        <v>24371</v>
      </c>
      <c r="C2713" s="1059" t="s">
        <v>3</v>
      </c>
      <c r="D2713" s="1061">
        <v>19.38</v>
      </c>
    </row>
    <row r="2714" spans="1:4" ht="9" customHeight="1" x14ac:dyDescent="0.25">
      <c r="A2714" s="1059">
        <v>2003613</v>
      </c>
      <c r="B2714" s="1060" t="s">
        <v>24372</v>
      </c>
      <c r="C2714" s="1059" t="s">
        <v>3</v>
      </c>
      <c r="D2714" s="1061">
        <v>138.72</v>
      </c>
    </row>
    <row r="2715" spans="1:4" ht="9" customHeight="1" x14ac:dyDescent="0.25">
      <c r="A2715" s="1059">
        <v>2003612</v>
      </c>
      <c r="B2715" s="1060" t="s">
        <v>24373</v>
      </c>
      <c r="C2715" s="1059" t="s">
        <v>3</v>
      </c>
      <c r="D2715" s="1061">
        <v>126.1</v>
      </c>
    </row>
    <row r="2716" spans="1:4" ht="9" customHeight="1" x14ac:dyDescent="0.25">
      <c r="A2716" s="1059">
        <v>2003477</v>
      </c>
      <c r="B2716" s="1060" t="s">
        <v>24374</v>
      </c>
      <c r="C2716" s="1059" t="s">
        <v>3</v>
      </c>
      <c r="D2716" s="1061">
        <v>3761.26</v>
      </c>
    </row>
    <row r="2717" spans="1:4" ht="9" customHeight="1" x14ac:dyDescent="0.25">
      <c r="A2717" s="1059">
        <v>2003476</v>
      </c>
      <c r="B2717" s="1060" t="s">
        <v>24375</v>
      </c>
      <c r="C2717" s="1059" t="s">
        <v>3</v>
      </c>
      <c r="D2717" s="1061">
        <v>3460.21</v>
      </c>
    </row>
    <row r="2718" spans="1:4" ht="9" customHeight="1" x14ac:dyDescent="0.25">
      <c r="A2718" s="1059">
        <v>2003517</v>
      </c>
      <c r="B2718" s="1060" t="s">
        <v>24376</v>
      </c>
      <c r="C2718" s="1059" t="s">
        <v>3</v>
      </c>
      <c r="D2718" s="1061">
        <v>4122.79</v>
      </c>
    </row>
    <row r="2719" spans="1:4" ht="9" customHeight="1" x14ac:dyDescent="0.25">
      <c r="A2719" s="1059">
        <v>2003516</v>
      </c>
      <c r="B2719" s="1060" t="s">
        <v>24377</v>
      </c>
      <c r="C2719" s="1059" t="s">
        <v>3</v>
      </c>
      <c r="D2719" s="1061">
        <v>3833.62</v>
      </c>
    </row>
    <row r="2720" spans="1:4" ht="9" customHeight="1" x14ac:dyDescent="0.25">
      <c r="A2720" s="1059">
        <v>2003479</v>
      </c>
      <c r="B2720" s="1060" t="s">
        <v>24378</v>
      </c>
      <c r="C2720" s="1059" t="s">
        <v>3</v>
      </c>
      <c r="D2720" s="1061">
        <v>3717.17</v>
      </c>
    </row>
    <row r="2721" spans="1:4" ht="9" customHeight="1" x14ac:dyDescent="0.25">
      <c r="A2721" s="1059">
        <v>2003478</v>
      </c>
      <c r="B2721" s="1060" t="s">
        <v>24379</v>
      </c>
      <c r="C2721" s="1059" t="s">
        <v>3</v>
      </c>
      <c r="D2721" s="1061">
        <v>3429.27</v>
      </c>
    </row>
    <row r="2722" spans="1:4" ht="9" customHeight="1" x14ac:dyDescent="0.25">
      <c r="A2722" s="1059">
        <v>2003519</v>
      </c>
      <c r="B2722" s="1060" t="s">
        <v>24380</v>
      </c>
      <c r="C2722" s="1059" t="s">
        <v>3</v>
      </c>
      <c r="D2722" s="1061">
        <v>4078.7</v>
      </c>
    </row>
    <row r="2723" spans="1:4" ht="9" customHeight="1" x14ac:dyDescent="0.25">
      <c r="A2723" s="1059">
        <v>2003518</v>
      </c>
      <c r="B2723" s="1060" t="s">
        <v>24381</v>
      </c>
      <c r="C2723" s="1059" t="s">
        <v>3</v>
      </c>
      <c r="D2723" s="1061">
        <v>3802.67</v>
      </c>
    </row>
    <row r="2724" spans="1:4" ht="9" customHeight="1" x14ac:dyDescent="0.25">
      <c r="A2724" s="1059">
        <v>2003481</v>
      </c>
      <c r="B2724" s="1060" t="s">
        <v>24382</v>
      </c>
      <c r="C2724" s="1059" t="s">
        <v>3</v>
      </c>
      <c r="D2724" s="1061">
        <v>3673.08</v>
      </c>
    </row>
    <row r="2725" spans="1:4" ht="9" customHeight="1" x14ac:dyDescent="0.25">
      <c r="A2725" s="1059">
        <v>2003480</v>
      </c>
      <c r="B2725" s="1060" t="s">
        <v>24383</v>
      </c>
      <c r="C2725" s="1059" t="s">
        <v>3</v>
      </c>
      <c r="D2725" s="1061">
        <v>3398.32</v>
      </c>
    </row>
    <row r="2726" spans="1:4" ht="9" customHeight="1" x14ac:dyDescent="0.25">
      <c r="A2726" s="1059">
        <v>2003521</v>
      </c>
      <c r="B2726" s="1060" t="s">
        <v>24384</v>
      </c>
      <c r="C2726" s="1059" t="s">
        <v>3</v>
      </c>
      <c r="D2726" s="1061">
        <v>4034.61</v>
      </c>
    </row>
    <row r="2727" spans="1:4" ht="9" customHeight="1" x14ac:dyDescent="0.25">
      <c r="A2727" s="1059">
        <v>2003520</v>
      </c>
      <c r="B2727" s="1060" t="s">
        <v>24385</v>
      </c>
      <c r="C2727" s="1059" t="s">
        <v>3</v>
      </c>
      <c r="D2727" s="1061">
        <v>3771.73</v>
      </c>
    </row>
    <row r="2728" spans="1:4" ht="9" customHeight="1" x14ac:dyDescent="0.25">
      <c r="A2728" s="1059">
        <v>2003483</v>
      </c>
      <c r="B2728" s="1060" t="s">
        <v>24386</v>
      </c>
      <c r="C2728" s="1059" t="s">
        <v>3</v>
      </c>
      <c r="D2728" s="1061">
        <v>3628.99</v>
      </c>
    </row>
    <row r="2729" spans="1:4" ht="9" customHeight="1" x14ac:dyDescent="0.25">
      <c r="A2729" s="1059">
        <v>2003482</v>
      </c>
      <c r="B2729" s="1060" t="s">
        <v>24387</v>
      </c>
      <c r="C2729" s="1059" t="s">
        <v>3</v>
      </c>
      <c r="D2729" s="1061">
        <v>3367.38</v>
      </c>
    </row>
    <row r="2730" spans="1:4" ht="9" customHeight="1" x14ac:dyDescent="0.25">
      <c r="A2730" s="1059">
        <v>2003523</v>
      </c>
      <c r="B2730" s="1060" t="s">
        <v>24388</v>
      </c>
      <c r="C2730" s="1059" t="s">
        <v>3</v>
      </c>
      <c r="D2730" s="1061">
        <v>3990.52</v>
      </c>
    </row>
    <row r="2731" spans="1:4" ht="9" customHeight="1" x14ac:dyDescent="0.25">
      <c r="A2731" s="1059">
        <v>2003522</v>
      </c>
      <c r="B2731" s="1060" t="s">
        <v>24389</v>
      </c>
      <c r="C2731" s="1059" t="s">
        <v>3</v>
      </c>
      <c r="D2731" s="1061">
        <v>3740.78</v>
      </c>
    </row>
    <row r="2732" spans="1:4" ht="9" customHeight="1" x14ac:dyDescent="0.25">
      <c r="A2732" s="1059">
        <v>2003485</v>
      </c>
      <c r="B2732" s="1060" t="s">
        <v>24390</v>
      </c>
      <c r="C2732" s="1059" t="s">
        <v>3</v>
      </c>
      <c r="D2732" s="1061">
        <v>4877.34</v>
      </c>
    </row>
    <row r="2733" spans="1:4" ht="9" customHeight="1" x14ac:dyDescent="0.25">
      <c r="A2733" s="1059">
        <v>2003484</v>
      </c>
      <c r="B2733" s="1060" t="s">
        <v>24391</v>
      </c>
      <c r="C2733" s="1059" t="s">
        <v>3</v>
      </c>
      <c r="D2733" s="1061">
        <v>4504</v>
      </c>
    </row>
    <row r="2734" spans="1:4" ht="9" customHeight="1" x14ac:dyDescent="0.25">
      <c r="A2734" s="1059">
        <v>2003525</v>
      </c>
      <c r="B2734" s="1060" t="s">
        <v>24392</v>
      </c>
      <c r="C2734" s="1059" t="s">
        <v>3</v>
      </c>
      <c r="D2734" s="1061">
        <v>5238.87</v>
      </c>
    </row>
    <row r="2735" spans="1:4" ht="9" customHeight="1" x14ac:dyDescent="0.25">
      <c r="A2735" s="1059">
        <v>2003524</v>
      </c>
      <c r="B2735" s="1060" t="s">
        <v>24393</v>
      </c>
      <c r="C2735" s="1059" t="s">
        <v>3</v>
      </c>
      <c r="D2735" s="1061">
        <v>4877.41</v>
      </c>
    </row>
    <row r="2736" spans="1:4" ht="9" customHeight="1" x14ac:dyDescent="0.25">
      <c r="A2736" s="1059">
        <v>2003487</v>
      </c>
      <c r="B2736" s="1060" t="s">
        <v>24394</v>
      </c>
      <c r="C2736" s="1059" t="s">
        <v>3</v>
      </c>
      <c r="D2736" s="1061">
        <v>4833.25</v>
      </c>
    </row>
    <row r="2737" spans="1:4" ht="9" customHeight="1" x14ac:dyDescent="0.25">
      <c r="A2737" s="1059">
        <v>2003486</v>
      </c>
      <c r="B2737" s="1060" t="s">
        <v>24395</v>
      </c>
      <c r="C2737" s="1059" t="s">
        <v>3</v>
      </c>
      <c r="D2737" s="1061">
        <v>4473.0600000000004</v>
      </c>
    </row>
    <row r="2738" spans="1:4" ht="9" customHeight="1" x14ac:dyDescent="0.25">
      <c r="A2738" s="1059">
        <v>2003527</v>
      </c>
      <c r="B2738" s="1060" t="s">
        <v>24396</v>
      </c>
      <c r="C2738" s="1059" t="s">
        <v>3</v>
      </c>
      <c r="D2738" s="1061">
        <v>5194.78</v>
      </c>
    </row>
    <row r="2739" spans="1:4" ht="9" customHeight="1" x14ac:dyDescent="0.25">
      <c r="A2739" s="1059">
        <v>2003526</v>
      </c>
      <c r="B2739" s="1060" t="s">
        <v>24397</v>
      </c>
      <c r="C2739" s="1059" t="s">
        <v>3</v>
      </c>
      <c r="D2739" s="1061">
        <v>4846.46</v>
      </c>
    </row>
    <row r="2740" spans="1:4" ht="9" customHeight="1" x14ac:dyDescent="0.25">
      <c r="A2740" s="1059">
        <v>2003489</v>
      </c>
      <c r="B2740" s="1060" t="s">
        <v>24398</v>
      </c>
      <c r="C2740" s="1059" t="s">
        <v>3</v>
      </c>
      <c r="D2740" s="1061">
        <v>4789.16</v>
      </c>
    </row>
    <row r="2741" spans="1:4" ht="9" customHeight="1" x14ac:dyDescent="0.25">
      <c r="A2741" s="1059">
        <v>2003488</v>
      </c>
      <c r="B2741" s="1060" t="s">
        <v>24399</v>
      </c>
      <c r="C2741" s="1059" t="s">
        <v>3</v>
      </c>
      <c r="D2741" s="1061">
        <v>4442.1099999999997</v>
      </c>
    </row>
    <row r="2742" spans="1:4" ht="9" customHeight="1" x14ac:dyDescent="0.25">
      <c r="A2742" s="1059">
        <v>2003529</v>
      </c>
      <c r="B2742" s="1060" t="s">
        <v>24400</v>
      </c>
      <c r="C2742" s="1059" t="s">
        <v>3</v>
      </c>
      <c r="D2742" s="1061">
        <v>5150.6899999999996</v>
      </c>
    </row>
    <row r="2743" spans="1:4" ht="9" customHeight="1" x14ac:dyDescent="0.25">
      <c r="A2743" s="1059">
        <v>2003528</v>
      </c>
      <c r="B2743" s="1060" t="s">
        <v>24401</v>
      </c>
      <c r="C2743" s="1059" t="s">
        <v>3</v>
      </c>
      <c r="D2743" s="1061">
        <v>4815.5200000000004</v>
      </c>
    </row>
    <row r="2744" spans="1:4" ht="9" customHeight="1" x14ac:dyDescent="0.25">
      <c r="A2744" s="1059">
        <v>2003491</v>
      </c>
      <c r="B2744" s="1060" t="s">
        <v>24402</v>
      </c>
      <c r="C2744" s="1059" t="s">
        <v>3</v>
      </c>
      <c r="D2744" s="1061">
        <v>4745.07</v>
      </c>
    </row>
    <row r="2745" spans="1:4" ht="9" customHeight="1" x14ac:dyDescent="0.25">
      <c r="A2745" s="1059">
        <v>2003490</v>
      </c>
      <c r="B2745" s="1060" t="s">
        <v>24403</v>
      </c>
      <c r="C2745" s="1059" t="s">
        <v>3</v>
      </c>
      <c r="D2745" s="1061">
        <v>4411.17</v>
      </c>
    </row>
    <row r="2746" spans="1:4" ht="9" customHeight="1" x14ac:dyDescent="0.25">
      <c r="A2746" s="1059">
        <v>2003531</v>
      </c>
      <c r="B2746" s="1060" t="s">
        <v>24404</v>
      </c>
      <c r="C2746" s="1059" t="s">
        <v>3</v>
      </c>
      <c r="D2746" s="1061">
        <v>5106.6000000000004</v>
      </c>
    </row>
    <row r="2747" spans="1:4" ht="9" customHeight="1" x14ac:dyDescent="0.25">
      <c r="A2747" s="1059">
        <v>2003530</v>
      </c>
      <c r="B2747" s="1060" t="s">
        <v>24405</v>
      </c>
      <c r="C2747" s="1059" t="s">
        <v>3</v>
      </c>
      <c r="D2747" s="1061">
        <v>4784.57</v>
      </c>
    </row>
    <row r="2748" spans="1:4" ht="9" customHeight="1" x14ac:dyDescent="0.25">
      <c r="A2748" s="1059">
        <v>2003493</v>
      </c>
      <c r="B2748" s="1060" t="s">
        <v>24406</v>
      </c>
      <c r="C2748" s="1059" t="s">
        <v>3</v>
      </c>
      <c r="D2748" s="1061">
        <v>5816.26</v>
      </c>
    </row>
    <row r="2749" spans="1:4" ht="9" customHeight="1" x14ac:dyDescent="0.25">
      <c r="A2749" s="1059">
        <v>2003492</v>
      </c>
      <c r="B2749" s="1060" t="s">
        <v>24407</v>
      </c>
      <c r="C2749" s="1059" t="s">
        <v>3</v>
      </c>
      <c r="D2749" s="1061">
        <v>5370.64</v>
      </c>
    </row>
    <row r="2750" spans="1:4" ht="9" customHeight="1" x14ac:dyDescent="0.25">
      <c r="A2750" s="1059">
        <v>2003533</v>
      </c>
      <c r="B2750" s="1060" t="s">
        <v>24408</v>
      </c>
      <c r="C2750" s="1059" t="s">
        <v>3</v>
      </c>
      <c r="D2750" s="1061">
        <v>6177.8</v>
      </c>
    </row>
    <row r="2751" spans="1:4" ht="9" customHeight="1" x14ac:dyDescent="0.25">
      <c r="A2751" s="1059">
        <v>2003532</v>
      </c>
      <c r="B2751" s="1060" t="s">
        <v>24409</v>
      </c>
      <c r="C2751" s="1059" t="s">
        <v>3</v>
      </c>
      <c r="D2751" s="1061">
        <v>5744.04</v>
      </c>
    </row>
    <row r="2752" spans="1:4" ht="9" customHeight="1" x14ac:dyDescent="0.25">
      <c r="A2752" s="1059">
        <v>2003495</v>
      </c>
      <c r="B2752" s="1060" t="s">
        <v>24410</v>
      </c>
      <c r="C2752" s="1059" t="s">
        <v>3</v>
      </c>
      <c r="D2752" s="1061">
        <v>5772.18</v>
      </c>
    </row>
    <row r="2753" spans="1:4" ht="9" customHeight="1" x14ac:dyDescent="0.25">
      <c r="A2753" s="1059">
        <v>2003494</v>
      </c>
      <c r="B2753" s="1060" t="s">
        <v>24411</v>
      </c>
      <c r="C2753" s="1059" t="s">
        <v>3</v>
      </c>
      <c r="D2753" s="1061">
        <v>5339.69</v>
      </c>
    </row>
    <row r="2754" spans="1:4" ht="9" customHeight="1" x14ac:dyDescent="0.25">
      <c r="A2754" s="1059">
        <v>2003535</v>
      </c>
      <c r="B2754" s="1060" t="s">
        <v>24412</v>
      </c>
      <c r="C2754" s="1059" t="s">
        <v>3</v>
      </c>
      <c r="D2754" s="1061">
        <v>6133.71</v>
      </c>
    </row>
    <row r="2755" spans="1:4" ht="9" customHeight="1" x14ac:dyDescent="0.25">
      <c r="A2755" s="1059">
        <v>2003534</v>
      </c>
      <c r="B2755" s="1060" t="s">
        <v>24413</v>
      </c>
      <c r="C2755" s="1059" t="s">
        <v>3</v>
      </c>
      <c r="D2755" s="1061">
        <v>5713.1</v>
      </c>
    </row>
    <row r="2756" spans="1:4" ht="9" customHeight="1" x14ac:dyDescent="0.25">
      <c r="A2756" s="1059">
        <v>2003497</v>
      </c>
      <c r="B2756" s="1060" t="s">
        <v>24414</v>
      </c>
      <c r="C2756" s="1059" t="s">
        <v>3</v>
      </c>
      <c r="D2756" s="1061">
        <v>5728.09</v>
      </c>
    </row>
    <row r="2757" spans="1:4" ht="9" customHeight="1" x14ac:dyDescent="0.25">
      <c r="A2757" s="1059">
        <v>2003496</v>
      </c>
      <c r="B2757" s="1060" t="s">
        <v>24415</v>
      </c>
      <c r="C2757" s="1059" t="s">
        <v>3</v>
      </c>
      <c r="D2757" s="1061">
        <v>5308.75</v>
      </c>
    </row>
    <row r="2758" spans="1:4" ht="9" customHeight="1" x14ac:dyDescent="0.25">
      <c r="A2758" s="1059">
        <v>2003537</v>
      </c>
      <c r="B2758" s="1060" t="s">
        <v>24416</v>
      </c>
      <c r="C2758" s="1059" t="s">
        <v>3</v>
      </c>
      <c r="D2758" s="1061">
        <v>6089.62</v>
      </c>
    </row>
    <row r="2759" spans="1:4" ht="9" customHeight="1" x14ac:dyDescent="0.25">
      <c r="A2759" s="1059">
        <v>2003536</v>
      </c>
      <c r="B2759" s="1060" t="s">
        <v>24417</v>
      </c>
      <c r="C2759" s="1059" t="s">
        <v>3</v>
      </c>
      <c r="D2759" s="1061">
        <v>5682.15</v>
      </c>
    </row>
    <row r="2760" spans="1:4" ht="9" customHeight="1" x14ac:dyDescent="0.25">
      <c r="A2760" s="1059">
        <v>2003499</v>
      </c>
      <c r="B2760" s="1060" t="s">
        <v>24418</v>
      </c>
      <c r="C2760" s="1059" t="s">
        <v>3</v>
      </c>
      <c r="D2760" s="1061">
        <v>5684</v>
      </c>
    </row>
    <row r="2761" spans="1:4" ht="9" customHeight="1" x14ac:dyDescent="0.25">
      <c r="A2761" s="1059">
        <v>2003498</v>
      </c>
      <c r="B2761" s="1060" t="s">
        <v>24419</v>
      </c>
      <c r="C2761" s="1059" t="s">
        <v>3</v>
      </c>
      <c r="D2761" s="1061">
        <v>5277.8</v>
      </c>
    </row>
    <row r="2762" spans="1:4" ht="9" customHeight="1" x14ac:dyDescent="0.25">
      <c r="A2762" s="1059">
        <v>2003539</v>
      </c>
      <c r="B2762" s="1060" t="s">
        <v>24420</v>
      </c>
      <c r="C2762" s="1059" t="s">
        <v>3</v>
      </c>
      <c r="D2762" s="1061">
        <v>6001.44</v>
      </c>
    </row>
    <row r="2763" spans="1:4" ht="9" customHeight="1" x14ac:dyDescent="0.25">
      <c r="A2763" s="1059">
        <v>2003538</v>
      </c>
      <c r="B2763" s="1060" t="s">
        <v>24421</v>
      </c>
      <c r="C2763" s="1059" t="s">
        <v>3</v>
      </c>
      <c r="D2763" s="1061">
        <v>5620.26</v>
      </c>
    </row>
    <row r="2764" spans="1:4" ht="9" customHeight="1" x14ac:dyDescent="0.25">
      <c r="A2764" s="1059">
        <v>2003501</v>
      </c>
      <c r="B2764" s="1060" t="s">
        <v>24422</v>
      </c>
      <c r="C2764" s="1059" t="s">
        <v>3</v>
      </c>
      <c r="D2764" s="1061">
        <v>6991.63</v>
      </c>
    </row>
    <row r="2765" spans="1:4" ht="9" customHeight="1" x14ac:dyDescent="0.25">
      <c r="A2765" s="1059">
        <v>2003500</v>
      </c>
      <c r="B2765" s="1060" t="s">
        <v>24423</v>
      </c>
      <c r="C2765" s="1059" t="s">
        <v>3</v>
      </c>
      <c r="D2765" s="1061">
        <v>6473.72</v>
      </c>
    </row>
    <row r="2766" spans="1:4" ht="9" customHeight="1" x14ac:dyDescent="0.25">
      <c r="A2766" s="1059">
        <v>2003541</v>
      </c>
      <c r="B2766" s="1060" t="s">
        <v>24424</v>
      </c>
      <c r="C2766" s="1059" t="s">
        <v>3</v>
      </c>
      <c r="D2766" s="1061">
        <v>7353.16</v>
      </c>
    </row>
    <row r="2767" spans="1:4" ht="9" customHeight="1" x14ac:dyDescent="0.25">
      <c r="A2767" s="1059">
        <v>2003540</v>
      </c>
      <c r="B2767" s="1060" t="s">
        <v>24425</v>
      </c>
      <c r="C2767" s="1059" t="s">
        <v>3</v>
      </c>
      <c r="D2767" s="1061">
        <v>6847.12</v>
      </c>
    </row>
    <row r="2768" spans="1:4" ht="9" customHeight="1" x14ac:dyDescent="0.25">
      <c r="A2768" s="1059">
        <v>2003503</v>
      </c>
      <c r="B2768" s="1060" t="s">
        <v>24426</v>
      </c>
      <c r="C2768" s="1059" t="s">
        <v>3</v>
      </c>
      <c r="D2768" s="1061">
        <v>6947.55</v>
      </c>
    </row>
    <row r="2769" spans="1:4" ht="9" customHeight="1" x14ac:dyDescent="0.25">
      <c r="A2769" s="1059">
        <v>2003502</v>
      </c>
      <c r="B2769" s="1060" t="s">
        <v>24427</v>
      </c>
      <c r="C2769" s="1059" t="s">
        <v>3</v>
      </c>
      <c r="D2769" s="1061">
        <v>6442.77</v>
      </c>
    </row>
    <row r="2770" spans="1:4" ht="9" customHeight="1" x14ac:dyDescent="0.25">
      <c r="A2770" s="1059">
        <v>2003543</v>
      </c>
      <c r="B2770" s="1060" t="s">
        <v>24428</v>
      </c>
      <c r="C2770" s="1059" t="s">
        <v>3</v>
      </c>
      <c r="D2770" s="1061">
        <v>7309.08</v>
      </c>
    </row>
    <row r="2771" spans="1:4" ht="9" customHeight="1" x14ac:dyDescent="0.25">
      <c r="A2771" s="1059">
        <v>2003542</v>
      </c>
      <c r="B2771" s="1060" t="s">
        <v>24429</v>
      </c>
      <c r="C2771" s="1059" t="s">
        <v>3</v>
      </c>
      <c r="D2771" s="1061">
        <v>6816.18</v>
      </c>
    </row>
    <row r="2772" spans="1:4" ht="9" customHeight="1" x14ac:dyDescent="0.25">
      <c r="A2772" s="1059">
        <v>2003505</v>
      </c>
      <c r="B2772" s="1060" t="s">
        <v>24430</v>
      </c>
      <c r="C2772" s="1059" t="s">
        <v>3</v>
      </c>
      <c r="D2772" s="1061">
        <v>6903.46</v>
      </c>
    </row>
    <row r="2773" spans="1:4" ht="9" customHeight="1" x14ac:dyDescent="0.25">
      <c r="A2773" s="1059">
        <v>2003504</v>
      </c>
      <c r="B2773" s="1060" t="s">
        <v>24431</v>
      </c>
      <c r="C2773" s="1059" t="s">
        <v>3</v>
      </c>
      <c r="D2773" s="1061">
        <v>6411.83</v>
      </c>
    </row>
    <row r="2774" spans="1:4" ht="9" customHeight="1" x14ac:dyDescent="0.25">
      <c r="A2774" s="1059">
        <v>2003545</v>
      </c>
      <c r="B2774" s="1060" t="s">
        <v>24432</v>
      </c>
      <c r="C2774" s="1059" t="s">
        <v>3</v>
      </c>
      <c r="D2774" s="1061">
        <v>7264.99</v>
      </c>
    </row>
    <row r="2775" spans="1:4" ht="9" customHeight="1" x14ac:dyDescent="0.25">
      <c r="A2775" s="1059">
        <v>2003544</v>
      </c>
      <c r="B2775" s="1060" t="s">
        <v>24433</v>
      </c>
      <c r="C2775" s="1059" t="s">
        <v>3</v>
      </c>
      <c r="D2775" s="1061">
        <v>6785.23</v>
      </c>
    </row>
    <row r="2776" spans="1:4" ht="9" customHeight="1" x14ac:dyDescent="0.25">
      <c r="A2776" s="1059">
        <v>2003507</v>
      </c>
      <c r="B2776" s="1060" t="s">
        <v>24434</v>
      </c>
      <c r="C2776" s="1059" t="s">
        <v>3</v>
      </c>
      <c r="D2776" s="1061">
        <v>6859.37</v>
      </c>
    </row>
    <row r="2777" spans="1:4" ht="9" customHeight="1" x14ac:dyDescent="0.25">
      <c r="A2777" s="1059">
        <v>2003506</v>
      </c>
      <c r="B2777" s="1060" t="s">
        <v>24435</v>
      </c>
      <c r="C2777" s="1059" t="s">
        <v>3</v>
      </c>
      <c r="D2777" s="1061">
        <v>6380.88</v>
      </c>
    </row>
    <row r="2778" spans="1:4" ht="9" customHeight="1" x14ac:dyDescent="0.25">
      <c r="A2778" s="1059">
        <v>2003547</v>
      </c>
      <c r="B2778" s="1060" t="s">
        <v>24436</v>
      </c>
      <c r="C2778" s="1059" t="s">
        <v>3</v>
      </c>
      <c r="D2778" s="1061">
        <v>7220.9</v>
      </c>
    </row>
    <row r="2779" spans="1:4" ht="9" customHeight="1" x14ac:dyDescent="0.25">
      <c r="A2779" s="1059">
        <v>2003546</v>
      </c>
      <c r="B2779" s="1060" t="s">
        <v>24437</v>
      </c>
      <c r="C2779" s="1059" t="s">
        <v>3</v>
      </c>
      <c r="D2779" s="1061">
        <v>6754.29</v>
      </c>
    </row>
    <row r="2780" spans="1:4" ht="9" customHeight="1" x14ac:dyDescent="0.25">
      <c r="A2780" s="1059">
        <v>2003509</v>
      </c>
      <c r="B2780" s="1060" t="s">
        <v>24438</v>
      </c>
      <c r="C2780" s="1059" t="s">
        <v>3</v>
      </c>
      <c r="D2780" s="1061">
        <v>7977.84</v>
      </c>
    </row>
    <row r="2781" spans="1:4" ht="9" customHeight="1" x14ac:dyDescent="0.25">
      <c r="A2781" s="1059">
        <v>2003508</v>
      </c>
      <c r="B2781" s="1060" t="s">
        <v>24439</v>
      </c>
      <c r="C2781" s="1059" t="s">
        <v>3</v>
      </c>
      <c r="D2781" s="1061">
        <v>7387.63</v>
      </c>
    </row>
    <row r="2782" spans="1:4" ht="9" customHeight="1" x14ac:dyDescent="0.25">
      <c r="A2782" s="1059">
        <v>2003549</v>
      </c>
      <c r="B2782" s="1060" t="s">
        <v>24440</v>
      </c>
      <c r="C2782" s="1059" t="s">
        <v>3</v>
      </c>
      <c r="D2782" s="1061">
        <v>8339.3700000000008</v>
      </c>
    </row>
    <row r="2783" spans="1:4" ht="9" customHeight="1" x14ac:dyDescent="0.25">
      <c r="A2783" s="1059">
        <v>2003548</v>
      </c>
      <c r="B2783" s="1060" t="s">
        <v>24441</v>
      </c>
      <c r="C2783" s="1059" t="s">
        <v>3</v>
      </c>
      <c r="D2783" s="1061">
        <v>7761.04</v>
      </c>
    </row>
    <row r="2784" spans="1:4" ht="9" customHeight="1" x14ac:dyDescent="0.25">
      <c r="A2784" s="1059">
        <v>2003511</v>
      </c>
      <c r="B2784" s="1060" t="s">
        <v>24442</v>
      </c>
      <c r="C2784" s="1059" t="s">
        <v>3</v>
      </c>
      <c r="D2784" s="1061">
        <v>7933.75</v>
      </c>
    </row>
    <row r="2785" spans="1:4" ht="9" customHeight="1" x14ac:dyDescent="0.25">
      <c r="A2785" s="1059">
        <v>2003510</v>
      </c>
      <c r="B2785" s="1060" t="s">
        <v>24443</v>
      </c>
      <c r="C2785" s="1059" t="s">
        <v>3</v>
      </c>
      <c r="D2785" s="1061">
        <v>7356.69</v>
      </c>
    </row>
    <row r="2786" spans="1:4" ht="9" customHeight="1" x14ac:dyDescent="0.25">
      <c r="A2786" s="1059">
        <v>2003551</v>
      </c>
      <c r="B2786" s="1060" t="s">
        <v>24444</v>
      </c>
      <c r="C2786" s="1059" t="s">
        <v>3</v>
      </c>
      <c r="D2786" s="1061">
        <v>8295.2900000000009</v>
      </c>
    </row>
    <row r="2787" spans="1:4" ht="9" customHeight="1" x14ac:dyDescent="0.25">
      <c r="A2787" s="1059">
        <v>2003550</v>
      </c>
      <c r="B2787" s="1060" t="s">
        <v>24445</v>
      </c>
      <c r="C2787" s="1059" t="s">
        <v>3</v>
      </c>
      <c r="D2787" s="1061">
        <v>7730.09</v>
      </c>
    </row>
    <row r="2788" spans="1:4" ht="9" customHeight="1" x14ac:dyDescent="0.25">
      <c r="A2788" s="1059">
        <v>2003513</v>
      </c>
      <c r="B2788" s="1060" t="s">
        <v>24446</v>
      </c>
      <c r="C2788" s="1059" t="s">
        <v>3</v>
      </c>
      <c r="D2788" s="1061">
        <v>7889.67</v>
      </c>
    </row>
    <row r="2789" spans="1:4" ht="9" customHeight="1" x14ac:dyDescent="0.25">
      <c r="A2789" s="1059">
        <v>2003512</v>
      </c>
      <c r="B2789" s="1060" t="s">
        <v>24447</v>
      </c>
      <c r="C2789" s="1059" t="s">
        <v>3</v>
      </c>
      <c r="D2789" s="1061">
        <v>7325.74</v>
      </c>
    </row>
    <row r="2790" spans="1:4" ht="9" customHeight="1" x14ac:dyDescent="0.25">
      <c r="A2790" s="1059">
        <v>2003553</v>
      </c>
      <c r="B2790" s="1060" t="s">
        <v>24448</v>
      </c>
      <c r="C2790" s="1059" t="s">
        <v>3</v>
      </c>
      <c r="D2790" s="1061">
        <v>8251.2000000000007</v>
      </c>
    </row>
    <row r="2791" spans="1:4" ht="9" customHeight="1" x14ac:dyDescent="0.25">
      <c r="A2791" s="1059">
        <v>2003552</v>
      </c>
      <c r="B2791" s="1060" t="s">
        <v>24449</v>
      </c>
      <c r="C2791" s="1059" t="s">
        <v>3</v>
      </c>
      <c r="D2791" s="1061">
        <v>7699.15</v>
      </c>
    </row>
    <row r="2792" spans="1:4" ht="9" customHeight="1" x14ac:dyDescent="0.25">
      <c r="A2792" s="1059">
        <v>2003515</v>
      </c>
      <c r="B2792" s="1060" t="s">
        <v>24450</v>
      </c>
      <c r="C2792" s="1059" t="s">
        <v>3</v>
      </c>
      <c r="D2792" s="1061">
        <v>7845.58</v>
      </c>
    </row>
    <row r="2793" spans="1:4" ht="9" customHeight="1" x14ac:dyDescent="0.25">
      <c r="A2793" s="1059">
        <v>2003514</v>
      </c>
      <c r="B2793" s="1060" t="s">
        <v>24451</v>
      </c>
      <c r="C2793" s="1059" t="s">
        <v>3</v>
      </c>
      <c r="D2793" s="1061">
        <v>7294.8</v>
      </c>
    </row>
    <row r="2794" spans="1:4" ht="9" customHeight="1" x14ac:dyDescent="0.25">
      <c r="A2794" s="1059">
        <v>2003555</v>
      </c>
      <c r="B2794" s="1060" t="s">
        <v>24452</v>
      </c>
      <c r="C2794" s="1059" t="s">
        <v>3</v>
      </c>
      <c r="D2794" s="1061">
        <v>8207.11</v>
      </c>
    </row>
    <row r="2795" spans="1:4" ht="9" customHeight="1" x14ac:dyDescent="0.25">
      <c r="A2795" s="1059">
        <v>2003554</v>
      </c>
      <c r="B2795" s="1060" t="s">
        <v>24453</v>
      </c>
      <c r="C2795" s="1059" t="s">
        <v>3</v>
      </c>
      <c r="D2795" s="1061">
        <v>7668.2</v>
      </c>
    </row>
    <row r="2796" spans="1:4" ht="9" customHeight="1" x14ac:dyDescent="0.25">
      <c r="A2796" s="1059">
        <v>2003728</v>
      </c>
      <c r="B2796" s="1060" t="s">
        <v>24454</v>
      </c>
      <c r="C2796" s="1059" t="s">
        <v>3</v>
      </c>
      <c r="D2796" s="1061">
        <v>3504.38</v>
      </c>
    </row>
    <row r="2797" spans="1:4" ht="9" customHeight="1" x14ac:dyDescent="0.25">
      <c r="A2797" s="1059">
        <v>2003727</v>
      </c>
      <c r="B2797" s="1060" t="s">
        <v>24455</v>
      </c>
      <c r="C2797" s="1059" t="s">
        <v>3</v>
      </c>
      <c r="D2797" s="1061">
        <v>3207.33</v>
      </c>
    </row>
    <row r="2798" spans="1:4" ht="9" customHeight="1" x14ac:dyDescent="0.25">
      <c r="A2798" s="1059">
        <v>2003730</v>
      </c>
      <c r="B2798" s="1060" t="s">
        <v>24456</v>
      </c>
      <c r="C2798" s="1059" t="s">
        <v>3</v>
      </c>
      <c r="D2798" s="1061">
        <v>3460.29</v>
      </c>
    </row>
    <row r="2799" spans="1:4" ht="9" customHeight="1" x14ac:dyDescent="0.25">
      <c r="A2799" s="1059">
        <v>2003729</v>
      </c>
      <c r="B2799" s="1060" t="s">
        <v>24457</v>
      </c>
      <c r="C2799" s="1059" t="s">
        <v>3</v>
      </c>
      <c r="D2799" s="1061">
        <v>3176.38</v>
      </c>
    </row>
    <row r="2800" spans="1:4" ht="9" customHeight="1" x14ac:dyDescent="0.25">
      <c r="A2800" s="1059">
        <v>2003732</v>
      </c>
      <c r="B2800" s="1060" t="s">
        <v>24458</v>
      </c>
      <c r="C2800" s="1059" t="s">
        <v>3</v>
      </c>
      <c r="D2800" s="1061">
        <v>3420.61</v>
      </c>
    </row>
    <row r="2801" spans="1:4" ht="9" customHeight="1" x14ac:dyDescent="0.25">
      <c r="A2801" s="1059">
        <v>2003731</v>
      </c>
      <c r="B2801" s="1060" t="s">
        <v>24459</v>
      </c>
      <c r="C2801" s="1059" t="s">
        <v>3</v>
      </c>
      <c r="D2801" s="1061">
        <v>3148.53</v>
      </c>
    </row>
    <row r="2802" spans="1:4" ht="9" customHeight="1" x14ac:dyDescent="0.25">
      <c r="A2802" s="1059">
        <v>2003734</v>
      </c>
      <c r="B2802" s="1060" t="s">
        <v>24460</v>
      </c>
      <c r="C2802" s="1059" t="s">
        <v>3</v>
      </c>
      <c r="D2802" s="1061">
        <v>3372.11</v>
      </c>
    </row>
    <row r="2803" spans="1:4" ht="9" customHeight="1" x14ac:dyDescent="0.25">
      <c r="A2803" s="1059">
        <v>2003733</v>
      </c>
      <c r="B2803" s="1060" t="s">
        <v>24461</v>
      </c>
      <c r="C2803" s="1059" t="s">
        <v>3</v>
      </c>
      <c r="D2803" s="1061">
        <v>3114.49</v>
      </c>
    </row>
    <row r="2804" spans="1:4" ht="9" customHeight="1" x14ac:dyDescent="0.25">
      <c r="A2804" s="1059">
        <v>2003736</v>
      </c>
      <c r="B2804" s="1060" t="s">
        <v>24462</v>
      </c>
      <c r="C2804" s="1059" t="s">
        <v>3</v>
      </c>
      <c r="D2804" s="1061">
        <v>4620.46</v>
      </c>
    </row>
    <row r="2805" spans="1:4" ht="9" customHeight="1" x14ac:dyDescent="0.25">
      <c r="A2805" s="1059">
        <v>2003735</v>
      </c>
      <c r="B2805" s="1060" t="s">
        <v>24463</v>
      </c>
      <c r="C2805" s="1059" t="s">
        <v>3</v>
      </c>
      <c r="D2805" s="1061">
        <v>4251.1099999999997</v>
      </c>
    </row>
    <row r="2806" spans="1:4" ht="9" customHeight="1" x14ac:dyDescent="0.25">
      <c r="A2806" s="1059">
        <v>2003738</v>
      </c>
      <c r="B2806" s="1060" t="s">
        <v>24464</v>
      </c>
      <c r="C2806" s="1059" t="s">
        <v>3</v>
      </c>
      <c r="D2806" s="1061">
        <v>4576.37</v>
      </c>
    </row>
    <row r="2807" spans="1:4" ht="9" customHeight="1" x14ac:dyDescent="0.25">
      <c r="A2807" s="1059">
        <v>2003737</v>
      </c>
      <c r="B2807" s="1060" t="s">
        <v>24465</v>
      </c>
      <c r="C2807" s="1059" t="s">
        <v>3</v>
      </c>
      <c r="D2807" s="1061">
        <v>4220.17</v>
      </c>
    </row>
    <row r="2808" spans="1:4" ht="9" customHeight="1" x14ac:dyDescent="0.25">
      <c r="A2808" s="1059">
        <v>2003740</v>
      </c>
      <c r="B2808" s="1060" t="s">
        <v>24466</v>
      </c>
      <c r="C2808" s="1059" t="s">
        <v>3</v>
      </c>
      <c r="D2808" s="1061">
        <v>4536.6899999999996</v>
      </c>
    </row>
    <row r="2809" spans="1:4" ht="9" customHeight="1" x14ac:dyDescent="0.25">
      <c r="A2809" s="1059">
        <v>2003739</v>
      </c>
      <c r="B2809" s="1060" t="s">
        <v>24467</v>
      </c>
      <c r="C2809" s="1059" t="s">
        <v>3</v>
      </c>
      <c r="D2809" s="1061">
        <v>4192.32</v>
      </c>
    </row>
    <row r="2810" spans="1:4" ht="9" customHeight="1" x14ac:dyDescent="0.25">
      <c r="A2810" s="1059">
        <v>2003742</v>
      </c>
      <c r="B2810" s="1060" t="s">
        <v>24468</v>
      </c>
      <c r="C2810" s="1059" t="s">
        <v>3</v>
      </c>
      <c r="D2810" s="1061">
        <v>4664.55</v>
      </c>
    </row>
    <row r="2811" spans="1:4" ht="9" customHeight="1" x14ac:dyDescent="0.25">
      <c r="A2811" s="1059">
        <v>2003741</v>
      </c>
      <c r="B2811" s="1060" t="s">
        <v>24469</v>
      </c>
      <c r="C2811" s="1059" t="s">
        <v>3</v>
      </c>
      <c r="D2811" s="1061">
        <v>4282.0600000000004</v>
      </c>
    </row>
    <row r="2812" spans="1:4" ht="9" customHeight="1" x14ac:dyDescent="0.25">
      <c r="A2812" s="1059">
        <v>2003744</v>
      </c>
      <c r="B2812" s="1060" t="s">
        <v>24470</v>
      </c>
      <c r="C2812" s="1059" t="s">
        <v>3</v>
      </c>
      <c r="D2812" s="1061">
        <v>5559.39</v>
      </c>
    </row>
    <row r="2813" spans="1:4" ht="9" customHeight="1" x14ac:dyDescent="0.25">
      <c r="A2813" s="1059">
        <v>2003743</v>
      </c>
      <c r="B2813" s="1060" t="s">
        <v>24471</v>
      </c>
      <c r="C2813" s="1059" t="s">
        <v>3</v>
      </c>
      <c r="D2813" s="1061">
        <v>5117.75</v>
      </c>
    </row>
    <row r="2814" spans="1:4" ht="9" customHeight="1" x14ac:dyDescent="0.25">
      <c r="A2814" s="1059">
        <v>2003746</v>
      </c>
      <c r="B2814" s="1060" t="s">
        <v>24472</v>
      </c>
      <c r="C2814" s="1059" t="s">
        <v>3</v>
      </c>
      <c r="D2814" s="1061">
        <v>5515.3</v>
      </c>
    </row>
    <row r="2815" spans="1:4" ht="9" customHeight="1" x14ac:dyDescent="0.25">
      <c r="A2815" s="1059">
        <v>2003745</v>
      </c>
      <c r="B2815" s="1060" t="s">
        <v>24473</v>
      </c>
      <c r="C2815" s="1059" t="s">
        <v>3</v>
      </c>
      <c r="D2815" s="1061">
        <v>5086.8100000000004</v>
      </c>
    </row>
    <row r="2816" spans="1:4" ht="9" customHeight="1" x14ac:dyDescent="0.25">
      <c r="A2816" s="1059">
        <v>2003748</v>
      </c>
      <c r="B2816" s="1060" t="s">
        <v>24474</v>
      </c>
      <c r="C2816" s="1059" t="s">
        <v>3</v>
      </c>
      <c r="D2816" s="1061">
        <v>5475.62</v>
      </c>
    </row>
    <row r="2817" spans="1:4" ht="9" customHeight="1" x14ac:dyDescent="0.25">
      <c r="A2817" s="1059">
        <v>2003747</v>
      </c>
      <c r="B2817" s="1060" t="s">
        <v>24475</v>
      </c>
      <c r="C2817" s="1059" t="s">
        <v>3</v>
      </c>
      <c r="D2817" s="1061">
        <v>5058.96</v>
      </c>
    </row>
    <row r="2818" spans="1:4" ht="9" customHeight="1" x14ac:dyDescent="0.25">
      <c r="A2818" s="1059">
        <v>2003750</v>
      </c>
      <c r="B2818" s="1060" t="s">
        <v>24476</v>
      </c>
      <c r="C2818" s="1059" t="s">
        <v>3</v>
      </c>
      <c r="D2818" s="1061">
        <v>5427.12</v>
      </c>
    </row>
    <row r="2819" spans="1:4" ht="9" customHeight="1" x14ac:dyDescent="0.25">
      <c r="A2819" s="1059">
        <v>2003749</v>
      </c>
      <c r="B2819" s="1060" t="s">
        <v>24477</v>
      </c>
      <c r="C2819" s="1059" t="s">
        <v>3</v>
      </c>
      <c r="D2819" s="1061">
        <v>5024.92</v>
      </c>
    </row>
    <row r="2820" spans="1:4" ht="9" customHeight="1" x14ac:dyDescent="0.25">
      <c r="A2820" s="1059">
        <v>2003752</v>
      </c>
      <c r="B2820" s="1060" t="s">
        <v>24478</v>
      </c>
      <c r="C2820" s="1059" t="s">
        <v>3</v>
      </c>
      <c r="D2820" s="1061">
        <v>6734.76</v>
      </c>
    </row>
    <row r="2821" spans="1:4" ht="9" customHeight="1" x14ac:dyDescent="0.25">
      <c r="A2821" s="1059">
        <v>2003751</v>
      </c>
      <c r="B2821" s="1060" t="s">
        <v>24479</v>
      </c>
      <c r="C2821" s="1059" t="s">
        <v>3</v>
      </c>
      <c r="D2821" s="1061">
        <v>6220.83</v>
      </c>
    </row>
    <row r="2822" spans="1:4" ht="9" customHeight="1" x14ac:dyDescent="0.25">
      <c r="A2822" s="1059">
        <v>2003754</v>
      </c>
      <c r="B2822" s="1060" t="s">
        <v>24480</v>
      </c>
      <c r="C2822" s="1059" t="s">
        <v>3</v>
      </c>
      <c r="D2822" s="1061">
        <v>6690.67</v>
      </c>
    </row>
    <row r="2823" spans="1:4" ht="9" customHeight="1" x14ac:dyDescent="0.25">
      <c r="A2823" s="1059">
        <v>2003753</v>
      </c>
      <c r="B2823" s="1060" t="s">
        <v>24481</v>
      </c>
      <c r="C2823" s="1059" t="s">
        <v>3</v>
      </c>
      <c r="D2823" s="1061">
        <v>6189.88</v>
      </c>
    </row>
    <row r="2824" spans="1:4" ht="9" customHeight="1" x14ac:dyDescent="0.25">
      <c r="A2824" s="1059">
        <v>2003756</v>
      </c>
      <c r="B2824" s="1060" t="s">
        <v>24482</v>
      </c>
      <c r="C2824" s="1059" t="s">
        <v>3</v>
      </c>
      <c r="D2824" s="1061">
        <v>6650.99</v>
      </c>
    </row>
    <row r="2825" spans="1:4" ht="9" customHeight="1" x14ac:dyDescent="0.25">
      <c r="A2825" s="1059">
        <v>2003755</v>
      </c>
      <c r="B2825" s="1060" t="s">
        <v>24483</v>
      </c>
      <c r="C2825" s="1059" t="s">
        <v>3</v>
      </c>
      <c r="D2825" s="1061">
        <v>6162.03</v>
      </c>
    </row>
    <row r="2826" spans="1:4" ht="9" customHeight="1" x14ac:dyDescent="0.25">
      <c r="A2826" s="1059">
        <v>2003758</v>
      </c>
      <c r="B2826" s="1060" t="s">
        <v>24484</v>
      </c>
      <c r="C2826" s="1059" t="s">
        <v>3</v>
      </c>
      <c r="D2826" s="1061">
        <v>6602.49</v>
      </c>
    </row>
    <row r="2827" spans="1:4" ht="9" customHeight="1" x14ac:dyDescent="0.25">
      <c r="A2827" s="1059">
        <v>2003757</v>
      </c>
      <c r="B2827" s="1060" t="s">
        <v>24485</v>
      </c>
      <c r="C2827" s="1059" t="s">
        <v>3</v>
      </c>
      <c r="D2827" s="1061">
        <v>6127.99</v>
      </c>
    </row>
    <row r="2828" spans="1:4" ht="9" customHeight="1" x14ac:dyDescent="0.25">
      <c r="A2828" s="1059">
        <v>2003760</v>
      </c>
      <c r="B2828" s="1060" t="s">
        <v>24486</v>
      </c>
      <c r="C2828" s="1059" t="s">
        <v>3</v>
      </c>
      <c r="D2828" s="1061">
        <v>6751.01</v>
      </c>
    </row>
    <row r="2829" spans="1:4" ht="9" customHeight="1" x14ac:dyDescent="0.25">
      <c r="A2829" s="1059">
        <v>2003759</v>
      </c>
      <c r="B2829" s="1060" t="s">
        <v>24487</v>
      </c>
      <c r="C2829" s="1059" t="s">
        <v>3</v>
      </c>
      <c r="D2829" s="1061">
        <v>6453.96</v>
      </c>
    </row>
    <row r="2830" spans="1:4" ht="9" customHeight="1" x14ac:dyDescent="0.25">
      <c r="A2830" s="1059">
        <v>2003762</v>
      </c>
      <c r="B2830" s="1060" t="s">
        <v>24488</v>
      </c>
      <c r="C2830" s="1059" t="s">
        <v>3</v>
      </c>
      <c r="D2830" s="1061">
        <v>7676.88</v>
      </c>
    </row>
    <row r="2831" spans="1:4" ht="9" customHeight="1" x14ac:dyDescent="0.25">
      <c r="A2831" s="1059">
        <v>2003761</v>
      </c>
      <c r="B2831" s="1060" t="s">
        <v>24489</v>
      </c>
      <c r="C2831" s="1059" t="s">
        <v>3</v>
      </c>
      <c r="D2831" s="1061">
        <v>7103.8</v>
      </c>
    </row>
    <row r="2832" spans="1:4" ht="9" customHeight="1" x14ac:dyDescent="0.25">
      <c r="A2832" s="1059">
        <v>2003764</v>
      </c>
      <c r="B2832" s="1060" t="s">
        <v>24490</v>
      </c>
      <c r="C2832" s="1059" t="s">
        <v>3</v>
      </c>
      <c r="D2832" s="1061">
        <v>7637.2</v>
      </c>
    </row>
    <row r="2833" spans="1:4" ht="9" customHeight="1" x14ac:dyDescent="0.25">
      <c r="A2833" s="1059">
        <v>2003763</v>
      </c>
      <c r="B2833" s="1060" t="s">
        <v>24491</v>
      </c>
      <c r="C2833" s="1059" t="s">
        <v>3</v>
      </c>
      <c r="D2833" s="1061">
        <v>7075.95</v>
      </c>
    </row>
    <row r="2834" spans="1:4" ht="9" customHeight="1" x14ac:dyDescent="0.25">
      <c r="A2834" s="1059">
        <v>2003766</v>
      </c>
      <c r="B2834" s="1060" t="s">
        <v>24492</v>
      </c>
      <c r="C2834" s="1059" t="s">
        <v>3</v>
      </c>
      <c r="D2834" s="1061">
        <v>7588.7</v>
      </c>
    </row>
    <row r="2835" spans="1:4" ht="9" customHeight="1" x14ac:dyDescent="0.25">
      <c r="A2835" s="1059">
        <v>2003765</v>
      </c>
      <c r="B2835" s="1060" t="s">
        <v>24493</v>
      </c>
      <c r="C2835" s="1059" t="s">
        <v>3</v>
      </c>
      <c r="D2835" s="1061">
        <v>7041.91</v>
      </c>
    </row>
    <row r="2836" spans="1:4" ht="9" customHeight="1" x14ac:dyDescent="0.25">
      <c r="A2836" s="1059">
        <v>2003642</v>
      </c>
      <c r="B2836" s="1060" t="s">
        <v>24494</v>
      </c>
      <c r="C2836" s="1059" t="s">
        <v>3</v>
      </c>
      <c r="D2836" s="1061">
        <v>1526.72</v>
      </c>
    </row>
    <row r="2837" spans="1:4" ht="9" customHeight="1" x14ac:dyDescent="0.25">
      <c r="A2837" s="1059">
        <v>2003641</v>
      </c>
      <c r="B2837" s="1060" t="s">
        <v>24495</v>
      </c>
      <c r="C2837" s="1059" t="s">
        <v>3</v>
      </c>
      <c r="D2837" s="1061">
        <v>1341.39</v>
      </c>
    </row>
    <row r="2838" spans="1:4" ht="9" customHeight="1" x14ac:dyDescent="0.25">
      <c r="A2838" s="1059">
        <v>2003644</v>
      </c>
      <c r="B2838" s="1060" t="s">
        <v>24496</v>
      </c>
      <c r="C2838" s="1059" t="s">
        <v>3</v>
      </c>
      <c r="D2838" s="1061">
        <v>1500.26</v>
      </c>
    </row>
    <row r="2839" spans="1:4" ht="9" customHeight="1" x14ac:dyDescent="0.25">
      <c r="A2839" s="1059">
        <v>2003643</v>
      </c>
      <c r="B2839" s="1060" t="s">
        <v>24497</v>
      </c>
      <c r="C2839" s="1059" t="s">
        <v>3</v>
      </c>
      <c r="D2839" s="1061">
        <v>1322.82</v>
      </c>
    </row>
    <row r="2840" spans="1:4" ht="9" customHeight="1" x14ac:dyDescent="0.25">
      <c r="A2840" s="1059">
        <v>2003646</v>
      </c>
      <c r="B2840" s="1060" t="s">
        <v>24498</v>
      </c>
      <c r="C2840" s="1059" t="s">
        <v>3</v>
      </c>
      <c r="D2840" s="1061">
        <v>2054.96</v>
      </c>
    </row>
    <row r="2841" spans="1:4" ht="9" customHeight="1" x14ac:dyDescent="0.25">
      <c r="A2841" s="1059">
        <v>2003645</v>
      </c>
      <c r="B2841" s="1060" t="s">
        <v>24499</v>
      </c>
      <c r="C2841" s="1059" t="s">
        <v>3</v>
      </c>
      <c r="D2841" s="1061">
        <v>1799.97</v>
      </c>
    </row>
    <row r="2842" spans="1:4" ht="9" customHeight="1" x14ac:dyDescent="0.25">
      <c r="A2842" s="1059">
        <v>2003648</v>
      </c>
      <c r="B2842" s="1060" t="s">
        <v>24500</v>
      </c>
      <c r="C2842" s="1059" t="s">
        <v>3</v>
      </c>
      <c r="D2842" s="1061">
        <v>2648.39</v>
      </c>
    </row>
    <row r="2843" spans="1:4" ht="9" customHeight="1" x14ac:dyDescent="0.25">
      <c r="A2843" s="1059">
        <v>2003647</v>
      </c>
      <c r="B2843" s="1060" t="s">
        <v>24501</v>
      </c>
      <c r="C2843" s="1059" t="s">
        <v>3</v>
      </c>
      <c r="D2843" s="1061">
        <v>2327.6799999999998</v>
      </c>
    </row>
    <row r="2844" spans="1:4" ht="9" customHeight="1" x14ac:dyDescent="0.25">
      <c r="A2844" s="1059">
        <v>2003650</v>
      </c>
      <c r="B2844" s="1060" t="s">
        <v>24502</v>
      </c>
      <c r="C2844" s="1059" t="s">
        <v>3</v>
      </c>
      <c r="D2844" s="1061">
        <v>3154</v>
      </c>
    </row>
    <row r="2845" spans="1:4" ht="9" customHeight="1" x14ac:dyDescent="0.25">
      <c r="A2845" s="1059">
        <v>2003649</v>
      </c>
      <c r="B2845" s="1060" t="s">
        <v>24503</v>
      </c>
      <c r="C2845" s="1059" t="s">
        <v>3</v>
      </c>
      <c r="D2845" s="1061">
        <v>2783.34</v>
      </c>
    </row>
    <row r="2846" spans="1:4" ht="9" customHeight="1" x14ac:dyDescent="0.25">
      <c r="A2846" s="1059">
        <v>2003652</v>
      </c>
      <c r="B2846" s="1060" t="s">
        <v>24504</v>
      </c>
      <c r="C2846" s="1059" t="s">
        <v>3</v>
      </c>
      <c r="D2846" s="1061">
        <v>4048.65</v>
      </c>
    </row>
    <row r="2847" spans="1:4" ht="9" customHeight="1" x14ac:dyDescent="0.25">
      <c r="A2847" s="1059">
        <v>2003651</v>
      </c>
      <c r="B2847" s="1060" t="s">
        <v>24505</v>
      </c>
      <c r="C2847" s="1059" t="s">
        <v>3</v>
      </c>
      <c r="D2847" s="1061">
        <v>3600.44</v>
      </c>
    </row>
    <row r="2848" spans="1:4" ht="9" customHeight="1" x14ac:dyDescent="0.25">
      <c r="A2848" s="1059">
        <v>2003654</v>
      </c>
      <c r="B2848" s="1060" t="s">
        <v>24506</v>
      </c>
      <c r="C2848" s="1059" t="s">
        <v>3</v>
      </c>
      <c r="D2848" s="1061">
        <v>1824.26</v>
      </c>
    </row>
    <row r="2849" spans="1:4" ht="9" customHeight="1" x14ac:dyDescent="0.25">
      <c r="A2849" s="1059">
        <v>2003653</v>
      </c>
      <c r="B2849" s="1060" t="s">
        <v>24507</v>
      </c>
      <c r="C2849" s="1059" t="s">
        <v>3</v>
      </c>
      <c r="D2849" s="1061">
        <v>1603.44</v>
      </c>
    </row>
    <row r="2850" spans="1:4" ht="9" customHeight="1" x14ac:dyDescent="0.25">
      <c r="A2850" s="1059">
        <v>2003656</v>
      </c>
      <c r="B2850" s="1060" t="s">
        <v>24508</v>
      </c>
      <c r="C2850" s="1059" t="s">
        <v>3</v>
      </c>
      <c r="D2850" s="1061">
        <v>1793.39</v>
      </c>
    </row>
    <row r="2851" spans="1:4" ht="9" customHeight="1" x14ac:dyDescent="0.25">
      <c r="A2851" s="1059">
        <v>2003655</v>
      </c>
      <c r="B2851" s="1060" t="s">
        <v>24509</v>
      </c>
      <c r="C2851" s="1059" t="s">
        <v>3</v>
      </c>
      <c r="D2851" s="1061">
        <v>1581.78</v>
      </c>
    </row>
    <row r="2852" spans="1:4" ht="9" customHeight="1" x14ac:dyDescent="0.25">
      <c r="A2852" s="1059">
        <v>2003658</v>
      </c>
      <c r="B2852" s="1060" t="s">
        <v>24510</v>
      </c>
      <c r="C2852" s="1059" t="s">
        <v>3</v>
      </c>
      <c r="D2852" s="1061">
        <v>2396.8000000000002</v>
      </c>
    </row>
    <row r="2853" spans="1:4" ht="9" customHeight="1" x14ac:dyDescent="0.25">
      <c r="A2853" s="1059">
        <v>2003657</v>
      </c>
      <c r="B2853" s="1060" t="s">
        <v>24511</v>
      </c>
      <c r="C2853" s="1059" t="s">
        <v>3</v>
      </c>
      <c r="D2853" s="1061">
        <v>2098.44</v>
      </c>
    </row>
    <row r="2854" spans="1:4" ht="9" customHeight="1" x14ac:dyDescent="0.25">
      <c r="A2854" s="1059">
        <v>2003660</v>
      </c>
      <c r="B2854" s="1060" t="s">
        <v>24512</v>
      </c>
      <c r="C2854" s="1059" t="s">
        <v>3</v>
      </c>
      <c r="D2854" s="1061">
        <v>3013.33</v>
      </c>
    </row>
    <row r="2855" spans="1:4" ht="9" customHeight="1" x14ac:dyDescent="0.25">
      <c r="A2855" s="1059">
        <v>2003659</v>
      </c>
      <c r="B2855" s="1060" t="s">
        <v>24513</v>
      </c>
      <c r="C2855" s="1059" t="s">
        <v>3</v>
      </c>
      <c r="D2855" s="1061">
        <v>2646.61</v>
      </c>
    </row>
    <row r="2856" spans="1:4" ht="9" customHeight="1" x14ac:dyDescent="0.25">
      <c r="A2856" s="1059">
        <v>2003662</v>
      </c>
      <c r="B2856" s="1060" t="s">
        <v>24514</v>
      </c>
      <c r="C2856" s="1059" t="s">
        <v>3</v>
      </c>
      <c r="D2856" s="1061">
        <v>3546.45</v>
      </c>
    </row>
    <row r="2857" spans="1:4" ht="9" customHeight="1" x14ac:dyDescent="0.25">
      <c r="A2857" s="1059">
        <v>2003661</v>
      </c>
      <c r="B2857" s="1060" t="s">
        <v>24515</v>
      </c>
      <c r="C2857" s="1059" t="s">
        <v>3</v>
      </c>
      <c r="D2857" s="1061">
        <v>3125.84</v>
      </c>
    </row>
    <row r="2858" spans="1:4" ht="9" customHeight="1" x14ac:dyDescent="0.25">
      <c r="A2858" s="1059">
        <v>2003664</v>
      </c>
      <c r="B2858" s="1060" t="s">
        <v>24516</v>
      </c>
      <c r="C2858" s="1059" t="s">
        <v>3</v>
      </c>
      <c r="D2858" s="1061">
        <v>4380.79</v>
      </c>
    </row>
    <row r="2859" spans="1:4" ht="9" customHeight="1" x14ac:dyDescent="0.25">
      <c r="A2859" s="1059">
        <v>2003663</v>
      </c>
      <c r="B2859" s="1060" t="s">
        <v>24517</v>
      </c>
      <c r="C2859" s="1059" t="s">
        <v>3</v>
      </c>
      <c r="D2859" s="1061">
        <v>3878.69</v>
      </c>
    </row>
    <row r="2860" spans="1:4" ht="9" customHeight="1" x14ac:dyDescent="0.25">
      <c r="A2860" s="1059">
        <v>2003666</v>
      </c>
      <c r="B2860" s="1060" t="s">
        <v>24518</v>
      </c>
      <c r="C2860" s="1059" t="s">
        <v>3</v>
      </c>
      <c r="D2860" s="1061">
        <v>2126.21</v>
      </c>
    </row>
    <row r="2861" spans="1:4" ht="9" customHeight="1" x14ac:dyDescent="0.25">
      <c r="A2861" s="1059">
        <v>2003665</v>
      </c>
      <c r="B2861" s="1060" t="s">
        <v>24519</v>
      </c>
      <c r="C2861" s="1059" t="s">
        <v>3</v>
      </c>
      <c r="D2861" s="1061">
        <v>1868.58</v>
      </c>
    </row>
    <row r="2862" spans="1:4" ht="9" customHeight="1" x14ac:dyDescent="0.25">
      <c r="A2862" s="1059">
        <v>2003668</v>
      </c>
      <c r="B2862" s="1060" t="s">
        <v>24520</v>
      </c>
      <c r="C2862" s="1059" t="s">
        <v>3</v>
      </c>
      <c r="D2862" s="1061">
        <v>2099.75</v>
      </c>
    </row>
    <row r="2863" spans="1:4" ht="9" customHeight="1" x14ac:dyDescent="0.25">
      <c r="A2863" s="1059">
        <v>2003667</v>
      </c>
      <c r="B2863" s="1060" t="s">
        <v>24521</v>
      </c>
      <c r="C2863" s="1059" t="s">
        <v>3</v>
      </c>
      <c r="D2863" s="1061">
        <v>1850.02</v>
      </c>
    </row>
    <row r="2864" spans="1:4" ht="9" customHeight="1" x14ac:dyDescent="0.25">
      <c r="A2864" s="1059">
        <v>2003670</v>
      </c>
      <c r="B2864" s="1060" t="s">
        <v>24522</v>
      </c>
      <c r="C2864" s="1059" t="s">
        <v>3</v>
      </c>
      <c r="D2864" s="1061">
        <v>2751.87</v>
      </c>
    </row>
    <row r="2865" spans="1:4" ht="9" customHeight="1" x14ac:dyDescent="0.25">
      <c r="A2865" s="1059">
        <v>2003669</v>
      </c>
      <c r="B2865" s="1060" t="s">
        <v>24523</v>
      </c>
      <c r="C2865" s="1059" t="s">
        <v>3</v>
      </c>
      <c r="D2865" s="1061">
        <v>2406.19</v>
      </c>
    </row>
    <row r="2866" spans="1:4" ht="9" customHeight="1" x14ac:dyDescent="0.25">
      <c r="A2866" s="1059">
        <v>2003672</v>
      </c>
      <c r="B2866" s="1060" t="s">
        <v>24524</v>
      </c>
      <c r="C2866" s="1059" t="s">
        <v>3</v>
      </c>
      <c r="D2866" s="1061">
        <v>3400.32</v>
      </c>
    </row>
    <row r="2867" spans="1:4" ht="9" customHeight="1" x14ac:dyDescent="0.25">
      <c r="A2867" s="1059">
        <v>2003671</v>
      </c>
      <c r="B2867" s="1060" t="s">
        <v>24525</v>
      </c>
      <c r="C2867" s="1059" t="s">
        <v>3</v>
      </c>
      <c r="D2867" s="1061">
        <v>2981.02</v>
      </c>
    </row>
    <row r="2868" spans="1:4" ht="9" customHeight="1" x14ac:dyDescent="0.25">
      <c r="A2868" s="1059">
        <v>2003674</v>
      </c>
      <c r="B2868" s="1060" t="s">
        <v>24526</v>
      </c>
      <c r="C2868" s="1059" t="s">
        <v>3</v>
      </c>
      <c r="D2868" s="1061">
        <v>3956.54</v>
      </c>
    </row>
    <row r="2869" spans="1:4" ht="9" customHeight="1" x14ac:dyDescent="0.25">
      <c r="A2869" s="1059">
        <v>2003673</v>
      </c>
      <c r="B2869" s="1060" t="s">
        <v>24527</v>
      </c>
      <c r="C2869" s="1059" t="s">
        <v>3</v>
      </c>
      <c r="D2869" s="1061">
        <v>3480.72</v>
      </c>
    </row>
    <row r="2870" spans="1:4" ht="9" customHeight="1" x14ac:dyDescent="0.25">
      <c r="A2870" s="1059">
        <v>2003676</v>
      </c>
      <c r="B2870" s="1060" t="s">
        <v>24528</v>
      </c>
      <c r="C2870" s="1059" t="s">
        <v>3</v>
      </c>
      <c r="D2870" s="1061">
        <v>4834.33</v>
      </c>
    </row>
    <row r="2871" spans="1:4" ht="9" customHeight="1" x14ac:dyDescent="0.25">
      <c r="A2871" s="1059">
        <v>2003675</v>
      </c>
      <c r="B2871" s="1060" t="s">
        <v>24529</v>
      </c>
      <c r="C2871" s="1059" t="s">
        <v>3</v>
      </c>
      <c r="D2871" s="1061">
        <v>4270.46</v>
      </c>
    </row>
    <row r="2872" spans="1:4" ht="9" customHeight="1" x14ac:dyDescent="0.25">
      <c r="A2872" s="1059">
        <v>2003854</v>
      </c>
      <c r="B2872" s="1060" t="s">
        <v>24530</v>
      </c>
      <c r="C2872" s="1059" t="s">
        <v>38</v>
      </c>
      <c r="D2872" s="1061">
        <v>161.93</v>
      </c>
    </row>
    <row r="2873" spans="1:4" ht="9" customHeight="1" x14ac:dyDescent="0.25">
      <c r="A2873" s="1059">
        <v>2003855</v>
      </c>
      <c r="B2873" s="1060" t="s">
        <v>24531</v>
      </c>
      <c r="C2873" s="1059" t="s">
        <v>38</v>
      </c>
      <c r="D2873" s="1061">
        <v>17.399999999999999</v>
      </c>
    </row>
    <row r="2874" spans="1:4" ht="9" customHeight="1" x14ac:dyDescent="0.25">
      <c r="A2874" s="1059">
        <v>2003856</v>
      </c>
      <c r="B2874" s="1060" t="s">
        <v>24532</v>
      </c>
      <c r="C2874" s="1059" t="s">
        <v>38</v>
      </c>
      <c r="D2874" s="1061">
        <v>145.31</v>
      </c>
    </row>
    <row r="2875" spans="1:4" ht="9" customHeight="1" x14ac:dyDescent="0.25">
      <c r="A2875" s="1059">
        <v>2003857</v>
      </c>
      <c r="B2875" s="1060" t="s">
        <v>24533</v>
      </c>
      <c r="C2875" s="1059" t="s">
        <v>38</v>
      </c>
      <c r="D2875" s="1061">
        <v>67.56</v>
      </c>
    </row>
    <row r="2876" spans="1:4" ht="18" customHeight="1" x14ac:dyDescent="0.25">
      <c r="A2876" s="1059">
        <v>2019782</v>
      </c>
      <c r="B2876" s="1060" t="s">
        <v>24534</v>
      </c>
      <c r="C2876" s="1059" t="s">
        <v>2</v>
      </c>
      <c r="D2876" s="1061">
        <v>852.92</v>
      </c>
    </row>
    <row r="2877" spans="1:4" ht="18" customHeight="1" x14ac:dyDescent="0.25">
      <c r="A2877" s="1059">
        <v>2019783</v>
      </c>
      <c r="B2877" s="1060" t="s">
        <v>24535</v>
      </c>
      <c r="C2877" s="1059" t="s">
        <v>2</v>
      </c>
      <c r="D2877" s="1061">
        <v>1314.77</v>
      </c>
    </row>
    <row r="2878" spans="1:4" ht="18" customHeight="1" x14ac:dyDescent="0.25">
      <c r="A2878" s="1059">
        <v>2019784</v>
      </c>
      <c r="B2878" s="1060" t="s">
        <v>24536</v>
      </c>
      <c r="C2878" s="1059" t="s">
        <v>2</v>
      </c>
      <c r="D2878" s="1061">
        <v>1710.61</v>
      </c>
    </row>
    <row r="2879" spans="1:4" ht="18" customHeight="1" x14ac:dyDescent="0.25">
      <c r="A2879" s="1059">
        <v>2019785</v>
      </c>
      <c r="B2879" s="1060" t="s">
        <v>24537</v>
      </c>
      <c r="C2879" s="1059" t="s">
        <v>2</v>
      </c>
      <c r="D2879" s="1061">
        <v>2282.87</v>
      </c>
    </row>
    <row r="2880" spans="1:4" ht="18" customHeight="1" x14ac:dyDescent="0.25">
      <c r="A2880" s="1059">
        <v>2019776</v>
      </c>
      <c r="B2880" s="1060" t="s">
        <v>24538</v>
      </c>
      <c r="C2880" s="1059" t="s">
        <v>2</v>
      </c>
      <c r="D2880" s="1061">
        <v>442.91</v>
      </c>
    </row>
    <row r="2881" spans="1:4" ht="18" customHeight="1" x14ac:dyDescent="0.25">
      <c r="A2881" s="1059">
        <v>2019777</v>
      </c>
      <c r="B2881" s="1060" t="s">
        <v>24539</v>
      </c>
      <c r="C2881" s="1059" t="s">
        <v>2</v>
      </c>
      <c r="D2881" s="1061">
        <v>959.65</v>
      </c>
    </row>
    <row r="2882" spans="1:4" ht="18" customHeight="1" x14ac:dyDescent="0.25">
      <c r="A2882" s="1059">
        <v>2019778</v>
      </c>
      <c r="B2882" s="1060" t="s">
        <v>24540</v>
      </c>
      <c r="C2882" s="1059" t="s">
        <v>2</v>
      </c>
      <c r="D2882" s="1061">
        <v>1883.34</v>
      </c>
    </row>
    <row r="2883" spans="1:4" ht="18" customHeight="1" x14ac:dyDescent="0.25">
      <c r="A2883" s="1059">
        <v>2019779</v>
      </c>
      <c r="B2883" s="1060" t="s">
        <v>24541</v>
      </c>
      <c r="C2883" s="1059" t="s">
        <v>2</v>
      </c>
      <c r="D2883" s="1061">
        <v>577.4</v>
      </c>
    </row>
    <row r="2884" spans="1:4" ht="18" customHeight="1" x14ac:dyDescent="0.25">
      <c r="A2884" s="1059">
        <v>2019780</v>
      </c>
      <c r="B2884" s="1060" t="s">
        <v>24542</v>
      </c>
      <c r="C2884" s="1059" t="s">
        <v>2</v>
      </c>
      <c r="D2884" s="1061">
        <v>704.57</v>
      </c>
    </row>
    <row r="2885" spans="1:4" ht="18" customHeight="1" x14ac:dyDescent="0.25">
      <c r="A2885" s="1059">
        <v>2019781</v>
      </c>
      <c r="B2885" s="1060" t="s">
        <v>24543</v>
      </c>
      <c r="C2885" s="1059" t="s">
        <v>2</v>
      </c>
      <c r="D2885" s="1061">
        <v>881.56</v>
      </c>
    </row>
    <row r="2886" spans="1:4" ht="18" customHeight="1" x14ac:dyDescent="0.25">
      <c r="A2886" s="1059">
        <v>2019773</v>
      </c>
      <c r="B2886" s="1060" t="s">
        <v>24544</v>
      </c>
      <c r="C2886" s="1059" t="s">
        <v>2</v>
      </c>
      <c r="D2886" s="1061">
        <v>296.11</v>
      </c>
    </row>
    <row r="2887" spans="1:4" ht="18" customHeight="1" x14ac:dyDescent="0.25">
      <c r="A2887" s="1059">
        <v>2019774</v>
      </c>
      <c r="B2887" s="1060" t="s">
        <v>24545</v>
      </c>
      <c r="C2887" s="1059" t="s">
        <v>2</v>
      </c>
      <c r="D2887" s="1061">
        <v>317.32</v>
      </c>
    </row>
    <row r="2888" spans="1:4" ht="18" customHeight="1" x14ac:dyDescent="0.25">
      <c r="A2888" s="1059">
        <v>2019775</v>
      </c>
      <c r="B2888" s="1060" t="s">
        <v>24546</v>
      </c>
      <c r="C2888" s="1059" t="s">
        <v>2</v>
      </c>
      <c r="D2888" s="1061">
        <v>274.18</v>
      </c>
    </row>
    <row r="2889" spans="1:4" ht="18" customHeight="1" x14ac:dyDescent="0.25">
      <c r="A2889" s="1059">
        <v>2019755</v>
      </c>
      <c r="B2889" s="1060" t="s">
        <v>24547</v>
      </c>
      <c r="C2889" s="1059" t="s">
        <v>2</v>
      </c>
      <c r="D2889" s="1061">
        <v>406.86</v>
      </c>
    </row>
    <row r="2890" spans="1:4" ht="18" customHeight="1" x14ac:dyDescent="0.25">
      <c r="A2890" s="1059">
        <v>2019764</v>
      </c>
      <c r="B2890" s="1060" t="s">
        <v>24548</v>
      </c>
      <c r="C2890" s="1059" t="s">
        <v>2</v>
      </c>
      <c r="D2890" s="1061">
        <v>430.32</v>
      </c>
    </row>
    <row r="2891" spans="1:4" ht="18" customHeight="1" x14ac:dyDescent="0.25">
      <c r="A2891" s="1059">
        <v>2019756</v>
      </c>
      <c r="B2891" s="1060" t="s">
        <v>24549</v>
      </c>
      <c r="C2891" s="1059" t="s">
        <v>2</v>
      </c>
      <c r="D2891" s="1061">
        <v>696.73</v>
      </c>
    </row>
    <row r="2892" spans="1:4" ht="18" customHeight="1" x14ac:dyDescent="0.25">
      <c r="A2892" s="1059">
        <v>2019765</v>
      </c>
      <c r="B2892" s="1060" t="s">
        <v>24550</v>
      </c>
      <c r="C2892" s="1059" t="s">
        <v>2</v>
      </c>
      <c r="D2892" s="1061">
        <v>720.19</v>
      </c>
    </row>
    <row r="2893" spans="1:4" ht="18" customHeight="1" x14ac:dyDescent="0.25">
      <c r="A2893" s="1059">
        <v>2019757</v>
      </c>
      <c r="B2893" s="1060" t="s">
        <v>24551</v>
      </c>
      <c r="C2893" s="1059" t="s">
        <v>2</v>
      </c>
      <c r="D2893" s="1061">
        <v>714.75</v>
      </c>
    </row>
    <row r="2894" spans="1:4" ht="18" customHeight="1" x14ac:dyDescent="0.25">
      <c r="A2894" s="1059">
        <v>2019766</v>
      </c>
      <c r="B2894" s="1060" t="s">
        <v>24552</v>
      </c>
      <c r="C2894" s="1059" t="s">
        <v>2</v>
      </c>
      <c r="D2894" s="1061">
        <v>772.06</v>
      </c>
    </row>
    <row r="2895" spans="1:4" ht="18" customHeight="1" x14ac:dyDescent="0.25">
      <c r="A2895" s="1059">
        <v>2019758</v>
      </c>
      <c r="B2895" s="1060" t="s">
        <v>24553</v>
      </c>
      <c r="C2895" s="1059" t="s">
        <v>2</v>
      </c>
      <c r="D2895" s="1061">
        <v>717.89</v>
      </c>
    </row>
    <row r="2896" spans="1:4" ht="18" customHeight="1" x14ac:dyDescent="0.25">
      <c r="A2896" s="1059">
        <v>2019767</v>
      </c>
      <c r="B2896" s="1060" t="s">
        <v>24554</v>
      </c>
      <c r="C2896" s="1059" t="s">
        <v>2</v>
      </c>
      <c r="D2896" s="1061">
        <v>775.66</v>
      </c>
    </row>
    <row r="2897" spans="1:4" ht="18" customHeight="1" x14ac:dyDescent="0.25">
      <c r="A2897" s="1059">
        <v>2019759</v>
      </c>
      <c r="B2897" s="1060" t="s">
        <v>24555</v>
      </c>
      <c r="C2897" s="1059" t="s">
        <v>2</v>
      </c>
      <c r="D2897" s="1061">
        <v>791.51</v>
      </c>
    </row>
    <row r="2898" spans="1:4" ht="18" customHeight="1" x14ac:dyDescent="0.25">
      <c r="A2898" s="1059">
        <v>2019768</v>
      </c>
      <c r="B2898" s="1060" t="s">
        <v>24556</v>
      </c>
      <c r="C2898" s="1059" t="s">
        <v>2</v>
      </c>
      <c r="D2898" s="1061">
        <v>858.49</v>
      </c>
    </row>
    <row r="2899" spans="1:4" ht="18" customHeight="1" x14ac:dyDescent="0.25">
      <c r="A2899" s="1059">
        <v>2019760</v>
      </c>
      <c r="B2899" s="1060" t="s">
        <v>24557</v>
      </c>
      <c r="C2899" s="1059" t="s">
        <v>2</v>
      </c>
      <c r="D2899" s="1061">
        <v>1011.44</v>
      </c>
    </row>
    <row r="2900" spans="1:4" ht="18" customHeight="1" x14ac:dyDescent="0.25">
      <c r="A2900" s="1059">
        <v>2019769</v>
      </c>
      <c r="B2900" s="1060" t="s">
        <v>24558</v>
      </c>
      <c r="C2900" s="1059" t="s">
        <v>2</v>
      </c>
      <c r="D2900" s="1061">
        <v>1087.6300000000001</v>
      </c>
    </row>
    <row r="2901" spans="1:4" ht="18" customHeight="1" x14ac:dyDescent="0.25">
      <c r="A2901" s="1059">
        <v>2019761</v>
      </c>
      <c r="B2901" s="1060" t="s">
        <v>24559</v>
      </c>
      <c r="C2901" s="1059" t="s">
        <v>2</v>
      </c>
      <c r="D2901" s="1061">
        <v>936.26</v>
      </c>
    </row>
    <row r="2902" spans="1:4" ht="18" customHeight="1" x14ac:dyDescent="0.25">
      <c r="A2902" s="1059">
        <v>2019770</v>
      </c>
      <c r="B2902" s="1060" t="s">
        <v>24560</v>
      </c>
      <c r="C2902" s="1059" t="s">
        <v>2</v>
      </c>
      <c r="D2902" s="1061">
        <v>998.64</v>
      </c>
    </row>
    <row r="2903" spans="1:4" ht="18" customHeight="1" x14ac:dyDescent="0.25">
      <c r="A2903" s="1059">
        <v>2019762</v>
      </c>
      <c r="B2903" s="1060" t="s">
        <v>24561</v>
      </c>
      <c r="C2903" s="1059" t="s">
        <v>2</v>
      </c>
      <c r="D2903" s="1061">
        <v>1120.5899999999999</v>
      </c>
    </row>
    <row r="2904" spans="1:4" ht="18" customHeight="1" x14ac:dyDescent="0.25">
      <c r="A2904" s="1059">
        <v>2019771</v>
      </c>
      <c r="B2904" s="1060" t="s">
        <v>24562</v>
      </c>
      <c r="C2904" s="1059" t="s">
        <v>2</v>
      </c>
      <c r="D2904" s="1061">
        <v>1201.3900000000001</v>
      </c>
    </row>
    <row r="2905" spans="1:4" ht="18" customHeight="1" x14ac:dyDescent="0.25">
      <c r="A2905" s="1059">
        <v>2019763</v>
      </c>
      <c r="B2905" s="1060" t="s">
        <v>24563</v>
      </c>
      <c r="C2905" s="1059" t="s">
        <v>2</v>
      </c>
      <c r="D2905" s="1061">
        <v>4273.6000000000004</v>
      </c>
    </row>
    <row r="2906" spans="1:4" ht="18" customHeight="1" x14ac:dyDescent="0.25">
      <c r="A2906" s="1059">
        <v>2019772</v>
      </c>
      <c r="B2906" s="1060" t="s">
        <v>24564</v>
      </c>
      <c r="C2906" s="1059" t="s">
        <v>2</v>
      </c>
      <c r="D2906" s="1061">
        <v>4353.0200000000004</v>
      </c>
    </row>
    <row r="2907" spans="1:4" ht="9" customHeight="1" x14ac:dyDescent="0.25">
      <c r="A2907" s="1059">
        <v>2003811</v>
      </c>
      <c r="B2907" s="1060" t="s">
        <v>24565</v>
      </c>
      <c r="C2907" s="1059" t="s">
        <v>2</v>
      </c>
      <c r="D2907" s="1061">
        <v>131.93</v>
      </c>
    </row>
    <row r="2908" spans="1:4" ht="9" customHeight="1" x14ac:dyDescent="0.25">
      <c r="A2908" s="1059">
        <v>2003812</v>
      </c>
      <c r="B2908" s="1060" t="s">
        <v>24566</v>
      </c>
      <c r="C2908" s="1059" t="s">
        <v>2</v>
      </c>
      <c r="D2908" s="1061">
        <v>156.18</v>
      </c>
    </row>
    <row r="2909" spans="1:4" ht="9" customHeight="1" x14ac:dyDescent="0.25">
      <c r="A2909" s="1059">
        <v>2003813</v>
      </c>
      <c r="B2909" s="1060" t="s">
        <v>24567</v>
      </c>
      <c r="C2909" s="1059" t="s">
        <v>2</v>
      </c>
      <c r="D2909" s="1061">
        <v>186.44</v>
      </c>
    </row>
    <row r="2910" spans="1:4" ht="9" customHeight="1" x14ac:dyDescent="0.25">
      <c r="A2910" s="1059">
        <v>2003814</v>
      </c>
      <c r="B2910" s="1060" t="s">
        <v>24568</v>
      </c>
      <c r="C2910" s="1059" t="s">
        <v>2</v>
      </c>
      <c r="D2910" s="1061">
        <v>212.69</v>
      </c>
    </row>
    <row r="2911" spans="1:4" ht="9" customHeight="1" x14ac:dyDescent="0.25">
      <c r="A2911" s="1059">
        <v>2003815</v>
      </c>
      <c r="B2911" s="1060" t="s">
        <v>24569</v>
      </c>
      <c r="C2911" s="1059" t="s">
        <v>2</v>
      </c>
      <c r="D2911" s="1061">
        <v>238.94</v>
      </c>
    </row>
    <row r="2912" spans="1:4" ht="9" customHeight="1" x14ac:dyDescent="0.25">
      <c r="A2912" s="1059">
        <v>2003816</v>
      </c>
      <c r="B2912" s="1060" t="s">
        <v>24570</v>
      </c>
      <c r="C2912" s="1059" t="s">
        <v>2</v>
      </c>
      <c r="D2912" s="1061">
        <v>295.45</v>
      </c>
    </row>
    <row r="2913" spans="1:4" ht="9" customHeight="1" x14ac:dyDescent="0.25">
      <c r="A2913" s="1059">
        <v>2003817</v>
      </c>
      <c r="B2913" s="1060" t="s">
        <v>24571</v>
      </c>
      <c r="C2913" s="1059" t="s">
        <v>2</v>
      </c>
      <c r="D2913" s="1061">
        <v>345.96</v>
      </c>
    </row>
    <row r="2914" spans="1:4" ht="9" customHeight="1" x14ac:dyDescent="0.25">
      <c r="A2914" s="1059">
        <v>2003799</v>
      </c>
      <c r="B2914" s="1060" t="s">
        <v>24572</v>
      </c>
      <c r="C2914" s="1059" t="s">
        <v>2</v>
      </c>
      <c r="D2914" s="1061">
        <v>57.11</v>
      </c>
    </row>
    <row r="2915" spans="1:4" ht="9" customHeight="1" x14ac:dyDescent="0.25">
      <c r="A2915" s="1059">
        <v>2003798</v>
      </c>
      <c r="B2915" s="1060" t="s">
        <v>24573</v>
      </c>
      <c r="C2915" s="1059" t="s">
        <v>2</v>
      </c>
      <c r="D2915" s="1061">
        <v>48.09</v>
      </c>
    </row>
    <row r="2916" spans="1:4" ht="9" customHeight="1" x14ac:dyDescent="0.25">
      <c r="A2916" s="1059">
        <v>2003801</v>
      </c>
      <c r="B2916" s="1060" t="s">
        <v>24574</v>
      </c>
      <c r="C2916" s="1059" t="s">
        <v>2</v>
      </c>
      <c r="D2916" s="1061">
        <v>73.2</v>
      </c>
    </row>
    <row r="2917" spans="1:4" ht="9" customHeight="1" x14ac:dyDescent="0.25">
      <c r="A2917" s="1059">
        <v>2003800</v>
      </c>
      <c r="B2917" s="1060" t="s">
        <v>24575</v>
      </c>
      <c r="C2917" s="1059" t="s">
        <v>2</v>
      </c>
      <c r="D2917" s="1061">
        <v>60.6</v>
      </c>
    </row>
    <row r="2918" spans="1:4" ht="9" customHeight="1" x14ac:dyDescent="0.25">
      <c r="A2918" s="1059">
        <v>2003714</v>
      </c>
      <c r="B2918" s="1060" t="s">
        <v>24576</v>
      </c>
      <c r="C2918" s="1059" t="s">
        <v>3</v>
      </c>
      <c r="D2918" s="1061">
        <v>1394.98</v>
      </c>
    </row>
    <row r="2919" spans="1:4" ht="9" customHeight="1" x14ac:dyDescent="0.25">
      <c r="A2919" s="1059">
        <v>2003713</v>
      </c>
      <c r="B2919" s="1060" t="s">
        <v>24577</v>
      </c>
      <c r="C2919" s="1059" t="s">
        <v>3</v>
      </c>
      <c r="D2919" s="1061">
        <v>1354.59</v>
      </c>
    </row>
    <row r="2920" spans="1:4" ht="9" customHeight="1" x14ac:dyDescent="0.25">
      <c r="A2920" s="1059">
        <v>2003716</v>
      </c>
      <c r="B2920" s="1060" t="s">
        <v>24578</v>
      </c>
      <c r="C2920" s="1059" t="s">
        <v>3</v>
      </c>
      <c r="D2920" s="1061">
        <v>1630.06</v>
      </c>
    </row>
    <row r="2921" spans="1:4" ht="9" customHeight="1" x14ac:dyDescent="0.25">
      <c r="A2921" s="1059">
        <v>2003715</v>
      </c>
      <c r="B2921" s="1060" t="s">
        <v>24579</v>
      </c>
      <c r="C2921" s="1059" t="s">
        <v>3</v>
      </c>
      <c r="D2921" s="1061">
        <v>1582.6</v>
      </c>
    </row>
    <row r="2922" spans="1:4" ht="9" customHeight="1" x14ac:dyDescent="0.25">
      <c r="A2922" s="1059">
        <v>2003718</v>
      </c>
      <c r="B2922" s="1060" t="s">
        <v>24580</v>
      </c>
      <c r="C2922" s="1059" t="s">
        <v>3</v>
      </c>
      <c r="D2922" s="1061">
        <v>1859.08</v>
      </c>
    </row>
    <row r="2923" spans="1:4" ht="9" customHeight="1" x14ac:dyDescent="0.25">
      <c r="A2923" s="1059">
        <v>2003717</v>
      </c>
      <c r="B2923" s="1060" t="s">
        <v>24581</v>
      </c>
      <c r="C2923" s="1059" t="s">
        <v>3</v>
      </c>
      <c r="D2923" s="1061">
        <v>1805.85</v>
      </c>
    </row>
    <row r="2924" spans="1:4" ht="9" customHeight="1" x14ac:dyDescent="0.25">
      <c r="A2924" s="1059">
        <v>2003720</v>
      </c>
      <c r="B2924" s="1060" t="s">
        <v>24582</v>
      </c>
      <c r="C2924" s="1059" t="s">
        <v>3</v>
      </c>
      <c r="D2924" s="1061">
        <v>2094.12</v>
      </c>
    </row>
    <row r="2925" spans="1:4" ht="9" customHeight="1" x14ac:dyDescent="0.25">
      <c r="A2925" s="1059">
        <v>2003719</v>
      </c>
      <c r="B2925" s="1060" t="s">
        <v>24583</v>
      </c>
      <c r="C2925" s="1059" t="s">
        <v>3</v>
      </c>
      <c r="D2925" s="1061">
        <v>2033.83</v>
      </c>
    </row>
    <row r="2926" spans="1:4" ht="9" customHeight="1" x14ac:dyDescent="0.25">
      <c r="A2926" s="1059">
        <v>2003722</v>
      </c>
      <c r="B2926" s="1060" t="s">
        <v>24584</v>
      </c>
      <c r="C2926" s="1059" t="s">
        <v>3</v>
      </c>
      <c r="D2926" s="1061">
        <v>2323.14</v>
      </c>
    </row>
    <row r="2927" spans="1:4" ht="9" customHeight="1" x14ac:dyDescent="0.25">
      <c r="A2927" s="1059">
        <v>2003721</v>
      </c>
      <c r="B2927" s="1060" t="s">
        <v>24585</v>
      </c>
      <c r="C2927" s="1059" t="s">
        <v>3</v>
      </c>
      <c r="D2927" s="1061">
        <v>2257.08</v>
      </c>
    </row>
    <row r="2928" spans="1:4" ht="9" customHeight="1" x14ac:dyDescent="0.25">
      <c r="A2928" s="1059">
        <v>2003724</v>
      </c>
      <c r="B2928" s="1060" t="s">
        <v>24586</v>
      </c>
      <c r="C2928" s="1059" t="s">
        <v>3</v>
      </c>
      <c r="D2928" s="1061">
        <v>2558.2199999999998</v>
      </c>
    </row>
    <row r="2929" spans="1:4" ht="9" customHeight="1" x14ac:dyDescent="0.25">
      <c r="A2929" s="1059">
        <v>2003723</v>
      </c>
      <c r="B2929" s="1060" t="s">
        <v>24587</v>
      </c>
      <c r="C2929" s="1059" t="s">
        <v>3</v>
      </c>
      <c r="D2929" s="1061">
        <v>2485.09</v>
      </c>
    </row>
    <row r="2930" spans="1:4" ht="9" customHeight="1" x14ac:dyDescent="0.25">
      <c r="A2930" s="1059">
        <v>2003726</v>
      </c>
      <c r="B2930" s="1060" t="s">
        <v>24588</v>
      </c>
      <c r="C2930" s="1059" t="s">
        <v>3</v>
      </c>
      <c r="D2930" s="1061">
        <v>2787.24</v>
      </c>
    </row>
    <row r="2931" spans="1:4" ht="9" customHeight="1" x14ac:dyDescent="0.25">
      <c r="A2931" s="1059">
        <v>2003725</v>
      </c>
      <c r="B2931" s="1060" t="s">
        <v>24589</v>
      </c>
      <c r="C2931" s="1059" t="s">
        <v>3</v>
      </c>
      <c r="D2931" s="1061">
        <v>2708.34</v>
      </c>
    </row>
    <row r="2932" spans="1:4" ht="9" customHeight="1" x14ac:dyDescent="0.25">
      <c r="A2932" s="1059">
        <v>2003859</v>
      </c>
      <c r="B2932" s="1060" t="s">
        <v>24590</v>
      </c>
      <c r="C2932" s="1059" t="s">
        <v>38</v>
      </c>
      <c r="D2932" s="1061">
        <v>63.95</v>
      </c>
    </row>
    <row r="2933" spans="1:4" ht="9" customHeight="1" x14ac:dyDescent="0.25">
      <c r="A2933" s="1059">
        <v>2003861</v>
      </c>
      <c r="B2933" s="1060" t="s">
        <v>24591</v>
      </c>
      <c r="C2933" s="1059" t="s">
        <v>2</v>
      </c>
      <c r="D2933" s="1061">
        <v>27.49</v>
      </c>
    </row>
    <row r="2934" spans="1:4" ht="9" customHeight="1" x14ac:dyDescent="0.25">
      <c r="A2934" s="1059">
        <v>2003862</v>
      </c>
      <c r="B2934" s="1060" t="s">
        <v>24592</v>
      </c>
      <c r="C2934" s="1059" t="s">
        <v>2</v>
      </c>
      <c r="D2934" s="1061">
        <v>23.37</v>
      </c>
    </row>
    <row r="2935" spans="1:4" ht="9" customHeight="1" x14ac:dyDescent="0.25">
      <c r="A2935" s="1059">
        <v>2003405</v>
      </c>
      <c r="B2935" s="1060" t="s">
        <v>24593</v>
      </c>
      <c r="C2935" s="1059" t="s">
        <v>2</v>
      </c>
      <c r="D2935" s="1061">
        <v>211.19</v>
      </c>
    </row>
    <row r="2936" spans="1:4" ht="9" customHeight="1" x14ac:dyDescent="0.25">
      <c r="A2936" s="1059">
        <v>2003404</v>
      </c>
      <c r="B2936" s="1060" t="s">
        <v>24594</v>
      </c>
      <c r="C2936" s="1059" t="s">
        <v>2</v>
      </c>
      <c r="D2936" s="1061">
        <v>177.02</v>
      </c>
    </row>
    <row r="2937" spans="1:4" ht="9" customHeight="1" x14ac:dyDescent="0.25">
      <c r="A2937" s="1059">
        <v>2003407</v>
      </c>
      <c r="B2937" s="1060" t="s">
        <v>24595</v>
      </c>
      <c r="C2937" s="1059" t="s">
        <v>2</v>
      </c>
      <c r="D2937" s="1061">
        <v>267.31</v>
      </c>
    </row>
    <row r="2938" spans="1:4" ht="9" customHeight="1" x14ac:dyDescent="0.25">
      <c r="A2938" s="1059">
        <v>2003406</v>
      </c>
      <c r="B2938" s="1060" t="s">
        <v>24596</v>
      </c>
      <c r="C2938" s="1059" t="s">
        <v>2</v>
      </c>
      <c r="D2938" s="1061">
        <v>233.13</v>
      </c>
    </row>
    <row r="2939" spans="1:4" ht="9" customHeight="1" x14ac:dyDescent="0.25">
      <c r="A2939" s="1059">
        <v>2003409</v>
      </c>
      <c r="B2939" s="1060" t="s">
        <v>24597</v>
      </c>
      <c r="C2939" s="1059" t="s">
        <v>2</v>
      </c>
      <c r="D2939" s="1061">
        <v>448.21</v>
      </c>
    </row>
    <row r="2940" spans="1:4" ht="9" customHeight="1" x14ac:dyDescent="0.25">
      <c r="A2940" s="1059">
        <v>2003408</v>
      </c>
      <c r="B2940" s="1060" t="s">
        <v>24598</v>
      </c>
      <c r="C2940" s="1059" t="s">
        <v>2</v>
      </c>
      <c r="D2940" s="1061">
        <v>370.67</v>
      </c>
    </row>
    <row r="2941" spans="1:4" ht="9" customHeight="1" x14ac:dyDescent="0.25">
      <c r="A2941" s="1059">
        <v>2003411</v>
      </c>
      <c r="B2941" s="1060" t="s">
        <v>24599</v>
      </c>
      <c r="C2941" s="1059" t="s">
        <v>2</v>
      </c>
      <c r="D2941" s="1061">
        <v>603.58000000000004</v>
      </c>
    </row>
    <row r="2942" spans="1:4" ht="9" customHeight="1" x14ac:dyDescent="0.25">
      <c r="A2942" s="1059">
        <v>2003410</v>
      </c>
      <c r="B2942" s="1060" t="s">
        <v>24600</v>
      </c>
      <c r="C2942" s="1059" t="s">
        <v>2</v>
      </c>
      <c r="D2942" s="1061">
        <v>526.03</v>
      </c>
    </row>
    <row r="2943" spans="1:4" ht="9" customHeight="1" x14ac:dyDescent="0.25">
      <c r="A2943" s="1059">
        <v>2003413</v>
      </c>
      <c r="B2943" s="1060" t="s">
        <v>24601</v>
      </c>
      <c r="C2943" s="1059" t="s">
        <v>2</v>
      </c>
      <c r="D2943" s="1061">
        <v>628.66999999999996</v>
      </c>
    </row>
    <row r="2944" spans="1:4" ht="9" customHeight="1" x14ac:dyDescent="0.25">
      <c r="A2944" s="1059">
        <v>2003412</v>
      </c>
      <c r="B2944" s="1060" t="s">
        <v>24602</v>
      </c>
      <c r="C2944" s="1059" t="s">
        <v>2</v>
      </c>
      <c r="D2944" s="1061">
        <v>520.89</v>
      </c>
    </row>
    <row r="2945" spans="1:4" ht="9" customHeight="1" x14ac:dyDescent="0.25">
      <c r="A2945" s="1059">
        <v>2003415</v>
      </c>
      <c r="B2945" s="1060" t="s">
        <v>24603</v>
      </c>
      <c r="C2945" s="1059" t="s">
        <v>2</v>
      </c>
      <c r="D2945" s="1061">
        <v>814.82</v>
      </c>
    </row>
    <row r="2946" spans="1:4" ht="9" customHeight="1" x14ac:dyDescent="0.25">
      <c r="A2946" s="1059">
        <v>2003414</v>
      </c>
      <c r="B2946" s="1060" t="s">
        <v>24604</v>
      </c>
      <c r="C2946" s="1059" t="s">
        <v>2</v>
      </c>
      <c r="D2946" s="1061">
        <v>707.04</v>
      </c>
    </row>
    <row r="2947" spans="1:4" ht="9" customHeight="1" x14ac:dyDescent="0.25">
      <c r="A2947" s="1059">
        <v>2003417</v>
      </c>
      <c r="B2947" s="1060" t="s">
        <v>24605</v>
      </c>
      <c r="C2947" s="1059" t="s">
        <v>2</v>
      </c>
      <c r="D2947" s="1061">
        <v>819.33</v>
      </c>
    </row>
    <row r="2948" spans="1:4" ht="9" customHeight="1" x14ac:dyDescent="0.25">
      <c r="A2948" s="1059">
        <v>2003416</v>
      </c>
      <c r="B2948" s="1060" t="s">
        <v>24606</v>
      </c>
      <c r="C2948" s="1059" t="s">
        <v>2</v>
      </c>
      <c r="D2948" s="1061">
        <v>678.69</v>
      </c>
    </row>
    <row r="2949" spans="1:4" ht="9" customHeight="1" x14ac:dyDescent="0.25">
      <c r="A2949" s="1059">
        <v>2003419</v>
      </c>
      <c r="B2949" s="1060" t="s">
        <v>24607</v>
      </c>
      <c r="C2949" s="1059" t="s">
        <v>2</v>
      </c>
      <c r="D2949" s="1061">
        <v>1037.43</v>
      </c>
    </row>
    <row r="2950" spans="1:4" ht="9" customHeight="1" x14ac:dyDescent="0.25">
      <c r="A2950" s="1059">
        <v>2003418</v>
      </c>
      <c r="B2950" s="1060" t="s">
        <v>24608</v>
      </c>
      <c r="C2950" s="1059" t="s">
        <v>2</v>
      </c>
      <c r="D2950" s="1061">
        <v>896.79</v>
      </c>
    </row>
    <row r="2951" spans="1:4" ht="9" customHeight="1" x14ac:dyDescent="0.25">
      <c r="A2951" s="1059">
        <v>2003421</v>
      </c>
      <c r="B2951" s="1060" t="s">
        <v>24609</v>
      </c>
      <c r="C2951" s="1059" t="s">
        <v>2</v>
      </c>
      <c r="D2951" s="1061">
        <v>1034.5999999999999</v>
      </c>
    </row>
    <row r="2952" spans="1:4" ht="9" customHeight="1" x14ac:dyDescent="0.25">
      <c r="A2952" s="1059">
        <v>2003420</v>
      </c>
      <c r="B2952" s="1060" t="s">
        <v>24610</v>
      </c>
      <c r="C2952" s="1059" t="s">
        <v>2</v>
      </c>
      <c r="D2952" s="1061">
        <v>858.47</v>
      </c>
    </row>
    <row r="2953" spans="1:4" ht="9" customHeight="1" x14ac:dyDescent="0.25">
      <c r="A2953" s="1059">
        <v>2003423</v>
      </c>
      <c r="B2953" s="1060" t="s">
        <v>24611</v>
      </c>
      <c r="C2953" s="1059" t="s">
        <v>2</v>
      </c>
      <c r="D2953" s="1061">
        <v>1277.9000000000001</v>
      </c>
    </row>
    <row r="2954" spans="1:4" ht="9" customHeight="1" x14ac:dyDescent="0.25">
      <c r="A2954" s="1059">
        <v>2003422</v>
      </c>
      <c r="B2954" s="1060" t="s">
        <v>24612</v>
      </c>
      <c r="C2954" s="1059" t="s">
        <v>2</v>
      </c>
      <c r="D2954" s="1061">
        <v>1101.77</v>
      </c>
    </row>
    <row r="2955" spans="1:4" ht="9" customHeight="1" x14ac:dyDescent="0.25">
      <c r="A2955" s="1059">
        <v>2003425</v>
      </c>
      <c r="B2955" s="1060" t="s">
        <v>24613</v>
      </c>
      <c r="C2955" s="1059" t="s">
        <v>2</v>
      </c>
      <c r="D2955" s="1061">
        <v>1348.72</v>
      </c>
    </row>
    <row r="2956" spans="1:4" ht="9" customHeight="1" x14ac:dyDescent="0.25">
      <c r="A2956" s="1059">
        <v>2003424</v>
      </c>
      <c r="B2956" s="1060" t="s">
        <v>24614</v>
      </c>
      <c r="C2956" s="1059" t="s">
        <v>2</v>
      </c>
      <c r="D2956" s="1061">
        <v>1120.01</v>
      </c>
    </row>
    <row r="2957" spans="1:4" ht="9" customHeight="1" x14ac:dyDescent="0.25">
      <c r="A2957" s="1059">
        <v>2003427</v>
      </c>
      <c r="B2957" s="1060" t="s">
        <v>24615</v>
      </c>
      <c r="C2957" s="1059" t="s">
        <v>2</v>
      </c>
      <c r="D2957" s="1061">
        <v>1670.61</v>
      </c>
    </row>
    <row r="2958" spans="1:4" ht="9" customHeight="1" x14ac:dyDescent="0.25">
      <c r="A2958" s="1059">
        <v>2003426</v>
      </c>
      <c r="B2958" s="1060" t="s">
        <v>24616</v>
      </c>
      <c r="C2958" s="1059" t="s">
        <v>2</v>
      </c>
      <c r="D2958" s="1061">
        <v>1441.9</v>
      </c>
    </row>
    <row r="2959" spans="1:4" ht="9" customHeight="1" x14ac:dyDescent="0.25">
      <c r="A2959" s="1059">
        <v>2003429</v>
      </c>
      <c r="B2959" s="1060" t="s">
        <v>24617</v>
      </c>
      <c r="C2959" s="1059" t="s">
        <v>2</v>
      </c>
      <c r="D2959" s="1061">
        <v>1698.39</v>
      </c>
    </row>
    <row r="2960" spans="1:4" ht="9" customHeight="1" x14ac:dyDescent="0.25">
      <c r="A2960" s="1059">
        <v>2003428</v>
      </c>
      <c r="B2960" s="1060" t="s">
        <v>24618</v>
      </c>
      <c r="C2960" s="1059" t="s">
        <v>2</v>
      </c>
      <c r="D2960" s="1061">
        <v>1398.7</v>
      </c>
    </row>
    <row r="2961" spans="1:4" ht="9" customHeight="1" x14ac:dyDescent="0.25">
      <c r="A2961" s="1059">
        <v>2003431</v>
      </c>
      <c r="B2961" s="1060" t="s">
        <v>24619</v>
      </c>
      <c r="C2961" s="1059" t="s">
        <v>2</v>
      </c>
      <c r="D2961" s="1061">
        <v>1996.64</v>
      </c>
    </row>
    <row r="2962" spans="1:4" ht="9" customHeight="1" x14ac:dyDescent="0.25">
      <c r="A2962" s="1059">
        <v>2003430</v>
      </c>
      <c r="B2962" s="1060" t="s">
        <v>24620</v>
      </c>
      <c r="C2962" s="1059" t="s">
        <v>2</v>
      </c>
      <c r="D2962" s="1061">
        <v>1696.95</v>
      </c>
    </row>
    <row r="2963" spans="1:4" ht="9" customHeight="1" x14ac:dyDescent="0.25">
      <c r="A2963" s="1059">
        <v>2003433</v>
      </c>
      <c r="B2963" s="1060" t="s">
        <v>24621</v>
      </c>
      <c r="C2963" s="1059" t="s">
        <v>2</v>
      </c>
      <c r="D2963" s="1061">
        <v>2194.33</v>
      </c>
    </row>
    <row r="2964" spans="1:4" ht="9" customHeight="1" x14ac:dyDescent="0.25">
      <c r="A2964" s="1059">
        <v>2003432</v>
      </c>
      <c r="B2964" s="1060" t="s">
        <v>24622</v>
      </c>
      <c r="C2964" s="1059" t="s">
        <v>2</v>
      </c>
      <c r="D2964" s="1061">
        <v>1810.52</v>
      </c>
    </row>
    <row r="2965" spans="1:4" ht="9" customHeight="1" x14ac:dyDescent="0.25">
      <c r="A2965" s="1059">
        <v>2003435</v>
      </c>
      <c r="B2965" s="1060" t="s">
        <v>24623</v>
      </c>
      <c r="C2965" s="1059" t="s">
        <v>2</v>
      </c>
      <c r="D2965" s="1061">
        <v>2543.11</v>
      </c>
    </row>
    <row r="2966" spans="1:4" ht="9" customHeight="1" x14ac:dyDescent="0.25">
      <c r="A2966" s="1059">
        <v>2003434</v>
      </c>
      <c r="B2966" s="1060" t="s">
        <v>24624</v>
      </c>
      <c r="C2966" s="1059" t="s">
        <v>2</v>
      </c>
      <c r="D2966" s="1061">
        <v>2159.31</v>
      </c>
    </row>
    <row r="2967" spans="1:4" ht="9" customHeight="1" x14ac:dyDescent="0.25">
      <c r="A2967" s="1059">
        <v>2003437</v>
      </c>
      <c r="B2967" s="1060" t="s">
        <v>24625</v>
      </c>
      <c r="C2967" s="1059" t="s">
        <v>2</v>
      </c>
      <c r="D2967" s="1061">
        <v>2979.31</v>
      </c>
    </row>
    <row r="2968" spans="1:4" ht="9" customHeight="1" x14ac:dyDescent="0.25">
      <c r="A2968" s="1059">
        <v>2003436</v>
      </c>
      <c r="B2968" s="1060" t="s">
        <v>24626</v>
      </c>
      <c r="C2968" s="1059" t="s">
        <v>2</v>
      </c>
      <c r="D2968" s="1061">
        <v>2462.75</v>
      </c>
    </row>
    <row r="2969" spans="1:4" ht="9" customHeight="1" x14ac:dyDescent="0.25">
      <c r="A2969" s="1059">
        <v>2003439</v>
      </c>
      <c r="B2969" s="1060" t="s">
        <v>24627</v>
      </c>
      <c r="C2969" s="1059" t="s">
        <v>2</v>
      </c>
      <c r="D2969" s="1061">
        <v>3416.04</v>
      </c>
    </row>
    <row r="2970" spans="1:4" ht="9" customHeight="1" x14ac:dyDescent="0.25">
      <c r="A2970" s="1059">
        <v>2003438</v>
      </c>
      <c r="B2970" s="1060" t="s">
        <v>24628</v>
      </c>
      <c r="C2970" s="1059" t="s">
        <v>2</v>
      </c>
      <c r="D2970" s="1061">
        <v>2899.48</v>
      </c>
    </row>
    <row r="2971" spans="1:4" ht="9" customHeight="1" x14ac:dyDescent="0.25">
      <c r="A2971" s="1059">
        <v>2003389</v>
      </c>
      <c r="B2971" s="1060" t="s">
        <v>24629</v>
      </c>
      <c r="C2971" s="1059" t="s">
        <v>2</v>
      </c>
      <c r="D2971" s="1061">
        <v>253.16</v>
      </c>
    </row>
    <row r="2972" spans="1:4" ht="9" customHeight="1" x14ac:dyDescent="0.25">
      <c r="A2972" s="1059">
        <v>2003388</v>
      </c>
      <c r="B2972" s="1060" t="s">
        <v>24630</v>
      </c>
      <c r="C2972" s="1059" t="s">
        <v>2</v>
      </c>
      <c r="D2972" s="1061">
        <v>230.15</v>
      </c>
    </row>
    <row r="2973" spans="1:4" ht="9" customHeight="1" x14ac:dyDescent="0.25">
      <c r="A2973" s="1059">
        <v>2003391</v>
      </c>
      <c r="B2973" s="1060" t="s">
        <v>24631</v>
      </c>
      <c r="C2973" s="1059" t="s">
        <v>2</v>
      </c>
      <c r="D2973" s="1061">
        <v>154.12</v>
      </c>
    </row>
    <row r="2974" spans="1:4" ht="9" customHeight="1" x14ac:dyDescent="0.25">
      <c r="A2974" s="1059">
        <v>2003390</v>
      </c>
      <c r="B2974" s="1060" t="s">
        <v>24632</v>
      </c>
      <c r="C2974" s="1059" t="s">
        <v>2</v>
      </c>
      <c r="D2974" s="1061">
        <v>136.11000000000001</v>
      </c>
    </row>
    <row r="2975" spans="1:4" ht="9" customHeight="1" x14ac:dyDescent="0.25">
      <c r="A2975" s="1059">
        <v>2003393</v>
      </c>
      <c r="B2975" s="1060" t="s">
        <v>24633</v>
      </c>
      <c r="C2975" s="1059" t="s">
        <v>2</v>
      </c>
      <c r="D2975" s="1061">
        <v>222.19</v>
      </c>
    </row>
    <row r="2976" spans="1:4" ht="9" customHeight="1" x14ac:dyDescent="0.25">
      <c r="A2976" s="1059">
        <v>2003392</v>
      </c>
      <c r="B2976" s="1060" t="s">
        <v>24634</v>
      </c>
      <c r="C2976" s="1059" t="s">
        <v>2</v>
      </c>
      <c r="D2976" s="1061">
        <v>204.18</v>
      </c>
    </row>
    <row r="2977" spans="1:4" ht="9" customHeight="1" x14ac:dyDescent="0.25">
      <c r="A2977" s="1059">
        <v>2003395</v>
      </c>
      <c r="B2977" s="1060" t="s">
        <v>24635</v>
      </c>
      <c r="C2977" s="1059" t="s">
        <v>2</v>
      </c>
      <c r="D2977" s="1061">
        <v>682.21</v>
      </c>
    </row>
    <row r="2978" spans="1:4" ht="9" customHeight="1" x14ac:dyDescent="0.25">
      <c r="A2978" s="1059">
        <v>2003394</v>
      </c>
      <c r="B2978" s="1060" t="s">
        <v>24636</v>
      </c>
      <c r="C2978" s="1059" t="s">
        <v>2</v>
      </c>
      <c r="D2978" s="1061">
        <v>679.59</v>
      </c>
    </row>
    <row r="2979" spans="1:4" ht="9" customHeight="1" x14ac:dyDescent="0.25">
      <c r="A2979" s="1059">
        <v>2003397</v>
      </c>
      <c r="B2979" s="1060" t="s">
        <v>24637</v>
      </c>
      <c r="C2979" s="1059" t="s">
        <v>2</v>
      </c>
      <c r="D2979" s="1061">
        <v>505.75</v>
      </c>
    </row>
    <row r="2980" spans="1:4" ht="9" customHeight="1" x14ac:dyDescent="0.25">
      <c r="A2980" s="1059">
        <v>2003396</v>
      </c>
      <c r="B2980" s="1060" t="s">
        <v>24638</v>
      </c>
      <c r="C2980" s="1059" t="s">
        <v>2</v>
      </c>
      <c r="D2980" s="1061">
        <v>459.74</v>
      </c>
    </row>
    <row r="2981" spans="1:4" ht="9" customHeight="1" x14ac:dyDescent="0.25">
      <c r="A2981" s="1059">
        <v>2003399</v>
      </c>
      <c r="B2981" s="1060" t="s">
        <v>24639</v>
      </c>
      <c r="C2981" s="1059" t="s">
        <v>2</v>
      </c>
      <c r="D2981" s="1061">
        <v>643.04999999999995</v>
      </c>
    </row>
    <row r="2982" spans="1:4" ht="9" customHeight="1" x14ac:dyDescent="0.25">
      <c r="A2982" s="1059">
        <v>2003398</v>
      </c>
      <c r="B2982" s="1060" t="s">
        <v>24640</v>
      </c>
      <c r="C2982" s="1059" t="s">
        <v>2</v>
      </c>
      <c r="D2982" s="1061">
        <v>597.04999999999995</v>
      </c>
    </row>
    <row r="2983" spans="1:4" ht="9" customHeight="1" x14ac:dyDescent="0.25">
      <c r="A2983" s="1059">
        <v>2003401</v>
      </c>
      <c r="B2983" s="1060" t="s">
        <v>24641</v>
      </c>
      <c r="C2983" s="1059" t="s">
        <v>2</v>
      </c>
      <c r="D2983" s="1061">
        <v>572.23</v>
      </c>
    </row>
    <row r="2984" spans="1:4" ht="9" customHeight="1" x14ac:dyDescent="0.25">
      <c r="A2984" s="1059">
        <v>2003400</v>
      </c>
      <c r="B2984" s="1060" t="s">
        <v>24642</v>
      </c>
      <c r="C2984" s="1059" t="s">
        <v>2</v>
      </c>
      <c r="D2984" s="1061">
        <v>517.02</v>
      </c>
    </row>
    <row r="2985" spans="1:4" ht="9" customHeight="1" x14ac:dyDescent="0.25">
      <c r="A2985" s="1059">
        <v>2003403</v>
      </c>
      <c r="B2985" s="1060" t="s">
        <v>24643</v>
      </c>
      <c r="C2985" s="1059" t="s">
        <v>2</v>
      </c>
      <c r="D2985" s="1061">
        <v>716.93</v>
      </c>
    </row>
    <row r="2986" spans="1:4" ht="9" customHeight="1" x14ac:dyDescent="0.25">
      <c r="A2986" s="1059">
        <v>2003402</v>
      </c>
      <c r="B2986" s="1060" t="s">
        <v>24644</v>
      </c>
      <c r="C2986" s="1059" t="s">
        <v>2</v>
      </c>
      <c r="D2986" s="1061">
        <v>661.73</v>
      </c>
    </row>
    <row r="2987" spans="1:4" ht="9" customHeight="1" x14ac:dyDescent="0.25">
      <c r="A2987" s="1059">
        <v>2003448</v>
      </c>
      <c r="B2987" s="1060" t="s">
        <v>24645</v>
      </c>
      <c r="C2987" s="1059" t="s">
        <v>3</v>
      </c>
      <c r="D2987" s="1061">
        <v>370.39</v>
      </c>
    </row>
    <row r="2988" spans="1:4" ht="9" customHeight="1" x14ac:dyDescent="0.25">
      <c r="A2988" s="1059">
        <v>2003449</v>
      </c>
      <c r="B2988" s="1060" t="s">
        <v>24646</v>
      </c>
      <c r="C2988" s="1059" t="s">
        <v>3</v>
      </c>
      <c r="D2988" s="1061">
        <v>442.52</v>
      </c>
    </row>
    <row r="2989" spans="1:4" ht="9" customHeight="1" x14ac:dyDescent="0.25">
      <c r="A2989" s="1059">
        <v>2003450</v>
      </c>
      <c r="B2989" s="1060" t="s">
        <v>24647</v>
      </c>
      <c r="C2989" s="1059" t="s">
        <v>3</v>
      </c>
      <c r="D2989" s="1061">
        <v>380.21</v>
      </c>
    </row>
    <row r="2990" spans="1:4" ht="9" customHeight="1" x14ac:dyDescent="0.25">
      <c r="A2990" s="1059">
        <v>2003451</v>
      </c>
      <c r="B2990" s="1060" t="s">
        <v>24648</v>
      </c>
      <c r="C2990" s="1059" t="s">
        <v>3</v>
      </c>
      <c r="D2990" s="1061">
        <v>455.77</v>
      </c>
    </row>
    <row r="2991" spans="1:4" ht="9" customHeight="1" x14ac:dyDescent="0.25">
      <c r="A2991" s="1059">
        <v>2003452</v>
      </c>
      <c r="B2991" s="1060" t="s">
        <v>24649</v>
      </c>
      <c r="C2991" s="1059" t="s">
        <v>3</v>
      </c>
      <c r="D2991" s="1061">
        <v>1172.67</v>
      </c>
    </row>
    <row r="2992" spans="1:4" ht="9" customHeight="1" x14ac:dyDescent="0.25">
      <c r="A2992" s="1059">
        <v>2003453</v>
      </c>
      <c r="B2992" s="1060" t="s">
        <v>24650</v>
      </c>
      <c r="C2992" s="1059" t="s">
        <v>3</v>
      </c>
      <c r="D2992" s="1061">
        <v>1400.51</v>
      </c>
    </row>
    <row r="2993" spans="1:4" ht="9" customHeight="1" x14ac:dyDescent="0.25">
      <c r="A2993" s="1059">
        <v>2003454</v>
      </c>
      <c r="B2993" s="1060" t="s">
        <v>24651</v>
      </c>
      <c r="C2993" s="1059" t="s">
        <v>3</v>
      </c>
      <c r="D2993" s="1061">
        <v>1649.7</v>
      </c>
    </row>
    <row r="2994" spans="1:4" ht="9" customHeight="1" x14ac:dyDescent="0.25">
      <c r="A2994" s="1059">
        <v>2003455</v>
      </c>
      <c r="B2994" s="1060" t="s">
        <v>24652</v>
      </c>
      <c r="C2994" s="1059" t="s">
        <v>3</v>
      </c>
      <c r="D2994" s="1061">
        <v>2003.87</v>
      </c>
    </row>
    <row r="2995" spans="1:4" ht="9" customHeight="1" x14ac:dyDescent="0.25">
      <c r="A2995" s="1059">
        <v>2003456</v>
      </c>
      <c r="B2995" s="1060" t="s">
        <v>24653</v>
      </c>
      <c r="C2995" s="1059" t="s">
        <v>3</v>
      </c>
      <c r="D2995" s="1061">
        <v>2198.62</v>
      </c>
    </row>
    <row r="2996" spans="1:4" ht="9" customHeight="1" x14ac:dyDescent="0.25">
      <c r="A2996" s="1059">
        <v>2003457</v>
      </c>
      <c r="B2996" s="1060" t="s">
        <v>24654</v>
      </c>
      <c r="C2996" s="1059" t="s">
        <v>3</v>
      </c>
      <c r="D2996" s="1061">
        <v>2705.87</v>
      </c>
    </row>
    <row r="2997" spans="1:4" ht="9" customHeight="1" x14ac:dyDescent="0.25">
      <c r="A2997" s="1059">
        <v>2003458</v>
      </c>
      <c r="B2997" s="1060" t="s">
        <v>24655</v>
      </c>
      <c r="C2997" s="1059" t="s">
        <v>3</v>
      </c>
      <c r="D2997" s="1061">
        <v>2785.14</v>
      </c>
    </row>
    <row r="2998" spans="1:4" ht="9" customHeight="1" x14ac:dyDescent="0.25">
      <c r="A2998" s="1059">
        <v>2003459</v>
      </c>
      <c r="B2998" s="1060" t="s">
        <v>24656</v>
      </c>
      <c r="C2998" s="1059" t="s">
        <v>3</v>
      </c>
      <c r="D2998" s="1061">
        <v>3461.92</v>
      </c>
    </row>
    <row r="2999" spans="1:4" ht="9" customHeight="1" x14ac:dyDescent="0.25">
      <c r="A2999" s="1059">
        <v>2003460</v>
      </c>
      <c r="B2999" s="1060" t="s">
        <v>24657</v>
      </c>
      <c r="C2999" s="1059" t="s">
        <v>3</v>
      </c>
      <c r="D2999" s="1061">
        <v>3916.13</v>
      </c>
    </row>
    <row r="3000" spans="1:4" ht="9" customHeight="1" x14ac:dyDescent="0.25">
      <c r="A3000" s="1059">
        <v>2003461</v>
      </c>
      <c r="B3000" s="1060" t="s">
        <v>24658</v>
      </c>
      <c r="C3000" s="1059" t="s">
        <v>3</v>
      </c>
      <c r="D3000" s="1061">
        <v>4942.08</v>
      </c>
    </row>
    <row r="3001" spans="1:4" ht="9" customHeight="1" x14ac:dyDescent="0.25">
      <c r="A3001" s="1059">
        <v>2003462</v>
      </c>
      <c r="B3001" s="1060" t="s">
        <v>24659</v>
      </c>
      <c r="C3001" s="1059" t="s">
        <v>3</v>
      </c>
      <c r="D3001" s="1061">
        <v>2820.56</v>
      </c>
    </row>
    <row r="3002" spans="1:4" ht="9" customHeight="1" x14ac:dyDescent="0.25">
      <c r="A3002" s="1059">
        <v>2003463</v>
      </c>
      <c r="B3002" s="1060" t="s">
        <v>24660</v>
      </c>
      <c r="C3002" s="1059" t="s">
        <v>3</v>
      </c>
      <c r="D3002" s="1061">
        <v>3518.04</v>
      </c>
    </row>
    <row r="3003" spans="1:4" ht="9" customHeight="1" x14ac:dyDescent="0.25">
      <c r="A3003" s="1059">
        <v>2003464</v>
      </c>
      <c r="B3003" s="1060" t="s">
        <v>24661</v>
      </c>
      <c r="C3003" s="1059" t="s">
        <v>3</v>
      </c>
      <c r="D3003" s="1061">
        <v>3615.85</v>
      </c>
    </row>
    <row r="3004" spans="1:4" ht="9" customHeight="1" x14ac:dyDescent="0.25">
      <c r="A3004" s="1059">
        <v>2003465</v>
      </c>
      <c r="B3004" s="1060" t="s">
        <v>24662</v>
      </c>
      <c r="C3004" s="1059" t="s">
        <v>3</v>
      </c>
      <c r="D3004" s="1061">
        <v>4555.46</v>
      </c>
    </row>
    <row r="3005" spans="1:4" ht="9" customHeight="1" x14ac:dyDescent="0.25">
      <c r="A3005" s="1059">
        <v>2003466</v>
      </c>
      <c r="B3005" s="1060" t="s">
        <v>24663</v>
      </c>
      <c r="C3005" s="1059" t="s">
        <v>3</v>
      </c>
      <c r="D3005" s="1061">
        <v>5041.8500000000004</v>
      </c>
    </row>
    <row r="3006" spans="1:4" ht="9" customHeight="1" x14ac:dyDescent="0.25">
      <c r="A3006" s="1059">
        <v>2003467</v>
      </c>
      <c r="B3006" s="1060" t="s">
        <v>24664</v>
      </c>
      <c r="C3006" s="1059" t="s">
        <v>3</v>
      </c>
      <c r="D3006" s="1061">
        <v>6433.72</v>
      </c>
    </row>
    <row r="3007" spans="1:4" ht="9" customHeight="1" x14ac:dyDescent="0.25">
      <c r="A3007" s="1059">
        <v>2003468</v>
      </c>
      <c r="B3007" s="1060" t="s">
        <v>24665</v>
      </c>
      <c r="C3007" s="1059" t="s">
        <v>3</v>
      </c>
      <c r="D3007" s="1061">
        <v>3446.26</v>
      </c>
    </row>
    <row r="3008" spans="1:4" ht="9" customHeight="1" x14ac:dyDescent="0.25">
      <c r="A3008" s="1059">
        <v>2003469</v>
      </c>
      <c r="B3008" s="1060" t="s">
        <v>24666</v>
      </c>
      <c r="C3008" s="1059" t="s">
        <v>3</v>
      </c>
      <c r="D3008" s="1061">
        <v>4336.09</v>
      </c>
    </row>
    <row r="3009" spans="1:4" ht="9" customHeight="1" x14ac:dyDescent="0.25">
      <c r="A3009" s="1059">
        <v>2003470</v>
      </c>
      <c r="B3009" s="1060" t="s">
        <v>24667</v>
      </c>
      <c r="C3009" s="1059" t="s">
        <v>3</v>
      </c>
      <c r="D3009" s="1061">
        <v>4446.51</v>
      </c>
    </row>
    <row r="3010" spans="1:4" ht="9" customHeight="1" x14ac:dyDescent="0.25">
      <c r="A3010" s="1059">
        <v>2003471</v>
      </c>
      <c r="B3010" s="1060" t="s">
        <v>24668</v>
      </c>
      <c r="C3010" s="1059" t="s">
        <v>3</v>
      </c>
      <c r="D3010" s="1061">
        <v>5649.75</v>
      </c>
    </row>
    <row r="3011" spans="1:4" ht="9" customHeight="1" x14ac:dyDescent="0.25">
      <c r="A3011" s="1059">
        <v>2003472</v>
      </c>
      <c r="B3011" s="1060" t="s">
        <v>24669</v>
      </c>
      <c r="C3011" s="1059" t="s">
        <v>3</v>
      </c>
      <c r="D3011" s="1061">
        <v>6534.91</v>
      </c>
    </row>
    <row r="3012" spans="1:4" ht="9" customHeight="1" x14ac:dyDescent="0.25">
      <c r="A3012" s="1059">
        <v>2003473</v>
      </c>
      <c r="B3012" s="1060" t="s">
        <v>24670</v>
      </c>
      <c r="C3012" s="1059" t="s">
        <v>3</v>
      </c>
      <c r="D3012" s="1061">
        <v>8412.4500000000007</v>
      </c>
    </row>
    <row r="3013" spans="1:4" ht="9" customHeight="1" x14ac:dyDescent="0.25">
      <c r="A3013" s="1059">
        <v>2003475</v>
      </c>
      <c r="B3013" s="1060" t="s">
        <v>24671</v>
      </c>
      <c r="C3013" s="1059" t="s">
        <v>3</v>
      </c>
      <c r="D3013" s="1061">
        <v>518.87</v>
      </c>
    </row>
    <row r="3014" spans="1:4" ht="9" customHeight="1" x14ac:dyDescent="0.25">
      <c r="A3014" s="1059">
        <v>2003474</v>
      </c>
      <c r="B3014" s="1060" t="s">
        <v>24672</v>
      </c>
      <c r="C3014" s="1059" t="s">
        <v>3</v>
      </c>
      <c r="D3014" s="1061">
        <v>470.24</v>
      </c>
    </row>
    <row r="3015" spans="1:4" ht="9" customHeight="1" x14ac:dyDescent="0.25">
      <c r="A3015" s="1059">
        <v>2003441</v>
      </c>
      <c r="B3015" s="1060" t="s">
        <v>24673</v>
      </c>
      <c r="C3015" s="1059" t="s">
        <v>3</v>
      </c>
      <c r="D3015" s="1061">
        <v>217.71</v>
      </c>
    </row>
    <row r="3016" spans="1:4" ht="9" customHeight="1" x14ac:dyDescent="0.25">
      <c r="A3016" s="1059">
        <v>2003440</v>
      </c>
      <c r="B3016" s="1060" t="s">
        <v>24674</v>
      </c>
      <c r="C3016" s="1059" t="s">
        <v>3</v>
      </c>
      <c r="D3016" s="1061">
        <v>152.01</v>
      </c>
    </row>
    <row r="3017" spans="1:4" ht="9" customHeight="1" x14ac:dyDescent="0.25">
      <c r="A3017" s="1059">
        <v>2003443</v>
      </c>
      <c r="B3017" s="1060" t="s">
        <v>24675</v>
      </c>
      <c r="C3017" s="1059" t="s">
        <v>3</v>
      </c>
      <c r="D3017" s="1061">
        <v>258.44</v>
      </c>
    </row>
    <row r="3018" spans="1:4" ht="9" customHeight="1" x14ac:dyDescent="0.25">
      <c r="A3018" s="1059">
        <v>2003442</v>
      </c>
      <c r="B3018" s="1060" t="s">
        <v>24676</v>
      </c>
      <c r="C3018" s="1059" t="s">
        <v>3</v>
      </c>
      <c r="D3018" s="1061">
        <v>180.43</v>
      </c>
    </row>
    <row r="3019" spans="1:4" ht="9" customHeight="1" x14ac:dyDescent="0.25">
      <c r="A3019" s="1059">
        <v>2003445</v>
      </c>
      <c r="B3019" s="1060" t="s">
        <v>24677</v>
      </c>
      <c r="C3019" s="1059" t="s">
        <v>3</v>
      </c>
      <c r="D3019" s="1061">
        <v>308.54000000000002</v>
      </c>
    </row>
    <row r="3020" spans="1:4" ht="9" customHeight="1" x14ac:dyDescent="0.25">
      <c r="A3020" s="1059">
        <v>2003444</v>
      </c>
      <c r="B3020" s="1060" t="s">
        <v>24678</v>
      </c>
      <c r="C3020" s="1059" t="s">
        <v>3</v>
      </c>
      <c r="D3020" s="1061">
        <v>215.47</v>
      </c>
    </row>
    <row r="3021" spans="1:4" ht="9" customHeight="1" x14ac:dyDescent="0.25">
      <c r="A3021" s="1059">
        <v>2003447</v>
      </c>
      <c r="B3021" s="1060" t="s">
        <v>24679</v>
      </c>
      <c r="C3021" s="1059" t="s">
        <v>3</v>
      </c>
      <c r="D3021" s="1061">
        <v>380.64</v>
      </c>
    </row>
    <row r="3022" spans="1:4" ht="9" customHeight="1" x14ac:dyDescent="0.25">
      <c r="A3022" s="1059">
        <v>2003446</v>
      </c>
      <c r="B3022" s="1060" t="s">
        <v>24680</v>
      </c>
      <c r="C3022" s="1059" t="s">
        <v>3</v>
      </c>
      <c r="D3022" s="1061">
        <v>265.67</v>
      </c>
    </row>
    <row r="3023" spans="1:4" ht="9" customHeight="1" x14ac:dyDescent="0.25">
      <c r="A3023" s="1059">
        <v>2004516</v>
      </c>
      <c r="B3023" s="1060" t="s">
        <v>24681</v>
      </c>
      <c r="C3023" s="1059" t="s">
        <v>2</v>
      </c>
      <c r="D3023" s="1061">
        <v>29.09</v>
      </c>
    </row>
    <row r="3024" spans="1:4" ht="9" customHeight="1" x14ac:dyDescent="0.25">
      <c r="A3024" s="1059">
        <v>2004517</v>
      </c>
      <c r="B3024" s="1060" t="s">
        <v>24682</v>
      </c>
      <c r="C3024" s="1059" t="s">
        <v>2</v>
      </c>
      <c r="D3024" s="1061">
        <v>58.93</v>
      </c>
    </row>
    <row r="3025" spans="1:4" ht="9" customHeight="1" x14ac:dyDescent="0.25">
      <c r="A3025" s="1059">
        <v>2007971</v>
      </c>
      <c r="B3025" s="1060" t="s">
        <v>24683</v>
      </c>
      <c r="C3025" s="1059" t="s">
        <v>2</v>
      </c>
      <c r="D3025" s="1061">
        <v>100.84</v>
      </c>
    </row>
    <row r="3026" spans="1:4" ht="9" customHeight="1" x14ac:dyDescent="0.25">
      <c r="A3026" s="1059">
        <v>2008091</v>
      </c>
      <c r="B3026" s="1060" t="s">
        <v>24684</v>
      </c>
      <c r="C3026" s="1059" t="s">
        <v>2</v>
      </c>
      <c r="D3026" s="1061">
        <v>101.17</v>
      </c>
    </row>
    <row r="3027" spans="1:4" ht="9" customHeight="1" x14ac:dyDescent="0.25">
      <c r="A3027" s="1059">
        <v>2006408</v>
      </c>
      <c r="B3027" s="1060" t="s">
        <v>24685</v>
      </c>
      <c r="C3027" s="1059" t="s">
        <v>2</v>
      </c>
      <c r="D3027" s="1061">
        <v>75.849999999999994</v>
      </c>
    </row>
    <row r="3028" spans="1:4" ht="9" customHeight="1" x14ac:dyDescent="0.25">
      <c r="A3028" s="1059">
        <v>2015642</v>
      </c>
      <c r="B3028" s="1060" t="s">
        <v>24686</v>
      </c>
      <c r="C3028" s="1059" t="s">
        <v>2</v>
      </c>
      <c r="D3028" s="1061">
        <v>147.32</v>
      </c>
    </row>
    <row r="3029" spans="1:4" ht="9" customHeight="1" x14ac:dyDescent="0.25">
      <c r="A3029" s="1059">
        <v>2015641</v>
      </c>
      <c r="B3029" s="1060" t="s">
        <v>24687</v>
      </c>
      <c r="C3029" s="1059" t="s">
        <v>2</v>
      </c>
      <c r="D3029" s="1061">
        <v>131.22</v>
      </c>
    </row>
    <row r="3030" spans="1:4" ht="9" customHeight="1" x14ac:dyDescent="0.25">
      <c r="A3030" s="1059">
        <v>2004509</v>
      </c>
      <c r="B3030" s="1060" t="s">
        <v>24688</v>
      </c>
      <c r="C3030" s="1059" t="s">
        <v>2</v>
      </c>
      <c r="D3030" s="1061">
        <v>30.33</v>
      </c>
    </row>
    <row r="3031" spans="1:4" ht="9" customHeight="1" x14ac:dyDescent="0.25">
      <c r="A3031" s="1059">
        <v>2004510</v>
      </c>
      <c r="B3031" s="1060" t="s">
        <v>24689</v>
      </c>
      <c r="C3031" s="1059" t="s">
        <v>2</v>
      </c>
      <c r="D3031" s="1061">
        <v>35.76</v>
      </c>
    </row>
    <row r="3032" spans="1:4" ht="9" customHeight="1" x14ac:dyDescent="0.25">
      <c r="A3032" s="1059">
        <v>2004511</v>
      </c>
      <c r="B3032" s="1060" t="s">
        <v>24690</v>
      </c>
      <c r="C3032" s="1059" t="s">
        <v>2</v>
      </c>
      <c r="D3032" s="1061">
        <v>46.6</v>
      </c>
    </row>
    <row r="3033" spans="1:4" ht="9" customHeight="1" x14ac:dyDescent="0.25">
      <c r="A3033" s="1059">
        <v>2004512</v>
      </c>
      <c r="B3033" s="1060" t="s">
        <v>24691</v>
      </c>
      <c r="C3033" s="1059" t="s">
        <v>2</v>
      </c>
      <c r="D3033" s="1061">
        <v>60.14</v>
      </c>
    </row>
    <row r="3034" spans="1:4" ht="9" customHeight="1" x14ac:dyDescent="0.25">
      <c r="A3034" s="1059">
        <v>2003843</v>
      </c>
      <c r="B3034" s="1060" t="s">
        <v>24692</v>
      </c>
      <c r="C3034" s="1059" t="s">
        <v>2</v>
      </c>
      <c r="D3034" s="1061">
        <v>306.54000000000002</v>
      </c>
    </row>
    <row r="3035" spans="1:4" ht="9" customHeight="1" x14ac:dyDescent="0.25">
      <c r="A3035" s="1059">
        <v>2003915</v>
      </c>
      <c r="B3035" s="1060" t="s">
        <v>24693</v>
      </c>
      <c r="C3035" s="1059" t="s">
        <v>2</v>
      </c>
      <c r="D3035" s="1061">
        <v>105.1</v>
      </c>
    </row>
    <row r="3036" spans="1:4" ht="9" customHeight="1" x14ac:dyDescent="0.25">
      <c r="A3036" s="1059">
        <v>2003914</v>
      </c>
      <c r="B3036" s="1060" t="s">
        <v>24694</v>
      </c>
      <c r="C3036" s="1059" t="s">
        <v>2</v>
      </c>
      <c r="D3036" s="1061">
        <v>92.35</v>
      </c>
    </row>
    <row r="3037" spans="1:4" ht="9" customHeight="1" x14ac:dyDescent="0.25">
      <c r="A3037" s="1059">
        <v>2003589</v>
      </c>
      <c r="B3037" s="1060" t="s">
        <v>24695</v>
      </c>
      <c r="C3037" s="1059" t="s">
        <v>2</v>
      </c>
      <c r="D3037" s="1061">
        <v>114.63</v>
      </c>
    </row>
    <row r="3038" spans="1:4" ht="9" customHeight="1" x14ac:dyDescent="0.25">
      <c r="A3038" s="1059">
        <v>2003588</v>
      </c>
      <c r="B3038" s="1060" t="s">
        <v>24696</v>
      </c>
      <c r="C3038" s="1059" t="s">
        <v>2</v>
      </c>
      <c r="D3038" s="1061">
        <v>104.87</v>
      </c>
    </row>
    <row r="3039" spans="1:4" ht="9" customHeight="1" x14ac:dyDescent="0.25">
      <c r="A3039" s="1059">
        <v>2003917</v>
      </c>
      <c r="B3039" s="1060" t="s">
        <v>24697</v>
      </c>
      <c r="C3039" s="1059" t="s">
        <v>2</v>
      </c>
      <c r="D3039" s="1061">
        <v>119.73</v>
      </c>
    </row>
    <row r="3040" spans="1:4" ht="9" customHeight="1" x14ac:dyDescent="0.25">
      <c r="A3040" s="1059">
        <v>2003916</v>
      </c>
      <c r="B3040" s="1060" t="s">
        <v>24698</v>
      </c>
      <c r="C3040" s="1059" t="s">
        <v>2</v>
      </c>
      <c r="D3040" s="1061">
        <v>106.98</v>
      </c>
    </row>
    <row r="3041" spans="1:4" ht="9" customHeight="1" x14ac:dyDescent="0.25">
      <c r="A3041" s="1059">
        <v>2003591</v>
      </c>
      <c r="B3041" s="1060" t="s">
        <v>24699</v>
      </c>
      <c r="C3041" s="1059" t="s">
        <v>2</v>
      </c>
      <c r="D3041" s="1061">
        <v>129.25</v>
      </c>
    </row>
    <row r="3042" spans="1:4" ht="9" customHeight="1" x14ac:dyDescent="0.25">
      <c r="A3042" s="1059">
        <v>2003590</v>
      </c>
      <c r="B3042" s="1060" t="s">
        <v>24700</v>
      </c>
      <c r="C3042" s="1059" t="s">
        <v>2</v>
      </c>
      <c r="D3042" s="1061">
        <v>119.5</v>
      </c>
    </row>
    <row r="3043" spans="1:4" ht="9" customHeight="1" x14ac:dyDescent="0.25">
      <c r="A3043" s="1059">
        <v>2003593</v>
      </c>
      <c r="B3043" s="1060" t="s">
        <v>24701</v>
      </c>
      <c r="C3043" s="1059" t="s">
        <v>2</v>
      </c>
      <c r="D3043" s="1061">
        <v>80.14</v>
      </c>
    </row>
    <row r="3044" spans="1:4" ht="9" customHeight="1" x14ac:dyDescent="0.25">
      <c r="A3044" s="1059">
        <v>2003592</v>
      </c>
      <c r="B3044" s="1060" t="s">
        <v>24702</v>
      </c>
      <c r="C3044" s="1059" t="s">
        <v>2</v>
      </c>
      <c r="D3044" s="1061">
        <v>66.2</v>
      </c>
    </row>
    <row r="3045" spans="1:4" ht="9" customHeight="1" x14ac:dyDescent="0.25">
      <c r="A3045" s="1059">
        <v>2003595</v>
      </c>
      <c r="B3045" s="1060" t="s">
        <v>24703</v>
      </c>
      <c r="C3045" s="1059" t="s">
        <v>2</v>
      </c>
      <c r="D3045" s="1061">
        <v>65.510000000000005</v>
      </c>
    </row>
    <row r="3046" spans="1:4" ht="9" customHeight="1" x14ac:dyDescent="0.25">
      <c r="A3046" s="1059">
        <v>2003594</v>
      </c>
      <c r="B3046" s="1060" t="s">
        <v>24704</v>
      </c>
      <c r="C3046" s="1059" t="s">
        <v>2</v>
      </c>
      <c r="D3046" s="1061">
        <v>51.58</v>
      </c>
    </row>
    <row r="3047" spans="1:4" ht="9" customHeight="1" x14ac:dyDescent="0.25">
      <c r="A3047" s="1059">
        <v>2003597</v>
      </c>
      <c r="B3047" s="1060" t="s">
        <v>24705</v>
      </c>
      <c r="C3047" s="1059" t="s">
        <v>2</v>
      </c>
      <c r="D3047" s="1061">
        <v>106.18</v>
      </c>
    </row>
    <row r="3048" spans="1:4" ht="9" customHeight="1" x14ac:dyDescent="0.25">
      <c r="A3048" s="1059">
        <v>2003596</v>
      </c>
      <c r="B3048" s="1060" t="s">
        <v>24706</v>
      </c>
      <c r="C3048" s="1059" t="s">
        <v>2</v>
      </c>
      <c r="D3048" s="1061">
        <v>86.22</v>
      </c>
    </row>
    <row r="3049" spans="1:4" ht="9" customHeight="1" x14ac:dyDescent="0.25">
      <c r="A3049" s="1059">
        <v>2003572</v>
      </c>
      <c r="B3049" s="1060" t="s">
        <v>24707</v>
      </c>
      <c r="C3049" s="1059" t="s">
        <v>2</v>
      </c>
      <c r="D3049" s="1061">
        <v>128.99</v>
      </c>
    </row>
    <row r="3050" spans="1:4" ht="9" customHeight="1" x14ac:dyDescent="0.25">
      <c r="A3050" s="1059">
        <v>2003580</v>
      </c>
      <c r="B3050" s="1060" t="s">
        <v>24708</v>
      </c>
      <c r="C3050" s="1059" t="s">
        <v>2</v>
      </c>
      <c r="D3050" s="1061">
        <v>63.16</v>
      </c>
    </row>
    <row r="3051" spans="1:4" ht="9" customHeight="1" x14ac:dyDescent="0.25">
      <c r="A3051" s="1059">
        <v>2003573</v>
      </c>
      <c r="B3051" s="1060" t="s">
        <v>24709</v>
      </c>
      <c r="C3051" s="1059" t="s">
        <v>2</v>
      </c>
      <c r="D3051" s="1061">
        <v>137.18</v>
      </c>
    </row>
    <row r="3052" spans="1:4" ht="9" customHeight="1" x14ac:dyDescent="0.25">
      <c r="A3052" s="1059">
        <v>2003581</v>
      </c>
      <c r="B3052" s="1060" t="s">
        <v>24710</v>
      </c>
      <c r="C3052" s="1059" t="s">
        <v>2</v>
      </c>
      <c r="D3052" s="1061">
        <v>61.07</v>
      </c>
    </row>
    <row r="3053" spans="1:4" ht="18" customHeight="1" x14ac:dyDescent="0.25">
      <c r="A3053" s="1059">
        <v>2003561</v>
      </c>
      <c r="B3053" s="1060" t="s">
        <v>24711</v>
      </c>
      <c r="C3053" s="1059" t="s">
        <v>2</v>
      </c>
      <c r="D3053" s="1061">
        <v>200.97</v>
      </c>
    </row>
    <row r="3054" spans="1:4" ht="18" customHeight="1" x14ac:dyDescent="0.25">
      <c r="A3054" s="1059">
        <v>2003560</v>
      </c>
      <c r="B3054" s="1060" t="s">
        <v>24712</v>
      </c>
      <c r="C3054" s="1059" t="s">
        <v>2</v>
      </c>
      <c r="D3054" s="1061">
        <v>112.94</v>
      </c>
    </row>
    <row r="3055" spans="1:4" ht="18" customHeight="1" x14ac:dyDescent="0.25">
      <c r="A3055" s="1059">
        <v>2003574</v>
      </c>
      <c r="B3055" s="1060" t="s">
        <v>24713</v>
      </c>
      <c r="C3055" s="1059" t="s">
        <v>2</v>
      </c>
      <c r="D3055" s="1061">
        <v>182.56</v>
      </c>
    </row>
    <row r="3056" spans="1:4" ht="18" customHeight="1" x14ac:dyDescent="0.25">
      <c r="A3056" s="1059">
        <v>2003582</v>
      </c>
      <c r="B3056" s="1060" t="s">
        <v>24714</v>
      </c>
      <c r="C3056" s="1059" t="s">
        <v>2</v>
      </c>
      <c r="D3056" s="1061">
        <v>116.85</v>
      </c>
    </row>
    <row r="3057" spans="1:4" ht="18" customHeight="1" x14ac:dyDescent="0.25">
      <c r="A3057" s="1059">
        <v>2003563</v>
      </c>
      <c r="B3057" s="1060" t="s">
        <v>24715</v>
      </c>
      <c r="C3057" s="1059" t="s">
        <v>2</v>
      </c>
      <c r="D3057" s="1061">
        <v>213.08</v>
      </c>
    </row>
    <row r="3058" spans="1:4" ht="18" customHeight="1" x14ac:dyDescent="0.25">
      <c r="A3058" s="1059">
        <v>2003562</v>
      </c>
      <c r="B3058" s="1060" t="s">
        <v>24716</v>
      </c>
      <c r="C3058" s="1059" t="s">
        <v>2</v>
      </c>
      <c r="D3058" s="1061">
        <v>109.64</v>
      </c>
    </row>
    <row r="3059" spans="1:4" ht="18" customHeight="1" x14ac:dyDescent="0.25">
      <c r="A3059" s="1059">
        <v>2003575</v>
      </c>
      <c r="B3059" s="1060" t="s">
        <v>24717</v>
      </c>
      <c r="C3059" s="1059" t="s">
        <v>2</v>
      </c>
      <c r="D3059" s="1061">
        <v>191.04</v>
      </c>
    </row>
    <row r="3060" spans="1:4" ht="18" customHeight="1" x14ac:dyDescent="0.25">
      <c r="A3060" s="1059">
        <v>2003583</v>
      </c>
      <c r="B3060" s="1060" t="s">
        <v>24718</v>
      </c>
      <c r="C3060" s="1059" t="s">
        <v>2</v>
      </c>
      <c r="D3060" s="1061">
        <v>114.53</v>
      </c>
    </row>
    <row r="3061" spans="1:4" ht="9" customHeight="1" x14ac:dyDescent="0.25">
      <c r="A3061" s="1059">
        <v>2003565</v>
      </c>
      <c r="B3061" s="1060" t="s">
        <v>24719</v>
      </c>
      <c r="C3061" s="1059" t="s">
        <v>2</v>
      </c>
      <c r="D3061" s="1061">
        <v>128.03</v>
      </c>
    </row>
    <row r="3062" spans="1:4" ht="9" customHeight="1" x14ac:dyDescent="0.25">
      <c r="A3062" s="1059">
        <v>2003564</v>
      </c>
      <c r="B3062" s="1060" t="s">
        <v>24720</v>
      </c>
      <c r="C3062" s="1059" t="s">
        <v>2</v>
      </c>
      <c r="D3062" s="1061">
        <v>84.85</v>
      </c>
    </row>
    <row r="3063" spans="1:4" ht="9" customHeight="1" x14ac:dyDescent="0.25">
      <c r="A3063" s="1059">
        <v>2003567</v>
      </c>
      <c r="B3063" s="1060" t="s">
        <v>24721</v>
      </c>
      <c r="C3063" s="1059" t="s">
        <v>2</v>
      </c>
      <c r="D3063" s="1061">
        <v>143.94</v>
      </c>
    </row>
    <row r="3064" spans="1:4" ht="9" customHeight="1" x14ac:dyDescent="0.25">
      <c r="A3064" s="1059">
        <v>2003566</v>
      </c>
      <c r="B3064" s="1060" t="s">
        <v>24722</v>
      </c>
      <c r="C3064" s="1059" t="s">
        <v>2</v>
      </c>
      <c r="D3064" s="1061">
        <v>91.7</v>
      </c>
    </row>
    <row r="3065" spans="1:4" ht="9" customHeight="1" x14ac:dyDescent="0.25">
      <c r="A3065" s="1059">
        <v>2003569</v>
      </c>
      <c r="B3065" s="1060" t="s">
        <v>24723</v>
      </c>
      <c r="C3065" s="1059" t="s">
        <v>2</v>
      </c>
      <c r="D3065" s="1061">
        <v>167.4</v>
      </c>
    </row>
    <row r="3066" spans="1:4" ht="9" customHeight="1" x14ac:dyDescent="0.25">
      <c r="A3066" s="1059">
        <v>2003568</v>
      </c>
      <c r="B3066" s="1060" t="s">
        <v>24724</v>
      </c>
      <c r="C3066" s="1059" t="s">
        <v>2</v>
      </c>
      <c r="D3066" s="1061">
        <v>125.39</v>
      </c>
    </row>
    <row r="3067" spans="1:4" ht="9" customHeight="1" x14ac:dyDescent="0.25">
      <c r="A3067" s="1059">
        <v>2003578</v>
      </c>
      <c r="B3067" s="1060" t="s">
        <v>24725</v>
      </c>
      <c r="C3067" s="1059" t="s">
        <v>2</v>
      </c>
      <c r="D3067" s="1061">
        <v>164.62</v>
      </c>
    </row>
    <row r="3068" spans="1:4" ht="9" customHeight="1" x14ac:dyDescent="0.25">
      <c r="A3068" s="1059">
        <v>2003586</v>
      </c>
      <c r="B3068" s="1060" t="s">
        <v>24726</v>
      </c>
      <c r="C3068" s="1059" t="s">
        <v>2</v>
      </c>
      <c r="D3068" s="1061">
        <v>130.34</v>
      </c>
    </row>
    <row r="3069" spans="1:4" ht="9" customHeight="1" x14ac:dyDescent="0.25">
      <c r="A3069" s="1059">
        <v>2003571</v>
      </c>
      <c r="B3069" s="1060" t="s">
        <v>24727</v>
      </c>
      <c r="C3069" s="1059" t="s">
        <v>2</v>
      </c>
      <c r="D3069" s="1061">
        <v>183.3</v>
      </c>
    </row>
    <row r="3070" spans="1:4" ht="9" customHeight="1" x14ac:dyDescent="0.25">
      <c r="A3070" s="1059">
        <v>2003570</v>
      </c>
      <c r="B3070" s="1060" t="s">
        <v>24728</v>
      </c>
      <c r="C3070" s="1059" t="s">
        <v>2</v>
      </c>
      <c r="D3070" s="1061">
        <v>132.24</v>
      </c>
    </row>
    <row r="3071" spans="1:4" ht="9" customHeight="1" x14ac:dyDescent="0.25">
      <c r="A3071" s="1059">
        <v>2003579</v>
      </c>
      <c r="B3071" s="1060" t="s">
        <v>24729</v>
      </c>
      <c r="C3071" s="1059" t="s">
        <v>2</v>
      </c>
      <c r="D3071" s="1061">
        <v>177.9</v>
      </c>
    </row>
    <row r="3072" spans="1:4" ht="9" customHeight="1" x14ac:dyDescent="0.25">
      <c r="A3072" s="1059">
        <v>2003587</v>
      </c>
      <c r="B3072" s="1060" t="s">
        <v>24730</v>
      </c>
      <c r="C3072" s="1059" t="s">
        <v>2</v>
      </c>
      <c r="D3072" s="1061">
        <v>136.65</v>
      </c>
    </row>
    <row r="3073" spans="1:4" ht="9" customHeight="1" x14ac:dyDescent="0.25">
      <c r="A3073" s="1059">
        <v>2004506</v>
      </c>
      <c r="B3073" s="1060" t="s">
        <v>24731</v>
      </c>
      <c r="C3073" s="1059" t="s">
        <v>2</v>
      </c>
      <c r="D3073" s="1061">
        <v>53.32</v>
      </c>
    </row>
    <row r="3074" spans="1:4" ht="9" customHeight="1" x14ac:dyDescent="0.25">
      <c r="A3074" s="1059">
        <v>2004507</v>
      </c>
      <c r="B3074" s="1060" t="s">
        <v>24732</v>
      </c>
      <c r="C3074" s="1059" t="s">
        <v>2</v>
      </c>
      <c r="D3074" s="1061">
        <v>70.290000000000006</v>
      </c>
    </row>
    <row r="3075" spans="1:4" ht="9" customHeight="1" x14ac:dyDescent="0.25">
      <c r="A3075" s="1059">
        <v>2003614</v>
      </c>
      <c r="B3075" s="1060" t="s">
        <v>24733</v>
      </c>
      <c r="C3075" s="1059" t="s">
        <v>2</v>
      </c>
      <c r="D3075" s="1061">
        <v>133.07</v>
      </c>
    </row>
    <row r="3076" spans="1:4" ht="9" customHeight="1" x14ac:dyDescent="0.25">
      <c r="A3076" s="1059">
        <v>2003865</v>
      </c>
      <c r="B3076" s="1060" t="s">
        <v>24734</v>
      </c>
      <c r="C3076" s="1059" t="s">
        <v>2</v>
      </c>
      <c r="D3076" s="1061">
        <v>147.91999999999999</v>
      </c>
    </row>
    <row r="3077" spans="1:4" ht="9" customHeight="1" x14ac:dyDescent="0.25">
      <c r="A3077" s="1059">
        <v>2003923</v>
      </c>
      <c r="B3077" s="1060" t="s">
        <v>24735</v>
      </c>
      <c r="C3077" s="1059" t="s">
        <v>2</v>
      </c>
      <c r="D3077" s="1061">
        <v>55.93</v>
      </c>
    </row>
    <row r="3078" spans="1:4" ht="9" customHeight="1" x14ac:dyDescent="0.25">
      <c r="A3078" s="1059">
        <v>2003922</v>
      </c>
      <c r="B3078" s="1060" t="s">
        <v>24736</v>
      </c>
      <c r="C3078" s="1059" t="s">
        <v>2</v>
      </c>
      <c r="D3078" s="1061">
        <v>32.369999999999997</v>
      </c>
    </row>
    <row r="3079" spans="1:4" ht="9" customHeight="1" x14ac:dyDescent="0.25">
      <c r="A3079" s="1059">
        <v>2003605</v>
      </c>
      <c r="B3079" s="1060" t="s">
        <v>24737</v>
      </c>
      <c r="C3079" s="1059" t="s">
        <v>2</v>
      </c>
      <c r="D3079" s="1061">
        <v>45.24</v>
      </c>
    </row>
    <row r="3080" spans="1:4" ht="9" customHeight="1" x14ac:dyDescent="0.25">
      <c r="A3080" s="1059">
        <v>2003604</v>
      </c>
      <c r="B3080" s="1060" t="s">
        <v>24738</v>
      </c>
      <c r="C3080" s="1059" t="s">
        <v>2</v>
      </c>
      <c r="D3080" s="1061">
        <v>24.68</v>
      </c>
    </row>
    <row r="3081" spans="1:4" ht="9" customHeight="1" x14ac:dyDescent="0.25">
      <c r="A3081" s="1059">
        <v>2003607</v>
      </c>
      <c r="B3081" s="1060" t="s">
        <v>24739</v>
      </c>
      <c r="C3081" s="1059" t="s">
        <v>2</v>
      </c>
      <c r="D3081" s="1061">
        <v>39.68</v>
      </c>
    </row>
    <row r="3082" spans="1:4" ht="9" customHeight="1" x14ac:dyDescent="0.25">
      <c r="A3082" s="1059">
        <v>2003606</v>
      </c>
      <c r="B3082" s="1060" t="s">
        <v>24740</v>
      </c>
      <c r="C3082" s="1059" t="s">
        <v>2</v>
      </c>
      <c r="D3082" s="1061">
        <v>28.53</v>
      </c>
    </row>
    <row r="3083" spans="1:4" ht="9" customHeight="1" x14ac:dyDescent="0.25">
      <c r="A3083" s="1059">
        <v>2003609</v>
      </c>
      <c r="B3083" s="1060" t="s">
        <v>24741</v>
      </c>
      <c r="C3083" s="1059" t="s">
        <v>2</v>
      </c>
      <c r="D3083" s="1061">
        <v>23.95</v>
      </c>
    </row>
    <row r="3084" spans="1:4" ht="9" customHeight="1" x14ac:dyDescent="0.25">
      <c r="A3084" s="1059">
        <v>2003608</v>
      </c>
      <c r="B3084" s="1060" t="s">
        <v>24742</v>
      </c>
      <c r="C3084" s="1059" t="s">
        <v>2</v>
      </c>
      <c r="D3084" s="1061">
        <v>12.81</v>
      </c>
    </row>
    <row r="3085" spans="1:4" ht="9" customHeight="1" x14ac:dyDescent="0.25">
      <c r="A3085" s="1059">
        <v>2003925</v>
      </c>
      <c r="B3085" s="1060" t="s">
        <v>24743</v>
      </c>
      <c r="C3085" s="1059" t="s">
        <v>2</v>
      </c>
      <c r="D3085" s="1061">
        <v>71.83</v>
      </c>
    </row>
    <row r="3086" spans="1:4" ht="9" customHeight="1" x14ac:dyDescent="0.25">
      <c r="A3086" s="1059">
        <v>2003924</v>
      </c>
      <c r="B3086" s="1060" t="s">
        <v>24744</v>
      </c>
      <c r="C3086" s="1059" t="s">
        <v>2</v>
      </c>
      <c r="D3086" s="1061">
        <v>57.68</v>
      </c>
    </row>
    <row r="3087" spans="1:4" ht="9" customHeight="1" x14ac:dyDescent="0.25">
      <c r="A3087" s="1059">
        <v>2003611</v>
      </c>
      <c r="B3087" s="1060" t="s">
        <v>24745</v>
      </c>
      <c r="C3087" s="1059" t="s">
        <v>2</v>
      </c>
      <c r="D3087" s="1061">
        <v>61.14</v>
      </c>
    </row>
    <row r="3088" spans="1:4" ht="9" customHeight="1" x14ac:dyDescent="0.25">
      <c r="A3088" s="1059">
        <v>2003610</v>
      </c>
      <c r="B3088" s="1060" t="s">
        <v>24746</v>
      </c>
      <c r="C3088" s="1059" t="s">
        <v>2</v>
      </c>
      <c r="D3088" s="1061">
        <v>50</v>
      </c>
    </row>
    <row r="3089" spans="1:4" ht="9" customHeight="1" x14ac:dyDescent="0.25">
      <c r="A3089" s="1059">
        <v>2003820</v>
      </c>
      <c r="B3089" s="1060" t="s">
        <v>24747</v>
      </c>
      <c r="C3089" s="1059" t="s">
        <v>3</v>
      </c>
      <c r="D3089" s="1061">
        <v>19.59</v>
      </c>
    </row>
    <row r="3090" spans="1:4" ht="9" customHeight="1" x14ac:dyDescent="0.25">
      <c r="A3090" s="1059">
        <v>2003821</v>
      </c>
      <c r="B3090" s="1060" t="s">
        <v>24748</v>
      </c>
      <c r="C3090" s="1059" t="s">
        <v>3</v>
      </c>
      <c r="D3090" s="1061">
        <v>16.920000000000002</v>
      </c>
    </row>
    <row r="3091" spans="1:4" ht="9" customHeight="1" x14ac:dyDescent="0.25">
      <c r="A3091" s="1059">
        <v>2003842</v>
      </c>
      <c r="B3091" s="1060" t="s">
        <v>24749</v>
      </c>
      <c r="C3091" s="1059" t="s">
        <v>6</v>
      </c>
      <c r="D3091" s="1061">
        <v>68.95</v>
      </c>
    </row>
    <row r="3092" spans="1:4" ht="9" customHeight="1" x14ac:dyDescent="0.25">
      <c r="A3092" s="1059">
        <v>2003385</v>
      </c>
      <c r="B3092" s="1060" t="s">
        <v>24750</v>
      </c>
      <c r="C3092" s="1059" t="s">
        <v>3</v>
      </c>
      <c r="D3092" s="1061">
        <v>55.64</v>
      </c>
    </row>
    <row r="3093" spans="1:4" ht="9" customHeight="1" x14ac:dyDescent="0.25">
      <c r="A3093" s="1059">
        <v>2003384</v>
      </c>
      <c r="B3093" s="1060" t="s">
        <v>24751</v>
      </c>
      <c r="C3093" s="1059" t="s">
        <v>3</v>
      </c>
      <c r="D3093" s="1061">
        <v>41.18</v>
      </c>
    </row>
    <row r="3094" spans="1:4" ht="9" customHeight="1" x14ac:dyDescent="0.25">
      <c r="A3094" s="1059">
        <v>2003387</v>
      </c>
      <c r="B3094" s="1060" t="s">
        <v>24752</v>
      </c>
      <c r="C3094" s="1059" t="s">
        <v>3</v>
      </c>
      <c r="D3094" s="1061">
        <v>68.86</v>
      </c>
    </row>
    <row r="3095" spans="1:4" ht="9" customHeight="1" x14ac:dyDescent="0.25">
      <c r="A3095" s="1059">
        <v>2003386</v>
      </c>
      <c r="B3095" s="1060" t="s">
        <v>24753</v>
      </c>
      <c r="C3095" s="1059" t="s">
        <v>3</v>
      </c>
      <c r="D3095" s="1061">
        <v>50.46</v>
      </c>
    </row>
    <row r="3096" spans="1:4" ht="9" customHeight="1" x14ac:dyDescent="0.25">
      <c r="A3096" s="1059">
        <v>2003335</v>
      </c>
      <c r="B3096" s="1060" t="s">
        <v>24754</v>
      </c>
      <c r="C3096" s="1059" t="s">
        <v>3</v>
      </c>
      <c r="D3096" s="1061">
        <v>1839.71</v>
      </c>
    </row>
    <row r="3097" spans="1:4" ht="9" customHeight="1" x14ac:dyDescent="0.25">
      <c r="A3097" s="1059">
        <v>2003334</v>
      </c>
      <c r="B3097" s="1060" t="s">
        <v>24755</v>
      </c>
      <c r="C3097" s="1059" t="s">
        <v>3</v>
      </c>
      <c r="D3097" s="1061">
        <v>1575.39</v>
      </c>
    </row>
    <row r="3098" spans="1:4" ht="9" customHeight="1" x14ac:dyDescent="0.25">
      <c r="A3098" s="1059">
        <v>2003336</v>
      </c>
      <c r="B3098" s="1060" t="s">
        <v>24756</v>
      </c>
      <c r="C3098" s="1059" t="s">
        <v>3</v>
      </c>
      <c r="D3098" s="1061">
        <v>1538.63</v>
      </c>
    </row>
    <row r="3099" spans="1:4" ht="9" customHeight="1" x14ac:dyDescent="0.25">
      <c r="A3099" s="1059">
        <v>2003337</v>
      </c>
      <c r="B3099" s="1060" t="s">
        <v>24757</v>
      </c>
      <c r="C3099" s="1059" t="s">
        <v>3</v>
      </c>
      <c r="D3099" s="1061">
        <v>1275.75</v>
      </c>
    </row>
    <row r="3100" spans="1:4" ht="9" customHeight="1" x14ac:dyDescent="0.25">
      <c r="A3100" s="1059">
        <v>2003819</v>
      </c>
      <c r="B3100" s="1060" t="s">
        <v>24758</v>
      </c>
      <c r="C3100" s="1059" t="s">
        <v>2</v>
      </c>
      <c r="D3100" s="1061">
        <v>7.07</v>
      </c>
    </row>
    <row r="3101" spans="1:4" ht="9" customHeight="1" x14ac:dyDescent="0.25">
      <c r="A3101" s="1059">
        <v>2004504</v>
      </c>
      <c r="B3101" s="1060" t="s">
        <v>24759</v>
      </c>
      <c r="C3101" s="1059" t="s">
        <v>38</v>
      </c>
      <c r="D3101" s="1061">
        <v>15.63</v>
      </c>
    </row>
    <row r="3102" spans="1:4" ht="18" customHeight="1" x14ac:dyDescent="0.25">
      <c r="A3102" s="1059">
        <v>2004519</v>
      </c>
      <c r="B3102" s="1060" t="s">
        <v>24760</v>
      </c>
      <c r="C3102" s="1059" t="s">
        <v>38</v>
      </c>
      <c r="D3102" s="1061">
        <v>27.95</v>
      </c>
    </row>
    <row r="3103" spans="1:4" ht="18" customHeight="1" x14ac:dyDescent="0.25">
      <c r="A3103" s="1059">
        <v>2004520</v>
      </c>
      <c r="B3103" s="1060" t="s">
        <v>24761</v>
      </c>
      <c r="C3103" s="1059" t="s">
        <v>38</v>
      </c>
      <c r="D3103" s="1061">
        <v>23.06</v>
      </c>
    </row>
    <row r="3104" spans="1:4" ht="18" customHeight="1" x14ac:dyDescent="0.25">
      <c r="A3104" s="1059">
        <v>2004521</v>
      </c>
      <c r="B3104" s="1060" t="s">
        <v>24762</v>
      </c>
      <c r="C3104" s="1059" t="s">
        <v>38</v>
      </c>
      <c r="D3104" s="1061">
        <v>15.77</v>
      </c>
    </row>
    <row r="3105" spans="1:4" ht="18" customHeight="1" x14ac:dyDescent="0.25">
      <c r="A3105" s="1059">
        <v>2004522</v>
      </c>
      <c r="B3105" s="1060" t="s">
        <v>24763</v>
      </c>
      <c r="C3105" s="1059" t="s">
        <v>38</v>
      </c>
      <c r="D3105" s="1061">
        <v>11.53</v>
      </c>
    </row>
    <row r="3106" spans="1:4" ht="18" customHeight="1" x14ac:dyDescent="0.25">
      <c r="A3106" s="1059">
        <v>2004518</v>
      </c>
      <c r="B3106" s="1060" t="s">
        <v>24764</v>
      </c>
      <c r="C3106" s="1059" t="s">
        <v>38</v>
      </c>
      <c r="D3106" s="1061">
        <v>48.54</v>
      </c>
    </row>
    <row r="3107" spans="1:4" ht="9" customHeight="1" x14ac:dyDescent="0.25">
      <c r="A3107" s="1059">
        <v>2003864</v>
      </c>
      <c r="B3107" s="1060" t="s">
        <v>24765</v>
      </c>
      <c r="C3107" s="1059" t="s">
        <v>24766</v>
      </c>
      <c r="D3107" s="1061">
        <v>20.88</v>
      </c>
    </row>
    <row r="3108" spans="1:4" ht="9" customHeight="1" x14ac:dyDescent="0.25">
      <c r="A3108" s="1059">
        <v>2003863</v>
      </c>
      <c r="B3108" s="1060" t="s">
        <v>24767</v>
      </c>
      <c r="C3108" s="1059" t="s">
        <v>24766</v>
      </c>
      <c r="D3108" s="1061">
        <v>22.15</v>
      </c>
    </row>
    <row r="3109" spans="1:4" ht="9" customHeight="1" x14ac:dyDescent="0.25">
      <c r="A3109" s="1059">
        <v>2004508</v>
      </c>
      <c r="B3109" s="1060" t="s">
        <v>24768</v>
      </c>
      <c r="C3109" s="1059" t="s">
        <v>2</v>
      </c>
      <c r="D3109" s="1061">
        <v>13.35</v>
      </c>
    </row>
    <row r="3110" spans="1:4" ht="9" customHeight="1" x14ac:dyDescent="0.25">
      <c r="A3110" s="1059">
        <v>2003316</v>
      </c>
      <c r="B3110" s="1060" t="s">
        <v>24769</v>
      </c>
      <c r="C3110" s="1059" t="s">
        <v>3</v>
      </c>
      <c r="D3110" s="1061">
        <v>103.76</v>
      </c>
    </row>
    <row r="3111" spans="1:4" ht="9" customHeight="1" x14ac:dyDescent="0.25">
      <c r="A3111" s="1059">
        <v>2003317</v>
      </c>
      <c r="B3111" s="1060" t="s">
        <v>24770</v>
      </c>
      <c r="C3111" s="1059" t="s">
        <v>3</v>
      </c>
      <c r="D3111" s="1061">
        <v>98.96</v>
      </c>
    </row>
    <row r="3112" spans="1:4" ht="9" customHeight="1" x14ac:dyDescent="0.25">
      <c r="A3112" s="1059">
        <v>2003767</v>
      </c>
      <c r="B3112" s="1060" t="s">
        <v>24771</v>
      </c>
      <c r="C3112" s="1059" t="s">
        <v>38</v>
      </c>
      <c r="D3112" s="1061">
        <v>146.66999999999999</v>
      </c>
    </row>
    <row r="3113" spans="1:4" ht="9" customHeight="1" x14ac:dyDescent="0.25">
      <c r="A3113" s="1059">
        <v>2003844</v>
      </c>
      <c r="B3113" s="1060" t="s">
        <v>24772</v>
      </c>
      <c r="C3113" s="1059" t="s">
        <v>38</v>
      </c>
      <c r="D3113" s="1061">
        <v>143.47999999999999</v>
      </c>
    </row>
    <row r="3114" spans="1:4" ht="9" customHeight="1" x14ac:dyDescent="0.25">
      <c r="A3114" s="1059">
        <v>2003576</v>
      </c>
      <c r="B3114" s="1060" t="s">
        <v>24773</v>
      </c>
      <c r="C3114" s="1059" t="s">
        <v>38</v>
      </c>
      <c r="D3114" s="1061">
        <v>15.27</v>
      </c>
    </row>
    <row r="3115" spans="1:4" ht="9" customHeight="1" x14ac:dyDescent="0.25">
      <c r="A3115" s="1059">
        <v>2003858</v>
      </c>
      <c r="B3115" s="1060" t="s">
        <v>24774</v>
      </c>
      <c r="C3115" s="1059" t="s">
        <v>38</v>
      </c>
      <c r="D3115" s="1061">
        <v>12.09</v>
      </c>
    </row>
    <row r="3116" spans="1:4" ht="9" customHeight="1" x14ac:dyDescent="0.25">
      <c r="A3116" s="1059">
        <v>2003850</v>
      </c>
      <c r="B3116" s="1060" t="s">
        <v>24775</v>
      </c>
      <c r="C3116" s="1059" t="s">
        <v>38</v>
      </c>
      <c r="D3116" s="1061">
        <v>144.07</v>
      </c>
    </row>
    <row r="3117" spans="1:4" ht="9" customHeight="1" x14ac:dyDescent="0.25">
      <c r="A3117" s="1059">
        <v>2003849</v>
      </c>
      <c r="B3117" s="1060" t="s">
        <v>24776</v>
      </c>
      <c r="C3117" s="1059" t="s">
        <v>38</v>
      </c>
      <c r="D3117" s="1061">
        <v>72.010000000000005</v>
      </c>
    </row>
    <row r="3118" spans="1:4" ht="9" customHeight="1" x14ac:dyDescent="0.25">
      <c r="A3118" s="1059">
        <v>2003868</v>
      </c>
      <c r="B3118" s="1060" t="s">
        <v>24777</v>
      </c>
      <c r="C3118" s="1059" t="s">
        <v>38</v>
      </c>
      <c r="D3118" s="1061">
        <v>136.54</v>
      </c>
    </row>
    <row r="3119" spans="1:4" ht="9" customHeight="1" x14ac:dyDescent="0.25">
      <c r="A3119" s="1059">
        <v>2003369</v>
      </c>
      <c r="B3119" s="1060" t="s">
        <v>24778</v>
      </c>
      <c r="C3119" s="1059" t="s">
        <v>2</v>
      </c>
      <c r="D3119" s="1061">
        <v>68.14</v>
      </c>
    </row>
    <row r="3120" spans="1:4" ht="9" customHeight="1" x14ac:dyDescent="0.25">
      <c r="A3120" s="1059">
        <v>2003368</v>
      </c>
      <c r="B3120" s="1060" t="s">
        <v>24779</v>
      </c>
      <c r="C3120" s="1059" t="s">
        <v>2</v>
      </c>
      <c r="D3120" s="1061">
        <v>54.67</v>
      </c>
    </row>
    <row r="3121" spans="1:4" ht="9" customHeight="1" x14ac:dyDescent="0.25">
      <c r="A3121" s="1059">
        <v>2003939</v>
      </c>
      <c r="B3121" s="1060" t="s">
        <v>24780</v>
      </c>
      <c r="C3121" s="1059" t="s">
        <v>2</v>
      </c>
      <c r="D3121" s="1061">
        <v>72.64</v>
      </c>
    </row>
    <row r="3122" spans="1:4" ht="9" customHeight="1" x14ac:dyDescent="0.25">
      <c r="A3122" s="1059">
        <v>2003940</v>
      </c>
      <c r="B3122" s="1060" t="s">
        <v>24781</v>
      </c>
      <c r="C3122" s="1059" t="s">
        <v>2</v>
      </c>
      <c r="D3122" s="1061">
        <v>59.11</v>
      </c>
    </row>
    <row r="3123" spans="1:4" ht="9" customHeight="1" x14ac:dyDescent="0.25">
      <c r="A3123" s="1059">
        <v>2003371</v>
      </c>
      <c r="B3123" s="1060" t="s">
        <v>24782</v>
      </c>
      <c r="C3123" s="1059" t="s">
        <v>2</v>
      </c>
      <c r="D3123" s="1061">
        <v>53.63</v>
      </c>
    </row>
    <row r="3124" spans="1:4" ht="9" customHeight="1" x14ac:dyDescent="0.25">
      <c r="A3124" s="1059">
        <v>2003370</v>
      </c>
      <c r="B3124" s="1060" t="s">
        <v>24783</v>
      </c>
      <c r="C3124" s="1059" t="s">
        <v>2</v>
      </c>
      <c r="D3124" s="1061">
        <v>42.24</v>
      </c>
    </row>
    <row r="3125" spans="1:4" ht="9" customHeight="1" x14ac:dyDescent="0.25">
      <c r="A3125" s="1059">
        <v>2003941</v>
      </c>
      <c r="B3125" s="1060" t="s">
        <v>24784</v>
      </c>
      <c r="C3125" s="1059" t="s">
        <v>2</v>
      </c>
      <c r="D3125" s="1061">
        <v>62.09</v>
      </c>
    </row>
    <row r="3126" spans="1:4" ht="9" customHeight="1" x14ac:dyDescent="0.25">
      <c r="A3126" s="1059">
        <v>2003942</v>
      </c>
      <c r="B3126" s="1060" t="s">
        <v>24785</v>
      </c>
      <c r="C3126" s="1059" t="s">
        <v>2</v>
      </c>
      <c r="D3126" s="1061">
        <v>50.66</v>
      </c>
    </row>
    <row r="3127" spans="1:4" ht="9" customHeight="1" x14ac:dyDescent="0.25">
      <c r="A3127" s="1059">
        <v>2003373</v>
      </c>
      <c r="B3127" s="1060" t="s">
        <v>24786</v>
      </c>
      <c r="C3127" s="1059" t="s">
        <v>2</v>
      </c>
      <c r="D3127" s="1061">
        <v>30.23</v>
      </c>
    </row>
    <row r="3128" spans="1:4" ht="9" customHeight="1" x14ac:dyDescent="0.25">
      <c r="A3128" s="1059">
        <v>2003372</v>
      </c>
      <c r="B3128" s="1060" t="s">
        <v>24787</v>
      </c>
      <c r="C3128" s="1059" t="s">
        <v>2</v>
      </c>
      <c r="D3128" s="1061">
        <v>24.71</v>
      </c>
    </row>
    <row r="3129" spans="1:4" ht="9" customHeight="1" x14ac:dyDescent="0.25">
      <c r="A3129" s="1059">
        <v>2003943</v>
      </c>
      <c r="B3129" s="1060" t="s">
        <v>24788</v>
      </c>
      <c r="C3129" s="1059" t="s">
        <v>2</v>
      </c>
      <c r="D3129" s="1061">
        <v>29.29</v>
      </c>
    </row>
    <row r="3130" spans="1:4" ht="9" customHeight="1" x14ac:dyDescent="0.25">
      <c r="A3130" s="1059">
        <v>2003944</v>
      </c>
      <c r="B3130" s="1060" t="s">
        <v>24789</v>
      </c>
      <c r="C3130" s="1059" t="s">
        <v>2</v>
      </c>
      <c r="D3130" s="1061">
        <v>23.75</v>
      </c>
    </row>
    <row r="3131" spans="1:4" ht="9" customHeight="1" x14ac:dyDescent="0.25">
      <c r="A3131" s="1059">
        <v>2003375</v>
      </c>
      <c r="B3131" s="1060" t="s">
        <v>24790</v>
      </c>
      <c r="C3131" s="1059" t="s">
        <v>2</v>
      </c>
      <c r="D3131" s="1061">
        <v>19.53</v>
      </c>
    </row>
    <row r="3132" spans="1:4" ht="9" customHeight="1" x14ac:dyDescent="0.25">
      <c r="A3132" s="1059">
        <v>2003374</v>
      </c>
      <c r="B3132" s="1060" t="s">
        <v>24791</v>
      </c>
      <c r="C3132" s="1059" t="s">
        <v>2</v>
      </c>
      <c r="D3132" s="1061">
        <v>15.47</v>
      </c>
    </row>
    <row r="3133" spans="1:4" ht="9" customHeight="1" x14ac:dyDescent="0.25">
      <c r="A3133" s="1059">
        <v>2003945</v>
      </c>
      <c r="B3133" s="1060" t="s">
        <v>24792</v>
      </c>
      <c r="C3133" s="1059" t="s">
        <v>2</v>
      </c>
      <c r="D3133" s="1061">
        <v>21.93</v>
      </c>
    </row>
    <row r="3134" spans="1:4" ht="9" customHeight="1" x14ac:dyDescent="0.25">
      <c r="A3134" s="1059">
        <v>2003946</v>
      </c>
      <c r="B3134" s="1060" t="s">
        <v>24793</v>
      </c>
      <c r="C3134" s="1059" t="s">
        <v>2</v>
      </c>
      <c r="D3134" s="1061">
        <v>17.850000000000001</v>
      </c>
    </row>
    <row r="3135" spans="1:4" ht="9" customHeight="1" x14ac:dyDescent="0.25">
      <c r="A3135" s="1059">
        <v>2003377</v>
      </c>
      <c r="B3135" s="1060" t="s">
        <v>24794</v>
      </c>
      <c r="C3135" s="1059" t="s">
        <v>2</v>
      </c>
      <c r="D3135" s="1061">
        <v>25.98</v>
      </c>
    </row>
    <row r="3136" spans="1:4" ht="9" customHeight="1" x14ac:dyDescent="0.25">
      <c r="A3136" s="1059">
        <v>2003376</v>
      </c>
      <c r="B3136" s="1060" t="s">
        <v>24795</v>
      </c>
      <c r="C3136" s="1059" t="s">
        <v>2</v>
      </c>
      <c r="D3136" s="1061">
        <v>21.59</v>
      </c>
    </row>
    <row r="3137" spans="1:4" ht="9" customHeight="1" x14ac:dyDescent="0.25">
      <c r="A3137" s="1059">
        <v>2003947</v>
      </c>
      <c r="B3137" s="1060" t="s">
        <v>24796</v>
      </c>
      <c r="C3137" s="1059" t="s">
        <v>2</v>
      </c>
      <c r="D3137" s="1061">
        <v>23.02</v>
      </c>
    </row>
    <row r="3138" spans="1:4" ht="9" customHeight="1" x14ac:dyDescent="0.25">
      <c r="A3138" s="1059">
        <v>2003948</v>
      </c>
      <c r="B3138" s="1060" t="s">
        <v>24797</v>
      </c>
      <c r="C3138" s="1059" t="s">
        <v>2</v>
      </c>
      <c r="D3138" s="1061">
        <v>18.61</v>
      </c>
    </row>
    <row r="3139" spans="1:4" ht="9" customHeight="1" x14ac:dyDescent="0.25">
      <c r="A3139" s="1059">
        <v>2003379</v>
      </c>
      <c r="B3139" s="1060" t="s">
        <v>24798</v>
      </c>
      <c r="C3139" s="1059" t="s">
        <v>2</v>
      </c>
      <c r="D3139" s="1061">
        <v>15.11</v>
      </c>
    </row>
    <row r="3140" spans="1:4" ht="9" customHeight="1" x14ac:dyDescent="0.25">
      <c r="A3140" s="1059">
        <v>2003378</v>
      </c>
      <c r="B3140" s="1060" t="s">
        <v>24799</v>
      </c>
      <c r="C3140" s="1059" t="s">
        <v>2</v>
      </c>
      <c r="D3140" s="1061">
        <v>12.15</v>
      </c>
    </row>
    <row r="3141" spans="1:4" ht="9" customHeight="1" x14ac:dyDescent="0.25">
      <c r="A3141" s="1059">
        <v>2003949</v>
      </c>
      <c r="B3141" s="1060" t="s">
        <v>24800</v>
      </c>
      <c r="C3141" s="1059" t="s">
        <v>2</v>
      </c>
      <c r="D3141" s="1061">
        <v>15.79</v>
      </c>
    </row>
    <row r="3142" spans="1:4" ht="9" customHeight="1" x14ac:dyDescent="0.25">
      <c r="A3142" s="1059">
        <v>2003950</v>
      </c>
      <c r="B3142" s="1060" t="s">
        <v>24801</v>
      </c>
      <c r="C3142" s="1059" t="s">
        <v>2</v>
      </c>
      <c r="D3142" s="1061">
        <v>12.82</v>
      </c>
    </row>
    <row r="3143" spans="1:4" ht="9" customHeight="1" x14ac:dyDescent="0.25">
      <c r="A3143" s="1059">
        <v>2003381</v>
      </c>
      <c r="B3143" s="1060" t="s">
        <v>24802</v>
      </c>
      <c r="C3143" s="1059" t="s">
        <v>2</v>
      </c>
      <c r="D3143" s="1061">
        <v>29.17</v>
      </c>
    </row>
    <row r="3144" spans="1:4" ht="9" customHeight="1" x14ac:dyDescent="0.25">
      <c r="A3144" s="1059">
        <v>2003380</v>
      </c>
      <c r="B3144" s="1060" t="s">
        <v>24803</v>
      </c>
      <c r="C3144" s="1059" t="s">
        <v>2</v>
      </c>
      <c r="D3144" s="1061">
        <v>24.1</v>
      </c>
    </row>
    <row r="3145" spans="1:4" ht="9" customHeight="1" x14ac:dyDescent="0.25">
      <c r="A3145" s="1059">
        <v>2003951</v>
      </c>
      <c r="B3145" s="1060" t="s">
        <v>24804</v>
      </c>
      <c r="C3145" s="1059" t="s">
        <v>2</v>
      </c>
      <c r="D3145" s="1061">
        <v>26.86</v>
      </c>
    </row>
    <row r="3146" spans="1:4" ht="9" customHeight="1" x14ac:dyDescent="0.25">
      <c r="A3146" s="1059">
        <v>2003952</v>
      </c>
      <c r="B3146" s="1060" t="s">
        <v>24805</v>
      </c>
      <c r="C3146" s="1059" t="s">
        <v>2</v>
      </c>
      <c r="D3146" s="1061">
        <v>21.77</v>
      </c>
    </row>
    <row r="3147" spans="1:4" ht="9" customHeight="1" x14ac:dyDescent="0.25">
      <c r="A3147" s="1059">
        <v>2003383</v>
      </c>
      <c r="B3147" s="1060" t="s">
        <v>24806</v>
      </c>
      <c r="C3147" s="1059" t="s">
        <v>2</v>
      </c>
      <c r="D3147" s="1061">
        <v>54.34</v>
      </c>
    </row>
    <row r="3148" spans="1:4" ht="9" customHeight="1" x14ac:dyDescent="0.25">
      <c r="A3148" s="1059">
        <v>2003382</v>
      </c>
      <c r="B3148" s="1060" t="s">
        <v>24807</v>
      </c>
      <c r="C3148" s="1059" t="s">
        <v>2</v>
      </c>
      <c r="D3148" s="1061">
        <v>44.87</v>
      </c>
    </row>
    <row r="3149" spans="1:4" ht="9" customHeight="1" x14ac:dyDescent="0.25">
      <c r="A3149" s="1059">
        <v>2003953</v>
      </c>
      <c r="B3149" s="1060" t="s">
        <v>24808</v>
      </c>
      <c r="C3149" s="1059" t="s">
        <v>2</v>
      </c>
      <c r="D3149" s="1061">
        <v>48.85</v>
      </c>
    </row>
    <row r="3150" spans="1:4" ht="9" customHeight="1" x14ac:dyDescent="0.25">
      <c r="A3150" s="1059">
        <v>2003954</v>
      </c>
      <c r="B3150" s="1060" t="s">
        <v>24809</v>
      </c>
      <c r="C3150" s="1059" t="s">
        <v>2</v>
      </c>
      <c r="D3150" s="1061">
        <v>39.33</v>
      </c>
    </row>
    <row r="3151" spans="1:4" ht="9" customHeight="1" x14ac:dyDescent="0.25">
      <c r="A3151" s="1059">
        <v>2004514</v>
      </c>
      <c r="B3151" s="1060" t="s">
        <v>24810</v>
      </c>
      <c r="C3151" s="1059" t="s">
        <v>2</v>
      </c>
      <c r="D3151" s="1061">
        <v>14.66</v>
      </c>
    </row>
    <row r="3152" spans="1:4" ht="9" customHeight="1" x14ac:dyDescent="0.25">
      <c r="A3152" s="1059">
        <v>2004515</v>
      </c>
      <c r="B3152" s="1060" t="s">
        <v>24811</v>
      </c>
      <c r="C3152" s="1059" t="s">
        <v>2</v>
      </c>
      <c r="D3152" s="1061">
        <v>36.93</v>
      </c>
    </row>
    <row r="3153" spans="1:4" ht="9" customHeight="1" x14ac:dyDescent="0.25">
      <c r="A3153" s="1059">
        <v>2005759</v>
      </c>
      <c r="B3153" s="1060" t="s">
        <v>24812</v>
      </c>
      <c r="C3153" s="1059" t="s">
        <v>2</v>
      </c>
      <c r="D3153" s="1061">
        <v>49.29</v>
      </c>
    </row>
    <row r="3154" spans="1:4" ht="9" customHeight="1" x14ac:dyDescent="0.25">
      <c r="A3154" s="1059">
        <v>2005764</v>
      </c>
      <c r="B3154" s="1060" t="s">
        <v>24813</v>
      </c>
      <c r="C3154" s="1059" t="s">
        <v>2</v>
      </c>
      <c r="D3154" s="1061">
        <v>64.14</v>
      </c>
    </row>
    <row r="3155" spans="1:4" ht="9" customHeight="1" x14ac:dyDescent="0.25">
      <c r="A3155" s="1059">
        <v>2003678</v>
      </c>
      <c r="B3155" s="1060" t="s">
        <v>24814</v>
      </c>
      <c r="C3155" s="1059" t="s">
        <v>3</v>
      </c>
      <c r="D3155" s="1061">
        <v>2062.5500000000002</v>
      </c>
    </row>
    <row r="3156" spans="1:4" ht="9" customHeight="1" x14ac:dyDescent="0.25">
      <c r="A3156" s="1059">
        <v>2003677</v>
      </c>
      <c r="B3156" s="1060" t="s">
        <v>24815</v>
      </c>
      <c r="C3156" s="1059" t="s">
        <v>3</v>
      </c>
      <c r="D3156" s="1061">
        <v>1833.84</v>
      </c>
    </row>
    <row r="3157" spans="1:4" ht="9" customHeight="1" x14ac:dyDescent="0.25">
      <c r="A3157" s="1059">
        <v>2003680</v>
      </c>
      <c r="B3157" s="1060" t="s">
        <v>24816</v>
      </c>
      <c r="C3157" s="1059" t="s">
        <v>3</v>
      </c>
      <c r="D3157" s="1061">
        <v>2031.69</v>
      </c>
    </row>
    <row r="3158" spans="1:4" ht="9" customHeight="1" x14ac:dyDescent="0.25">
      <c r="A3158" s="1059">
        <v>2003679</v>
      </c>
      <c r="B3158" s="1060" t="s">
        <v>24817</v>
      </c>
      <c r="C3158" s="1059" t="s">
        <v>3</v>
      </c>
      <c r="D3158" s="1061">
        <v>1812.18</v>
      </c>
    </row>
    <row r="3159" spans="1:4" ht="9" customHeight="1" x14ac:dyDescent="0.25">
      <c r="A3159" s="1059">
        <v>2003682</v>
      </c>
      <c r="B3159" s="1060" t="s">
        <v>24818</v>
      </c>
      <c r="C3159" s="1059" t="s">
        <v>3</v>
      </c>
      <c r="D3159" s="1061">
        <v>2331.7600000000002</v>
      </c>
    </row>
    <row r="3160" spans="1:4" ht="9" customHeight="1" x14ac:dyDescent="0.25">
      <c r="A3160" s="1059">
        <v>2003681</v>
      </c>
      <c r="B3160" s="1060" t="s">
        <v>24819</v>
      </c>
      <c r="C3160" s="1059" t="s">
        <v>3</v>
      </c>
      <c r="D3160" s="1061">
        <v>2058.36</v>
      </c>
    </row>
    <row r="3161" spans="1:4" ht="9" customHeight="1" x14ac:dyDescent="0.25">
      <c r="A3161" s="1059">
        <v>2003684</v>
      </c>
      <c r="B3161" s="1060" t="s">
        <v>24820</v>
      </c>
      <c r="C3161" s="1059" t="s">
        <v>3</v>
      </c>
      <c r="D3161" s="1061">
        <v>2793.17</v>
      </c>
    </row>
    <row r="3162" spans="1:4" ht="9" customHeight="1" x14ac:dyDescent="0.25">
      <c r="A3162" s="1059">
        <v>2003683</v>
      </c>
      <c r="B3162" s="1060" t="s">
        <v>24821</v>
      </c>
      <c r="C3162" s="1059" t="s">
        <v>3</v>
      </c>
      <c r="D3162" s="1061">
        <v>2467.1999999999998</v>
      </c>
    </row>
    <row r="3163" spans="1:4" ht="9" customHeight="1" x14ac:dyDescent="0.25">
      <c r="A3163" s="1059">
        <v>2003686</v>
      </c>
      <c r="B3163" s="1060" t="s">
        <v>24822</v>
      </c>
      <c r="C3163" s="1059" t="s">
        <v>3</v>
      </c>
      <c r="D3163" s="1061">
        <v>3294.48</v>
      </c>
    </row>
    <row r="3164" spans="1:4" ht="9" customHeight="1" x14ac:dyDescent="0.25">
      <c r="A3164" s="1059">
        <v>2003685</v>
      </c>
      <c r="B3164" s="1060" t="s">
        <v>24823</v>
      </c>
      <c r="C3164" s="1059" t="s">
        <v>3</v>
      </c>
      <c r="D3164" s="1061">
        <v>2914.62</v>
      </c>
    </row>
    <row r="3165" spans="1:4" ht="9" customHeight="1" x14ac:dyDescent="0.25">
      <c r="A3165" s="1059">
        <v>2003688</v>
      </c>
      <c r="B3165" s="1060" t="s">
        <v>24824</v>
      </c>
      <c r="C3165" s="1059" t="s">
        <v>3</v>
      </c>
      <c r="D3165" s="1061">
        <v>4109.17</v>
      </c>
    </row>
    <row r="3166" spans="1:4" ht="9" customHeight="1" x14ac:dyDescent="0.25">
      <c r="A3166" s="1059">
        <v>2003687</v>
      </c>
      <c r="B3166" s="1060" t="s">
        <v>24825</v>
      </c>
      <c r="C3166" s="1059" t="s">
        <v>3</v>
      </c>
      <c r="D3166" s="1061">
        <v>3649.13</v>
      </c>
    </row>
    <row r="3167" spans="1:4" ht="9" customHeight="1" x14ac:dyDescent="0.25">
      <c r="A3167" s="1059">
        <v>2003690</v>
      </c>
      <c r="B3167" s="1060" t="s">
        <v>24826</v>
      </c>
      <c r="C3167" s="1059" t="s">
        <v>3</v>
      </c>
      <c r="D3167" s="1061">
        <v>2390.33</v>
      </c>
    </row>
    <row r="3168" spans="1:4" ht="9" customHeight="1" x14ac:dyDescent="0.25">
      <c r="A3168" s="1059">
        <v>2003689</v>
      </c>
      <c r="B3168" s="1060" t="s">
        <v>24827</v>
      </c>
      <c r="C3168" s="1059" t="s">
        <v>3</v>
      </c>
      <c r="D3168" s="1061">
        <v>2123.5</v>
      </c>
    </row>
    <row r="3169" spans="1:4" ht="9" customHeight="1" x14ac:dyDescent="0.25">
      <c r="A3169" s="1059">
        <v>2003692</v>
      </c>
      <c r="B3169" s="1060" t="s">
        <v>24828</v>
      </c>
      <c r="C3169" s="1059" t="s">
        <v>3</v>
      </c>
      <c r="D3169" s="1061">
        <v>2363.87</v>
      </c>
    </row>
    <row r="3170" spans="1:4" ht="9" customHeight="1" x14ac:dyDescent="0.25">
      <c r="A3170" s="1059">
        <v>2003691</v>
      </c>
      <c r="B3170" s="1060" t="s">
        <v>24829</v>
      </c>
      <c r="C3170" s="1059" t="s">
        <v>3</v>
      </c>
      <c r="D3170" s="1061">
        <v>2104.94</v>
      </c>
    </row>
    <row r="3171" spans="1:4" ht="9" customHeight="1" x14ac:dyDescent="0.25">
      <c r="A3171" s="1059">
        <v>2003694</v>
      </c>
      <c r="B3171" s="1060" t="s">
        <v>24830</v>
      </c>
      <c r="C3171" s="1059" t="s">
        <v>3</v>
      </c>
      <c r="D3171" s="1061">
        <v>2685.15</v>
      </c>
    </row>
    <row r="3172" spans="1:4" ht="9" customHeight="1" x14ac:dyDescent="0.25">
      <c r="A3172" s="1059">
        <v>2003693</v>
      </c>
      <c r="B3172" s="1060" t="s">
        <v>24831</v>
      </c>
      <c r="C3172" s="1059" t="s">
        <v>3</v>
      </c>
      <c r="D3172" s="1061">
        <v>2367.0700000000002</v>
      </c>
    </row>
    <row r="3173" spans="1:4" ht="9" customHeight="1" x14ac:dyDescent="0.25">
      <c r="A3173" s="1059">
        <v>2003696</v>
      </c>
      <c r="B3173" s="1060" t="s">
        <v>24832</v>
      </c>
      <c r="C3173" s="1059" t="s">
        <v>3</v>
      </c>
      <c r="D3173" s="1061">
        <v>3018.3</v>
      </c>
    </row>
    <row r="3174" spans="1:4" ht="9" customHeight="1" x14ac:dyDescent="0.25">
      <c r="A3174" s="1059">
        <v>2003695</v>
      </c>
      <c r="B3174" s="1060" t="s">
        <v>24833</v>
      </c>
      <c r="C3174" s="1059" t="s">
        <v>3</v>
      </c>
      <c r="D3174" s="1061">
        <v>2645.01</v>
      </c>
    </row>
    <row r="3175" spans="1:4" ht="9" customHeight="1" x14ac:dyDescent="0.25">
      <c r="A3175" s="1059">
        <v>2003698</v>
      </c>
      <c r="B3175" s="1060" t="s">
        <v>24834</v>
      </c>
      <c r="C3175" s="1059" t="s">
        <v>3</v>
      </c>
      <c r="D3175" s="1061">
        <v>3686.93</v>
      </c>
    </row>
    <row r="3176" spans="1:4" ht="9" customHeight="1" x14ac:dyDescent="0.25">
      <c r="A3176" s="1059">
        <v>2003697</v>
      </c>
      <c r="B3176" s="1060" t="s">
        <v>24835</v>
      </c>
      <c r="C3176" s="1059" t="s">
        <v>3</v>
      </c>
      <c r="D3176" s="1061">
        <v>3257.12</v>
      </c>
    </row>
    <row r="3177" spans="1:4" ht="9" customHeight="1" x14ac:dyDescent="0.25">
      <c r="A3177" s="1059">
        <v>2003700</v>
      </c>
      <c r="B3177" s="1060" t="s">
        <v>24836</v>
      </c>
      <c r="C3177" s="1059" t="s">
        <v>3</v>
      </c>
      <c r="D3177" s="1061">
        <v>4540.67</v>
      </c>
    </row>
    <row r="3178" spans="1:4" ht="9" customHeight="1" x14ac:dyDescent="0.25">
      <c r="A3178" s="1059">
        <v>2003699</v>
      </c>
      <c r="B3178" s="1060" t="s">
        <v>24837</v>
      </c>
      <c r="C3178" s="1059" t="s">
        <v>3</v>
      </c>
      <c r="D3178" s="1061">
        <v>4025.42</v>
      </c>
    </row>
    <row r="3179" spans="1:4" ht="9" customHeight="1" x14ac:dyDescent="0.25">
      <c r="A3179" s="1059">
        <v>2003702</v>
      </c>
      <c r="B3179" s="1060" t="s">
        <v>24838</v>
      </c>
      <c r="C3179" s="1059" t="s">
        <v>3</v>
      </c>
      <c r="D3179" s="1061">
        <v>2735.74</v>
      </c>
    </row>
    <row r="3180" spans="1:4" ht="9" customHeight="1" x14ac:dyDescent="0.25">
      <c r="A3180" s="1059">
        <v>2003701</v>
      </c>
      <c r="B3180" s="1060" t="s">
        <v>24839</v>
      </c>
      <c r="C3180" s="1059" t="s">
        <v>3</v>
      </c>
      <c r="D3180" s="1061">
        <v>2425.54</v>
      </c>
    </row>
    <row r="3181" spans="1:4" ht="9" customHeight="1" x14ac:dyDescent="0.25">
      <c r="A3181" s="1059">
        <v>2003704</v>
      </c>
      <c r="B3181" s="1060" t="s">
        <v>24840</v>
      </c>
      <c r="C3181" s="1059" t="s">
        <v>3</v>
      </c>
      <c r="D3181" s="1061">
        <v>2709.29</v>
      </c>
    </row>
    <row r="3182" spans="1:4" ht="9" customHeight="1" x14ac:dyDescent="0.25">
      <c r="A3182" s="1059">
        <v>2003703</v>
      </c>
      <c r="B3182" s="1060" t="s">
        <v>24841</v>
      </c>
      <c r="C3182" s="1059" t="s">
        <v>3</v>
      </c>
      <c r="D3182" s="1061">
        <v>2406.98</v>
      </c>
    </row>
    <row r="3183" spans="1:4" ht="9" customHeight="1" x14ac:dyDescent="0.25">
      <c r="A3183" s="1059">
        <v>2003706</v>
      </c>
      <c r="B3183" s="1060" t="s">
        <v>24842</v>
      </c>
      <c r="C3183" s="1059" t="s">
        <v>3</v>
      </c>
      <c r="D3183" s="1061">
        <v>3056.18</v>
      </c>
    </row>
    <row r="3184" spans="1:4" ht="9" customHeight="1" x14ac:dyDescent="0.25">
      <c r="A3184" s="1059">
        <v>2003705</v>
      </c>
      <c r="B3184" s="1060" t="s">
        <v>24843</v>
      </c>
      <c r="C3184" s="1059" t="s">
        <v>3</v>
      </c>
      <c r="D3184" s="1061">
        <v>2688.15</v>
      </c>
    </row>
    <row r="3185" spans="1:4" ht="9" customHeight="1" x14ac:dyDescent="0.25">
      <c r="A3185" s="1059">
        <v>2003708</v>
      </c>
      <c r="B3185" s="1060" t="s">
        <v>24844</v>
      </c>
      <c r="C3185" s="1059" t="s">
        <v>3</v>
      </c>
      <c r="D3185" s="1061">
        <v>3549.51</v>
      </c>
    </row>
    <row r="3186" spans="1:4" ht="9" customHeight="1" x14ac:dyDescent="0.25">
      <c r="A3186" s="1059">
        <v>2003707</v>
      </c>
      <c r="B3186" s="1060" t="s">
        <v>24845</v>
      </c>
      <c r="C3186" s="1059" t="s">
        <v>3</v>
      </c>
      <c r="D3186" s="1061">
        <v>3123.65</v>
      </c>
    </row>
    <row r="3187" spans="1:4" ht="9" customHeight="1" x14ac:dyDescent="0.25">
      <c r="A3187" s="1059">
        <v>2003710</v>
      </c>
      <c r="B3187" s="1060" t="s">
        <v>24846</v>
      </c>
      <c r="C3187" s="1059" t="s">
        <v>3</v>
      </c>
      <c r="D3187" s="1061">
        <v>4097.0200000000004</v>
      </c>
    </row>
    <row r="3188" spans="1:4" ht="9" customHeight="1" x14ac:dyDescent="0.25">
      <c r="A3188" s="1059">
        <v>2003709</v>
      </c>
      <c r="B3188" s="1060" t="s">
        <v>24847</v>
      </c>
      <c r="C3188" s="1059" t="s">
        <v>3</v>
      </c>
      <c r="D3188" s="1061">
        <v>3612</v>
      </c>
    </row>
    <row r="3189" spans="1:4" ht="9" customHeight="1" x14ac:dyDescent="0.25">
      <c r="A3189" s="1059">
        <v>2003712</v>
      </c>
      <c r="B3189" s="1060" t="s">
        <v>24848</v>
      </c>
      <c r="C3189" s="1059" t="s">
        <v>3</v>
      </c>
      <c r="D3189" s="1061">
        <v>4989.8100000000004</v>
      </c>
    </row>
    <row r="3190" spans="1:4" ht="9" customHeight="1" x14ac:dyDescent="0.25">
      <c r="A3190" s="1059">
        <v>2003711</v>
      </c>
      <c r="B3190" s="1060" t="s">
        <v>24849</v>
      </c>
      <c r="C3190" s="1059" t="s">
        <v>3</v>
      </c>
      <c r="D3190" s="1061">
        <v>4414.1000000000004</v>
      </c>
    </row>
    <row r="3191" spans="1:4" ht="9" customHeight="1" x14ac:dyDescent="0.25">
      <c r="A3191" s="1059">
        <v>2004505</v>
      </c>
      <c r="B3191" s="1060" t="s">
        <v>24850</v>
      </c>
      <c r="C3191" s="1059" t="s">
        <v>38</v>
      </c>
      <c r="D3191" s="1061">
        <v>19.829999999999998</v>
      </c>
    </row>
    <row r="3192" spans="1:4" ht="9" customHeight="1" x14ac:dyDescent="0.25">
      <c r="A3192" s="1059">
        <v>2003349</v>
      </c>
      <c r="B3192" s="1060" t="s">
        <v>24851</v>
      </c>
      <c r="C3192" s="1059" t="s">
        <v>2</v>
      </c>
      <c r="D3192" s="1061">
        <v>59.85</v>
      </c>
    </row>
    <row r="3193" spans="1:4" ht="9" customHeight="1" x14ac:dyDescent="0.25">
      <c r="A3193" s="1059">
        <v>2003348</v>
      </c>
      <c r="B3193" s="1060" t="s">
        <v>24852</v>
      </c>
      <c r="C3193" s="1059" t="s">
        <v>2</v>
      </c>
      <c r="D3193" s="1061">
        <v>45.99</v>
      </c>
    </row>
    <row r="3194" spans="1:4" ht="18" customHeight="1" x14ac:dyDescent="0.25">
      <c r="A3194" s="1059">
        <v>2003975</v>
      </c>
      <c r="B3194" s="1060" t="s">
        <v>24853</v>
      </c>
      <c r="C3194" s="1059" t="s">
        <v>2</v>
      </c>
      <c r="D3194" s="1061">
        <v>68.25</v>
      </c>
    </row>
    <row r="3195" spans="1:4" ht="18" customHeight="1" x14ac:dyDescent="0.25">
      <c r="A3195" s="1059">
        <v>2003976</v>
      </c>
      <c r="B3195" s="1060" t="s">
        <v>24854</v>
      </c>
      <c r="C3195" s="1059" t="s">
        <v>2</v>
      </c>
      <c r="D3195" s="1061">
        <v>54.33</v>
      </c>
    </row>
    <row r="3196" spans="1:4" ht="9" customHeight="1" x14ac:dyDescent="0.25">
      <c r="A3196" s="1059">
        <v>2003351</v>
      </c>
      <c r="B3196" s="1060" t="s">
        <v>24855</v>
      </c>
      <c r="C3196" s="1059" t="s">
        <v>2</v>
      </c>
      <c r="D3196" s="1061">
        <v>80.03</v>
      </c>
    </row>
    <row r="3197" spans="1:4" ht="9" customHeight="1" x14ac:dyDescent="0.25">
      <c r="A3197" s="1059">
        <v>2003350</v>
      </c>
      <c r="B3197" s="1060" t="s">
        <v>24856</v>
      </c>
      <c r="C3197" s="1059" t="s">
        <v>2</v>
      </c>
      <c r="D3197" s="1061">
        <v>61.47</v>
      </c>
    </row>
    <row r="3198" spans="1:4" ht="18" customHeight="1" x14ac:dyDescent="0.25">
      <c r="A3198" s="1059">
        <v>2003977</v>
      </c>
      <c r="B3198" s="1060" t="s">
        <v>24857</v>
      </c>
      <c r="C3198" s="1059" t="s">
        <v>2</v>
      </c>
      <c r="D3198" s="1061">
        <v>91.42</v>
      </c>
    </row>
    <row r="3199" spans="1:4" ht="18" customHeight="1" x14ac:dyDescent="0.25">
      <c r="A3199" s="1059">
        <v>2003978</v>
      </c>
      <c r="B3199" s="1060" t="s">
        <v>24858</v>
      </c>
      <c r="C3199" s="1059" t="s">
        <v>2</v>
      </c>
      <c r="D3199" s="1061">
        <v>72.790000000000006</v>
      </c>
    </row>
    <row r="3200" spans="1:4" ht="9" customHeight="1" x14ac:dyDescent="0.25">
      <c r="A3200" s="1059">
        <v>2003353</v>
      </c>
      <c r="B3200" s="1060" t="s">
        <v>24859</v>
      </c>
      <c r="C3200" s="1059" t="s">
        <v>2</v>
      </c>
      <c r="D3200" s="1061">
        <v>61.37</v>
      </c>
    </row>
    <row r="3201" spans="1:4" ht="9" customHeight="1" x14ac:dyDescent="0.25">
      <c r="A3201" s="1059">
        <v>2003352</v>
      </c>
      <c r="B3201" s="1060" t="s">
        <v>24860</v>
      </c>
      <c r="C3201" s="1059" t="s">
        <v>2</v>
      </c>
      <c r="D3201" s="1061">
        <v>47.13</v>
      </c>
    </row>
    <row r="3202" spans="1:4" ht="18" customHeight="1" x14ac:dyDescent="0.25">
      <c r="A3202" s="1059">
        <v>2003979</v>
      </c>
      <c r="B3202" s="1060" t="s">
        <v>24861</v>
      </c>
      <c r="C3202" s="1059" t="s">
        <v>2</v>
      </c>
      <c r="D3202" s="1061">
        <v>70.12</v>
      </c>
    </row>
    <row r="3203" spans="1:4" ht="18" customHeight="1" x14ac:dyDescent="0.25">
      <c r="A3203" s="1059">
        <v>2003980</v>
      </c>
      <c r="B3203" s="1060" t="s">
        <v>24862</v>
      </c>
      <c r="C3203" s="1059" t="s">
        <v>2</v>
      </c>
      <c r="D3203" s="1061">
        <v>55.83</v>
      </c>
    </row>
    <row r="3204" spans="1:4" ht="9" customHeight="1" x14ac:dyDescent="0.25">
      <c r="A3204" s="1059">
        <v>2003355</v>
      </c>
      <c r="B3204" s="1060" t="s">
        <v>24863</v>
      </c>
      <c r="C3204" s="1059" t="s">
        <v>2</v>
      </c>
      <c r="D3204" s="1061">
        <v>83.14</v>
      </c>
    </row>
    <row r="3205" spans="1:4" ht="9" customHeight="1" x14ac:dyDescent="0.25">
      <c r="A3205" s="1059">
        <v>2003354</v>
      </c>
      <c r="B3205" s="1060" t="s">
        <v>24864</v>
      </c>
      <c r="C3205" s="1059" t="s">
        <v>2</v>
      </c>
      <c r="D3205" s="1061">
        <v>63.83</v>
      </c>
    </row>
    <row r="3206" spans="1:4" ht="18" customHeight="1" x14ac:dyDescent="0.25">
      <c r="A3206" s="1059">
        <v>2003981</v>
      </c>
      <c r="B3206" s="1060" t="s">
        <v>24865</v>
      </c>
      <c r="C3206" s="1059" t="s">
        <v>2</v>
      </c>
      <c r="D3206" s="1061">
        <v>95.12</v>
      </c>
    </row>
    <row r="3207" spans="1:4" ht="18" customHeight="1" x14ac:dyDescent="0.25">
      <c r="A3207" s="1059">
        <v>2003982</v>
      </c>
      <c r="B3207" s="1060" t="s">
        <v>24866</v>
      </c>
      <c r="C3207" s="1059" t="s">
        <v>2</v>
      </c>
      <c r="D3207" s="1061">
        <v>75.73</v>
      </c>
    </row>
    <row r="3208" spans="1:4" ht="9" customHeight="1" x14ac:dyDescent="0.25">
      <c r="A3208" s="1059">
        <v>2003343</v>
      </c>
      <c r="B3208" s="1060" t="s">
        <v>24867</v>
      </c>
      <c r="C3208" s="1059" t="s">
        <v>2</v>
      </c>
      <c r="D3208" s="1061">
        <v>61.52</v>
      </c>
    </row>
    <row r="3209" spans="1:4" ht="9" customHeight="1" x14ac:dyDescent="0.25">
      <c r="A3209" s="1059">
        <v>2003342</v>
      </c>
      <c r="B3209" s="1060" t="s">
        <v>24868</v>
      </c>
      <c r="C3209" s="1059" t="s">
        <v>2</v>
      </c>
      <c r="D3209" s="1061">
        <v>49.88</v>
      </c>
    </row>
    <row r="3210" spans="1:4" ht="18" customHeight="1" x14ac:dyDescent="0.25">
      <c r="A3210" s="1059">
        <v>2003971</v>
      </c>
      <c r="B3210" s="1060" t="s">
        <v>24869</v>
      </c>
      <c r="C3210" s="1059" t="s">
        <v>2</v>
      </c>
      <c r="D3210" s="1061">
        <v>68.63</v>
      </c>
    </row>
    <row r="3211" spans="1:4" ht="18" customHeight="1" x14ac:dyDescent="0.25">
      <c r="A3211" s="1059">
        <v>2003972</v>
      </c>
      <c r="B3211" s="1060" t="s">
        <v>24870</v>
      </c>
      <c r="C3211" s="1059" t="s">
        <v>2</v>
      </c>
      <c r="D3211" s="1061">
        <v>56.95</v>
      </c>
    </row>
    <row r="3212" spans="1:4" ht="9" customHeight="1" x14ac:dyDescent="0.25">
      <c r="A3212" s="1059">
        <v>2003345</v>
      </c>
      <c r="B3212" s="1060" t="s">
        <v>24871</v>
      </c>
      <c r="C3212" s="1059" t="s">
        <v>2</v>
      </c>
      <c r="D3212" s="1061">
        <v>44.2</v>
      </c>
    </row>
    <row r="3213" spans="1:4" ht="9" customHeight="1" x14ac:dyDescent="0.25">
      <c r="A3213" s="1059">
        <v>2003344</v>
      </c>
      <c r="B3213" s="1060" t="s">
        <v>24872</v>
      </c>
      <c r="C3213" s="1059" t="s">
        <v>2</v>
      </c>
      <c r="D3213" s="1061">
        <v>36.08</v>
      </c>
    </row>
    <row r="3214" spans="1:4" ht="18" customHeight="1" x14ac:dyDescent="0.25">
      <c r="A3214" s="1059">
        <v>2003973</v>
      </c>
      <c r="B3214" s="1060" t="s">
        <v>24873</v>
      </c>
      <c r="C3214" s="1059" t="s">
        <v>2</v>
      </c>
      <c r="D3214" s="1061">
        <v>49.09</v>
      </c>
    </row>
    <row r="3215" spans="1:4" ht="18" customHeight="1" x14ac:dyDescent="0.25">
      <c r="A3215" s="1059">
        <v>2003974</v>
      </c>
      <c r="B3215" s="1060" t="s">
        <v>24874</v>
      </c>
      <c r="C3215" s="1059" t="s">
        <v>2</v>
      </c>
      <c r="D3215" s="1061">
        <v>40.94</v>
      </c>
    </row>
    <row r="3216" spans="1:4" ht="9" customHeight="1" x14ac:dyDescent="0.25">
      <c r="A3216" s="1059">
        <v>2003346</v>
      </c>
      <c r="B3216" s="1060" t="s">
        <v>24875</v>
      </c>
      <c r="C3216" s="1059" t="s">
        <v>2</v>
      </c>
      <c r="D3216" s="1061">
        <v>21.69</v>
      </c>
    </row>
    <row r="3217" spans="1:4" ht="9" customHeight="1" x14ac:dyDescent="0.25">
      <c r="A3217" s="1059">
        <v>2003347</v>
      </c>
      <c r="B3217" s="1060" t="s">
        <v>24876</v>
      </c>
      <c r="C3217" s="1059" t="s">
        <v>2</v>
      </c>
      <c r="D3217" s="1061">
        <v>15.91</v>
      </c>
    </row>
    <row r="3218" spans="1:4" ht="9" customHeight="1" x14ac:dyDescent="0.25">
      <c r="A3218" s="1059">
        <v>2003932</v>
      </c>
      <c r="B3218" s="1060" t="s">
        <v>24877</v>
      </c>
      <c r="C3218" s="1059" t="s">
        <v>2</v>
      </c>
      <c r="D3218" s="1061">
        <v>10.1</v>
      </c>
    </row>
    <row r="3219" spans="1:4" ht="9" customHeight="1" x14ac:dyDescent="0.25">
      <c r="A3219" s="1059">
        <v>2003933</v>
      </c>
      <c r="B3219" s="1060" t="s">
        <v>24878</v>
      </c>
      <c r="C3219" s="1059" t="s">
        <v>2</v>
      </c>
      <c r="D3219" s="1061">
        <v>7.85</v>
      </c>
    </row>
    <row r="3220" spans="1:4" ht="9" customHeight="1" x14ac:dyDescent="0.25">
      <c r="A3220" s="1059">
        <v>2003319</v>
      </c>
      <c r="B3220" s="1060" t="s">
        <v>24879</v>
      </c>
      <c r="C3220" s="1059" t="s">
        <v>2</v>
      </c>
      <c r="D3220" s="1061">
        <v>79.959999999999994</v>
      </c>
    </row>
    <row r="3221" spans="1:4" ht="9" customHeight="1" x14ac:dyDescent="0.25">
      <c r="A3221" s="1059">
        <v>2003318</v>
      </c>
      <c r="B3221" s="1060" t="s">
        <v>24880</v>
      </c>
      <c r="C3221" s="1059" t="s">
        <v>2</v>
      </c>
      <c r="D3221" s="1061">
        <v>64.099999999999994</v>
      </c>
    </row>
    <row r="3222" spans="1:4" ht="18" customHeight="1" x14ac:dyDescent="0.25">
      <c r="A3222" s="1059">
        <v>2003955</v>
      </c>
      <c r="B3222" s="1060" t="s">
        <v>24881</v>
      </c>
      <c r="C3222" s="1059" t="s">
        <v>2</v>
      </c>
      <c r="D3222" s="1061">
        <v>89.9</v>
      </c>
    </row>
    <row r="3223" spans="1:4" ht="18" customHeight="1" x14ac:dyDescent="0.25">
      <c r="A3223" s="1059">
        <v>2003956</v>
      </c>
      <c r="B3223" s="1060" t="s">
        <v>24882</v>
      </c>
      <c r="C3223" s="1059" t="s">
        <v>2</v>
      </c>
      <c r="D3223" s="1061">
        <v>73.97</v>
      </c>
    </row>
    <row r="3224" spans="1:4" ht="9" customHeight="1" x14ac:dyDescent="0.25">
      <c r="A3224" s="1059">
        <v>2003321</v>
      </c>
      <c r="B3224" s="1060" t="s">
        <v>24883</v>
      </c>
      <c r="C3224" s="1059" t="s">
        <v>2</v>
      </c>
      <c r="D3224" s="1061">
        <v>68.010000000000005</v>
      </c>
    </row>
    <row r="3225" spans="1:4" ht="9" customHeight="1" x14ac:dyDescent="0.25">
      <c r="A3225" s="1059">
        <v>2003320</v>
      </c>
      <c r="B3225" s="1060" t="s">
        <v>24884</v>
      </c>
      <c r="C3225" s="1059" t="s">
        <v>2</v>
      </c>
      <c r="D3225" s="1061">
        <v>54.73</v>
      </c>
    </row>
    <row r="3226" spans="1:4" ht="18" customHeight="1" x14ac:dyDescent="0.25">
      <c r="A3226" s="1059">
        <v>2003957</v>
      </c>
      <c r="B3226" s="1060" t="s">
        <v>24885</v>
      </c>
      <c r="C3226" s="1059" t="s">
        <v>2</v>
      </c>
      <c r="D3226" s="1061">
        <v>76.290000000000006</v>
      </c>
    </row>
    <row r="3227" spans="1:4" ht="18" customHeight="1" x14ac:dyDescent="0.25">
      <c r="A3227" s="1059">
        <v>2003958</v>
      </c>
      <c r="B3227" s="1060" t="s">
        <v>24886</v>
      </c>
      <c r="C3227" s="1059" t="s">
        <v>2</v>
      </c>
      <c r="D3227" s="1061">
        <v>62.96</v>
      </c>
    </row>
    <row r="3228" spans="1:4" ht="9" customHeight="1" x14ac:dyDescent="0.25">
      <c r="A3228" s="1059">
        <v>2003323</v>
      </c>
      <c r="B3228" s="1060" t="s">
        <v>24887</v>
      </c>
      <c r="C3228" s="1059" t="s">
        <v>2</v>
      </c>
      <c r="D3228" s="1061">
        <v>58.45</v>
      </c>
    </row>
    <row r="3229" spans="1:4" ht="9" customHeight="1" x14ac:dyDescent="0.25">
      <c r="A3229" s="1059">
        <v>2003322</v>
      </c>
      <c r="B3229" s="1060" t="s">
        <v>24888</v>
      </c>
      <c r="C3229" s="1059" t="s">
        <v>2</v>
      </c>
      <c r="D3229" s="1061">
        <v>47.03</v>
      </c>
    </row>
    <row r="3230" spans="1:4" ht="18" customHeight="1" x14ac:dyDescent="0.25">
      <c r="A3230" s="1059">
        <v>2003959</v>
      </c>
      <c r="B3230" s="1060" t="s">
        <v>24889</v>
      </c>
      <c r="C3230" s="1059" t="s">
        <v>2</v>
      </c>
      <c r="D3230" s="1061">
        <v>65.55</v>
      </c>
    </row>
    <row r="3231" spans="1:4" ht="18" customHeight="1" x14ac:dyDescent="0.25">
      <c r="A3231" s="1059">
        <v>2003960</v>
      </c>
      <c r="B3231" s="1060" t="s">
        <v>24890</v>
      </c>
      <c r="C3231" s="1059" t="s">
        <v>2</v>
      </c>
      <c r="D3231" s="1061">
        <v>54.08</v>
      </c>
    </row>
    <row r="3232" spans="1:4" ht="9" customHeight="1" x14ac:dyDescent="0.25">
      <c r="A3232" s="1059">
        <v>2003325</v>
      </c>
      <c r="B3232" s="1060" t="s">
        <v>24891</v>
      </c>
      <c r="C3232" s="1059" t="s">
        <v>2</v>
      </c>
      <c r="D3232" s="1061">
        <v>49.65</v>
      </c>
    </row>
    <row r="3233" spans="1:4" ht="9" customHeight="1" x14ac:dyDescent="0.25">
      <c r="A3233" s="1059">
        <v>2003324</v>
      </c>
      <c r="B3233" s="1060" t="s">
        <v>24892</v>
      </c>
      <c r="C3233" s="1059" t="s">
        <v>2</v>
      </c>
      <c r="D3233" s="1061">
        <v>40.22</v>
      </c>
    </row>
    <row r="3234" spans="1:4" ht="18" customHeight="1" x14ac:dyDescent="0.25">
      <c r="A3234" s="1059">
        <v>2003961</v>
      </c>
      <c r="B3234" s="1060" t="s">
        <v>24893</v>
      </c>
      <c r="C3234" s="1059" t="s">
        <v>2</v>
      </c>
      <c r="D3234" s="1061">
        <v>55.5</v>
      </c>
    </row>
    <row r="3235" spans="1:4" ht="18" customHeight="1" x14ac:dyDescent="0.25">
      <c r="A3235" s="1059">
        <v>2003962</v>
      </c>
      <c r="B3235" s="1060" t="s">
        <v>24894</v>
      </c>
      <c r="C3235" s="1059" t="s">
        <v>2</v>
      </c>
      <c r="D3235" s="1061">
        <v>46.02</v>
      </c>
    </row>
    <row r="3236" spans="1:4" ht="9" customHeight="1" x14ac:dyDescent="0.25">
      <c r="A3236" s="1059">
        <v>2003327</v>
      </c>
      <c r="B3236" s="1060" t="s">
        <v>24895</v>
      </c>
      <c r="C3236" s="1059" t="s">
        <v>2</v>
      </c>
      <c r="D3236" s="1061">
        <v>104.16</v>
      </c>
    </row>
    <row r="3237" spans="1:4" ht="9" customHeight="1" x14ac:dyDescent="0.25">
      <c r="A3237" s="1059">
        <v>2003326</v>
      </c>
      <c r="B3237" s="1060" t="s">
        <v>24896</v>
      </c>
      <c r="C3237" s="1059" t="s">
        <v>2</v>
      </c>
      <c r="D3237" s="1061">
        <v>89.74</v>
      </c>
    </row>
    <row r="3238" spans="1:4" ht="18" customHeight="1" x14ac:dyDescent="0.25">
      <c r="A3238" s="1059">
        <v>2003963</v>
      </c>
      <c r="B3238" s="1060" t="s">
        <v>24897</v>
      </c>
      <c r="C3238" s="1059" t="s">
        <v>2</v>
      </c>
      <c r="D3238" s="1061">
        <v>82.39</v>
      </c>
    </row>
    <row r="3239" spans="1:4" ht="18" customHeight="1" x14ac:dyDescent="0.25">
      <c r="A3239" s="1059">
        <v>2003964</v>
      </c>
      <c r="B3239" s="1060" t="s">
        <v>24898</v>
      </c>
      <c r="C3239" s="1059" t="s">
        <v>2</v>
      </c>
      <c r="D3239" s="1061">
        <v>67.91</v>
      </c>
    </row>
    <row r="3240" spans="1:4" ht="9" customHeight="1" x14ac:dyDescent="0.25">
      <c r="A3240" s="1059">
        <v>2003329</v>
      </c>
      <c r="B3240" s="1060" t="s">
        <v>24899</v>
      </c>
      <c r="C3240" s="1059" t="s">
        <v>2</v>
      </c>
      <c r="D3240" s="1061">
        <v>87.66</v>
      </c>
    </row>
    <row r="3241" spans="1:4" ht="9" customHeight="1" x14ac:dyDescent="0.25">
      <c r="A3241" s="1059">
        <v>2003328</v>
      </c>
      <c r="B3241" s="1060" t="s">
        <v>24900</v>
      </c>
      <c r="C3241" s="1059" t="s">
        <v>2</v>
      </c>
      <c r="D3241" s="1061">
        <v>75.489999999999995</v>
      </c>
    </row>
    <row r="3242" spans="1:4" ht="18" customHeight="1" x14ac:dyDescent="0.25">
      <c r="A3242" s="1059">
        <v>2003965</v>
      </c>
      <c r="B3242" s="1060" t="s">
        <v>24901</v>
      </c>
      <c r="C3242" s="1059" t="s">
        <v>2</v>
      </c>
      <c r="D3242" s="1061">
        <v>69.7</v>
      </c>
    </row>
    <row r="3243" spans="1:4" ht="18" customHeight="1" x14ac:dyDescent="0.25">
      <c r="A3243" s="1059">
        <v>2003966</v>
      </c>
      <c r="B3243" s="1060" t="s">
        <v>24902</v>
      </c>
      <c r="C3243" s="1059" t="s">
        <v>2</v>
      </c>
      <c r="D3243" s="1061">
        <v>57.48</v>
      </c>
    </row>
    <row r="3244" spans="1:4" ht="9" customHeight="1" x14ac:dyDescent="0.25">
      <c r="A3244" s="1059">
        <v>2003331</v>
      </c>
      <c r="B3244" s="1060" t="s">
        <v>24903</v>
      </c>
      <c r="C3244" s="1059" t="s">
        <v>2</v>
      </c>
      <c r="D3244" s="1061">
        <v>75.37</v>
      </c>
    </row>
    <row r="3245" spans="1:4" ht="9" customHeight="1" x14ac:dyDescent="0.25">
      <c r="A3245" s="1059">
        <v>2003330</v>
      </c>
      <c r="B3245" s="1060" t="s">
        <v>24904</v>
      </c>
      <c r="C3245" s="1059" t="s">
        <v>2</v>
      </c>
      <c r="D3245" s="1061">
        <v>65</v>
      </c>
    </row>
    <row r="3246" spans="1:4" ht="18" customHeight="1" x14ac:dyDescent="0.25">
      <c r="A3246" s="1059">
        <v>2003967</v>
      </c>
      <c r="B3246" s="1060" t="s">
        <v>24905</v>
      </c>
      <c r="C3246" s="1059" t="s">
        <v>2</v>
      </c>
      <c r="D3246" s="1061">
        <v>60.5</v>
      </c>
    </row>
    <row r="3247" spans="1:4" ht="18" customHeight="1" x14ac:dyDescent="0.25">
      <c r="A3247" s="1059">
        <v>2003968</v>
      </c>
      <c r="B3247" s="1060" t="s">
        <v>24906</v>
      </c>
      <c r="C3247" s="1059" t="s">
        <v>2</v>
      </c>
      <c r="D3247" s="1061">
        <v>50.09</v>
      </c>
    </row>
    <row r="3248" spans="1:4" ht="9" customHeight="1" x14ac:dyDescent="0.25">
      <c r="A3248" s="1059">
        <v>2003333</v>
      </c>
      <c r="B3248" s="1060" t="s">
        <v>24907</v>
      </c>
      <c r="C3248" s="1059" t="s">
        <v>2</v>
      </c>
      <c r="D3248" s="1061">
        <v>63.48</v>
      </c>
    </row>
    <row r="3249" spans="1:4" ht="9" customHeight="1" x14ac:dyDescent="0.25">
      <c r="A3249" s="1059">
        <v>2003332</v>
      </c>
      <c r="B3249" s="1060" t="s">
        <v>24908</v>
      </c>
      <c r="C3249" s="1059" t="s">
        <v>2</v>
      </c>
      <c r="D3249" s="1061">
        <v>54.75</v>
      </c>
    </row>
    <row r="3250" spans="1:4" ht="18" customHeight="1" x14ac:dyDescent="0.25">
      <c r="A3250" s="1059">
        <v>2003969</v>
      </c>
      <c r="B3250" s="1060" t="s">
        <v>24909</v>
      </c>
      <c r="C3250" s="1059" t="s">
        <v>2</v>
      </c>
      <c r="D3250" s="1061">
        <v>51.13</v>
      </c>
    </row>
    <row r="3251" spans="1:4" ht="18" customHeight="1" x14ac:dyDescent="0.25">
      <c r="A3251" s="1059">
        <v>2003970</v>
      </c>
      <c r="B3251" s="1060" t="s">
        <v>24910</v>
      </c>
      <c r="C3251" s="1059" t="s">
        <v>2</v>
      </c>
      <c r="D3251" s="1061">
        <v>42.37</v>
      </c>
    </row>
    <row r="3252" spans="1:4" ht="9" customHeight="1" x14ac:dyDescent="0.25">
      <c r="A3252" s="1059">
        <v>2003338</v>
      </c>
      <c r="B3252" s="1060" t="s">
        <v>24911</v>
      </c>
      <c r="C3252" s="1059" t="s">
        <v>2</v>
      </c>
      <c r="D3252" s="1061">
        <v>24.88</v>
      </c>
    </row>
    <row r="3253" spans="1:4" ht="9" customHeight="1" x14ac:dyDescent="0.25">
      <c r="A3253" s="1059">
        <v>2003339</v>
      </c>
      <c r="B3253" s="1060" t="s">
        <v>24912</v>
      </c>
      <c r="C3253" s="1059" t="s">
        <v>2</v>
      </c>
      <c r="D3253" s="1061">
        <v>21.69</v>
      </c>
    </row>
    <row r="3254" spans="1:4" ht="9" customHeight="1" x14ac:dyDescent="0.25">
      <c r="A3254" s="1059">
        <v>2003340</v>
      </c>
      <c r="B3254" s="1060" t="s">
        <v>24913</v>
      </c>
      <c r="C3254" s="1059" t="s">
        <v>2</v>
      </c>
      <c r="D3254" s="1061">
        <v>18.649999999999999</v>
      </c>
    </row>
    <row r="3255" spans="1:4" ht="9" customHeight="1" x14ac:dyDescent="0.25">
      <c r="A3255" s="1059">
        <v>2003341</v>
      </c>
      <c r="B3255" s="1060" t="s">
        <v>24914</v>
      </c>
      <c r="C3255" s="1059" t="s">
        <v>2</v>
      </c>
      <c r="D3255" s="1061">
        <v>16.22</v>
      </c>
    </row>
    <row r="3256" spans="1:4" ht="9" customHeight="1" x14ac:dyDescent="0.25">
      <c r="A3256" s="1059">
        <v>2004513</v>
      </c>
      <c r="B3256" s="1060" t="s">
        <v>24915</v>
      </c>
      <c r="C3256" s="1059" t="s">
        <v>2</v>
      </c>
      <c r="D3256" s="1061">
        <v>0.12</v>
      </c>
    </row>
    <row r="3257" spans="1:4" ht="9" customHeight="1" x14ac:dyDescent="0.25">
      <c r="A3257" s="1059">
        <v>2003357</v>
      </c>
      <c r="B3257" s="1060" t="s">
        <v>24916</v>
      </c>
      <c r="C3257" s="1059" t="s">
        <v>2</v>
      </c>
      <c r="D3257" s="1061">
        <v>200.14</v>
      </c>
    </row>
    <row r="3258" spans="1:4" ht="9" customHeight="1" x14ac:dyDescent="0.25">
      <c r="A3258" s="1059">
        <v>2003356</v>
      </c>
      <c r="B3258" s="1060" t="s">
        <v>24917</v>
      </c>
      <c r="C3258" s="1059" t="s">
        <v>2</v>
      </c>
      <c r="D3258" s="1061">
        <v>156.37</v>
      </c>
    </row>
    <row r="3259" spans="1:4" ht="9" customHeight="1" x14ac:dyDescent="0.25">
      <c r="A3259" s="1059">
        <v>2003359</v>
      </c>
      <c r="B3259" s="1060" t="s">
        <v>24918</v>
      </c>
      <c r="C3259" s="1059" t="s">
        <v>2</v>
      </c>
      <c r="D3259" s="1061">
        <v>246.15</v>
      </c>
    </row>
    <row r="3260" spans="1:4" ht="9" customHeight="1" x14ac:dyDescent="0.25">
      <c r="A3260" s="1059">
        <v>2003358</v>
      </c>
      <c r="B3260" s="1060" t="s">
        <v>24919</v>
      </c>
      <c r="C3260" s="1059" t="s">
        <v>2</v>
      </c>
      <c r="D3260" s="1061">
        <v>192.3</v>
      </c>
    </row>
    <row r="3261" spans="1:4" ht="9" customHeight="1" x14ac:dyDescent="0.25">
      <c r="A3261" s="1059">
        <v>2003361</v>
      </c>
      <c r="B3261" s="1060" t="s">
        <v>24920</v>
      </c>
      <c r="C3261" s="1059" t="s">
        <v>2</v>
      </c>
      <c r="D3261" s="1061">
        <v>503.56</v>
      </c>
    </row>
    <row r="3262" spans="1:4" ht="9" customHeight="1" x14ac:dyDescent="0.25">
      <c r="A3262" s="1059">
        <v>2003360</v>
      </c>
      <c r="B3262" s="1060" t="s">
        <v>24921</v>
      </c>
      <c r="C3262" s="1059" t="s">
        <v>2</v>
      </c>
      <c r="D3262" s="1061">
        <v>460.59</v>
      </c>
    </row>
    <row r="3263" spans="1:4" ht="9" customHeight="1" x14ac:dyDescent="0.25">
      <c r="A3263" s="1059">
        <v>2003363</v>
      </c>
      <c r="B3263" s="1060" t="s">
        <v>24922</v>
      </c>
      <c r="C3263" s="1059" t="s">
        <v>2</v>
      </c>
      <c r="D3263" s="1061">
        <v>433.15</v>
      </c>
    </row>
    <row r="3264" spans="1:4" ht="9" customHeight="1" x14ac:dyDescent="0.25">
      <c r="A3264" s="1059">
        <v>2003362</v>
      </c>
      <c r="B3264" s="1060" t="s">
        <v>24923</v>
      </c>
      <c r="C3264" s="1059" t="s">
        <v>2</v>
      </c>
      <c r="D3264" s="1061">
        <v>394.05</v>
      </c>
    </row>
    <row r="3265" spans="1:4" ht="9" customHeight="1" x14ac:dyDescent="0.25">
      <c r="A3265" s="1059">
        <v>2003365</v>
      </c>
      <c r="B3265" s="1060" t="s">
        <v>24924</v>
      </c>
      <c r="C3265" s="1059" t="s">
        <v>2</v>
      </c>
      <c r="D3265" s="1061">
        <v>386.17</v>
      </c>
    </row>
    <row r="3266" spans="1:4" ht="9" customHeight="1" x14ac:dyDescent="0.25">
      <c r="A3266" s="1059">
        <v>2003364</v>
      </c>
      <c r="B3266" s="1060" t="s">
        <v>24925</v>
      </c>
      <c r="C3266" s="1059" t="s">
        <v>2</v>
      </c>
      <c r="D3266" s="1061">
        <v>349.65</v>
      </c>
    </row>
    <row r="3267" spans="1:4" ht="9" customHeight="1" x14ac:dyDescent="0.25">
      <c r="A3267" s="1059">
        <v>2003367</v>
      </c>
      <c r="B3267" s="1060" t="s">
        <v>24926</v>
      </c>
      <c r="C3267" s="1059" t="s">
        <v>2</v>
      </c>
      <c r="D3267" s="1061">
        <v>362.62</v>
      </c>
    </row>
    <row r="3268" spans="1:4" ht="9" customHeight="1" x14ac:dyDescent="0.25">
      <c r="A3268" s="1059">
        <v>2003366</v>
      </c>
      <c r="B3268" s="1060" t="s">
        <v>24927</v>
      </c>
      <c r="C3268" s="1059" t="s">
        <v>2</v>
      </c>
      <c r="D3268" s="1061">
        <v>327.39999999999998</v>
      </c>
    </row>
    <row r="3269" spans="1:4" ht="9" customHeight="1" x14ac:dyDescent="0.25">
      <c r="A3269" s="1059">
        <v>2003869</v>
      </c>
      <c r="B3269" s="1060" t="s">
        <v>24928</v>
      </c>
      <c r="C3269" s="1059" t="s">
        <v>2</v>
      </c>
      <c r="D3269" s="1061">
        <v>182.45</v>
      </c>
    </row>
    <row r="3270" spans="1:4" ht="9" customHeight="1" x14ac:dyDescent="0.25">
      <c r="A3270" s="1059">
        <v>2003822</v>
      </c>
      <c r="B3270" s="1060" t="s">
        <v>24929</v>
      </c>
      <c r="C3270" s="1059" t="s">
        <v>2</v>
      </c>
      <c r="D3270" s="1061">
        <v>226.54</v>
      </c>
    </row>
    <row r="3271" spans="1:4" ht="9" customHeight="1" x14ac:dyDescent="0.25">
      <c r="A3271" s="1059">
        <v>2003826</v>
      </c>
      <c r="B3271" s="1060" t="s">
        <v>24930</v>
      </c>
      <c r="C3271" s="1059" t="s">
        <v>2</v>
      </c>
      <c r="D3271" s="1061">
        <v>352.16</v>
      </c>
    </row>
    <row r="3272" spans="1:4" ht="9" customHeight="1" x14ac:dyDescent="0.25">
      <c r="A3272" s="1059">
        <v>2003830</v>
      </c>
      <c r="B3272" s="1060" t="s">
        <v>24931</v>
      </c>
      <c r="C3272" s="1059" t="s">
        <v>2</v>
      </c>
      <c r="D3272" s="1061">
        <v>508.28</v>
      </c>
    </row>
    <row r="3273" spans="1:4" ht="9" customHeight="1" x14ac:dyDescent="0.25">
      <c r="A3273" s="1059">
        <v>2003834</v>
      </c>
      <c r="B3273" s="1060" t="s">
        <v>24932</v>
      </c>
      <c r="C3273" s="1059" t="s">
        <v>2</v>
      </c>
      <c r="D3273" s="1061">
        <v>713.44</v>
      </c>
    </row>
    <row r="3274" spans="1:4" ht="9" customHeight="1" x14ac:dyDescent="0.25">
      <c r="A3274" s="1059">
        <v>2003838</v>
      </c>
      <c r="B3274" s="1060" t="s">
        <v>24933</v>
      </c>
      <c r="C3274" s="1059" t="s">
        <v>2</v>
      </c>
      <c r="D3274" s="1061">
        <v>1023.71</v>
      </c>
    </row>
    <row r="3275" spans="1:4" ht="9" customHeight="1" x14ac:dyDescent="0.25">
      <c r="A3275" s="1059">
        <v>2003768</v>
      </c>
      <c r="B3275" s="1060" t="s">
        <v>24934</v>
      </c>
      <c r="C3275" s="1059" t="s">
        <v>2</v>
      </c>
      <c r="D3275" s="1061">
        <v>175.22</v>
      </c>
    </row>
    <row r="3276" spans="1:4" ht="18" customHeight="1" x14ac:dyDescent="0.25">
      <c r="A3276" s="1059">
        <v>2003873</v>
      </c>
      <c r="B3276" s="1060" t="s">
        <v>24935</v>
      </c>
      <c r="C3276" s="1059" t="s">
        <v>2</v>
      </c>
      <c r="D3276" s="1061">
        <v>156.94999999999999</v>
      </c>
    </row>
    <row r="3277" spans="1:4" ht="9" customHeight="1" x14ac:dyDescent="0.25">
      <c r="A3277" s="1059">
        <v>2003772</v>
      </c>
      <c r="B3277" s="1060" t="s">
        <v>24936</v>
      </c>
      <c r="C3277" s="1059" t="s">
        <v>2</v>
      </c>
      <c r="D3277" s="1061">
        <v>256.17</v>
      </c>
    </row>
    <row r="3278" spans="1:4" ht="18" customHeight="1" x14ac:dyDescent="0.25">
      <c r="A3278" s="1059">
        <v>2003877</v>
      </c>
      <c r="B3278" s="1060" t="s">
        <v>24937</v>
      </c>
      <c r="C3278" s="1059" t="s">
        <v>2</v>
      </c>
      <c r="D3278" s="1061">
        <v>227.23</v>
      </c>
    </row>
    <row r="3279" spans="1:4" ht="9" customHeight="1" x14ac:dyDescent="0.25">
      <c r="A3279" s="1059">
        <v>2003776</v>
      </c>
      <c r="B3279" s="1060" t="s">
        <v>24938</v>
      </c>
      <c r="C3279" s="1059" t="s">
        <v>2</v>
      </c>
      <c r="D3279" s="1061">
        <v>416.74</v>
      </c>
    </row>
    <row r="3280" spans="1:4" ht="18" customHeight="1" x14ac:dyDescent="0.25">
      <c r="A3280" s="1059">
        <v>2003881</v>
      </c>
      <c r="B3280" s="1060" t="s">
        <v>24939</v>
      </c>
      <c r="C3280" s="1059" t="s">
        <v>2</v>
      </c>
      <c r="D3280" s="1061">
        <v>377.08</v>
      </c>
    </row>
    <row r="3281" spans="1:4" ht="9" customHeight="1" x14ac:dyDescent="0.25">
      <c r="A3281" s="1059">
        <v>2003780</v>
      </c>
      <c r="B3281" s="1060" t="s">
        <v>24940</v>
      </c>
      <c r="C3281" s="1059" t="s">
        <v>2</v>
      </c>
      <c r="D3281" s="1061">
        <v>553.36</v>
      </c>
    </row>
    <row r="3282" spans="1:4" ht="18" customHeight="1" x14ac:dyDescent="0.25">
      <c r="A3282" s="1059">
        <v>2003885</v>
      </c>
      <c r="B3282" s="1060" t="s">
        <v>24941</v>
      </c>
      <c r="C3282" s="1059" t="s">
        <v>2</v>
      </c>
      <c r="D3282" s="1061">
        <v>495.37</v>
      </c>
    </row>
    <row r="3283" spans="1:4" ht="9" customHeight="1" x14ac:dyDescent="0.25">
      <c r="A3283" s="1059">
        <v>2003784</v>
      </c>
      <c r="B3283" s="1060" t="s">
        <v>24942</v>
      </c>
      <c r="C3283" s="1059" t="s">
        <v>2</v>
      </c>
      <c r="D3283" s="1061">
        <v>857.46</v>
      </c>
    </row>
    <row r="3284" spans="1:4" ht="18" customHeight="1" x14ac:dyDescent="0.25">
      <c r="A3284" s="1059">
        <v>2003889</v>
      </c>
      <c r="B3284" s="1060" t="s">
        <v>24943</v>
      </c>
      <c r="C3284" s="1059" t="s">
        <v>2</v>
      </c>
      <c r="D3284" s="1061">
        <v>766.7</v>
      </c>
    </row>
    <row r="3285" spans="1:4" ht="9" customHeight="1" x14ac:dyDescent="0.25">
      <c r="A3285" s="1059">
        <v>2003870</v>
      </c>
      <c r="B3285" s="1060" t="s">
        <v>24944</v>
      </c>
      <c r="C3285" s="1059" t="s">
        <v>2</v>
      </c>
      <c r="D3285" s="1061">
        <v>204.3</v>
      </c>
    </row>
    <row r="3286" spans="1:4" ht="9" customHeight="1" x14ac:dyDescent="0.25">
      <c r="A3286" s="1059">
        <v>2003823</v>
      </c>
      <c r="B3286" s="1060" t="s">
        <v>24945</v>
      </c>
      <c r="C3286" s="1059" t="s">
        <v>2</v>
      </c>
      <c r="D3286" s="1061">
        <v>259.43</v>
      </c>
    </row>
    <row r="3287" spans="1:4" ht="9" customHeight="1" x14ac:dyDescent="0.25">
      <c r="A3287" s="1059">
        <v>2003827</v>
      </c>
      <c r="B3287" s="1060" t="s">
        <v>24946</v>
      </c>
      <c r="C3287" s="1059" t="s">
        <v>2</v>
      </c>
      <c r="D3287" s="1061">
        <v>372.23</v>
      </c>
    </row>
    <row r="3288" spans="1:4" ht="9" customHeight="1" x14ac:dyDescent="0.25">
      <c r="A3288" s="1059">
        <v>2003831</v>
      </c>
      <c r="B3288" s="1060" t="s">
        <v>24947</v>
      </c>
      <c r="C3288" s="1059" t="s">
        <v>2</v>
      </c>
      <c r="D3288" s="1061">
        <v>535.62</v>
      </c>
    </row>
    <row r="3289" spans="1:4" ht="9" customHeight="1" x14ac:dyDescent="0.25">
      <c r="A3289" s="1059">
        <v>2003835</v>
      </c>
      <c r="B3289" s="1060" t="s">
        <v>24948</v>
      </c>
      <c r="C3289" s="1059" t="s">
        <v>2</v>
      </c>
      <c r="D3289" s="1061">
        <v>733.93</v>
      </c>
    </row>
    <row r="3290" spans="1:4" ht="9" customHeight="1" x14ac:dyDescent="0.25">
      <c r="A3290" s="1059">
        <v>2003839</v>
      </c>
      <c r="B3290" s="1060" t="s">
        <v>24949</v>
      </c>
      <c r="C3290" s="1059" t="s">
        <v>2</v>
      </c>
      <c r="D3290" s="1061">
        <v>1044.6400000000001</v>
      </c>
    </row>
    <row r="3291" spans="1:4" ht="9" customHeight="1" x14ac:dyDescent="0.25">
      <c r="A3291" s="1059">
        <v>2003769</v>
      </c>
      <c r="B3291" s="1060" t="s">
        <v>24950</v>
      </c>
      <c r="C3291" s="1059" t="s">
        <v>2</v>
      </c>
      <c r="D3291" s="1061">
        <v>188.16</v>
      </c>
    </row>
    <row r="3292" spans="1:4" ht="18" customHeight="1" x14ac:dyDescent="0.25">
      <c r="A3292" s="1059">
        <v>2003874</v>
      </c>
      <c r="B3292" s="1060" t="s">
        <v>24951</v>
      </c>
      <c r="C3292" s="1059" t="s">
        <v>2</v>
      </c>
      <c r="D3292" s="1061">
        <v>169.9</v>
      </c>
    </row>
    <row r="3293" spans="1:4" ht="9" customHeight="1" x14ac:dyDescent="0.25">
      <c r="A3293" s="1059">
        <v>2003773</v>
      </c>
      <c r="B3293" s="1060" t="s">
        <v>24952</v>
      </c>
      <c r="C3293" s="1059" t="s">
        <v>2</v>
      </c>
      <c r="D3293" s="1061">
        <v>307.89999999999998</v>
      </c>
    </row>
    <row r="3294" spans="1:4" ht="18" customHeight="1" x14ac:dyDescent="0.25">
      <c r="A3294" s="1059">
        <v>2003878</v>
      </c>
      <c r="B3294" s="1060" t="s">
        <v>24953</v>
      </c>
      <c r="C3294" s="1059" t="s">
        <v>2</v>
      </c>
      <c r="D3294" s="1061">
        <v>279.02999999999997</v>
      </c>
    </row>
    <row r="3295" spans="1:4" ht="9" customHeight="1" x14ac:dyDescent="0.25">
      <c r="A3295" s="1059">
        <v>2003777</v>
      </c>
      <c r="B3295" s="1060" t="s">
        <v>24954</v>
      </c>
      <c r="C3295" s="1059" t="s">
        <v>2</v>
      </c>
      <c r="D3295" s="1061">
        <v>468.47</v>
      </c>
    </row>
    <row r="3296" spans="1:4" ht="18" customHeight="1" x14ac:dyDescent="0.25">
      <c r="A3296" s="1059">
        <v>2003882</v>
      </c>
      <c r="B3296" s="1060" t="s">
        <v>24955</v>
      </c>
      <c r="C3296" s="1059" t="s">
        <v>2</v>
      </c>
      <c r="D3296" s="1061">
        <v>428.88</v>
      </c>
    </row>
    <row r="3297" spans="1:4" ht="9" customHeight="1" x14ac:dyDescent="0.25">
      <c r="A3297" s="1059">
        <v>2003781</v>
      </c>
      <c r="B3297" s="1060" t="s">
        <v>24956</v>
      </c>
      <c r="C3297" s="1059" t="s">
        <v>2</v>
      </c>
      <c r="D3297" s="1061">
        <v>669.76</v>
      </c>
    </row>
    <row r="3298" spans="1:4" ht="18" customHeight="1" x14ac:dyDescent="0.25">
      <c r="A3298" s="1059">
        <v>2003886</v>
      </c>
      <c r="B3298" s="1060" t="s">
        <v>24957</v>
      </c>
      <c r="C3298" s="1059" t="s">
        <v>2</v>
      </c>
      <c r="D3298" s="1061">
        <v>611.92999999999995</v>
      </c>
    </row>
    <row r="3299" spans="1:4" ht="9" customHeight="1" x14ac:dyDescent="0.25">
      <c r="A3299" s="1059">
        <v>2003785</v>
      </c>
      <c r="B3299" s="1060" t="s">
        <v>24958</v>
      </c>
      <c r="C3299" s="1059" t="s">
        <v>2</v>
      </c>
      <c r="D3299" s="1061">
        <v>1038.54</v>
      </c>
    </row>
    <row r="3300" spans="1:4" ht="18" customHeight="1" x14ac:dyDescent="0.25">
      <c r="A3300" s="1059">
        <v>2003890</v>
      </c>
      <c r="B3300" s="1060" t="s">
        <v>24959</v>
      </c>
      <c r="C3300" s="1059" t="s">
        <v>2</v>
      </c>
      <c r="D3300" s="1061">
        <v>948.01</v>
      </c>
    </row>
    <row r="3301" spans="1:4" ht="9" customHeight="1" x14ac:dyDescent="0.25">
      <c r="A3301" s="1059">
        <v>2003871</v>
      </c>
      <c r="B3301" s="1060" t="s">
        <v>24960</v>
      </c>
      <c r="C3301" s="1059" t="s">
        <v>2</v>
      </c>
      <c r="D3301" s="1061">
        <v>207.78</v>
      </c>
    </row>
    <row r="3302" spans="1:4" ht="9" customHeight="1" x14ac:dyDescent="0.25">
      <c r="A3302" s="1059">
        <v>2003824</v>
      </c>
      <c r="B3302" s="1060" t="s">
        <v>24961</v>
      </c>
      <c r="C3302" s="1059" t="s">
        <v>2</v>
      </c>
      <c r="D3302" s="1061">
        <v>271.10000000000002</v>
      </c>
    </row>
    <row r="3303" spans="1:4" ht="9" customHeight="1" x14ac:dyDescent="0.25">
      <c r="A3303" s="1059">
        <v>2003828</v>
      </c>
      <c r="B3303" s="1060" t="s">
        <v>24962</v>
      </c>
      <c r="C3303" s="1059" t="s">
        <v>2</v>
      </c>
      <c r="D3303" s="1061">
        <v>440.86</v>
      </c>
    </row>
    <row r="3304" spans="1:4" ht="9" customHeight="1" x14ac:dyDescent="0.25">
      <c r="A3304" s="1059">
        <v>2003832</v>
      </c>
      <c r="B3304" s="1060" t="s">
        <v>24963</v>
      </c>
      <c r="C3304" s="1059" t="s">
        <v>2</v>
      </c>
      <c r="D3304" s="1061">
        <v>588.77</v>
      </c>
    </row>
    <row r="3305" spans="1:4" ht="9" customHeight="1" x14ac:dyDescent="0.25">
      <c r="A3305" s="1059">
        <v>2003836</v>
      </c>
      <c r="B3305" s="1060" t="s">
        <v>24964</v>
      </c>
      <c r="C3305" s="1059" t="s">
        <v>2</v>
      </c>
      <c r="D3305" s="1061">
        <v>817.95</v>
      </c>
    </row>
    <row r="3306" spans="1:4" ht="9" customHeight="1" x14ac:dyDescent="0.25">
      <c r="A3306" s="1059">
        <v>2003840</v>
      </c>
      <c r="B3306" s="1060" t="s">
        <v>24965</v>
      </c>
      <c r="C3306" s="1059" t="s">
        <v>2</v>
      </c>
      <c r="D3306" s="1061">
        <v>1282.1300000000001</v>
      </c>
    </row>
    <row r="3307" spans="1:4" ht="9" customHeight="1" x14ac:dyDescent="0.25">
      <c r="A3307" s="1059">
        <v>2003770</v>
      </c>
      <c r="B3307" s="1060" t="s">
        <v>24966</v>
      </c>
      <c r="C3307" s="1059" t="s">
        <v>2</v>
      </c>
      <c r="D3307" s="1061">
        <v>252.82</v>
      </c>
    </row>
    <row r="3308" spans="1:4" ht="18" customHeight="1" x14ac:dyDescent="0.25">
      <c r="A3308" s="1059">
        <v>2003875</v>
      </c>
      <c r="B3308" s="1060" t="s">
        <v>24967</v>
      </c>
      <c r="C3308" s="1059" t="s">
        <v>2</v>
      </c>
      <c r="D3308" s="1061">
        <v>234.65</v>
      </c>
    </row>
    <row r="3309" spans="1:4" ht="9" customHeight="1" x14ac:dyDescent="0.25">
      <c r="A3309" s="1059">
        <v>2003774</v>
      </c>
      <c r="B3309" s="1060" t="s">
        <v>24968</v>
      </c>
      <c r="C3309" s="1059" t="s">
        <v>2</v>
      </c>
      <c r="D3309" s="1061">
        <v>410.4</v>
      </c>
    </row>
    <row r="3310" spans="1:4" ht="18" customHeight="1" x14ac:dyDescent="0.25">
      <c r="A3310" s="1059">
        <v>2003879</v>
      </c>
      <c r="B3310" s="1060" t="s">
        <v>24969</v>
      </c>
      <c r="C3310" s="1059" t="s">
        <v>2</v>
      </c>
      <c r="D3310" s="1061">
        <v>378.09</v>
      </c>
    </row>
    <row r="3311" spans="1:4" ht="9" customHeight="1" x14ac:dyDescent="0.25">
      <c r="A3311" s="1059">
        <v>2003778</v>
      </c>
      <c r="B3311" s="1060" t="s">
        <v>24970</v>
      </c>
      <c r="C3311" s="1059" t="s">
        <v>2</v>
      </c>
      <c r="D3311" s="1061">
        <v>570.26</v>
      </c>
    </row>
    <row r="3312" spans="1:4" ht="18" customHeight="1" x14ac:dyDescent="0.25">
      <c r="A3312" s="1059">
        <v>2003883</v>
      </c>
      <c r="B3312" s="1060" t="s">
        <v>24971</v>
      </c>
      <c r="C3312" s="1059" t="s">
        <v>2</v>
      </c>
      <c r="D3312" s="1061">
        <v>519.73</v>
      </c>
    </row>
    <row r="3313" spans="1:4" ht="9" customHeight="1" x14ac:dyDescent="0.25">
      <c r="A3313" s="1059">
        <v>2003782</v>
      </c>
      <c r="B3313" s="1060" t="s">
        <v>24972</v>
      </c>
      <c r="C3313" s="1059" t="s">
        <v>2</v>
      </c>
      <c r="D3313" s="1061">
        <v>852.17</v>
      </c>
    </row>
    <row r="3314" spans="1:4" ht="18" customHeight="1" x14ac:dyDescent="0.25">
      <c r="A3314" s="1059">
        <v>2003887</v>
      </c>
      <c r="B3314" s="1060" t="s">
        <v>24973</v>
      </c>
      <c r="C3314" s="1059" t="s">
        <v>2</v>
      </c>
      <c r="D3314" s="1061">
        <v>774.91</v>
      </c>
    </row>
    <row r="3315" spans="1:4" ht="9" customHeight="1" x14ac:dyDescent="0.25">
      <c r="A3315" s="1059">
        <v>2003786</v>
      </c>
      <c r="B3315" s="1060" t="s">
        <v>24974</v>
      </c>
      <c r="C3315" s="1059" t="s">
        <v>2</v>
      </c>
      <c r="D3315" s="1061">
        <v>1332.8</v>
      </c>
    </row>
    <row r="3316" spans="1:4" ht="18" customHeight="1" x14ac:dyDescent="0.25">
      <c r="A3316" s="1059">
        <v>2003891</v>
      </c>
      <c r="B3316" s="1060" t="s">
        <v>24975</v>
      </c>
      <c r="C3316" s="1059" t="s">
        <v>2</v>
      </c>
      <c r="D3316" s="1061">
        <v>1212.8</v>
      </c>
    </row>
    <row r="3317" spans="1:4" ht="9" customHeight="1" x14ac:dyDescent="0.25">
      <c r="A3317" s="1059">
        <v>2003872</v>
      </c>
      <c r="B3317" s="1060" t="s">
        <v>24976</v>
      </c>
      <c r="C3317" s="1059" t="s">
        <v>2</v>
      </c>
      <c r="D3317" s="1061">
        <v>328.92</v>
      </c>
    </row>
    <row r="3318" spans="1:4" ht="9" customHeight="1" x14ac:dyDescent="0.25">
      <c r="A3318" s="1059">
        <v>2003825</v>
      </c>
      <c r="B3318" s="1060" t="s">
        <v>24977</v>
      </c>
      <c r="C3318" s="1059" t="s">
        <v>2</v>
      </c>
      <c r="D3318" s="1061">
        <v>355.02</v>
      </c>
    </row>
    <row r="3319" spans="1:4" ht="9" customHeight="1" x14ac:dyDescent="0.25">
      <c r="A3319" s="1059">
        <v>2003829</v>
      </c>
      <c r="B3319" s="1060" t="s">
        <v>24978</v>
      </c>
      <c r="C3319" s="1059" t="s">
        <v>2</v>
      </c>
      <c r="D3319" s="1061">
        <v>483.05</v>
      </c>
    </row>
    <row r="3320" spans="1:4" ht="9" customHeight="1" x14ac:dyDescent="0.25">
      <c r="A3320" s="1059">
        <v>2003833</v>
      </c>
      <c r="B3320" s="1060" t="s">
        <v>24979</v>
      </c>
      <c r="C3320" s="1059" t="s">
        <v>2</v>
      </c>
      <c r="D3320" s="1061">
        <v>679.79</v>
      </c>
    </row>
    <row r="3321" spans="1:4" ht="9" customHeight="1" x14ac:dyDescent="0.25">
      <c r="A3321" s="1059">
        <v>2003837</v>
      </c>
      <c r="B3321" s="1060" t="s">
        <v>24980</v>
      </c>
      <c r="C3321" s="1059" t="s">
        <v>2</v>
      </c>
      <c r="D3321" s="1061">
        <v>981.96</v>
      </c>
    </row>
    <row r="3322" spans="1:4" ht="9" customHeight="1" x14ac:dyDescent="0.25">
      <c r="A3322" s="1059">
        <v>2003841</v>
      </c>
      <c r="B3322" s="1060" t="s">
        <v>24981</v>
      </c>
      <c r="C3322" s="1059" t="s">
        <v>2</v>
      </c>
      <c r="D3322" s="1061">
        <v>1361.61</v>
      </c>
    </row>
    <row r="3323" spans="1:4" ht="9" customHeight="1" x14ac:dyDescent="0.25">
      <c r="A3323" s="1059">
        <v>2003771</v>
      </c>
      <c r="B3323" s="1060" t="s">
        <v>24982</v>
      </c>
      <c r="C3323" s="1059" t="s">
        <v>2</v>
      </c>
      <c r="D3323" s="1061">
        <v>303.63</v>
      </c>
    </row>
    <row r="3324" spans="1:4" ht="18" customHeight="1" x14ac:dyDescent="0.25">
      <c r="A3324" s="1059">
        <v>2003876</v>
      </c>
      <c r="B3324" s="1060" t="s">
        <v>24983</v>
      </c>
      <c r="C3324" s="1059" t="s">
        <v>2</v>
      </c>
      <c r="D3324" s="1061">
        <v>281.95999999999998</v>
      </c>
    </row>
    <row r="3325" spans="1:4" ht="9" customHeight="1" x14ac:dyDescent="0.25">
      <c r="A3325" s="1059">
        <v>2003775</v>
      </c>
      <c r="B3325" s="1060" t="s">
        <v>24984</v>
      </c>
      <c r="C3325" s="1059" t="s">
        <v>2</v>
      </c>
      <c r="D3325" s="1061">
        <v>472.3</v>
      </c>
    </row>
    <row r="3326" spans="1:4" ht="18" customHeight="1" x14ac:dyDescent="0.25">
      <c r="A3326" s="1059">
        <v>2003880</v>
      </c>
      <c r="B3326" s="1060" t="s">
        <v>24985</v>
      </c>
      <c r="C3326" s="1059" t="s">
        <v>2</v>
      </c>
      <c r="D3326" s="1061">
        <v>433.18</v>
      </c>
    </row>
    <row r="3327" spans="1:4" ht="9" customHeight="1" x14ac:dyDescent="0.25">
      <c r="A3327" s="1059">
        <v>2003779</v>
      </c>
      <c r="B3327" s="1060" t="s">
        <v>24986</v>
      </c>
      <c r="C3327" s="1059" t="s">
        <v>2</v>
      </c>
      <c r="D3327" s="1061">
        <v>702.67</v>
      </c>
    </row>
    <row r="3328" spans="1:4" ht="18" customHeight="1" x14ac:dyDescent="0.25">
      <c r="A3328" s="1059">
        <v>2003884</v>
      </c>
      <c r="B3328" s="1060" t="s">
        <v>24987</v>
      </c>
      <c r="C3328" s="1059" t="s">
        <v>2</v>
      </c>
      <c r="D3328" s="1061">
        <v>643.67999999999995</v>
      </c>
    </row>
    <row r="3329" spans="1:4" ht="9" customHeight="1" x14ac:dyDescent="0.25">
      <c r="A3329" s="1059">
        <v>2003783</v>
      </c>
      <c r="B3329" s="1060" t="s">
        <v>24988</v>
      </c>
      <c r="C3329" s="1059" t="s">
        <v>2</v>
      </c>
      <c r="D3329" s="1061">
        <v>1004.16</v>
      </c>
    </row>
    <row r="3330" spans="1:4" ht="18" customHeight="1" x14ac:dyDescent="0.25">
      <c r="A3330" s="1059">
        <v>2003888</v>
      </c>
      <c r="B3330" s="1060" t="s">
        <v>24989</v>
      </c>
      <c r="C3330" s="1059" t="s">
        <v>2</v>
      </c>
      <c r="D3330" s="1061">
        <v>916.5</v>
      </c>
    </row>
    <row r="3331" spans="1:4" ht="9" customHeight="1" x14ac:dyDescent="0.25">
      <c r="A3331" s="1059">
        <v>2003787</v>
      </c>
      <c r="B3331" s="1060" t="s">
        <v>24990</v>
      </c>
      <c r="C3331" s="1059" t="s">
        <v>2</v>
      </c>
      <c r="D3331" s="1061">
        <v>1567.45</v>
      </c>
    </row>
    <row r="3332" spans="1:4" ht="18" customHeight="1" x14ac:dyDescent="0.25">
      <c r="A3332" s="1059">
        <v>2003892</v>
      </c>
      <c r="B3332" s="1060" t="s">
        <v>24991</v>
      </c>
      <c r="C3332" s="1059" t="s">
        <v>2</v>
      </c>
      <c r="D3332" s="1061">
        <v>1443.36</v>
      </c>
    </row>
    <row r="3333" spans="1:4" ht="9" customHeight="1" x14ac:dyDescent="0.25">
      <c r="A3333" s="1059">
        <v>2003851</v>
      </c>
      <c r="B3333" s="1060" t="s">
        <v>24992</v>
      </c>
      <c r="C3333" s="1059" t="s">
        <v>2</v>
      </c>
      <c r="D3333" s="1061">
        <v>87.05</v>
      </c>
    </row>
    <row r="3334" spans="1:4" ht="9" customHeight="1" x14ac:dyDescent="0.25">
      <c r="A3334" s="1059">
        <v>2003935</v>
      </c>
      <c r="B3334" s="1060" t="s">
        <v>24993</v>
      </c>
      <c r="C3334" s="1059" t="s">
        <v>2</v>
      </c>
      <c r="D3334" s="1061">
        <v>10.31</v>
      </c>
    </row>
    <row r="3335" spans="1:4" ht="9" customHeight="1" x14ac:dyDescent="0.25">
      <c r="A3335" s="1059">
        <v>2003934</v>
      </c>
      <c r="B3335" s="1060" t="s">
        <v>24994</v>
      </c>
      <c r="C3335" s="1059" t="s">
        <v>2</v>
      </c>
      <c r="D3335" s="1061">
        <v>15.59</v>
      </c>
    </row>
    <row r="3336" spans="1:4" ht="9" customHeight="1" x14ac:dyDescent="0.25">
      <c r="A3336" s="1059">
        <v>2003990</v>
      </c>
      <c r="B3336" s="1060" t="s">
        <v>24995</v>
      </c>
      <c r="C3336" s="1059" t="s">
        <v>2</v>
      </c>
      <c r="D3336" s="1061">
        <v>1221.3699999999999</v>
      </c>
    </row>
    <row r="3337" spans="1:4" ht="9" customHeight="1" x14ac:dyDescent="0.25">
      <c r="A3337" s="1059">
        <v>2003991</v>
      </c>
      <c r="B3337" s="1060" t="s">
        <v>24996</v>
      </c>
      <c r="C3337" s="1059" t="s">
        <v>2</v>
      </c>
      <c r="D3337" s="1061">
        <v>1249.1500000000001</v>
      </c>
    </row>
    <row r="3338" spans="1:4" ht="9" customHeight="1" x14ac:dyDescent="0.25">
      <c r="A3338" s="1059">
        <v>2003992</v>
      </c>
      <c r="B3338" s="1060" t="s">
        <v>24997</v>
      </c>
      <c r="C3338" s="1059" t="s">
        <v>2</v>
      </c>
      <c r="D3338" s="1061">
        <v>1740.04</v>
      </c>
    </row>
    <row r="3339" spans="1:4" ht="9" customHeight="1" x14ac:dyDescent="0.25">
      <c r="A3339" s="1059">
        <v>2003993</v>
      </c>
      <c r="B3339" s="1060" t="s">
        <v>24998</v>
      </c>
      <c r="C3339" s="1059" t="s">
        <v>2</v>
      </c>
      <c r="D3339" s="1061">
        <v>2319.27</v>
      </c>
    </row>
    <row r="3340" spans="1:4" ht="9" customHeight="1" x14ac:dyDescent="0.25">
      <c r="A3340" s="1059">
        <v>2003994</v>
      </c>
      <c r="B3340" s="1060" t="s">
        <v>24999</v>
      </c>
      <c r="C3340" s="1059" t="s">
        <v>2</v>
      </c>
      <c r="D3340" s="1061">
        <v>7143.78</v>
      </c>
    </row>
    <row r="3341" spans="1:4" ht="9" customHeight="1" x14ac:dyDescent="0.25">
      <c r="A3341" s="1059">
        <v>2003995</v>
      </c>
      <c r="B3341" s="1060" t="s">
        <v>25000</v>
      </c>
      <c r="C3341" s="1059" t="s">
        <v>2</v>
      </c>
      <c r="D3341" s="1061">
        <v>8650.4699999999993</v>
      </c>
    </row>
    <row r="3342" spans="1:4" ht="9" customHeight="1" x14ac:dyDescent="0.25">
      <c r="A3342" s="1059">
        <v>2003996</v>
      </c>
      <c r="B3342" s="1060" t="s">
        <v>25001</v>
      </c>
      <c r="C3342" s="1059" t="s">
        <v>2</v>
      </c>
      <c r="D3342" s="1061">
        <v>14503.94</v>
      </c>
    </row>
    <row r="3343" spans="1:4" ht="9" customHeight="1" x14ac:dyDescent="0.25">
      <c r="A3343" s="1059">
        <v>2003997</v>
      </c>
      <c r="B3343" s="1060" t="s">
        <v>25002</v>
      </c>
      <c r="C3343" s="1059" t="s">
        <v>2</v>
      </c>
      <c r="D3343" s="1061">
        <v>20433.45</v>
      </c>
    </row>
    <row r="3344" spans="1:4" ht="9" customHeight="1" x14ac:dyDescent="0.25">
      <c r="A3344" s="1059">
        <v>2003983</v>
      </c>
      <c r="B3344" s="1060" t="s">
        <v>25003</v>
      </c>
      <c r="C3344" s="1059" t="s">
        <v>2</v>
      </c>
      <c r="D3344" s="1061">
        <v>210.59</v>
      </c>
    </row>
    <row r="3345" spans="1:4" ht="9" customHeight="1" x14ac:dyDescent="0.25">
      <c r="A3345" s="1059">
        <v>2003984</v>
      </c>
      <c r="B3345" s="1060" t="s">
        <v>25004</v>
      </c>
      <c r="C3345" s="1059" t="s">
        <v>2</v>
      </c>
      <c r="D3345" s="1061">
        <v>230.44</v>
      </c>
    </row>
    <row r="3346" spans="1:4" ht="9" customHeight="1" x14ac:dyDescent="0.25">
      <c r="A3346" s="1059">
        <v>2003985</v>
      </c>
      <c r="B3346" s="1060" t="s">
        <v>25005</v>
      </c>
      <c r="C3346" s="1059" t="s">
        <v>2</v>
      </c>
      <c r="D3346" s="1061">
        <v>344.73</v>
      </c>
    </row>
    <row r="3347" spans="1:4" ht="9" customHeight="1" x14ac:dyDescent="0.25">
      <c r="A3347" s="1059">
        <v>2003986</v>
      </c>
      <c r="B3347" s="1060" t="s">
        <v>25006</v>
      </c>
      <c r="C3347" s="1059" t="s">
        <v>2</v>
      </c>
      <c r="D3347" s="1061">
        <v>502.52</v>
      </c>
    </row>
    <row r="3348" spans="1:4" ht="9" customHeight="1" x14ac:dyDescent="0.25">
      <c r="A3348" s="1059">
        <v>2003987</v>
      </c>
      <c r="B3348" s="1060" t="s">
        <v>25007</v>
      </c>
      <c r="C3348" s="1059" t="s">
        <v>2</v>
      </c>
      <c r="D3348" s="1061">
        <v>674.7</v>
      </c>
    </row>
    <row r="3349" spans="1:4" ht="9" customHeight="1" x14ac:dyDescent="0.25">
      <c r="A3349" s="1059">
        <v>2003988</v>
      </c>
      <c r="B3349" s="1060" t="s">
        <v>25008</v>
      </c>
      <c r="C3349" s="1059" t="s">
        <v>2</v>
      </c>
      <c r="D3349" s="1061">
        <v>734.17</v>
      </c>
    </row>
    <row r="3350" spans="1:4" ht="9" customHeight="1" x14ac:dyDescent="0.25">
      <c r="A3350" s="1059">
        <v>2003989</v>
      </c>
      <c r="B3350" s="1060" t="s">
        <v>25009</v>
      </c>
      <c r="C3350" s="1059" t="s">
        <v>2</v>
      </c>
      <c r="D3350" s="1061">
        <v>884.88</v>
      </c>
    </row>
    <row r="3351" spans="1:4" ht="9" customHeight="1" x14ac:dyDescent="0.25">
      <c r="A3351" s="1059">
        <v>2003313</v>
      </c>
      <c r="B3351" s="1060" t="s">
        <v>25010</v>
      </c>
      <c r="C3351" s="1059" t="s">
        <v>2</v>
      </c>
      <c r="D3351" s="1061">
        <v>116.36</v>
      </c>
    </row>
    <row r="3352" spans="1:4" ht="9" customHeight="1" x14ac:dyDescent="0.25">
      <c r="A3352" s="1059">
        <v>2003312</v>
      </c>
      <c r="B3352" s="1060" t="s">
        <v>25011</v>
      </c>
      <c r="C3352" s="1059" t="s">
        <v>2</v>
      </c>
      <c r="D3352" s="1061">
        <v>96.98</v>
      </c>
    </row>
    <row r="3353" spans="1:4" ht="9" customHeight="1" x14ac:dyDescent="0.25">
      <c r="A3353" s="1059">
        <v>2003315</v>
      </c>
      <c r="B3353" s="1060" t="s">
        <v>25012</v>
      </c>
      <c r="C3353" s="1059" t="s">
        <v>2</v>
      </c>
      <c r="D3353" s="1061">
        <v>92.61</v>
      </c>
    </row>
    <row r="3354" spans="1:4" ht="9" customHeight="1" x14ac:dyDescent="0.25">
      <c r="A3354" s="1059">
        <v>2003314</v>
      </c>
      <c r="B3354" s="1060" t="s">
        <v>25013</v>
      </c>
      <c r="C3354" s="1059" t="s">
        <v>2</v>
      </c>
      <c r="D3354" s="1061">
        <v>77.430000000000007</v>
      </c>
    </row>
    <row r="3355" spans="1:4" ht="9" customHeight="1" x14ac:dyDescent="0.25">
      <c r="A3355" s="1059">
        <v>2003310</v>
      </c>
      <c r="B3355" s="1060" t="s">
        <v>25014</v>
      </c>
      <c r="C3355" s="1059" t="s">
        <v>2</v>
      </c>
      <c r="D3355" s="1061">
        <v>49.34</v>
      </c>
    </row>
    <row r="3356" spans="1:4" ht="9" customHeight="1" x14ac:dyDescent="0.25">
      <c r="A3356" s="1059">
        <v>2003311</v>
      </c>
      <c r="B3356" s="1060" t="s">
        <v>25015</v>
      </c>
      <c r="C3356" s="1059" t="s">
        <v>2</v>
      </c>
      <c r="D3356" s="1061">
        <v>40.99</v>
      </c>
    </row>
    <row r="3357" spans="1:4" ht="9" customHeight="1" x14ac:dyDescent="0.25">
      <c r="A3357" s="1059">
        <v>2003307</v>
      </c>
      <c r="B3357" s="1060" t="s">
        <v>25016</v>
      </c>
      <c r="C3357" s="1059" t="s">
        <v>2</v>
      </c>
      <c r="D3357" s="1061">
        <v>117.88</v>
      </c>
    </row>
    <row r="3358" spans="1:4" ht="9" customHeight="1" x14ac:dyDescent="0.25">
      <c r="A3358" s="1059">
        <v>2003306</v>
      </c>
      <c r="B3358" s="1060" t="s">
        <v>25017</v>
      </c>
      <c r="C3358" s="1059" t="s">
        <v>2</v>
      </c>
      <c r="D3358" s="1061">
        <v>98.49</v>
      </c>
    </row>
    <row r="3359" spans="1:4" ht="9" customHeight="1" x14ac:dyDescent="0.25">
      <c r="A3359" s="1059">
        <v>2003309</v>
      </c>
      <c r="B3359" s="1060" t="s">
        <v>25018</v>
      </c>
      <c r="C3359" s="1059" t="s">
        <v>2</v>
      </c>
      <c r="D3359" s="1061">
        <v>93.62</v>
      </c>
    </row>
    <row r="3360" spans="1:4" ht="9" customHeight="1" x14ac:dyDescent="0.25">
      <c r="A3360" s="1059">
        <v>2003308</v>
      </c>
      <c r="B3360" s="1060" t="s">
        <v>25019</v>
      </c>
      <c r="C3360" s="1059" t="s">
        <v>2</v>
      </c>
      <c r="D3360" s="1061">
        <v>78.44</v>
      </c>
    </row>
    <row r="3361" spans="1:4" ht="9" customHeight="1" x14ac:dyDescent="0.25">
      <c r="A3361" s="1059">
        <v>2003304</v>
      </c>
      <c r="B3361" s="1060" t="s">
        <v>25020</v>
      </c>
      <c r="C3361" s="1059" t="s">
        <v>2</v>
      </c>
      <c r="D3361" s="1061">
        <v>51.36</v>
      </c>
    </row>
    <row r="3362" spans="1:4" ht="9" customHeight="1" x14ac:dyDescent="0.25">
      <c r="A3362" s="1059">
        <v>2003305</v>
      </c>
      <c r="B3362" s="1060" t="s">
        <v>25021</v>
      </c>
      <c r="C3362" s="1059" t="s">
        <v>2</v>
      </c>
      <c r="D3362" s="1061">
        <v>40.99</v>
      </c>
    </row>
    <row r="3363" spans="1:4" ht="18" customHeight="1" x14ac:dyDescent="0.25">
      <c r="A3363" s="1059">
        <v>2105846</v>
      </c>
      <c r="B3363" s="1060" t="s">
        <v>25022</v>
      </c>
      <c r="C3363" s="1059" t="s">
        <v>39</v>
      </c>
      <c r="D3363" s="1061">
        <v>480.34</v>
      </c>
    </row>
    <row r="3364" spans="1:4" ht="18" customHeight="1" x14ac:dyDescent="0.25">
      <c r="A3364" s="1059">
        <v>2105929</v>
      </c>
      <c r="B3364" s="1060" t="s">
        <v>25023</v>
      </c>
      <c r="C3364" s="1059" t="s">
        <v>39</v>
      </c>
      <c r="D3364" s="1061">
        <v>545.34</v>
      </c>
    </row>
    <row r="3365" spans="1:4" ht="18" customHeight="1" x14ac:dyDescent="0.25">
      <c r="A3365" s="1059">
        <v>2105933</v>
      </c>
      <c r="B3365" s="1060" t="s">
        <v>25024</v>
      </c>
      <c r="C3365" s="1059" t="s">
        <v>39</v>
      </c>
      <c r="D3365" s="1061">
        <v>610.34</v>
      </c>
    </row>
    <row r="3366" spans="1:4" ht="18" customHeight="1" x14ac:dyDescent="0.25">
      <c r="A3366" s="1059">
        <v>2106293</v>
      </c>
      <c r="B3366" s="1060" t="s">
        <v>25025</v>
      </c>
      <c r="C3366" s="1059" t="s">
        <v>39</v>
      </c>
      <c r="D3366" s="1061">
        <v>222.98</v>
      </c>
    </row>
    <row r="3367" spans="1:4" ht="9" customHeight="1" x14ac:dyDescent="0.25">
      <c r="A3367" s="1059">
        <v>2108165</v>
      </c>
      <c r="B3367" s="1060" t="s">
        <v>25026</v>
      </c>
      <c r="C3367" s="1059" t="s">
        <v>38</v>
      </c>
      <c r="D3367" s="1061">
        <v>34.06</v>
      </c>
    </row>
    <row r="3368" spans="1:4" ht="9" customHeight="1" x14ac:dyDescent="0.25">
      <c r="A3368" s="1059">
        <v>2108166</v>
      </c>
      <c r="B3368" s="1060" t="s">
        <v>25027</v>
      </c>
      <c r="C3368" s="1059" t="s">
        <v>38</v>
      </c>
      <c r="D3368" s="1061">
        <v>24.04</v>
      </c>
    </row>
    <row r="3369" spans="1:4" ht="9" customHeight="1" x14ac:dyDescent="0.25">
      <c r="A3369" s="1059">
        <v>2108167</v>
      </c>
      <c r="B3369" s="1060" t="s">
        <v>25028</v>
      </c>
      <c r="C3369" s="1059" t="s">
        <v>38</v>
      </c>
      <c r="D3369" s="1061">
        <v>21.54</v>
      </c>
    </row>
    <row r="3370" spans="1:4" ht="9" customHeight="1" x14ac:dyDescent="0.25">
      <c r="A3370" s="1059">
        <v>2108168</v>
      </c>
      <c r="B3370" s="1060" t="s">
        <v>25029</v>
      </c>
      <c r="C3370" s="1059" t="s">
        <v>38</v>
      </c>
      <c r="D3370" s="1061">
        <v>21.06</v>
      </c>
    </row>
    <row r="3371" spans="1:4" ht="9" customHeight="1" x14ac:dyDescent="0.25">
      <c r="A3371" s="1059">
        <v>2108169</v>
      </c>
      <c r="B3371" s="1060" t="s">
        <v>25030</v>
      </c>
      <c r="C3371" s="1059" t="s">
        <v>38</v>
      </c>
      <c r="D3371" s="1061">
        <v>51.8</v>
      </c>
    </row>
    <row r="3372" spans="1:4" ht="9" customHeight="1" x14ac:dyDescent="0.25">
      <c r="A3372" s="1059">
        <v>2108170</v>
      </c>
      <c r="B3372" s="1060" t="s">
        <v>25031</v>
      </c>
      <c r="C3372" s="1059" t="s">
        <v>38</v>
      </c>
      <c r="D3372" s="1061">
        <v>37.26</v>
      </c>
    </row>
    <row r="3373" spans="1:4" ht="9" customHeight="1" x14ac:dyDescent="0.25">
      <c r="A3373" s="1059">
        <v>2108171</v>
      </c>
      <c r="B3373" s="1060" t="s">
        <v>25032</v>
      </c>
      <c r="C3373" s="1059" t="s">
        <v>38</v>
      </c>
      <c r="D3373" s="1061">
        <v>34.15</v>
      </c>
    </row>
    <row r="3374" spans="1:4" ht="9" customHeight="1" x14ac:dyDescent="0.25">
      <c r="A3374" s="1059">
        <v>2108172</v>
      </c>
      <c r="B3374" s="1060" t="s">
        <v>25033</v>
      </c>
      <c r="C3374" s="1059" t="s">
        <v>38</v>
      </c>
      <c r="D3374" s="1061">
        <v>34.619999999999997</v>
      </c>
    </row>
    <row r="3375" spans="1:4" ht="18" customHeight="1" x14ac:dyDescent="0.25">
      <c r="A3375" s="1059">
        <v>2106292</v>
      </c>
      <c r="B3375" s="1060" t="s">
        <v>25034</v>
      </c>
      <c r="C3375" s="1059" t="s">
        <v>39</v>
      </c>
      <c r="D3375" s="1061">
        <v>149.88</v>
      </c>
    </row>
    <row r="3376" spans="1:4" ht="18" customHeight="1" x14ac:dyDescent="0.25">
      <c r="A3376" s="1059">
        <v>2106291</v>
      </c>
      <c r="B3376" s="1060" t="s">
        <v>25035</v>
      </c>
      <c r="C3376" s="1059" t="s">
        <v>39</v>
      </c>
      <c r="D3376" s="1061">
        <v>215.7</v>
      </c>
    </row>
    <row r="3377" spans="1:4" ht="18" customHeight="1" x14ac:dyDescent="0.25">
      <c r="A3377" s="1059">
        <v>2106235</v>
      </c>
      <c r="B3377" s="1060" t="s">
        <v>25036</v>
      </c>
      <c r="C3377" s="1059" t="s">
        <v>38</v>
      </c>
      <c r="D3377" s="1061">
        <v>3.05</v>
      </c>
    </row>
    <row r="3378" spans="1:4" ht="18" customHeight="1" x14ac:dyDescent="0.25">
      <c r="A3378" s="1059">
        <v>2106232</v>
      </c>
      <c r="B3378" s="1060" t="s">
        <v>25037</v>
      </c>
      <c r="C3378" s="1059" t="s">
        <v>3</v>
      </c>
      <c r="D3378" s="1061">
        <v>14.42</v>
      </c>
    </row>
    <row r="3379" spans="1:4" ht="18" customHeight="1" x14ac:dyDescent="0.25">
      <c r="A3379" s="1059">
        <v>2106233</v>
      </c>
      <c r="B3379" s="1060" t="s">
        <v>25038</v>
      </c>
      <c r="C3379" s="1059" t="s">
        <v>3</v>
      </c>
      <c r="D3379" s="1061">
        <v>10.97</v>
      </c>
    </row>
    <row r="3380" spans="1:4" ht="9" customHeight="1" x14ac:dyDescent="0.25">
      <c r="A3380" s="1059">
        <v>2105605</v>
      </c>
      <c r="B3380" s="1060" t="s">
        <v>25039</v>
      </c>
      <c r="C3380" s="1059" t="s">
        <v>38</v>
      </c>
      <c r="D3380" s="1061">
        <v>55.23</v>
      </c>
    </row>
    <row r="3381" spans="1:4" ht="9" customHeight="1" x14ac:dyDescent="0.25">
      <c r="A3381" s="1059">
        <v>2106298</v>
      </c>
      <c r="B3381" s="1060" t="s">
        <v>25040</v>
      </c>
      <c r="C3381" s="1059" t="s">
        <v>2</v>
      </c>
      <c r="D3381" s="1061">
        <v>36.409999999999997</v>
      </c>
    </row>
    <row r="3382" spans="1:4" ht="9" customHeight="1" x14ac:dyDescent="0.25">
      <c r="A3382" s="1059">
        <v>2106295</v>
      </c>
      <c r="B3382" s="1060" t="s">
        <v>25041</v>
      </c>
      <c r="C3382" s="1059" t="s">
        <v>2</v>
      </c>
      <c r="D3382" s="1061">
        <v>18.97</v>
      </c>
    </row>
    <row r="3383" spans="1:4" ht="9" customHeight="1" x14ac:dyDescent="0.25">
      <c r="A3383" s="1059">
        <v>2106294</v>
      </c>
      <c r="B3383" s="1060" t="s">
        <v>25042</v>
      </c>
      <c r="C3383" s="1059" t="s">
        <v>2</v>
      </c>
      <c r="D3383" s="1061">
        <v>25.68</v>
      </c>
    </row>
    <row r="3384" spans="1:4" ht="9" customHeight="1" x14ac:dyDescent="0.25">
      <c r="A3384" s="1059">
        <v>2106297</v>
      </c>
      <c r="B3384" s="1060" t="s">
        <v>25043</v>
      </c>
      <c r="C3384" s="1059" t="s">
        <v>2</v>
      </c>
      <c r="D3384" s="1061">
        <v>29.38</v>
      </c>
    </row>
    <row r="3385" spans="1:4" ht="9" customHeight="1" x14ac:dyDescent="0.25">
      <c r="A3385" s="1059">
        <v>2106296</v>
      </c>
      <c r="B3385" s="1060" t="s">
        <v>25044</v>
      </c>
      <c r="C3385" s="1059" t="s">
        <v>2</v>
      </c>
      <c r="D3385" s="1061">
        <v>47.53</v>
      </c>
    </row>
    <row r="3386" spans="1:4" ht="9" customHeight="1" x14ac:dyDescent="0.25">
      <c r="A3386" s="1059">
        <v>2306731</v>
      </c>
      <c r="B3386" s="1060" t="s">
        <v>25045</v>
      </c>
      <c r="C3386" s="1059" t="s">
        <v>6</v>
      </c>
      <c r="D3386" s="1061">
        <v>0.63</v>
      </c>
    </row>
    <row r="3387" spans="1:4" ht="18" customHeight="1" x14ac:dyDescent="0.25">
      <c r="A3387" s="1059">
        <v>2306728</v>
      </c>
      <c r="B3387" s="1060" t="s">
        <v>25046</v>
      </c>
      <c r="C3387" s="1059" t="s">
        <v>2</v>
      </c>
      <c r="D3387" s="1061">
        <v>1555.1</v>
      </c>
    </row>
    <row r="3388" spans="1:4" ht="18" customHeight="1" x14ac:dyDescent="0.25">
      <c r="A3388" s="1059">
        <v>2306729</v>
      </c>
      <c r="B3388" s="1060" t="s">
        <v>25047</v>
      </c>
      <c r="C3388" s="1059" t="s">
        <v>2</v>
      </c>
      <c r="D3388" s="1061">
        <v>1894.79</v>
      </c>
    </row>
    <row r="3389" spans="1:4" ht="9" customHeight="1" x14ac:dyDescent="0.25">
      <c r="A3389" s="1059">
        <v>2306727</v>
      </c>
      <c r="B3389" s="1060" t="s">
        <v>25048</v>
      </c>
      <c r="C3389" s="1059" t="s">
        <v>2</v>
      </c>
      <c r="D3389" s="1061">
        <v>363.99</v>
      </c>
    </row>
    <row r="3390" spans="1:4" ht="9" customHeight="1" x14ac:dyDescent="0.25">
      <c r="A3390" s="1059">
        <v>2306730</v>
      </c>
      <c r="B3390" s="1060" t="s">
        <v>25049</v>
      </c>
      <c r="C3390" s="1059" t="s">
        <v>38</v>
      </c>
      <c r="D3390" s="1061">
        <v>123.01</v>
      </c>
    </row>
    <row r="3391" spans="1:4" ht="9" customHeight="1" x14ac:dyDescent="0.25">
      <c r="A3391" s="1059">
        <v>2306726</v>
      </c>
      <c r="B3391" s="1060" t="s">
        <v>25050</v>
      </c>
      <c r="C3391" s="1059" t="s">
        <v>2</v>
      </c>
      <c r="D3391" s="1061">
        <v>237.83</v>
      </c>
    </row>
    <row r="3392" spans="1:4" ht="9" customHeight="1" x14ac:dyDescent="0.25">
      <c r="A3392" s="1059">
        <v>2306076</v>
      </c>
      <c r="B3392" s="1060" t="s">
        <v>25051</v>
      </c>
      <c r="C3392" s="1059" t="s">
        <v>6</v>
      </c>
      <c r="D3392" s="1061">
        <v>11.47</v>
      </c>
    </row>
    <row r="3393" spans="1:4" ht="9" customHeight="1" x14ac:dyDescent="0.25">
      <c r="A3393" s="1059">
        <v>2306247</v>
      </c>
      <c r="B3393" s="1060" t="s">
        <v>25052</v>
      </c>
      <c r="C3393" s="1059" t="s">
        <v>38</v>
      </c>
      <c r="D3393" s="1061">
        <v>213.28</v>
      </c>
    </row>
    <row r="3394" spans="1:4" ht="9" customHeight="1" x14ac:dyDescent="0.25">
      <c r="A3394" s="1059">
        <v>2306248</v>
      </c>
      <c r="B3394" s="1060" t="s">
        <v>25053</v>
      </c>
      <c r="C3394" s="1059" t="s">
        <v>38</v>
      </c>
      <c r="D3394" s="1061">
        <v>496.9</v>
      </c>
    </row>
    <row r="3395" spans="1:4" ht="9" customHeight="1" x14ac:dyDescent="0.25">
      <c r="A3395" s="1059">
        <v>2306279</v>
      </c>
      <c r="B3395" s="1060" t="s">
        <v>25054</v>
      </c>
      <c r="C3395" s="1059" t="s">
        <v>38</v>
      </c>
      <c r="D3395" s="1061">
        <v>85.4</v>
      </c>
    </row>
    <row r="3396" spans="1:4" ht="9" customHeight="1" x14ac:dyDescent="0.25">
      <c r="A3396" s="1059">
        <v>2306651</v>
      </c>
      <c r="B3396" s="1060" t="s">
        <v>25055</v>
      </c>
      <c r="C3396" s="1059" t="s">
        <v>2</v>
      </c>
      <c r="D3396" s="1061">
        <v>7891.72</v>
      </c>
    </row>
    <row r="3397" spans="1:4" ht="9" customHeight="1" x14ac:dyDescent="0.25">
      <c r="A3397" s="1059">
        <v>2306678</v>
      </c>
      <c r="B3397" s="1060" t="s">
        <v>25056</v>
      </c>
      <c r="C3397" s="1059" t="s">
        <v>2</v>
      </c>
      <c r="D3397" s="1061">
        <v>7673.31</v>
      </c>
    </row>
    <row r="3398" spans="1:4" ht="9" customHeight="1" x14ac:dyDescent="0.25">
      <c r="A3398" s="1059">
        <v>2306652</v>
      </c>
      <c r="B3398" s="1060" t="s">
        <v>25057</v>
      </c>
      <c r="C3398" s="1059" t="s">
        <v>2</v>
      </c>
      <c r="D3398" s="1061">
        <v>7944.75</v>
      </c>
    </row>
    <row r="3399" spans="1:4" ht="9" customHeight="1" x14ac:dyDescent="0.25">
      <c r="A3399" s="1059">
        <v>2306679</v>
      </c>
      <c r="B3399" s="1060" t="s">
        <v>25058</v>
      </c>
      <c r="C3399" s="1059" t="s">
        <v>2</v>
      </c>
      <c r="D3399" s="1061">
        <v>7718.25</v>
      </c>
    </row>
    <row r="3400" spans="1:4" ht="9" customHeight="1" x14ac:dyDescent="0.25">
      <c r="A3400" s="1059">
        <v>2306653</v>
      </c>
      <c r="B3400" s="1060" t="s">
        <v>25059</v>
      </c>
      <c r="C3400" s="1059" t="s">
        <v>2</v>
      </c>
      <c r="D3400" s="1061">
        <v>7998.48</v>
      </c>
    </row>
    <row r="3401" spans="1:4" ht="9" customHeight="1" x14ac:dyDescent="0.25">
      <c r="A3401" s="1059">
        <v>2306680</v>
      </c>
      <c r="B3401" s="1060" t="s">
        <v>25060</v>
      </c>
      <c r="C3401" s="1059" t="s">
        <v>2</v>
      </c>
      <c r="D3401" s="1061">
        <v>7763.26</v>
      </c>
    </row>
    <row r="3402" spans="1:4" ht="9" customHeight="1" x14ac:dyDescent="0.25">
      <c r="A3402" s="1059">
        <v>2306654</v>
      </c>
      <c r="B3402" s="1060" t="s">
        <v>25061</v>
      </c>
      <c r="C3402" s="1059" t="s">
        <v>2</v>
      </c>
      <c r="D3402" s="1061">
        <v>8052.91</v>
      </c>
    </row>
    <row r="3403" spans="1:4" ht="9" customHeight="1" x14ac:dyDescent="0.25">
      <c r="A3403" s="1059">
        <v>2306681</v>
      </c>
      <c r="B3403" s="1060" t="s">
        <v>25062</v>
      </c>
      <c r="C3403" s="1059" t="s">
        <v>2</v>
      </c>
      <c r="D3403" s="1061">
        <v>7808.29</v>
      </c>
    </row>
    <row r="3404" spans="1:4" ht="9" customHeight="1" x14ac:dyDescent="0.25">
      <c r="A3404" s="1059">
        <v>2306655</v>
      </c>
      <c r="B3404" s="1060" t="s">
        <v>25063</v>
      </c>
      <c r="C3404" s="1059" t="s">
        <v>2</v>
      </c>
      <c r="D3404" s="1061">
        <v>8108.25</v>
      </c>
    </row>
    <row r="3405" spans="1:4" ht="9" customHeight="1" x14ac:dyDescent="0.25">
      <c r="A3405" s="1059">
        <v>2306682</v>
      </c>
      <c r="B3405" s="1060" t="s">
        <v>25064</v>
      </c>
      <c r="C3405" s="1059" t="s">
        <v>2</v>
      </c>
      <c r="D3405" s="1061">
        <v>7853.44</v>
      </c>
    </row>
    <row r="3406" spans="1:4" ht="9" customHeight="1" x14ac:dyDescent="0.25">
      <c r="A3406" s="1059">
        <v>2306656</v>
      </c>
      <c r="B3406" s="1060" t="s">
        <v>25065</v>
      </c>
      <c r="C3406" s="1059" t="s">
        <v>2</v>
      </c>
      <c r="D3406" s="1061">
        <v>10876.76</v>
      </c>
    </row>
    <row r="3407" spans="1:4" ht="9" customHeight="1" x14ac:dyDescent="0.25">
      <c r="A3407" s="1059">
        <v>2306683</v>
      </c>
      <c r="B3407" s="1060" t="s">
        <v>25066</v>
      </c>
      <c r="C3407" s="1059" t="s">
        <v>2</v>
      </c>
      <c r="D3407" s="1061">
        <v>10650.26</v>
      </c>
    </row>
    <row r="3408" spans="1:4" ht="9" customHeight="1" x14ac:dyDescent="0.25">
      <c r="A3408" s="1059">
        <v>2306657</v>
      </c>
      <c r="B3408" s="1060" t="s">
        <v>25067</v>
      </c>
      <c r="C3408" s="1059" t="s">
        <v>2</v>
      </c>
      <c r="D3408" s="1061">
        <v>10979.75</v>
      </c>
    </row>
    <row r="3409" spans="1:4" ht="9" customHeight="1" x14ac:dyDescent="0.25">
      <c r="A3409" s="1059">
        <v>2306684</v>
      </c>
      <c r="B3409" s="1060" t="s">
        <v>25068</v>
      </c>
      <c r="C3409" s="1059" t="s">
        <v>2</v>
      </c>
      <c r="D3409" s="1061">
        <v>10744.54</v>
      </c>
    </row>
    <row r="3410" spans="1:4" ht="9" customHeight="1" x14ac:dyDescent="0.25">
      <c r="A3410" s="1059">
        <v>2306658</v>
      </c>
      <c r="B3410" s="1060" t="s">
        <v>25069</v>
      </c>
      <c r="C3410" s="1059" t="s">
        <v>2</v>
      </c>
      <c r="D3410" s="1061">
        <v>11083.44</v>
      </c>
    </row>
    <row r="3411" spans="1:4" ht="9" customHeight="1" x14ac:dyDescent="0.25">
      <c r="A3411" s="1059">
        <v>2306685</v>
      </c>
      <c r="B3411" s="1060" t="s">
        <v>25070</v>
      </c>
      <c r="C3411" s="1059" t="s">
        <v>2</v>
      </c>
      <c r="D3411" s="1061">
        <v>10838.82</v>
      </c>
    </row>
    <row r="3412" spans="1:4" ht="9" customHeight="1" x14ac:dyDescent="0.25">
      <c r="A3412" s="1059">
        <v>2306659</v>
      </c>
      <c r="B3412" s="1060" t="s">
        <v>25071</v>
      </c>
      <c r="C3412" s="1059" t="s">
        <v>2</v>
      </c>
      <c r="D3412" s="1061">
        <v>11188.07</v>
      </c>
    </row>
    <row r="3413" spans="1:4" ht="9" customHeight="1" x14ac:dyDescent="0.25">
      <c r="A3413" s="1059">
        <v>2306686</v>
      </c>
      <c r="B3413" s="1060" t="s">
        <v>25072</v>
      </c>
      <c r="C3413" s="1059" t="s">
        <v>2</v>
      </c>
      <c r="D3413" s="1061">
        <v>10933.25</v>
      </c>
    </row>
    <row r="3414" spans="1:4" ht="9" customHeight="1" x14ac:dyDescent="0.25">
      <c r="A3414" s="1059">
        <v>2306637</v>
      </c>
      <c r="B3414" s="1060" t="s">
        <v>25073</v>
      </c>
      <c r="C3414" s="1059" t="s">
        <v>2</v>
      </c>
      <c r="D3414" s="1061">
        <v>2677.05</v>
      </c>
    </row>
    <row r="3415" spans="1:4" ht="9" customHeight="1" x14ac:dyDescent="0.25">
      <c r="A3415" s="1059">
        <v>2306664</v>
      </c>
      <c r="B3415" s="1060" t="s">
        <v>25074</v>
      </c>
      <c r="C3415" s="1059" t="s">
        <v>2</v>
      </c>
      <c r="D3415" s="1061">
        <v>2485.94</v>
      </c>
    </row>
    <row r="3416" spans="1:4" ht="9" customHeight="1" x14ac:dyDescent="0.25">
      <c r="A3416" s="1059">
        <v>2306732</v>
      </c>
      <c r="B3416" s="1060" t="s">
        <v>25075</v>
      </c>
      <c r="C3416" s="1059" t="s">
        <v>2</v>
      </c>
      <c r="D3416" s="1061">
        <v>1059</v>
      </c>
    </row>
    <row r="3417" spans="1:4" ht="9" customHeight="1" x14ac:dyDescent="0.25">
      <c r="A3417" s="1059">
        <v>2306733</v>
      </c>
      <c r="B3417" s="1060" t="s">
        <v>25076</v>
      </c>
      <c r="C3417" s="1059" t="s">
        <v>2</v>
      </c>
      <c r="D3417" s="1061">
        <v>898.07</v>
      </c>
    </row>
    <row r="3418" spans="1:4" ht="9" customHeight="1" x14ac:dyDescent="0.25">
      <c r="A3418" s="1059">
        <v>2306734</v>
      </c>
      <c r="B3418" s="1060" t="s">
        <v>25077</v>
      </c>
      <c r="C3418" s="1059" t="s">
        <v>2</v>
      </c>
      <c r="D3418" s="1061">
        <v>1291.8599999999999</v>
      </c>
    </row>
    <row r="3419" spans="1:4" ht="9" customHeight="1" x14ac:dyDescent="0.25">
      <c r="A3419" s="1059">
        <v>2306735</v>
      </c>
      <c r="B3419" s="1060" t="s">
        <v>25078</v>
      </c>
      <c r="C3419" s="1059" t="s">
        <v>2</v>
      </c>
      <c r="D3419" s="1061">
        <v>1126.58</v>
      </c>
    </row>
    <row r="3420" spans="1:4" ht="9" customHeight="1" x14ac:dyDescent="0.25">
      <c r="A3420" s="1059">
        <v>2306633</v>
      </c>
      <c r="B3420" s="1060" t="s">
        <v>25079</v>
      </c>
      <c r="C3420" s="1059" t="s">
        <v>2</v>
      </c>
      <c r="D3420" s="1061">
        <v>1470.88</v>
      </c>
    </row>
    <row r="3421" spans="1:4" ht="9" customHeight="1" x14ac:dyDescent="0.25">
      <c r="A3421" s="1059">
        <v>2306660</v>
      </c>
      <c r="B3421" s="1060" t="s">
        <v>25080</v>
      </c>
      <c r="C3421" s="1059" t="s">
        <v>2</v>
      </c>
      <c r="D3421" s="1061">
        <v>1301.01</v>
      </c>
    </row>
    <row r="3422" spans="1:4" ht="9" customHeight="1" x14ac:dyDescent="0.25">
      <c r="A3422" s="1059">
        <v>2306634</v>
      </c>
      <c r="B3422" s="1060" t="s">
        <v>25081</v>
      </c>
      <c r="C3422" s="1059" t="s">
        <v>2</v>
      </c>
      <c r="D3422" s="1061">
        <v>1715.07</v>
      </c>
    </row>
    <row r="3423" spans="1:4" ht="9" customHeight="1" x14ac:dyDescent="0.25">
      <c r="A3423" s="1059">
        <v>2306661</v>
      </c>
      <c r="B3423" s="1060" t="s">
        <v>25082</v>
      </c>
      <c r="C3423" s="1059" t="s">
        <v>2</v>
      </c>
      <c r="D3423" s="1061">
        <v>1540.34</v>
      </c>
    </row>
    <row r="3424" spans="1:4" ht="9" customHeight="1" x14ac:dyDescent="0.25">
      <c r="A3424" s="1059">
        <v>2306635</v>
      </c>
      <c r="B3424" s="1060" t="s">
        <v>25083</v>
      </c>
      <c r="C3424" s="1059" t="s">
        <v>2</v>
      </c>
      <c r="D3424" s="1061">
        <v>2073.25</v>
      </c>
    </row>
    <row r="3425" spans="1:4" ht="9" customHeight="1" x14ac:dyDescent="0.25">
      <c r="A3425" s="1059">
        <v>2306662</v>
      </c>
      <c r="B3425" s="1060" t="s">
        <v>25084</v>
      </c>
      <c r="C3425" s="1059" t="s">
        <v>2</v>
      </c>
      <c r="D3425" s="1061">
        <v>1893.39</v>
      </c>
    </row>
    <row r="3426" spans="1:4" ht="9" customHeight="1" x14ac:dyDescent="0.25">
      <c r="A3426" s="1059">
        <v>2306636</v>
      </c>
      <c r="B3426" s="1060" t="s">
        <v>25085</v>
      </c>
      <c r="C3426" s="1059" t="s">
        <v>2</v>
      </c>
      <c r="D3426" s="1061">
        <v>2090.89</v>
      </c>
    </row>
    <row r="3427" spans="1:4" ht="9" customHeight="1" x14ac:dyDescent="0.25">
      <c r="A3427" s="1059">
        <v>2306663</v>
      </c>
      <c r="B3427" s="1060" t="s">
        <v>25086</v>
      </c>
      <c r="C3427" s="1059" t="s">
        <v>2</v>
      </c>
      <c r="D3427" s="1061">
        <v>1905.57</v>
      </c>
    </row>
    <row r="3428" spans="1:4" ht="9" customHeight="1" x14ac:dyDescent="0.25">
      <c r="A3428" s="1059">
        <v>2306641</v>
      </c>
      <c r="B3428" s="1060" t="s">
        <v>25087</v>
      </c>
      <c r="C3428" s="1059" t="s">
        <v>2</v>
      </c>
      <c r="D3428" s="1061">
        <v>3384.65</v>
      </c>
    </row>
    <row r="3429" spans="1:4" ht="9" customHeight="1" x14ac:dyDescent="0.25">
      <c r="A3429" s="1059">
        <v>2306668</v>
      </c>
      <c r="B3429" s="1060" t="s">
        <v>25088</v>
      </c>
      <c r="C3429" s="1059" t="s">
        <v>2</v>
      </c>
      <c r="D3429" s="1061">
        <v>3193.54</v>
      </c>
    </row>
    <row r="3430" spans="1:4" ht="9" customHeight="1" x14ac:dyDescent="0.25">
      <c r="A3430" s="1059">
        <v>2306642</v>
      </c>
      <c r="B3430" s="1060" t="s">
        <v>25089</v>
      </c>
      <c r="C3430" s="1059" t="s">
        <v>2</v>
      </c>
      <c r="D3430" s="1061">
        <v>3409.06</v>
      </c>
    </row>
    <row r="3431" spans="1:4" ht="9" customHeight="1" x14ac:dyDescent="0.25">
      <c r="A3431" s="1059">
        <v>2306669</v>
      </c>
      <c r="B3431" s="1060" t="s">
        <v>25090</v>
      </c>
      <c r="C3431" s="1059" t="s">
        <v>2</v>
      </c>
      <c r="D3431" s="1061">
        <v>3211.79</v>
      </c>
    </row>
    <row r="3432" spans="1:4" ht="9" customHeight="1" x14ac:dyDescent="0.25">
      <c r="A3432" s="1059">
        <v>2306643</v>
      </c>
      <c r="B3432" s="1060" t="s">
        <v>25091</v>
      </c>
      <c r="C3432" s="1059" t="s">
        <v>2</v>
      </c>
      <c r="D3432" s="1061">
        <v>3433.92</v>
      </c>
    </row>
    <row r="3433" spans="1:4" ht="9" customHeight="1" x14ac:dyDescent="0.25">
      <c r="A3433" s="1059">
        <v>2306670</v>
      </c>
      <c r="B3433" s="1060" t="s">
        <v>25092</v>
      </c>
      <c r="C3433" s="1059" t="s">
        <v>2</v>
      </c>
      <c r="D3433" s="1061">
        <v>3230.07</v>
      </c>
    </row>
    <row r="3434" spans="1:4" ht="9" customHeight="1" x14ac:dyDescent="0.25">
      <c r="A3434" s="1059">
        <v>2306638</v>
      </c>
      <c r="B3434" s="1060" t="s">
        <v>25093</v>
      </c>
      <c r="C3434" s="1059" t="s">
        <v>2</v>
      </c>
      <c r="D3434" s="1061">
        <v>2159.5300000000002</v>
      </c>
    </row>
    <row r="3435" spans="1:4" ht="9" customHeight="1" x14ac:dyDescent="0.25">
      <c r="A3435" s="1059">
        <v>2306665</v>
      </c>
      <c r="B3435" s="1060" t="s">
        <v>25094</v>
      </c>
      <c r="C3435" s="1059" t="s">
        <v>2</v>
      </c>
      <c r="D3435" s="1061">
        <v>1984.8</v>
      </c>
    </row>
    <row r="3436" spans="1:4" ht="9" customHeight="1" x14ac:dyDescent="0.25">
      <c r="A3436" s="1059">
        <v>2306639</v>
      </c>
      <c r="B3436" s="1060" t="s">
        <v>25095</v>
      </c>
      <c r="C3436" s="1059" t="s">
        <v>2</v>
      </c>
      <c r="D3436" s="1061">
        <v>2615.64</v>
      </c>
    </row>
    <row r="3437" spans="1:4" ht="9" customHeight="1" x14ac:dyDescent="0.25">
      <c r="A3437" s="1059">
        <v>2306666</v>
      </c>
      <c r="B3437" s="1060" t="s">
        <v>25096</v>
      </c>
      <c r="C3437" s="1059" t="s">
        <v>2</v>
      </c>
      <c r="D3437" s="1061">
        <v>2435.77</v>
      </c>
    </row>
    <row r="3438" spans="1:4" ht="9" customHeight="1" x14ac:dyDescent="0.25">
      <c r="A3438" s="1059">
        <v>2306640</v>
      </c>
      <c r="B3438" s="1060" t="s">
        <v>25097</v>
      </c>
      <c r="C3438" s="1059" t="s">
        <v>2</v>
      </c>
      <c r="D3438" s="1061">
        <v>2639.27</v>
      </c>
    </row>
    <row r="3439" spans="1:4" ht="9" customHeight="1" x14ac:dyDescent="0.25">
      <c r="A3439" s="1059">
        <v>2306667</v>
      </c>
      <c r="B3439" s="1060" t="s">
        <v>25098</v>
      </c>
      <c r="C3439" s="1059" t="s">
        <v>2</v>
      </c>
      <c r="D3439" s="1061">
        <v>2453.9499999999998</v>
      </c>
    </row>
    <row r="3440" spans="1:4" ht="9" customHeight="1" x14ac:dyDescent="0.25">
      <c r="A3440" s="1059">
        <v>2306645</v>
      </c>
      <c r="B3440" s="1060" t="s">
        <v>25099</v>
      </c>
      <c r="C3440" s="1059" t="s">
        <v>2</v>
      </c>
      <c r="D3440" s="1061">
        <v>4043.21</v>
      </c>
    </row>
    <row r="3441" spans="1:4" ht="9" customHeight="1" x14ac:dyDescent="0.25">
      <c r="A3441" s="1059">
        <v>2306672</v>
      </c>
      <c r="B3441" s="1060" t="s">
        <v>25100</v>
      </c>
      <c r="C3441" s="1059" t="s">
        <v>2</v>
      </c>
      <c r="D3441" s="1061">
        <v>3852.1</v>
      </c>
    </row>
    <row r="3442" spans="1:4" ht="9" customHeight="1" x14ac:dyDescent="0.25">
      <c r="A3442" s="1059">
        <v>2306646</v>
      </c>
      <c r="B3442" s="1060" t="s">
        <v>25101</v>
      </c>
      <c r="C3442" s="1059" t="s">
        <v>2</v>
      </c>
      <c r="D3442" s="1061">
        <v>4074.99</v>
      </c>
    </row>
    <row r="3443" spans="1:4" ht="9" customHeight="1" x14ac:dyDescent="0.25">
      <c r="A3443" s="1059">
        <v>2306673</v>
      </c>
      <c r="B3443" s="1060" t="s">
        <v>25102</v>
      </c>
      <c r="C3443" s="1059" t="s">
        <v>2</v>
      </c>
      <c r="D3443" s="1061">
        <v>3877.72</v>
      </c>
    </row>
    <row r="3444" spans="1:4" ht="9" customHeight="1" x14ac:dyDescent="0.25">
      <c r="A3444" s="1059">
        <v>2306647</v>
      </c>
      <c r="B3444" s="1060" t="s">
        <v>25103</v>
      </c>
      <c r="C3444" s="1059" t="s">
        <v>2</v>
      </c>
      <c r="D3444" s="1061">
        <v>4107.24</v>
      </c>
    </row>
    <row r="3445" spans="1:4" ht="9" customHeight="1" x14ac:dyDescent="0.25">
      <c r="A3445" s="1059">
        <v>2306674</v>
      </c>
      <c r="B3445" s="1060" t="s">
        <v>25104</v>
      </c>
      <c r="C3445" s="1059" t="s">
        <v>2</v>
      </c>
      <c r="D3445" s="1061">
        <v>3903.39</v>
      </c>
    </row>
    <row r="3446" spans="1:4" ht="9" customHeight="1" x14ac:dyDescent="0.25">
      <c r="A3446" s="1059">
        <v>2306648</v>
      </c>
      <c r="B3446" s="1060" t="s">
        <v>25105</v>
      </c>
      <c r="C3446" s="1059" t="s">
        <v>2</v>
      </c>
      <c r="D3446" s="1061">
        <v>5853.32</v>
      </c>
    </row>
    <row r="3447" spans="1:4" ht="9" customHeight="1" x14ac:dyDescent="0.25">
      <c r="A3447" s="1059">
        <v>2306675</v>
      </c>
      <c r="B3447" s="1060" t="s">
        <v>25106</v>
      </c>
      <c r="C3447" s="1059" t="s">
        <v>2</v>
      </c>
      <c r="D3447" s="1061">
        <v>5642.44</v>
      </c>
    </row>
    <row r="3448" spans="1:4" ht="9" customHeight="1" x14ac:dyDescent="0.25">
      <c r="A3448" s="1059">
        <v>2306649</v>
      </c>
      <c r="B3448" s="1060" t="s">
        <v>25107</v>
      </c>
      <c r="C3448" s="1059" t="s">
        <v>2</v>
      </c>
      <c r="D3448" s="1061">
        <v>5886.62</v>
      </c>
    </row>
    <row r="3449" spans="1:4" ht="9" customHeight="1" x14ac:dyDescent="0.25">
      <c r="A3449" s="1059">
        <v>2306676</v>
      </c>
      <c r="B3449" s="1060" t="s">
        <v>25108</v>
      </c>
      <c r="C3449" s="1059" t="s">
        <v>2</v>
      </c>
      <c r="D3449" s="1061">
        <v>5668.21</v>
      </c>
    </row>
    <row r="3450" spans="1:4" ht="9" customHeight="1" x14ac:dyDescent="0.25">
      <c r="A3450" s="1059">
        <v>2306650</v>
      </c>
      <c r="B3450" s="1060" t="s">
        <v>25109</v>
      </c>
      <c r="C3450" s="1059" t="s">
        <v>2</v>
      </c>
      <c r="D3450" s="1061">
        <v>5920.53</v>
      </c>
    </row>
    <row r="3451" spans="1:4" ht="9" customHeight="1" x14ac:dyDescent="0.25">
      <c r="A3451" s="1059">
        <v>2306677</v>
      </c>
      <c r="B3451" s="1060" t="s">
        <v>25110</v>
      </c>
      <c r="C3451" s="1059" t="s">
        <v>2</v>
      </c>
      <c r="D3451" s="1061">
        <v>5694.03</v>
      </c>
    </row>
    <row r="3452" spans="1:4" ht="9" customHeight="1" x14ac:dyDescent="0.25">
      <c r="A3452" s="1059">
        <v>2306644</v>
      </c>
      <c r="B3452" s="1060" t="s">
        <v>25111</v>
      </c>
      <c r="C3452" s="1059" t="s">
        <v>2</v>
      </c>
      <c r="D3452" s="1061">
        <v>3155.12</v>
      </c>
    </row>
    <row r="3453" spans="1:4" ht="9" customHeight="1" x14ac:dyDescent="0.25">
      <c r="A3453" s="1059">
        <v>2306671</v>
      </c>
      <c r="B3453" s="1060" t="s">
        <v>25112</v>
      </c>
      <c r="C3453" s="1059" t="s">
        <v>2</v>
      </c>
      <c r="D3453" s="1061">
        <v>2969.8</v>
      </c>
    </row>
    <row r="3454" spans="1:4" ht="9" customHeight="1" x14ac:dyDescent="0.25">
      <c r="A3454" s="1059">
        <v>2306141</v>
      </c>
      <c r="B3454" s="1060" t="s">
        <v>25113</v>
      </c>
      <c r="C3454" s="1059" t="s">
        <v>2</v>
      </c>
      <c r="D3454" s="1061">
        <v>65.260000000000005</v>
      </c>
    </row>
    <row r="3455" spans="1:4" ht="9" customHeight="1" x14ac:dyDescent="0.25">
      <c r="A3455" s="1059">
        <v>2306145</v>
      </c>
      <c r="B3455" s="1060" t="s">
        <v>25114</v>
      </c>
      <c r="C3455" s="1059" t="s">
        <v>2</v>
      </c>
      <c r="D3455" s="1061">
        <v>50.44</v>
      </c>
    </row>
    <row r="3456" spans="1:4" ht="9" customHeight="1" x14ac:dyDescent="0.25">
      <c r="A3456" s="1059">
        <v>2306142</v>
      </c>
      <c r="B3456" s="1060" t="s">
        <v>25115</v>
      </c>
      <c r="C3456" s="1059" t="s">
        <v>2</v>
      </c>
      <c r="D3456" s="1061">
        <v>80.55</v>
      </c>
    </row>
    <row r="3457" spans="1:4" ht="9" customHeight="1" x14ac:dyDescent="0.25">
      <c r="A3457" s="1059">
        <v>2306146</v>
      </c>
      <c r="B3457" s="1060" t="s">
        <v>25116</v>
      </c>
      <c r="C3457" s="1059" t="s">
        <v>2</v>
      </c>
      <c r="D3457" s="1061">
        <v>59.21</v>
      </c>
    </row>
    <row r="3458" spans="1:4" ht="9" customHeight="1" x14ac:dyDescent="0.25">
      <c r="A3458" s="1059">
        <v>2306143</v>
      </c>
      <c r="B3458" s="1060" t="s">
        <v>25117</v>
      </c>
      <c r="C3458" s="1059" t="s">
        <v>2</v>
      </c>
      <c r="D3458" s="1061">
        <v>98.34</v>
      </c>
    </row>
    <row r="3459" spans="1:4" ht="9" customHeight="1" x14ac:dyDescent="0.25">
      <c r="A3459" s="1059">
        <v>2306147</v>
      </c>
      <c r="B3459" s="1060" t="s">
        <v>25118</v>
      </c>
      <c r="C3459" s="1059" t="s">
        <v>2</v>
      </c>
      <c r="D3459" s="1061">
        <v>69.290000000000006</v>
      </c>
    </row>
    <row r="3460" spans="1:4" ht="9" customHeight="1" x14ac:dyDescent="0.25">
      <c r="A3460" s="1059">
        <v>2306144</v>
      </c>
      <c r="B3460" s="1060" t="s">
        <v>25119</v>
      </c>
      <c r="C3460" s="1059" t="s">
        <v>2</v>
      </c>
      <c r="D3460" s="1061">
        <v>119.45</v>
      </c>
    </row>
    <row r="3461" spans="1:4" ht="9" customHeight="1" x14ac:dyDescent="0.25">
      <c r="A3461" s="1059">
        <v>2306148</v>
      </c>
      <c r="B3461" s="1060" t="s">
        <v>25120</v>
      </c>
      <c r="C3461" s="1059" t="s">
        <v>2</v>
      </c>
      <c r="D3461" s="1061">
        <v>81.5</v>
      </c>
    </row>
    <row r="3462" spans="1:4" ht="9" customHeight="1" x14ac:dyDescent="0.25">
      <c r="A3462" s="1059">
        <v>2306624</v>
      </c>
      <c r="B3462" s="1060" t="s">
        <v>25121</v>
      </c>
      <c r="C3462" s="1059" t="s">
        <v>2</v>
      </c>
      <c r="D3462" s="1061">
        <v>7633.9</v>
      </c>
    </row>
    <row r="3463" spans="1:4" ht="9" customHeight="1" x14ac:dyDescent="0.25">
      <c r="A3463" s="1059">
        <v>2306625</v>
      </c>
      <c r="B3463" s="1060" t="s">
        <v>25122</v>
      </c>
      <c r="C3463" s="1059" t="s">
        <v>2</v>
      </c>
      <c r="D3463" s="1061">
        <v>7676.82</v>
      </c>
    </row>
    <row r="3464" spans="1:4" ht="9" customHeight="1" x14ac:dyDescent="0.25">
      <c r="A3464" s="1059">
        <v>2306626</v>
      </c>
      <c r="B3464" s="1060" t="s">
        <v>25123</v>
      </c>
      <c r="C3464" s="1059" t="s">
        <v>2</v>
      </c>
      <c r="D3464" s="1061">
        <v>7719.74</v>
      </c>
    </row>
    <row r="3465" spans="1:4" ht="9" customHeight="1" x14ac:dyDescent="0.25">
      <c r="A3465" s="1059">
        <v>2306627</v>
      </c>
      <c r="B3465" s="1060" t="s">
        <v>25124</v>
      </c>
      <c r="C3465" s="1059" t="s">
        <v>2</v>
      </c>
      <c r="D3465" s="1061">
        <v>7762.6</v>
      </c>
    </row>
    <row r="3466" spans="1:4" ht="9" customHeight="1" x14ac:dyDescent="0.25">
      <c r="A3466" s="1059">
        <v>2306628</v>
      </c>
      <c r="B3466" s="1060" t="s">
        <v>25125</v>
      </c>
      <c r="C3466" s="1059" t="s">
        <v>2</v>
      </c>
      <c r="D3466" s="1061">
        <v>7805.51</v>
      </c>
    </row>
    <row r="3467" spans="1:4" ht="9" customHeight="1" x14ac:dyDescent="0.25">
      <c r="A3467" s="1059">
        <v>2306629</v>
      </c>
      <c r="B3467" s="1060" t="s">
        <v>25126</v>
      </c>
      <c r="C3467" s="1059" t="s">
        <v>2</v>
      </c>
      <c r="D3467" s="1061">
        <v>10600.66</v>
      </c>
    </row>
    <row r="3468" spans="1:4" ht="9" customHeight="1" x14ac:dyDescent="0.25">
      <c r="A3468" s="1059">
        <v>2306630</v>
      </c>
      <c r="B3468" s="1060" t="s">
        <v>25127</v>
      </c>
      <c r="C3468" s="1059" t="s">
        <v>2</v>
      </c>
      <c r="D3468" s="1061">
        <v>10692.32</v>
      </c>
    </row>
    <row r="3469" spans="1:4" ht="9" customHeight="1" x14ac:dyDescent="0.25">
      <c r="A3469" s="1059">
        <v>2306631</v>
      </c>
      <c r="B3469" s="1060" t="s">
        <v>25128</v>
      </c>
      <c r="C3469" s="1059" t="s">
        <v>2</v>
      </c>
      <c r="D3469" s="1061">
        <v>10783.92</v>
      </c>
    </row>
    <row r="3470" spans="1:4" ht="9" customHeight="1" x14ac:dyDescent="0.25">
      <c r="A3470" s="1059">
        <v>2306632</v>
      </c>
      <c r="B3470" s="1060" t="s">
        <v>25129</v>
      </c>
      <c r="C3470" s="1059" t="s">
        <v>2</v>
      </c>
      <c r="D3470" s="1061">
        <v>10875.58</v>
      </c>
    </row>
    <row r="3471" spans="1:4" ht="9" customHeight="1" x14ac:dyDescent="0.25">
      <c r="A3471" s="1059">
        <v>2306610</v>
      </c>
      <c r="B3471" s="1060" t="s">
        <v>25130</v>
      </c>
      <c r="C3471" s="1059" t="s">
        <v>2</v>
      </c>
      <c r="D3471" s="1061">
        <v>2461.8000000000002</v>
      </c>
    </row>
    <row r="3472" spans="1:4" ht="9" customHeight="1" x14ac:dyDescent="0.25">
      <c r="A3472" s="1059">
        <v>2306604</v>
      </c>
      <c r="B3472" s="1060" t="s">
        <v>25131</v>
      </c>
      <c r="C3472" s="1059" t="s">
        <v>2</v>
      </c>
      <c r="D3472" s="1061">
        <v>879.76</v>
      </c>
    </row>
    <row r="3473" spans="1:4" ht="9" customHeight="1" x14ac:dyDescent="0.25">
      <c r="A3473" s="1059">
        <v>2306605</v>
      </c>
      <c r="B3473" s="1060" t="s">
        <v>25132</v>
      </c>
      <c r="C3473" s="1059" t="s">
        <v>2</v>
      </c>
      <c r="D3473" s="1061">
        <v>1107.3699999999999</v>
      </c>
    </row>
    <row r="3474" spans="1:4" ht="9" customHeight="1" x14ac:dyDescent="0.25">
      <c r="A3474" s="1059">
        <v>2306606</v>
      </c>
      <c r="B3474" s="1060" t="s">
        <v>25133</v>
      </c>
      <c r="C3474" s="1059" t="s">
        <v>2</v>
      </c>
      <c r="D3474" s="1061">
        <v>1280.8699999999999</v>
      </c>
    </row>
    <row r="3475" spans="1:4" ht="9" customHeight="1" x14ac:dyDescent="0.25">
      <c r="A3475" s="1059">
        <v>2306607</v>
      </c>
      <c r="B3475" s="1060" t="s">
        <v>25134</v>
      </c>
      <c r="C3475" s="1059" t="s">
        <v>2</v>
      </c>
      <c r="D3475" s="1061">
        <v>1519.25</v>
      </c>
    </row>
    <row r="3476" spans="1:4" ht="9" customHeight="1" x14ac:dyDescent="0.25">
      <c r="A3476" s="1059">
        <v>2306608</v>
      </c>
      <c r="B3476" s="1060" t="s">
        <v>25135</v>
      </c>
      <c r="C3476" s="1059" t="s">
        <v>2</v>
      </c>
      <c r="D3476" s="1061">
        <v>1871.31</v>
      </c>
    </row>
    <row r="3477" spans="1:4" ht="9" customHeight="1" x14ac:dyDescent="0.25">
      <c r="A3477" s="1059">
        <v>2306609</v>
      </c>
      <c r="B3477" s="1060" t="s">
        <v>25136</v>
      </c>
      <c r="C3477" s="1059" t="s">
        <v>2</v>
      </c>
      <c r="D3477" s="1061">
        <v>1882.48</v>
      </c>
    </row>
    <row r="3478" spans="1:4" ht="9" customHeight="1" x14ac:dyDescent="0.25">
      <c r="A3478" s="1059">
        <v>2306614</v>
      </c>
      <c r="B3478" s="1060" t="s">
        <v>25137</v>
      </c>
      <c r="C3478" s="1059" t="s">
        <v>2</v>
      </c>
      <c r="D3478" s="1061">
        <v>3167.56</v>
      </c>
    </row>
    <row r="3479" spans="1:4" ht="9" customHeight="1" x14ac:dyDescent="0.25">
      <c r="A3479" s="1059">
        <v>2306615</v>
      </c>
      <c r="B3479" s="1060" t="s">
        <v>25138</v>
      </c>
      <c r="C3479" s="1059" t="s">
        <v>2</v>
      </c>
      <c r="D3479" s="1061">
        <v>3184.54</v>
      </c>
    </row>
    <row r="3480" spans="1:4" ht="9" customHeight="1" x14ac:dyDescent="0.25">
      <c r="A3480" s="1059">
        <v>2306616</v>
      </c>
      <c r="B3480" s="1060" t="s">
        <v>25139</v>
      </c>
      <c r="C3480" s="1059" t="s">
        <v>2</v>
      </c>
      <c r="D3480" s="1061">
        <v>3201.51</v>
      </c>
    </row>
    <row r="3481" spans="1:4" ht="9" customHeight="1" x14ac:dyDescent="0.25">
      <c r="A3481" s="1059">
        <v>2306611</v>
      </c>
      <c r="B3481" s="1060" t="s">
        <v>25140</v>
      </c>
      <c r="C3481" s="1059" t="s">
        <v>2</v>
      </c>
      <c r="D3481" s="1061">
        <v>1962.41</v>
      </c>
    </row>
    <row r="3482" spans="1:4" ht="9" customHeight="1" x14ac:dyDescent="0.25">
      <c r="A3482" s="1059">
        <v>2306612</v>
      </c>
      <c r="B3482" s="1060" t="s">
        <v>25141</v>
      </c>
      <c r="C3482" s="1059" t="s">
        <v>2</v>
      </c>
      <c r="D3482" s="1061">
        <v>2412.2199999999998</v>
      </c>
    </row>
    <row r="3483" spans="1:4" ht="9" customHeight="1" x14ac:dyDescent="0.25">
      <c r="A3483" s="1059">
        <v>2306613</v>
      </c>
      <c r="B3483" s="1060" t="s">
        <v>25142</v>
      </c>
      <c r="C3483" s="1059" t="s">
        <v>2</v>
      </c>
      <c r="D3483" s="1061">
        <v>2429.1999999999998</v>
      </c>
    </row>
    <row r="3484" spans="1:4" ht="9" customHeight="1" x14ac:dyDescent="0.25">
      <c r="A3484" s="1059">
        <v>2306618</v>
      </c>
      <c r="B3484" s="1060" t="s">
        <v>25143</v>
      </c>
      <c r="C3484" s="1059" t="s">
        <v>2</v>
      </c>
      <c r="D3484" s="1061">
        <v>3824.33</v>
      </c>
    </row>
    <row r="3485" spans="1:4" ht="9" customHeight="1" x14ac:dyDescent="0.25">
      <c r="A3485" s="1059">
        <v>2306619</v>
      </c>
      <c r="B3485" s="1060" t="s">
        <v>25144</v>
      </c>
      <c r="C3485" s="1059" t="s">
        <v>2</v>
      </c>
      <c r="D3485" s="1061">
        <v>3848.51</v>
      </c>
    </row>
    <row r="3486" spans="1:4" ht="9" customHeight="1" x14ac:dyDescent="0.25">
      <c r="A3486" s="1059">
        <v>2306620</v>
      </c>
      <c r="B3486" s="1060" t="s">
        <v>25145</v>
      </c>
      <c r="C3486" s="1059" t="s">
        <v>2</v>
      </c>
      <c r="D3486" s="1061">
        <v>3872.7</v>
      </c>
    </row>
    <row r="3487" spans="1:4" ht="9" customHeight="1" x14ac:dyDescent="0.25">
      <c r="A3487" s="1059">
        <v>2306621</v>
      </c>
      <c r="B3487" s="1060" t="s">
        <v>25146</v>
      </c>
      <c r="C3487" s="1059" t="s">
        <v>2</v>
      </c>
      <c r="D3487" s="1061">
        <v>5610.22</v>
      </c>
    </row>
    <row r="3488" spans="1:4" ht="9" customHeight="1" x14ac:dyDescent="0.25">
      <c r="A3488" s="1059">
        <v>2306622</v>
      </c>
      <c r="B3488" s="1060" t="s">
        <v>25147</v>
      </c>
      <c r="C3488" s="1059" t="s">
        <v>2</v>
      </c>
      <c r="D3488" s="1061">
        <v>5634.41</v>
      </c>
    </row>
    <row r="3489" spans="1:4" ht="9" customHeight="1" x14ac:dyDescent="0.25">
      <c r="A3489" s="1059">
        <v>2306623</v>
      </c>
      <c r="B3489" s="1060" t="s">
        <v>25148</v>
      </c>
      <c r="C3489" s="1059" t="s">
        <v>2</v>
      </c>
      <c r="D3489" s="1061">
        <v>5658.59</v>
      </c>
    </row>
    <row r="3490" spans="1:4" ht="9" customHeight="1" x14ac:dyDescent="0.25">
      <c r="A3490" s="1059">
        <v>2306617</v>
      </c>
      <c r="B3490" s="1060" t="s">
        <v>25149</v>
      </c>
      <c r="C3490" s="1059" t="s">
        <v>2</v>
      </c>
      <c r="D3490" s="1061">
        <v>2943.44</v>
      </c>
    </row>
    <row r="3491" spans="1:4" ht="9" customHeight="1" x14ac:dyDescent="0.25">
      <c r="A3491" s="1059">
        <v>2306014</v>
      </c>
      <c r="B3491" s="1060" t="s">
        <v>25150</v>
      </c>
      <c r="C3491" s="1059" t="s">
        <v>6</v>
      </c>
      <c r="D3491" s="1061">
        <v>10.24</v>
      </c>
    </row>
    <row r="3492" spans="1:4" ht="18" customHeight="1" x14ac:dyDescent="0.25">
      <c r="A3492" s="1059">
        <v>2306700</v>
      </c>
      <c r="B3492" s="1060" t="s">
        <v>25151</v>
      </c>
      <c r="C3492" s="1059" t="s">
        <v>2</v>
      </c>
      <c r="D3492" s="1061">
        <v>2801.67</v>
      </c>
    </row>
    <row r="3493" spans="1:4" ht="18" customHeight="1" x14ac:dyDescent="0.25">
      <c r="A3493" s="1059">
        <v>2306703</v>
      </c>
      <c r="B3493" s="1060" t="s">
        <v>25152</v>
      </c>
      <c r="C3493" s="1059" t="s">
        <v>2</v>
      </c>
      <c r="D3493" s="1061">
        <v>2890.62</v>
      </c>
    </row>
    <row r="3494" spans="1:4" ht="18" customHeight="1" x14ac:dyDescent="0.25">
      <c r="A3494" s="1059">
        <v>2306706</v>
      </c>
      <c r="B3494" s="1060" t="s">
        <v>25153</v>
      </c>
      <c r="C3494" s="1059" t="s">
        <v>2</v>
      </c>
      <c r="D3494" s="1061">
        <v>3049.76</v>
      </c>
    </row>
    <row r="3495" spans="1:4" ht="18" customHeight="1" x14ac:dyDescent="0.25">
      <c r="A3495" s="1059">
        <v>2306709</v>
      </c>
      <c r="B3495" s="1060" t="s">
        <v>25154</v>
      </c>
      <c r="C3495" s="1059" t="s">
        <v>2</v>
      </c>
      <c r="D3495" s="1061">
        <v>3248.51</v>
      </c>
    </row>
    <row r="3496" spans="1:4" ht="18" customHeight="1" x14ac:dyDescent="0.25">
      <c r="A3496" s="1059">
        <v>2306712</v>
      </c>
      <c r="B3496" s="1060" t="s">
        <v>25155</v>
      </c>
      <c r="C3496" s="1059" t="s">
        <v>2</v>
      </c>
      <c r="D3496" s="1061">
        <v>3365.14</v>
      </c>
    </row>
    <row r="3497" spans="1:4" ht="18" customHeight="1" x14ac:dyDescent="0.25">
      <c r="A3497" s="1059">
        <v>2306715</v>
      </c>
      <c r="B3497" s="1060" t="s">
        <v>25156</v>
      </c>
      <c r="C3497" s="1059" t="s">
        <v>2</v>
      </c>
      <c r="D3497" s="1061">
        <v>3496.5</v>
      </c>
    </row>
    <row r="3498" spans="1:4" ht="18" customHeight="1" x14ac:dyDescent="0.25">
      <c r="A3498" s="1059">
        <v>2306718</v>
      </c>
      <c r="B3498" s="1060" t="s">
        <v>25157</v>
      </c>
      <c r="C3498" s="1059" t="s">
        <v>2</v>
      </c>
      <c r="D3498" s="1061">
        <v>3712.99</v>
      </c>
    </row>
    <row r="3499" spans="1:4" ht="18" customHeight="1" x14ac:dyDescent="0.25">
      <c r="A3499" s="1059">
        <v>2306721</v>
      </c>
      <c r="B3499" s="1060" t="s">
        <v>25158</v>
      </c>
      <c r="C3499" s="1059" t="s">
        <v>2</v>
      </c>
      <c r="D3499" s="1061">
        <v>3819.27</v>
      </c>
    </row>
    <row r="3500" spans="1:4" ht="18" customHeight="1" x14ac:dyDescent="0.25">
      <c r="A3500" s="1059">
        <v>2306724</v>
      </c>
      <c r="B3500" s="1060" t="s">
        <v>25159</v>
      </c>
      <c r="C3500" s="1059" t="s">
        <v>2</v>
      </c>
      <c r="D3500" s="1061">
        <v>4013.47</v>
      </c>
    </row>
    <row r="3501" spans="1:4" ht="18" customHeight="1" x14ac:dyDescent="0.25">
      <c r="A3501" s="1059">
        <v>2306688</v>
      </c>
      <c r="B3501" s="1060" t="s">
        <v>25160</v>
      </c>
      <c r="C3501" s="1059" t="s">
        <v>2</v>
      </c>
      <c r="D3501" s="1061">
        <v>2246.2399999999998</v>
      </c>
    </row>
    <row r="3502" spans="1:4" ht="18" customHeight="1" x14ac:dyDescent="0.25">
      <c r="A3502" s="1059">
        <v>2306691</v>
      </c>
      <c r="B3502" s="1060" t="s">
        <v>25161</v>
      </c>
      <c r="C3502" s="1059" t="s">
        <v>2</v>
      </c>
      <c r="D3502" s="1061">
        <v>2358.04</v>
      </c>
    </row>
    <row r="3503" spans="1:4" ht="18" customHeight="1" x14ac:dyDescent="0.25">
      <c r="A3503" s="1059">
        <v>2306694</v>
      </c>
      <c r="B3503" s="1060" t="s">
        <v>25162</v>
      </c>
      <c r="C3503" s="1059" t="s">
        <v>2</v>
      </c>
      <c r="D3503" s="1061">
        <v>2525.69</v>
      </c>
    </row>
    <row r="3504" spans="1:4" ht="18" customHeight="1" x14ac:dyDescent="0.25">
      <c r="A3504" s="1059">
        <v>2306697</v>
      </c>
      <c r="B3504" s="1060" t="s">
        <v>25163</v>
      </c>
      <c r="C3504" s="1059" t="s">
        <v>2</v>
      </c>
      <c r="D3504" s="1061">
        <v>2639</v>
      </c>
    </row>
    <row r="3505" spans="1:4" ht="18" customHeight="1" x14ac:dyDescent="0.25">
      <c r="A3505" s="1059">
        <v>2306701</v>
      </c>
      <c r="B3505" s="1060" t="s">
        <v>25164</v>
      </c>
      <c r="C3505" s="1059" t="s">
        <v>2</v>
      </c>
      <c r="D3505" s="1061">
        <v>4765.41</v>
      </c>
    </row>
    <row r="3506" spans="1:4" ht="18" customHeight="1" x14ac:dyDescent="0.25">
      <c r="A3506" s="1059">
        <v>2306704</v>
      </c>
      <c r="B3506" s="1060" t="s">
        <v>25165</v>
      </c>
      <c r="C3506" s="1059" t="s">
        <v>2</v>
      </c>
      <c r="D3506" s="1061">
        <v>5022.6899999999996</v>
      </c>
    </row>
    <row r="3507" spans="1:4" ht="18" customHeight="1" x14ac:dyDescent="0.25">
      <c r="A3507" s="1059">
        <v>2306707</v>
      </c>
      <c r="B3507" s="1060" t="s">
        <v>25166</v>
      </c>
      <c r="C3507" s="1059" t="s">
        <v>2</v>
      </c>
      <c r="D3507" s="1061">
        <v>5242</v>
      </c>
    </row>
    <row r="3508" spans="1:4" ht="18" customHeight="1" x14ac:dyDescent="0.25">
      <c r="A3508" s="1059">
        <v>2306710</v>
      </c>
      <c r="B3508" s="1060" t="s">
        <v>25167</v>
      </c>
      <c r="C3508" s="1059" t="s">
        <v>2</v>
      </c>
      <c r="D3508" s="1061">
        <v>5482.31</v>
      </c>
    </row>
    <row r="3509" spans="1:4" ht="18" customHeight="1" x14ac:dyDescent="0.25">
      <c r="A3509" s="1059">
        <v>2306713</v>
      </c>
      <c r="B3509" s="1060" t="s">
        <v>25168</v>
      </c>
      <c r="C3509" s="1059" t="s">
        <v>2</v>
      </c>
      <c r="D3509" s="1061">
        <v>5633.73</v>
      </c>
    </row>
    <row r="3510" spans="1:4" ht="18" customHeight="1" x14ac:dyDescent="0.25">
      <c r="A3510" s="1059">
        <v>2306716</v>
      </c>
      <c r="B3510" s="1060" t="s">
        <v>25169</v>
      </c>
      <c r="C3510" s="1059" t="s">
        <v>2</v>
      </c>
      <c r="D3510" s="1061">
        <v>5949</v>
      </c>
    </row>
    <row r="3511" spans="1:4" ht="18" customHeight="1" x14ac:dyDescent="0.25">
      <c r="A3511" s="1059">
        <v>2306719</v>
      </c>
      <c r="B3511" s="1060" t="s">
        <v>25170</v>
      </c>
      <c r="C3511" s="1059" t="s">
        <v>2</v>
      </c>
      <c r="D3511" s="1061">
        <v>6399.31</v>
      </c>
    </row>
    <row r="3512" spans="1:4" ht="18" customHeight="1" x14ac:dyDescent="0.25">
      <c r="A3512" s="1059">
        <v>2306722</v>
      </c>
      <c r="B3512" s="1060" t="s">
        <v>25171</v>
      </c>
      <c r="C3512" s="1059" t="s">
        <v>2</v>
      </c>
      <c r="D3512" s="1061">
        <v>6696.03</v>
      </c>
    </row>
    <row r="3513" spans="1:4" ht="18" customHeight="1" x14ac:dyDescent="0.25">
      <c r="A3513" s="1059">
        <v>2306725</v>
      </c>
      <c r="B3513" s="1060" t="s">
        <v>25172</v>
      </c>
      <c r="C3513" s="1059" t="s">
        <v>2</v>
      </c>
      <c r="D3513" s="1061">
        <v>6974.29</v>
      </c>
    </row>
    <row r="3514" spans="1:4" ht="18" customHeight="1" x14ac:dyDescent="0.25">
      <c r="A3514" s="1059">
        <v>2306689</v>
      </c>
      <c r="B3514" s="1060" t="s">
        <v>25173</v>
      </c>
      <c r="C3514" s="1059" t="s">
        <v>2</v>
      </c>
      <c r="D3514" s="1061">
        <v>3822.64</v>
      </c>
    </row>
    <row r="3515" spans="1:4" ht="18" customHeight="1" x14ac:dyDescent="0.25">
      <c r="A3515" s="1059">
        <v>2306692</v>
      </c>
      <c r="B3515" s="1060" t="s">
        <v>25174</v>
      </c>
      <c r="C3515" s="1059" t="s">
        <v>2</v>
      </c>
      <c r="D3515" s="1061">
        <v>4009.17</v>
      </c>
    </row>
    <row r="3516" spans="1:4" ht="18" customHeight="1" x14ac:dyDescent="0.25">
      <c r="A3516" s="1059">
        <v>2306695</v>
      </c>
      <c r="B3516" s="1060" t="s">
        <v>25175</v>
      </c>
      <c r="C3516" s="1059" t="s">
        <v>2</v>
      </c>
      <c r="D3516" s="1061">
        <v>4202.55</v>
      </c>
    </row>
    <row r="3517" spans="1:4" ht="18" customHeight="1" x14ac:dyDescent="0.25">
      <c r="A3517" s="1059">
        <v>2306698</v>
      </c>
      <c r="B3517" s="1060" t="s">
        <v>25176</v>
      </c>
      <c r="C3517" s="1059" t="s">
        <v>2</v>
      </c>
      <c r="D3517" s="1061">
        <v>4441.05</v>
      </c>
    </row>
    <row r="3518" spans="1:4" ht="9" customHeight="1" x14ac:dyDescent="0.25">
      <c r="A3518" s="1059">
        <v>2306699</v>
      </c>
      <c r="B3518" s="1060" t="s">
        <v>25177</v>
      </c>
      <c r="C3518" s="1059" t="s">
        <v>2</v>
      </c>
      <c r="D3518" s="1061">
        <v>457.4</v>
      </c>
    </row>
    <row r="3519" spans="1:4" ht="9" customHeight="1" x14ac:dyDescent="0.25">
      <c r="A3519" s="1059">
        <v>2306702</v>
      </c>
      <c r="B3519" s="1060" t="s">
        <v>25178</v>
      </c>
      <c r="C3519" s="1059" t="s">
        <v>2</v>
      </c>
      <c r="D3519" s="1061">
        <v>472.77</v>
      </c>
    </row>
    <row r="3520" spans="1:4" ht="9" customHeight="1" x14ac:dyDescent="0.25">
      <c r="A3520" s="1059">
        <v>2306705</v>
      </c>
      <c r="B3520" s="1060" t="s">
        <v>25179</v>
      </c>
      <c r="C3520" s="1059" t="s">
        <v>2</v>
      </c>
      <c r="D3520" s="1061">
        <v>497.88</v>
      </c>
    </row>
    <row r="3521" spans="1:4" ht="9" customHeight="1" x14ac:dyDescent="0.25">
      <c r="A3521" s="1059">
        <v>2306708</v>
      </c>
      <c r="B3521" s="1060" t="s">
        <v>25180</v>
      </c>
      <c r="C3521" s="1059" t="s">
        <v>2</v>
      </c>
      <c r="D3521" s="1061">
        <v>516.15</v>
      </c>
    </row>
    <row r="3522" spans="1:4" ht="9" customHeight="1" x14ac:dyDescent="0.25">
      <c r="A3522" s="1059">
        <v>2306711</v>
      </c>
      <c r="B3522" s="1060" t="s">
        <v>25181</v>
      </c>
      <c r="C3522" s="1059" t="s">
        <v>2</v>
      </c>
      <c r="D3522" s="1061">
        <v>535.80999999999995</v>
      </c>
    </row>
    <row r="3523" spans="1:4" ht="9" customHeight="1" x14ac:dyDescent="0.25">
      <c r="A3523" s="1059">
        <v>2306714</v>
      </c>
      <c r="B3523" s="1060" t="s">
        <v>25182</v>
      </c>
      <c r="C3523" s="1059" t="s">
        <v>2</v>
      </c>
      <c r="D3523" s="1061">
        <v>557.03</v>
      </c>
    </row>
    <row r="3524" spans="1:4" ht="9" customHeight="1" x14ac:dyDescent="0.25">
      <c r="A3524" s="1059">
        <v>2306717</v>
      </c>
      <c r="B3524" s="1060" t="s">
        <v>25183</v>
      </c>
      <c r="C3524" s="1059" t="s">
        <v>2</v>
      </c>
      <c r="D3524" s="1061">
        <v>581.5</v>
      </c>
    </row>
    <row r="3525" spans="1:4" ht="9" customHeight="1" x14ac:dyDescent="0.25">
      <c r="A3525" s="1059">
        <v>2306720</v>
      </c>
      <c r="B3525" s="1060" t="s">
        <v>25184</v>
      </c>
      <c r="C3525" s="1059" t="s">
        <v>2</v>
      </c>
      <c r="D3525" s="1061">
        <v>606.58000000000004</v>
      </c>
    </row>
    <row r="3526" spans="1:4" ht="9" customHeight="1" x14ac:dyDescent="0.25">
      <c r="A3526" s="1059">
        <v>2306723</v>
      </c>
      <c r="B3526" s="1060" t="s">
        <v>25185</v>
      </c>
      <c r="C3526" s="1059" t="s">
        <v>2</v>
      </c>
      <c r="D3526" s="1061">
        <v>619.94000000000005</v>
      </c>
    </row>
    <row r="3527" spans="1:4" ht="9" customHeight="1" x14ac:dyDescent="0.25">
      <c r="A3527" s="1059">
        <v>2306687</v>
      </c>
      <c r="B3527" s="1060" t="s">
        <v>25186</v>
      </c>
      <c r="C3527" s="1059" t="s">
        <v>2</v>
      </c>
      <c r="D3527" s="1061">
        <v>380.78</v>
      </c>
    </row>
    <row r="3528" spans="1:4" ht="9" customHeight="1" x14ac:dyDescent="0.25">
      <c r="A3528" s="1059">
        <v>2306690</v>
      </c>
      <c r="B3528" s="1060" t="s">
        <v>25187</v>
      </c>
      <c r="C3528" s="1059" t="s">
        <v>2</v>
      </c>
      <c r="D3528" s="1061">
        <v>398.3</v>
      </c>
    </row>
    <row r="3529" spans="1:4" ht="9" customHeight="1" x14ac:dyDescent="0.25">
      <c r="A3529" s="1059">
        <v>2306693</v>
      </c>
      <c r="B3529" s="1060" t="s">
        <v>25188</v>
      </c>
      <c r="C3529" s="1059" t="s">
        <v>2</v>
      </c>
      <c r="D3529" s="1061">
        <v>415.97</v>
      </c>
    </row>
    <row r="3530" spans="1:4" ht="9" customHeight="1" x14ac:dyDescent="0.25">
      <c r="A3530" s="1059">
        <v>2306696</v>
      </c>
      <c r="B3530" s="1060" t="s">
        <v>25189</v>
      </c>
      <c r="C3530" s="1059" t="s">
        <v>2</v>
      </c>
      <c r="D3530" s="1061">
        <v>435.28</v>
      </c>
    </row>
    <row r="3531" spans="1:4" ht="9" customHeight="1" x14ac:dyDescent="0.25">
      <c r="A3531" s="1059">
        <v>2306239</v>
      </c>
      <c r="B3531" s="1060" t="s">
        <v>25190</v>
      </c>
      <c r="C3531" s="1059" t="s">
        <v>38</v>
      </c>
      <c r="D3531" s="1061">
        <v>242.42</v>
      </c>
    </row>
    <row r="3532" spans="1:4" ht="9" customHeight="1" x14ac:dyDescent="0.25">
      <c r="A3532" s="1059">
        <v>2306090</v>
      </c>
      <c r="B3532" s="1060" t="s">
        <v>25191</v>
      </c>
      <c r="C3532" s="1059" t="s">
        <v>2</v>
      </c>
      <c r="D3532" s="1061">
        <v>43.23</v>
      </c>
    </row>
    <row r="3533" spans="1:4" ht="9" customHeight="1" x14ac:dyDescent="0.25">
      <c r="A3533" s="1059">
        <v>2306091</v>
      </c>
      <c r="B3533" s="1060" t="s">
        <v>25192</v>
      </c>
      <c r="C3533" s="1059" t="s">
        <v>2</v>
      </c>
      <c r="D3533" s="1061">
        <v>57.64</v>
      </c>
    </row>
    <row r="3534" spans="1:4" ht="9" customHeight="1" x14ac:dyDescent="0.25">
      <c r="A3534" s="1059">
        <v>2306072</v>
      </c>
      <c r="B3534" s="1060" t="s">
        <v>25193</v>
      </c>
      <c r="C3534" s="1059" t="s">
        <v>38</v>
      </c>
      <c r="D3534" s="1061">
        <v>767.32</v>
      </c>
    </row>
    <row r="3535" spans="1:4" ht="9" customHeight="1" x14ac:dyDescent="0.25">
      <c r="A3535" s="1059">
        <v>2306133</v>
      </c>
      <c r="B3535" s="1060" t="s">
        <v>25194</v>
      </c>
      <c r="C3535" s="1059" t="s">
        <v>2</v>
      </c>
      <c r="D3535" s="1061">
        <v>486.76</v>
      </c>
    </row>
    <row r="3536" spans="1:4" ht="9" customHeight="1" x14ac:dyDescent="0.25">
      <c r="A3536" s="1059">
        <v>2306114</v>
      </c>
      <c r="B3536" s="1060" t="s">
        <v>25195</v>
      </c>
      <c r="C3536" s="1059" t="s">
        <v>2</v>
      </c>
      <c r="D3536" s="1061">
        <v>284.26</v>
      </c>
    </row>
    <row r="3537" spans="1:4" ht="9" customHeight="1" x14ac:dyDescent="0.25">
      <c r="A3537" s="1059">
        <v>2306115</v>
      </c>
      <c r="B3537" s="1060" t="s">
        <v>25196</v>
      </c>
      <c r="C3537" s="1059" t="s">
        <v>2</v>
      </c>
      <c r="D3537" s="1061">
        <v>412.76</v>
      </c>
    </row>
    <row r="3538" spans="1:4" ht="9" customHeight="1" x14ac:dyDescent="0.25">
      <c r="A3538" s="1059">
        <v>2306116</v>
      </c>
      <c r="B3538" s="1060" t="s">
        <v>25197</v>
      </c>
      <c r="C3538" s="1059" t="s">
        <v>2</v>
      </c>
      <c r="D3538" s="1061">
        <v>491.32</v>
      </c>
    </row>
    <row r="3539" spans="1:4" ht="9" customHeight="1" x14ac:dyDescent="0.25">
      <c r="A3539" s="1059">
        <v>2306118</v>
      </c>
      <c r="B3539" s="1060" t="s">
        <v>25198</v>
      </c>
      <c r="C3539" s="1059" t="s">
        <v>2</v>
      </c>
      <c r="D3539" s="1061">
        <v>616.66</v>
      </c>
    </row>
    <row r="3540" spans="1:4" ht="9" customHeight="1" x14ac:dyDescent="0.25">
      <c r="A3540" s="1059">
        <v>2306122</v>
      </c>
      <c r="B3540" s="1060" t="s">
        <v>25199</v>
      </c>
      <c r="C3540" s="1059" t="s">
        <v>2</v>
      </c>
      <c r="D3540" s="1061">
        <v>730.08</v>
      </c>
    </row>
    <row r="3541" spans="1:4" ht="9" customHeight="1" x14ac:dyDescent="0.25">
      <c r="A3541" s="1059">
        <v>2306078</v>
      </c>
      <c r="B3541" s="1060" t="s">
        <v>25200</v>
      </c>
      <c r="C3541" s="1059" t="s">
        <v>2</v>
      </c>
      <c r="D3541" s="1061">
        <v>129.35</v>
      </c>
    </row>
    <row r="3542" spans="1:4" ht="9" customHeight="1" x14ac:dyDescent="0.25">
      <c r="A3542" s="1059">
        <v>2306080</v>
      </c>
      <c r="B3542" s="1060" t="s">
        <v>25201</v>
      </c>
      <c r="C3542" s="1059" t="s">
        <v>2</v>
      </c>
      <c r="D3542" s="1061">
        <v>141.11000000000001</v>
      </c>
    </row>
    <row r="3543" spans="1:4" ht="9" customHeight="1" x14ac:dyDescent="0.25">
      <c r="A3543" s="1059">
        <v>2306082</v>
      </c>
      <c r="B3543" s="1060" t="s">
        <v>25202</v>
      </c>
      <c r="C3543" s="1059" t="s">
        <v>2</v>
      </c>
      <c r="D3543" s="1061">
        <v>155.22</v>
      </c>
    </row>
    <row r="3544" spans="1:4" ht="9" customHeight="1" x14ac:dyDescent="0.25">
      <c r="A3544" s="1059">
        <v>2306084</v>
      </c>
      <c r="B3544" s="1060" t="s">
        <v>25203</v>
      </c>
      <c r="C3544" s="1059" t="s">
        <v>2</v>
      </c>
      <c r="D3544" s="1061">
        <v>180.49</v>
      </c>
    </row>
    <row r="3545" spans="1:4" ht="9" customHeight="1" x14ac:dyDescent="0.25">
      <c r="A3545" s="1059">
        <v>2306086</v>
      </c>
      <c r="B3545" s="1060" t="s">
        <v>25204</v>
      </c>
      <c r="C3545" s="1059" t="s">
        <v>2</v>
      </c>
      <c r="D3545" s="1061">
        <v>221.74</v>
      </c>
    </row>
    <row r="3546" spans="1:4" ht="9" customHeight="1" x14ac:dyDescent="0.25">
      <c r="A3546" s="1059">
        <v>2309088</v>
      </c>
      <c r="B3546" s="1060" t="s">
        <v>25205</v>
      </c>
      <c r="C3546" s="1059" t="s">
        <v>2</v>
      </c>
      <c r="D3546" s="1061">
        <v>310.43</v>
      </c>
    </row>
    <row r="3547" spans="1:4" ht="9" customHeight="1" x14ac:dyDescent="0.25">
      <c r="A3547" s="1059">
        <v>2306074</v>
      </c>
      <c r="B3547" s="1060" t="s">
        <v>25206</v>
      </c>
      <c r="C3547" s="1059" t="s">
        <v>38</v>
      </c>
      <c r="D3547" s="1061">
        <v>196.94</v>
      </c>
    </row>
    <row r="3548" spans="1:4" ht="9" customHeight="1" x14ac:dyDescent="0.25">
      <c r="A3548" s="1059">
        <v>2306095</v>
      </c>
      <c r="B3548" s="1060" t="s">
        <v>25207</v>
      </c>
      <c r="C3548" s="1059" t="s">
        <v>38</v>
      </c>
      <c r="D3548" s="1061">
        <v>236.14</v>
      </c>
    </row>
    <row r="3549" spans="1:4" ht="9" customHeight="1" x14ac:dyDescent="0.25">
      <c r="A3549" s="1059">
        <v>2306132</v>
      </c>
      <c r="B3549" s="1060" t="s">
        <v>25208</v>
      </c>
      <c r="C3549" s="1059" t="s">
        <v>2</v>
      </c>
      <c r="D3549" s="1061">
        <v>313.67</v>
      </c>
    </row>
    <row r="3550" spans="1:4" ht="9" customHeight="1" x14ac:dyDescent="0.25">
      <c r="A3550" s="1059">
        <v>2306015</v>
      </c>
      <c r="B3550" s="1060" t="s">
        <v>25209</v>
      </c>
      <c r="C3550" s="1059" t="s">
        <v>6</v>
      </c>
      <c r="D3550" s="1061">
        <v>14.27</v>
      </c>
    </row>
    <row r="3551" spans="1:4" ht="9" customHeight="1" x14ac:dyDescent="0.25">
      <c r="A3551" s="1059">
        <v>2306019</v>
      </c>
      <c r="B3551" s="1060" t="s">
        <v>25210</v>
      </c>
      <c r="C3551" s="1059" t="s">
        <v>6</v>
      </c>
      <c r="D3551" s="1061">
        <v>14.87</v>
      </c>
    </row>
    <row r="3552" spans="1:4" ht="9" customHeight="1" x14ac:dyDescent="0.25">
      <c r="A3552" s="1059">
        <v>2306018</v>
      </c>
      <c r="B3552" s="1060" t="s">
        <v>25211</v>
      </c>
      <c r="C3552" s="1059" t="s">
        <v>6</v>
      </c>
      <c r="D3552" s="1061">
        <v>2.66</v>
      </c>
    </row>
    <row r="3553" spans="1:4" ht="9" customHeight="1" x14ac:dyDescent="0.25">
      <c r="A3553" s="1059">
        <v>2306016</v>
      </c>
      <c r="B3553" s="1060" t="s">
        <v>25212</v>
      </c>
      <c r="C3553" s="1059" t="s">
        <v>6</v>
      </c>
      <c r="D3553" s="1061">
        <v>1.76</v>
      </c>
    </row>
    <row r="3554" spans="1:4" ht="9" customHeight="1" x14ac:dyDescent="0.25">
      <c r="A3554" s="1059">
        <v>2305999</v>
      </c>
      <c r="B3554" s="1060" t="s">
        <v>25213</v>
      </c>
      <c r="C3554" s="1059" t="s">
        <v>2</v>
      </c>
      <c r="D3554" s="1061">
        <v>314.2</v>
      </c>
    </row>
    <row r="3555" spans="1:4" ht="9" customHeight="1" x14ac:dyDescent="0.25">
      <c r="A3555" s="1059">
        <v>2306000</v>
      </c>
      <c r="B3555" s="1060" t="s">
        <v>25214</v>
      </c>
      <c r="C3555" s="1059" t="s">
        <v>2</v>
      </c>
      <c r="D3555" s="1061">
        <v>393.08</v>
      </c>
    </row>
    <row r="3556" spans="1:4" ht="9" customHeight="1" x14ac:dyDescent="0.25">
      <c r="A3556" s="1059">
        <v>2306001</v>
      </c>
      <c r="B3556" s="1060" t="s">
        <v>25215</v>
      </c>
      <c r="C3556" s="1059" t="s">
        <v>2</v>
      </c>
      <c r="D3556" s="1061">
        <v>563.25</v>
      </c>
    </row>
    <row r="3557" spans="1:4" ht="9" customHeight="1" x14ac:dyDescent="0.25">
      <c r="A3557" s="1059">
        <v>2306002</v>
      </c>
      <c r="B3557" s="1060" t="s">
        <v>25216</v>
      </c>
      <c r="C3557" s="1059" t="s">
        <v>2</v>
      </c>
      <c r="D3557" s="1061">
        <v>644.73</v>
      </c>
    </row>
    <row r="3558" spans="1:4" ht="9" customHeight="1" x14ac:dyDescent="0.25">
      <c r="A3558" s="1059">
        <v>2306003</v>
      </c>
      <c r="B3558" s="1060" t="s">
        <v>25217</v>
      </c>
      <c r="C3558" s="1059" t="s">
        <v>2</v>
      </c>
      <c r="D3558" s="1061">
        <v>927.51</v>
      </c>
    </row>
    <row r="3559" spans="1:4" ht="9" customHeight="1" x14ac:dyDescent="0.25">
      <c r="A3559" s="1059">
        <v>2305997</v>
      </c>
      <c r="B3559" s="1060" t="s">
        <v>25218</v>
      </c>
      <c r="C3559" s="1059" t="s">
        <v>2</v>
      </c>
      <c r="D3559" s="1061">
        <v>200.41</v>
      </c>
    </row>
    <row r="3560" spans="1:4" ht="9" customHeight="1" x14ac:dyDescent="0.25">
      <c r="A3560" s="1059">
        <v>2305998</v>
      </c>
      <c r="B3560" s="1060" t="s">
        <v>25219</v>
      </c>
      <c r="C3560" s="1059" t="s">
        <v>2</v>
      </c>
      <c r="D3560" s="1061">
        <v>283.95999999999998</v>
      </c>
    </row>
    <row r="3561" spans="1:4" ht="9" customHeight="1" x14ac:dyDescent="0.25">
      <c r="A3561" s="1059">
        <v>2306101</v>
      </c>
      <c r="B3561" s="1060" t="s">
        <v>25220</v>
      </c>
      <c r="C3561" s="1059" t="s">
        <v>2</v>
      </c>
      <c r="D3561" s="1061">
        <v>75.72</v>
      </c>
    </row>
    <row r="3562" spans="1:4" ht="9" customHeight="1" x14ac:dyDescent="0.25">
      <c r="A3562" s="1059">
        <v>2306102</v>
      </c>
      <c r="B3562" s="1060" t="s">
        <v>25221</v>
      </c>
      <c r="C3562" s="1059" t="s">
        <v>2</v>
      </c>
      <c r="D3562" s="1061">
        <v>80.239999999999995</v>
      </c>
    </row>
    <row r="3563" spans="1:4" ht="9" customHeight="1" x14ac:dyDescent="0.25">
      <c r="A3563" s="1059">
        <v>2306103</v>
      </c>
      <c r="B3563" s="1060" t="s">
        <v>25222</v>
      </c>
      <c r="C3563" s="1059" t="s">
        <v>2</v>
      </c>
      <c r="D3563" s="1061">
        <v>91.04</v>
      </c>
    </row>
    <row r="3564" spans="1:4" ht="9" customHeight="1" x14ac:dyDescent="0.25">
      <c r="A3564" s="1059">
        <v>2306104</v>
      </c>
      <c r="B3564" s="1060" t="s">
        <v>25223</v>
      </c>
      <c r="C3564" s="1059" t="s">
        <v>2</v>
      </c>
      <c r="D3564" s="1061">
        <v>96.9</v>
      </c>
    </row>
    <row r="3565" spans="1:4" ht="9" customHeight="1" x14ac:dyDescent="0.25">
      <c r="A3565" s="1059">
        <v>2306105</v>
      </c>
      <c r="B3565" s="1060" t="s">
        <v>25224</v>
      </c>
      <c r="C3565" s="1059" t="s">
        <v>2</v>
      </c>
      <c r="D3565" s="1061">
        <v>102.71</v>
      </c>
    </row>
    <row r="3566" spans="1:4" ht="9" customHeight="1" x14ac:dyDescent="0.25">
      <c r="A3566" s="1059">
        <v>2306106</v>
      </c>
      <c r="B3566" s="1060" t="s">
        <v>25225</v>
      </c>
      <c r="C3566" s="1059" t="s">
        <v>2</v>
      </c>
      <c r="D3566" s="1061">
        <v>111.11</v>
      </c>
    </row>
    <row r="3567" spans="1:4" ht="9" customHeight="1" x14ac:dyDescent="0.25">
      <c r="A3567" s="1059">
        <v>2306107</v>
      </c>
      <c r="B3567" s="1060" t="s">
        <v>25226</v>
      </c>
      <c r="C3567" s="1059" t="s">
        <v>2</v>
      </c>
      <c r="D3567" s="1061">
        <v>114.26</v>
      </c>
    </row>
    <row r="3568" spans="1:4" ht="9" customHeight="1" x14ac:dyDescent="0.25">
      <c r="A3568" s="1059">
        <v>2306269</v>
      </c>
      <c r="B3568" s="1060" t="s">
        <v>25227</v>
      </c>
      <c r="C3568" s="1059" t="s">
        <v>2</v>
      </c>
      <c r="D3568" s="1061">
        <v>129.01</v>
      </c>
    </row>
    <row r="3569" spans="1:4" ht="9" customHeight="1" x14ac:dyDescent="0.25">
      <c r="A3569" s="1059">
        <v>2306270</v>
      </c>
      <c r="B3569" s="1060" t="s">
        <v>25228</v>
      </c>
      <c r="C3569" s="1059" t="s">
        <v>2</v>
      </c>
      <c r="D3569" s="1061">
        <v>144.6</v>
      </c>
    </row>
    <row r="3570" spans="1:4" ht="9" customHeight="1" x14ac:dyDescent="0.25">
      <c r="A3570" s="1059">
        <v>2306271</v>
      </c>
      <c r="B3570" s="1060" t="s">
        <v>25229</v>
      </c>
      <c r="C3570" s="1059" t="s">
        <v>2</v>
      </c>
      <c r="D3570" s="1061">
        <v>158.99</v>
      </c>
    </row>
    <row r="3571" spans="1:4" ht="9" customHeight="1" x14ac:dyDescent="0.25">
      <c r="A3571" s="1059">
        <v>2306272</v>
      </c>
      <c r="B3571" s="1060" t="s">
        <v>25230</v>
      </c>
      <c r="C3571" s="1059" t="s">
        <v>2</v>
      </c>
      <c r="D3571" s="1061">
        <v>167.99</v>
      </c>
    </row>
    <row r="3572" spans="1:4" ht="9" customHeight="1" x14ac:dyDescent="0.25">
      <c r="A3572" s="1059">
        <v>2306273</v>
      </c>
      <c r="B3572" s="1060" t="s">
        <v>25231</v>
      </c>
      <c r="C3572" s="1059" t="s">
        <v>2</v>
      </c>
      <c r="D3572" s="1061">
        <v>187.27</v>
      </c>
    </row>
    <row r="3573" spans="1:4" ht="9" customHeight="1" x14ac:dyDescent="0.25">
      <c r="A3573" s="1059">
        <v>2306274</v>
      </c>
      <c r="B3573" s="1060" t="s">
        <v>25232</v>
      </c>
      <c r="C3573" s="1059" t="s">
        <v>2</v>
      </c>
      <c r="D3573" s="1061">
        <v>201.2</v>
      </c>
    </row>
    <row r="3574" spans="1:4" ht="9" customHeight="1" x14ac:dyDescent="0.25">
      <c r="A3574" s="1059">
        <v>2306275</v>
      </c>
      <c r="B3574" s="1060" t="s">
        <v>25233</v>
      </c>
      <c r="C3574" s="1059" t="s">
        <v>2</v>
      </c>
      <c r="D3574" s="1061">
        <v>232.47</v>
      </c>
    </row>
    <row r="3575" spans="1:4" ht="18" customHeight="1" x14ac:dyDescent="0.25">
      <c r="A3575" s="1059">
        <v>2306100</v>
      </c>
      <c r="B3575" s="1060" t="s">
        <v>25234</v>
      </c>
      <c r="C3575" s="1059" t="s">
        <v>2</v>
      </c>
      <c r="D3575" s="1061">
        <v>289</v>
      </c>
    </row>
    <row r="3576" spans="1:4" ht="18" customHeight="1" x14ac:dyDescent="0.25">
      <c r="A3576" s="1059">
        <v>2306004</v>
      </c>
      <c r="B3576" s="1060" t="s">
        <v>25235</v>
      </c>
      <c r="C3576" s="1059" t="s">
        <v>2</v>
      </c>
      <c r="D3576" s="1061">
        <v>116.19</v>
      </c>
    </row>
    <row r="3577" spans="1:4" ht="18" customHeight="1" x14ac:dyDescent="0.25">
      <c r="A3577" s="1059">
        <v>2306097</v>
      </c>
      <c r="B3577" s="1060" t="s">
        <v>25236</v>
      </c>
      <c r="C3577" s="1059" t="s">
        <v>2</v>
      </c>
      <c r="D3577" s="1061">
        <v>137.41</v>
      </c>
    </row>
    <row r="3578" spans="1:4" ht="18" customHeight="1" x14ac:dyDescent="0.25">
      <c r="A3578" s="1059">
        <v>2306098</v>
      </c>
      <c r="B3578" s="1060" t="s">
        <v>25237</v>
      </c>
      <c r="C3578" s="1059" t="s">
        <v>2</v>
      </c>
      <c r="D3578" s="1061">
        <v>177.69</v>
      </c>
    </row>
    <row r="3579" spans="1:4" ht="18" customHeight="1" x14ac:dyDescent="0.25">
      <c r="A3579" s="1059">
        <v>2306007</v>
      </c>
      <c r="B3579" s="1060" t="s">
        <v>25238</v>
      </c>
      <c r="C3579" s="1059" t="s">
        <v>2</v>
      </c>
      <c r="D3579" s="1061">
        <v>230.61</v>
      </c>
    </row>
    <row r="3580" spans="1:4" ht="9" customHeight="1" x14ac:dyDescent="0.25">
      <c r="A3580" s="1059">
        <v>2306067</v>
      </c>
      <c r="B3580" s="1060" t="s">
        <v>25239</v>
      </c>
      <c r="C3580" s="1059" t="s">
        <v>2</v>
      </c>
      <c r="D3580" s="1061">
        <v>472.37</v>
      </c>
    </row>
    <row r="3581" spans="1:4" ht="9" customHeight="1" x14ac:dyDescent="0.25">
      <c r="A3581" s="1059">
        <v>2306068</v>
      </c>
      <c r="B3581" s="1060" t="s">
        <v>25240</v>
      </c>
      <c r="C3581" s="1059" t="s">
        <v>2</v>
      </c>
      <c r="D3581" s="1061">
        <v>597.39</v>
      </c>
    </row>
    <row r="3582" spans="1:4" ht="9" customHeight="1" x14ac:dyDescent="0.25">
      <c r="A3582" s="1059">
        <v>2306069</v>
      </c>
      <c r="B3582" s="1060" t="s">
        <v>25241</v>
      </c>
      <c r="C3582" s="1059" t="s">
        <v>2</v>
      </c>
      <c r="D3582" s="1061">
        <v>809.64</v>
      </c>
    </row>
    <row r="3583" spans="1:4" ht="9" customHeight="1" x14ac:dyDescent="0.25">
      <c r="A3583" s="1059">
        <v>2306070</v>
      </c>
      <c r="B3583" s="1060" t="s">
        <v>25242</v>
      </c>
      <c r="C3583" s="1059" t="s">
        <v>2</v>
      </c>
      <c r="D3583" s="1061">
        <v>1280.8699999999999</v>
      </c>
    </row>
    <row r="3584" spans="1:4" ht="9" customHeight="1" x14ac:dyDescent="0.25">
      <c r="A3584" s="1059">
        <v>2306071</v>
      </c>
      <c r="B3584" s="1060" t="s">
        <v>25243</v>
      </c>
      <c r="C3584" s="1059" t="s">
        <v>2</v>
      </c>
      <c r="D3584" s="1061">
        <v>1928.03</v>
      </c>
    </row>
    <row r="3585" spans="1:4" ht="9" customHeight="1" x14ac:dyDescent="0.25">
      <c r="A3585" s="1059">
        <v>2306181</v>
      </c>
      <c r="B3585" s="1060" t="s">
        <v>25244</v>
      </c>
      <c r="C3585" s="1059" t="s">
        <v>2</v>
      </c>
      <c r="D3585" s="1061">
        <v>1930.88</v>
      </c>
    </row>
    <row r="3586" spans="1:4" ht="9" customHeight="1" x14ac:dyDescent="0.25">
      <c r="A3586" s="1059">
        <v>2306062</v>
      </c>
      <c r="B3586" s="1060" t="s">
        <v>25245</v>
      </c>
      <c r="C3586" s="1059" t="s">
        <v>2</v>
      </c>
      <c r="D3586" s="1061">
        <v>83.59</v>
      </c>
    </row>
    <row r="3587" spans="1:4" ht="9" customHeight="1" x14ac:dyDescent="0.25">
      <c r="A3587" s="1059">
        <v>2306063</v>
      </c>
      <c r="B3587" s="1060" t="s">
        <v>25246</v>
      </c>
      <c r="C3587" s="1059" t="s">
        <v>2</v>
      </c>
      <c r="D3587" s="1061">
        <v>101.57</v>
      </c>
    </row>
    <row r="3588" spans="1:4" ht="9" customHeight="1" x14ac:dyDescent="0.25">
      <c r="A3588" s="1059">
        <v>2306064</v>
      </c>
      <c r="B3588" s="1060" t="s">
        <v>25247</v>
      </c>
      <c r="C3588" s="1059" t="s">
        <v>2</v>
      </c>
      <c r="D3588" s="1061">
        <v>126.04</v>
      </c>
    </row>
    <row r="3589" spans="1:4" ht="9" customHeight="1" x14ac:dyDescent="0.25">
      <c r="A3589" s="1059">
        <v>2306065</v>
      </c>
      <c r="B3589" s="1060" t="s">
        <v>25248</v>
      </c>
      <c r="C3589" s="1059" t="s">
        <v>2</v>
      </c>
      <c r="D3589" s="1061">
        <v>163.75</v>
      </c>
    </row>
    <row r="3590" spans="1:4" ht="9" customHeight="1" x14ac:dyDescent="0.25">
      <c r="A3590" s="1059">
        <v>2306066</v>
      </c>
      <c r="B3590" s="1060" t="s">
        <v>25249</v>
      </c>
      <c r="C3590" s="1059" t="s">
        <v>2</v>
      </c>
      <c r="D3590" s="1061">
        <v>231.86</v>
      </c>
    </row>
    <row r="3591" spans="1:4" ht="9" customHeight="1" x14ac:dyDescent="0.25">
      <c r="A3591" s="1059">
        <v>2306180</v>
      </c>
      <c r="B3591" s="1060" t="s">
        <v>25250</v>
      </c>
      <c r="C3591" s="1059" t="s">
        <v>2</v>
      </c>
      <c r="D3591" s="1061">
        <v>262.18</v>
      </c>
    </row>
    <row r="3592" spans="1:4" ht="9" customHeight="1" x14ac:dyDescent="0.25">
      <c r="A3592" s="1059">
        <v>2306009</v>
      </c>
      <c r="B3592" s="1060" t="s">
        <v>25251</v>
      </c>
      <c r="C3592" s="1059" t="s">
        <v>2</v>
      </c>
      <c r="D3592" s="1061">
        <v>16.399999999999999</v>
      </c>
    </row>
    <row r="3593" spans="1:4" ht="9" customHeight="1" x14ac:dyDescent="0.25">
      <c r="A3593" s="1059">
        <v>2306010</v>
      </c>
      <c r="B3593" s="1060" t="s">
        <v>25252</v>
      </c>
      <c r="C3593" s="1059" t="s">
        <v>2</v>
      </c>
      <c r="D3593" s="1061">
        <v>20.43</v>
      </c>
    </row>
    <row r="3594" spans="1:4" ht="9" customHeight="1" x14ac:dyDescent="0.25">
      <c r="A3594" s="1059">
        <v>2306011</v>
      </c>
      <c r="B3594" s="1060" t="s">
        <v>25253</v>
      </c>
      <c r="C3594" s="1059" t="s">
        <v>2</v>
      </c>
      <c r="D3594" s="1061">
        <v>23.27</v>
      </c>
    </row>
    <row r="3595" spans="1:4" ht="9" customHeight="1" x14ac:dyDescent="0.25">
      <c r="A3595" s="1059">
        <v>2306012</v>
      </c>
      <c r="B3595" s="1060" t="s">
        <v>25254</v>
      </c>
      <c r="C3595" s="1059" t="s">
        <v>2</v>
      </c>
      <c r="D3595" s="1061">
        <v>27.25</v>
      </c>
    </row>
    <row r="3596" spans="1:4" ht="9" customHeight="1" x14ac:dyDescent="0.25">
      <c r="A3596" s="1059">
        <v>2306108</v>
      </c>
      <c r="B3596" s="1060" t="s">
        <v>25255</v>
      </c>
      <c r="C3596" s="1059" t="s">
        <v>2</v>
      </c>
      <c r="D3596" s="1061">
        <v>152.69</v>
      </c>
    </row>
    <row r="3597" spans="1:4" ht="9" customHeight="1" x14ac:dyDescent="0.25">
      <c r="A3597" s="1059">
        <v>2306110</v>
      </c>
      <c r="B3597" s="1060" t="s">
        <v>25256</v>
      </c>
      <c r="C3597" s="1059" t="s">
        <v>2</v>
      </c>
      <c r="D3597" s="1061">
        <v>217.16</v>
      </c>
    </row>
    <row r="3598" spans="1:4" ht="9" customHeight="1" x14ac:dyDescent="0.25">
      <c r="A3598" s="1059">
        <v>2306111</v>
      </c>
      <c r="B3598" s="1060" t="s">
        <v>25257</v>
      </c>
      <c r="C3598" s="1059" t="s">
        <v>2</v>
      </c>
      <c r="D3598" s="1061">
        <v>256.04000000000002</v>
      </c>
    </row>
    <row r="3599" spans="1:4" ht="9" customHeight="1" x14ac:dyDescent="0.25">
      <c r="A3599" s="1059">
        <v>2306112</v>
      </c>
      <c r="B3599" s="1060" t="s">
        <v>25258</v>
      </c>
      <c r="C3599" s="1059" t="s">
        <v>2</v>
      </c>
      <c r="D3599" s="1061">
        <v>318.49</v>
      </c>
    </row>
    <row r="3600" spans="1:4" ht="9" customHeight="1" x14ac:dyDescent="0.25">
      <c r="A3600" s="1059">
        <v>2306113</v>
      </c>
      <c r="B3600" s="1060" t="s">
        <v>25259</v>
      </c>
      <c r="C3600" s="1059" t="s">
        <v>2</v>
      </c>
      <c r="D3600" s="1061">
        <v>375.04</v>
      </c>
    </row>
    <row r="3601" spans="1:4" ht="9" customHeight="1" x14ac:dyDescent="0.25">
      <c r="A3601" s="1059">
        <v>2306123</v>
      </c>
      <c r="B3601" s="1060" t="s">
        <v>25260</v>
      </c>
      <c r="C3601" s="1059" t="s">
        <v>2</v>
      </c>
      <c r="D3601" s="1061">
        <v>414.39</v>
      </c>
    </row>
    <row r="3602" spans="1:4" ht="9" customHeight="1" x14ac:dyDescent="0.25">
      <c r="A3602" s="1059">
        <v>2306124</v>
      </c>
      <c r="B3602" s="1060" t="s">
        <v>25261</v>
      </c>
      <c r="C3602" s="1059" t="s">
        <v>2</v>
      </c>
      <c r="D3602" s="1061">
        <v>606.52</v>
      </c>
    </row>
    <row r="3603" spans="1:4" ht="9" customHeight="1" x14ac:dyDescent="0.25">
      <c r="A3603" s="1059">
        <v>2306125</v>
      </c>
      <c r="B3603" s="1060" t="s">
        <v>25262</v>
      </c>
      <c r="C3603" s="1059" t="s">
        <v>2</v>
      </c>
      <c r="D3603" s="1061">
        <v>723.9</v>
      </c>
    </row>
    <row r="3604" spans="1:4" ht="9" customHeight="1" x14ac:dyDescent="0.25">
      <c r="A3604" s="1059">
        <v>2306126</v>
      </c>
      <c r="B3604" s="1060" t="s">
        <v>25263</v>
      </c>
      <c r="C3604" s="1059" t="s">
        <v>2</v>
      </c>
      <c r="D3604" s="1061">
        <v>911.29</v>
      </c>
    </row>
    <row r="3605" spans="1:4" ht="9" customHeight="1" x14ac:dyDescent="0.25">
      <c r="A3605" s="1059">
        <v>2306127</v>
      </c>
      <c r="B3605" s="1060" t="s">
        <v>25264</v>
      </c>
      <c r="C3605" s="1059" t="s">
        <v>2</v>
      </c>
      <c r="D3605" s="1061">
        <v>1080.74</v>
      </c>
    </row>
    <row r="3606" spans="1:4" ht="9" customHeight="1" x14ac:dyDescent="0.25">
      <c r="A3606" s="1059">
        <v>2306300</v>
      </c>
      <c r="B3606" s="1060" t="s">
        <v>25265</v>
      </c>
      <c r="C3606" s="1059" t="s">
        <v>2</v>
      </c>
      <c r="D3606" s="1061">
        <v>36</v>
      </c>
    </row>
    <row r="3607" spans="1:4" ht="9" customHeight="1" x14ac:dyDescent="0.25">
      <c r="A3607" s="1059">
        <v>2306301</v>
      </c>
      <c r="B3607" s="1060" t="s">
        <v>25266</v>
      </c>
      <c r="C3607" s="1059" t="s">
        <v>2</v>
      </c>
      <c r="D3607" s="1061">
        <v>38.520000000000003</v>
      </c>
    </row>
    <row r="3608" spans="1:4" ht="9" customHeight="1" x14ac:dyDescent="0.25">
      <c r="A3608" s="1059">
        <v>2306302</v>
      </c>
      <c r="B3608" s="1060" t="s">
        <v>25267</v>
      </c>
      <c r="C3608" s="1059" t="s">
        <v>2</v>
      </c>
      <c r="D3608" s="1061">
        <v>46.85</v>
      </c>
    </row>
    <row r="3609" spans="1:4" ht="9" customHeight="1" x14ac:dyDescent="0.25">
      <c r="A3609" s="1059">
        <v>2306303</v>
      </c>
      <c r="B3609" s="1060" t="s">
        <v>25268</v>
      </c>
      <c r="C3609" s="1059" t="s">
        <v>2</v>
      </c>
      <c r="D3609" s="1061">
        <v>51.03</v>
      </c>
    </row>
    <row r="3610" spans="1:4" ht="9" customHeight="1" x14ac:dyDescent="0.25">
      <c r="A3610" s="1059">
        <v>2306304</v>
      </c>
      <c r="B3610" s="1060" t="s">
        <v>25269</v>
      </c>
      <c r="C3610" s="1059" t="s">
        <v>2</v>
      </c>
      <c r="D3610" s="1061">
        <v>54.34</v>
      </c>
    </row>
    <row r="3611" spans="1:4" ht="9" customHeight="1" x14ac:dyDescent="0.25">
      <c r="A3611" s="1059">
        <v>2306305</v>
      </c>
      <c r="B3611" s="1060" t="s">
        <v>25270</v>
      </c>
      <c r="C3611" s="1059" t="s">
        <v>2</v>
      </c>
      <c r="D3611" s="1061">
        <v>60.38</v>
      </c>
    </row>
    <row r="3612" spans="1:4" ht="9" customHeight="1" x14ac:dyDescent="0.25">
      <c r="A3612" s="1059">
        <v>2306306</v>
      </c>
      <c r="B3612" s="1060" t="s">
        <v>25271</v>
      </c>
      <c r="C3612" s="1059" t="s">
        <v>2</v>
      </c>
      <c r="D3612" s="1061">
        <v>61.84</v>
      </c>
    </row>
    <row r="3613" spans="1:4" ht="9" customHeight="1" x14ac:dyDescent="0.25">
      <c r="A3613" s="1059">
        <v>2306307</v>
      </c>
      <c r="B3613" s="1060" t="s">
        <v>25272</v>
      </c>
      <c r="C3613" s="1059" t="s">
        <v>2</v>
      </c>
      <c r="D3613" s="1061">
        <v>72.19</v>
      </c>
    </row>
    <row r="3614" spans="1:4" ht="9" customHeight="1" x14ac:dyDescent="0.25">
      <c r="A3614" s="1059">
        <v>2306308</v>
      </c>
      <c r="B3614" s="1060" t="s">
        <v>25273</v>
      </c>
      <c r="C3614" s="1059" t="s">
        <v>2</v>
      </c>
      <c r="D3614" s="1061">
        <v>81.86</v>
      </c>
    </row>
    <row r="3615" spans="1:4" ht="9" customHeight="1" x14ac:dyDescent="0.25">
      <c r="A3615" s="1059">
        <v>2306309</v>
      </c>
      <c r="B3615" s="1060" t="s">
        <v>25274</v>
      </c>
      <c r="C3615" s="1059" t="s">
        <v>2</v>
      </c>
      <c r="D3615" s="1061">
        <v>92.63</v>
      </c>
    </row>
    <row r="3616" spans="1:4" ht="9" customHeight="1" x14ac:dyDescent="0.25">
      <c r="A3616" s="1059">
        <v>2306310</v>
      </c>
      <c r="B3616" s="1060" t="s">
        <v>25275</v>
      </c>
      <c r="C3616" s="1059" t="s">
        <v>2</v>
      </c>
      <c r="D3616" s="1061">
        <v>97.93</v>
      </c>
    </row>
    <row r="3617" spans="1:4" ht="9" customHeight="1" x14ac:dyDescent="0.25">
      <c r="A3617" s="1059">
        <v>2306311</v>
      </c>
      <c r="B3617" s="1060" t="s">
        <v>25276</v>
      </c>
      <c r="C3617" s="1059" t="s">
        <v>2</v>
      </c>
      <c r="D3617" s="1061">
        <v>111.84</v>
      </c>
    </row>
    <row r="3618" spans="1:4" ht="9" customHeight="1" x14ac:dyDescent="0.25">
      <c r="A3618" s="1059">
        <v>2306312</v>
      </c>
      <c r="B3618" s="1060" t="s">
        <v>25277</v>
      </c>
      <c r="C3618" s="1059" t="s">
        <v>2</v>
      </c>
      <c r="D3618" s="1061">
        <v>121.58</v>
      </c>
    </row>
    <row r="3619" spans="1:4" ht="9" customHeight="1" x14ac:dyDescent="0.25">
      <c r="A3619" s="1059">
        <v>2306313</v>
      </c>
      <c r="B3619" s="1060" t="s">
        <v>25278</v>
      </c>
      <c r="C3619" s="1059" t="s">
        <v>2</v>
      </c>
      <c r="D3619" s="1061">
        <v>146.37</v>
      </c>
    </row>
    <row r="3620" spans="1:4" ht="9" customHeight="1" x14ac:dyDescent="0.25">
      <c r="A3620" s="1059">
        <v>2306013</v>
      </c>
      <c r="B3620" s="1060" t="s">
        <v>25279</v>
      </c>
      <c r="C3620" s="1059" t="s">
        <v>6</v>
      </c>
      <c r="D3620" s="1061">
        <v>10.15</v>
      </c>
    </row>
    <row r="3621" spans="1:4" ht="9" customHeight="1" x14ac:dyDescent="0.25">
      <c r="A3621" s="1059">
        <v>2306243</v>
      </c>
      <c r="B3621" s="1060" t="s">
        <v>25280</v>
      </c>
      <c r="C3621" s="1059" t="s">
        <v>2</v>
      </c>
      <c r="D3621" s="1061">
        <v>554.01</v>
      </c>
    </row>
    <row r="3622" spans="1:4" ht="9" customHeight="1" x14ac:dyDescent="0.25">
      <c r="A3622" s="1059">
        <v>2408149</v>
      </c>
      <c r="B3622" s="1060" t="s">
        <v>25281</v>
      </c>
      <c r="C3622" s="1059" t="s">
        <v>6</v>
      </c>
      <c r="D3622" s="1061">
        <v>13.65</v>
      </c>
    </row>
    <row r="3623" spans="1:4" ht="9" customHeight="1" x14ac:dyDescent="0.25">
      <c r="A3623" s="1059">
        <v>2407972</v>
      </c>
      <c r="B3623" s="1060" t="s">
        <v>25282</v>
      </c>
      <c r="C3623" s="1059" t="s">
        <v>6</v>
      </c>
      <c r="D3623" s="1061">
        <v>60.65</v>
      </c>
    </row>
    <row r="3624" spans="1:4" ht="9" customHeight="1" x14ac:dyDescent="0.25">
      <c r="A3624" s="1059">
        <v>2408075</v>
      </c>
      <c r="B3624" s="1060" t="s">
        <v>25283</v>
      </c>
      <c r="C3624" s="1059" t="s">
        <v>39</v>
      </c>
      <c r="D3624" s="1061">
        <v>4.45</v>
      </c>
    </row>
    <row r="3625" spans="1:4" ht="9" customHeight="1" x14ac:dyDescent="0.25">
      <c r="A3625" s="1059">
        <v>2408069</v>
      </c>
      <c r="B3625" s="1060" t="s">
        <v>25284</v>
      </c>
      <c r="C3625" s="1059" t="s">
        <v>39</v>
      </c>
      <c r="D3625" s="1061">
        <v>5.25</v>
      </c>
    </row>
    <row r="3626" spans="1:4" ht="9" customHeight="1" x14ac:dyDescent="0.25">
      <c r="A3626" s="1059">
        <v>2419790</v>
      </c>
      <c r="B3626" s="1060" t="s">
        <v>25285</v>
      </c>
      <c r="C3626" s="1059" t="s">
        <v>39</v>
      </c>
      <c r="D3626" s="1061">
        <v>9.48</v>
      </c>
    </row>
    <row r="3627" spans="1:4" ht="9" customHeight="1" x14ac:dyDescent="0.25">
      <c r="A3627" s="1059">
        <v>2408068</v>
      </c>
      <c r="B3627" s="1060" t="s">
        <v>25286</v>
      </c>
      <c r="C3627" s="1059" t="s">
        <v>39</v>
      </c>
      <c r="D3627" s="1061">
        <v>14.76</v>
      </c>
    </row>
    <row r="3628" spans="1:4" ht="9" customHeight="1" x14ac:dyDescent="0.25">
      <c r="A3628" s="1059">
        <v>2419705</v>
      </c>
      <c r="B3628" s="1060" t="s">
        <v>25287</v>
      </c>
      <c r="C3628" s="1059" t="s">
        <v>39</v>
      </c>
      <c r="D3628" s="1061">
        <v>9.91</v>
      </c>
    </row>
    <row r="3629" spans="1:4" ht="9" customHeight="1" x14ac:dyDescent="0.25">
      <c r="A3629" s="1059">
        <v>2419704</v>
      </c>
      <c r="B3629" s="1060" t="s">
        <v>25288</v>
      </c>
      <c r="C3629" s="1059" t="s">
        <v>39</v>
      </c>
      <c r="D3629" s="1061">
        <v>12.08</v>
      </c>
    </row>
    <row r="3630" spans="1:4" ht="18" customHeight="1" x14ac:dyDescent="0.25">
      <c r="A3630" s="1059">
        <v>2419703</v>
      </c>
      <c r="B3630" s="1060" t="s">
        <v>25289</v>
      </c>
      <c r="C3630" s="1059" t="s">
        <v>39</v>
      </c>
      <c r="D3630" s="1061">
        <v>14.23</v>
      </c>
    </row>
    <row r="3631" spans="1:4" ht="9" customHeight="1" x14ac:dyDescent="0.25">
      <c r="A3631" s="1059">
        <v>2408080</v>
      </c>
      <c r="B3631" s="1060" t="s">
        <v>25290</v>
      </c>
      <c r="C3631" s="1059" t="s">
        <v>39</v>
      </c>
      <c r="D3631" s="1061">
        <v>7.1</v>
      </c>
    </row>
    <row r="3632" spans="1:4" ht="9" customHeight="1" x14ac:dyDescent="0.25">
      <c r="A3632" s="1059">
        <v>2408078</v>
      </c>
      <c r="B3632" s="1060" t="s">
        <v>25291</v>
      </c>
      <c r="C3632" s="1059" t="s">
        <v>39</v>
      </c>
      <c r="D3632" s="1061">
        <v>2.85</v>
      </c>
    </row>
    <row r="3633" spans="1:4" ht="9" customHeight="1" x14ac:dyDescent="0.25">
      <c r="A3633" s="1059">
        <v>2408077</v>
      </c>
      <c r="B3633" s="1060" t="s">
        <v>25292</v>
      </c>
      <c r="C3633" s="1059" t="s">
        <v>39</v>
      </c>
      <c r="D3633" s="1061">
        <v>5.54</v>
      </c>
    </row>
    <row r="3634" spans="1:4" ht="9" customHeight="1" x14ac:dyDescent="0.25">
      <c r="A3634" s="1059">
        <v>2408079</v>
      </c>
      <c r="B3634" s="1060" t="s">
        <v>25293</v>
      </c>
      <c r="C3634" s="1059" t="s">
        <v>39</v>
      </c>
      <c r="D3634" s="1061">
        <v>34.56</v>
      </c>
    </row>
    <row r="3635" spans="1:4" ht="9" customHeight="1" x14ac:dyDescent="0.25">
      <c r="A3635" s="1059">
        <v>2408076</v>
      </c>
      <c r="B3635" s="1060" t="s">
        <v>25294</v>
      </c>
      <c r="C3635" s="1059" t="s">
        <v>39</v>
      </c>
      <c r="D3635" s="1061">
        <v>8.91</v>
      </c>
    </row>
    <row r="3636" spans="1:4" ht="9" customHeight="1" x14ac:dyDescent="0.25">
      <c r="A3636" s="1059">
        <v>2408057</v>
      </c>
      <c r="B3636" s="1060" t="s">
        <v>25295</v>
      </c>
      <c r="C3636" s="1059" t="s">
        <v>6</v>
      </c>
      <c r="D3636" s="1061">
        <v>107.62</v>
      </c>
    </row>
    <row r="3637" spans="1:4" ht="9" customHeight="1" x14ac:dyDescent="0.25">
      <c r="A3637" s="1059">
        <v>2408058</v>
      </c>
      <c r="B3637" s="1060" t="s">
        <v>25296</v>
      </c>
      <c r="C3637" s="1059" t="s">
        <v>6</v>
      </c>
      <c r="D3637" s="1061">
        <v>67.47</v>
      </c>
    </row>
    <row r="3638" spans="1:4" ht="9" customHeight="1" x14ac:dyDescent="0.25">
      <c r="A3638" s="1059">
        <v>2419789</v>
      </c>
      <c r="B3638" s="1060" t="s">
        <v>25297</v>
      </c>
      <c r="C3638" s="1059" t="s">
        <v>39</v>
      </c>
      <c r="D3638" s="1061">
        <v>7.35</v>
      </c>
    </row>
    <row r="3639" spans="1:4" ht="9" customHeight="1" x14ac:dyDescent="0.25">
      <c r="A3639" s="1059">
        <v>2607183</v>
      </c>
      <c r="B3639" s="1060" t="s">
        <v>25298</v>
      </c>
      <c r="C3639" s="1059" t="s">
        <v>3</v>
      </c>
      <c r="D3639" s="1061">
        <v>346.39</v>
      </c>
    </row>
    <row r="3640" spans="1:4" ht="9" customHeight="1" x14ac:dyDescent="0.25">
      <c r="A3640" s="1059">
        <v>2607226</v>
      </c>
      <c r="B3640" s="1060" t="s">
        <v>25299</v>
      </c>
      <c r="C3640" s="1059" t="s">
        <v>3</v>
      </c>
      <c r="D3640" s="1061">
        <v>197727.13</v>
      </c>
    </row>
    <row r="3641" spans="1:4" ht="9" customHeight="1" x14ac:dyDescent="0.25">
      <c r="A3641" s="1059">
        <v>2607209</v>
      </c>
      <c r="B3641" s="1060" t="s">
        <v>25300</v>
      </c>
      <c r="C3641" s="1059" t="s">
        <v>3</v>
      </c>
      <c r="D3641" s="1061">
        <v>171864.46</v>
      </c>
    </row>
    <row r="3642" spans="1:4" ht="9" customHeight="1" x14ac:dyDescent="0.25">
      <c r="A3642" s="1059">
        <v>2607161</v>
      </c>
      <c r="B3642" s="1060" t="s">
        <v>25301</v>
      </c>
      <c r="C3642" s="1059" t="s">
        <v>3</v>
      </c>
      <c r="D3642" s="1061">
        <v>237726.92</v>
      </c>
    </row>
    <row r="3643" spans="1:4" ht="9" customHeight="1" x14ac:dyDescent="0.25">
      <c r="A3643" s="1059">
        <v>2607148</v>
      </c>
      <c r="B3643" s="1060" t="s">
        <v>25302</v>
      </c>
      <c r="C3643" s="1059" t="s">
        <v>3</v>
      </c>
      <c r="D3643" s="1061">
        <v>250446.9</v>
      </c>
    </row>
    <row r="3644" spans="1:4" ht="9" customHeight="1" x14ac:dyDescent="0.25">
      <c r="A3644" s="1059">
        <v>2607213</v>
      </c>
      <c r="B3644" s="1060" t="s">
        <v>25303</v>
      </c>
      <c r="C3644" s="1059" t="s">
        <v>3</v>
      </c>
      <c r="D3644" s="1061">
        <v>217650.73</v>
      </c>
    </row>
    <row r="3645" spans="1:4" ht="9" customHeight="1" x14ac:dyDescent="0.25">
      <c r="A3645" s="1059">
        <v>2607165</v>
      </c>
      <c r="B3645" s="1060" t="s">
        <v>25304</v>
      </c>
      <c r="C3645" s="1059" t="s">
        <v>3</v>
      </c>
      <c r="D3645" s="1061">
        <v>301231.23</v>
      </c>
    </row>
    <row r="3646" spans="1:4" ht="9" customHeight="1" x14ac:dyDescent="0.25">
      <c r="A3646" s="1059">
        <v>2607152</v>
      </c>
      <c r="B3646" s="1060" t="s">
        <v>25305</v>
      </c>
      <c r="C3646" s="1059" t="s">
        <v>3</v>
      </c>
      <c r="D3646" s="1061">
        <v>298123.73</v>
      </c>
    </row>
    <row r="3647" spans="1:4" ht="9" customHeight="1" x14ac:dyDescent="0.25">
      <c r="A3647" s="1059">
        <v>2607217</v>
      </c>
      <c r="B3647" s="1060" t="s">
        <v>25306</v>
      </c>
      <c r="C3647" s="1059" t="s">
        <v>3</v>
      </c>
      <c r="D3647" s="1061">
        <v>259554.35</v>
      </c>
    </row>
    <row r="3648" spans="1:4" ht="9" customHeight="1" x14ac:dyDescent="0.25">
      <c r="A3648" s="1059">
        <v>2607169</v>
      </c>
      <c r="B3648" s="1060" t="s">
        <v>25307</v>
      </c>
      <c r="C3648" s="1059" t="s">
        <v>3</v>
      </c>
      <c r="D3648" s="1061">
        <v>359124</v>
      </c>
    </row>
    <row r="3649" spans="1:4" ht="9" customHeight="1" x14ac:dyDescent="0.25">
      <c r="A3649" s="1059">
        <v>2607156</v>
      </c>
      <c r="B3649" s="1060" t="s">
        <v>25308</v>
      </c>
      <c r="C3649" s="1059" t="s">
        <v>3</v>
      </c>
      <c r="D3649" s="1061">
        <v>263740.94</v>
      </c>
    </row>
    <row r="3650" spans="1:4" ht="9" customHeight="1" x14ac:dyDescent="0.25">
      <c r="A3650" s="1059">
        <v>2607221</v>
      </c>
      <c r="B3650" s="1060" t="s">
        <v>25309</v>
      </c>
      <c r="C3650" s="1059" t="s">
        <v>3</v>
      </c>
      <c r="D3650" s="1061">
        <v>229126.24</v>
      </c>
    </row>
    <row r="3651" spans="1:4" ht="9" customHeight="1" x14ac:dyDescent="0.25">
      <c r="A3651" s="1059">
        <v>2607173</v>
      </c>
      <c r="B3651" s="1060" t="s">
        <v>25310</v>
      </c>
      <c r="C3651" s="1059" t="s">
        <v>3</v>
      </c>
      <c r="D3651" s="1061">
        <v>317095.75</v>
      </c>
    </row>
    <row r="3652" spans="1:4" ht="9" customHeight="1" x14ac:dyDescent="0.25">
      <c r="A3652" s="1059">
        <v>2607227</v>
      </c>
      <c r="B3652" s="1060" t="s">
        <v>25311</v>
      </c>
      <c r="C3652" s="1059" t="s">
        <v>3</v>
      </c>
      <c r="D3652" s="1061">
        <v>217647.43</v>
      </c>
    </row>
    <row r="3653" spans="1:4" ht="9" customHeight="1" x14ac:dyDescent="0.25">
      <c r="A3653" s="1059">
        <v>2607210</v>
      </c>
      <c r="B3653" s="1060" t="s">
        <v>25312</v>
      </c>
      <c r="C3653" s="1059" t="s">
        <v>3</v>
      </c>
      <c r="D3653" s="1061">
        <v>189161.3</v>
      </c>
    </row>
    <row r="3654" spans="1:4" ht="9" customHeight="1" x14ac:dyDescent="0.25">
      <c r="A3654" s="1059">
        <v>2607162</v>
      </c>
      <c r="B3654" s="1060" t="s">
        <v>25313</v>
      </c>
      <c r="C3654" s="1059" t="s">
        <v>3</v>
      </c>
      <c r="D3654" s="1061">
        <v>261738.59</v>
      </c>
    </row>
    <row r="3655" spans="1:4" ht="9" customHeight="1" x14ac:dyDescent="0.25">
      <c r="A3655" s="1059">
        <v>2607149</v>
      </c>
      <c r="B3655" s="1060" t="s">
        <v>25314</v>
      </c>
      <c r="C3655" s="1059" t="s">
        <v>3</v>
      </c>
      <c r="D3655" s="1061">
        <v>275678.34000000003</v>
      </c>
    </row>
    <row r="3656" spans="1:4" ht="9" customHeight="1" x14ac:dyDescent="0.25">
      <c r="A3656" s="1059">
        <v>2607214</v>
      </c>
      <c r="B3656" s="1060" t="s">
        <v>25315</v>
      </c>
      <c r="C3656" s="1059" t="s">
        <v>3</v>
      </c>
      <c r="D3656" s="1061">
        <v>239555.47</v>
      </c>
    </row>
    <row r="3657" spans="1:4" ht="9" customHeight="1" x14ac:dyDescent="0.25">
      <c r="A3657" s="1059">
        <v>2607166</v>
      </c>
      <c r="B3657" s="1060" t="s">
        <v>25316</v>
      </c>
      <c r="C3657" s="1059" t="s">
        <v>3</v>
      </c>
      <c r="D3657" s="1061">
        <v>331657.09999999998</v>
      </c>
    </row>
    <row r="3658" spans="1:4" ht="9" customHeight="1" x14ac:dyDescent="0.25">
      <c r="A3658" s="1059">
        <v>2607153</v>
      </c>
      <c r="B3658" s="1060" t="s">
        <v>25317</v>
      </c>
      <c r="C3658" s="1059" t="s">
        <v>3</v>
      </c>
      <c r="D3658" s="1061">
        <v>328091.88</v>
      </c>
    </row>
    <row r="3659" spans="1:4" ht="9" customHeight="1" x14ac:dyDescent="0.25">
      <c r="A3659" s="1059">
        <v>2607218</v>
      </c>
      <c r="B3659" s="1060" t="s">
        <v>25318</v>
      </c>
      <c r="C3659" s="1059" t="s">
        <v>3</v>
      </c>
      <c r="D3659" s="1061">
        <v>285665.69</v>
      </c>
    </row>
    <row r="3660" spans="1:4" ht="9" customHeight="1" x14ac:dyDescent="0.25">
      <c r="A3660" s="1059">
        <v>2607170</v>
      </c>
      <c r="B3660" s="1060" t="s">
        <v>25319</v>
      </c>
      <c r="C3660" s="1059" t="s">
        <v>3</v>
      </c>
      <c r="D3660" s="1061">
        <v>395372.76</v>
      </c>
    </row>
    <row r="3661" spans="1:4" ht="9" customHeight="1" x14ac:dyDescent="0.25">
      <c r="A3661" s="1059">
        <v>2607157</v>
      </c>
      <c r="B3661" s="1060" t="s">
        <v>25320</v>
      </c>
      <c r="C3661" s="1059" t="s">
        <v>3</v>
      </c>
      <c r="D3661" s="1061">
        <v>290322.11</v>
      </c>
    </row>
    <row r="3662" spans="1:4" ht="9" customHeight="1" x14ac:dyDescent="0.25">
      <c r="A3662" s="1059">
        <v>2607222</v>
      </c>
      <c r="B3662" s="1060" t="s">
        <v>25321</v>
      </c>
      <c r="C3662" s="1059" t="s">
        <v>3</v>
      </c>
      <c r="D3662" s="1061">
        <v>252186.21</v>
      </c>
    </row>
    <row r="3663" spans="1:4" ht="9" customHeight="1" x14ac:dyDescent="0.25">
      <c r="A3663" s="1059">
        <v>2607174</v>
      </c>
      <c r="B3663" s="1060" t="s">
        <v>25322</v>
      </c>
      <c r="C3663" s="1059" t="s">
        <v>3</v>
      </c>
      <c r="D3663" s="1061">
        <v>349123.63</v>
      </c>
    </row>
    <row r="3664" spans="1:4" ht="9" customHeight="1" x14ac:dyDescent="0.25">
      <c r="A3664" s="1059">
        <v>2607228</v>
      </c>
      <c r="B3664" s="1060" t="s">
        <v>25323</v>
      </c>
      <c r="C3664" s="1059" t="s">
        <v>3</v>
      </c>
      <c r="D3664" s="1061">
        <v>239530.08</v>
      </c>
    </row>
    <row r="3665" spans="1:4" ht="9" customHeight="1" x14ac:dyDescent="0.25">
      <c r="A3665" s="1059">
        <v>2607211</v>
      </c>
      <c r="B3665" s="1060" t="s">
        <v>25324</v>
      </c>
      <c r="C3665" s="1059" t="s">
        <v>3</v>
      </c>
      <c r="D3665" s="1061">
        <v>208165.51</v>
      </c>
    </row>
    <row r="3666" spans="1:4" ht="9" customHeight="1" x14ac:dyDescent="0.25">
      <c r="A3666" s="1059">
        <v>2607163</v>
      </c>
      <c r="B3666" s="1060" t="s">
        <v>25325</v>
      </c>
      <c r="C3666" s="1059" t="s">
        <v>3</v>
      </c>
      <c r="D3666" s="1061">
        <v>288103.38</v>
      </c>
    </row>
    <row r="3667" spans="1:4" ht="9" customHeight="1" x14ac:dyDescent="0.25">
      <c r="A3667" s="1059">
        <v>2607150</v>
      </c>
      <c r="B3667" s="1060" t="s">
        <v>25326</v>
      </c>
      <c r="C3667" s="1059" t="s">
        <v>3</v>
      </c>
      <c r="D3667" s="1061">
        <v>303467.48</v>
      </c>
    </row>
    <row r="3668" spans="1:4" ht="9" customHeight="1" x14ac:dyDescent="0.25">
      <c r="A3668" s="1059">
        <v>2607215</v>
      </c>
      <c r="B3668" s="1060" t="s">
        <v>25327</v>
      </c>
      <c r="C3668" s="1059" t="s">
        <v>3</v>
      </c>
      <c r="D3668" s="1061">
        <v>263622.7</v>
      </c>
    </row>
    <row r="3669" spans="1:4" ht="9" customHeight="1" x14ac:dyDescent="0.25">
      <c r="A3669" s="1059">
        <v>2607167</v>
      </c>
      <c r="B3669" s="1060" t="s">
        <v>25328</v>
      </c>
      <c r="C3669" s="1059" t="s">
        <v>3</v>
      </c>
      <c r="D3669" s="1061">
        <v>365064.79</v>
      </c>
    </row>
    <row r="3670" spans="1:4" ht="9" customHeight="1" x14ac:dyDescent="0.25">
      <c r="A3670" s="1059">
        <v>2607154</v>
      </c>
      <c r="B3670" s="1060" t="s">
        <v>25329</v>
      </c>
      <c r="C3670" s="1059" t="s">
        <v>3</v>
      </c>
      <c r="D3670" s="1061">
        <v>361025.68</v>
      </c>
    </row>
    <row r="3671" spans="1:4" ht="9" customHeight="1" x14ac:dyDescent="0.25">
      <c r="A3671" s="1059">
        <v>2607219</v>
      </c>
      <c r="B3671" s="1060" t="s">
        <v>25330</v>
      </c>
      <c r="C3671" s="1059" t="s">
        <v>3</v>
      </c>
      <c r="D3671" s="1061">
        <v>314356.89</v>
      </c>
    </row>
    <row r="3672" spans="1:4" ht="9" customHeight="1" x14ac:dyDescent="0.25">
      <c r="A3672" s="1059">
        <v>2607171</v>
      </c>
      <c r="B3672" s="1060" t="s">
        <v>25331</v>
      </c>
      <c r="C3672" s="1059" t="s">
        <v>3</v>
      </c>
      <c r="D3672" s="1061">
        <v>435179.06</v>
      </c>
    </row>
    <row r="3673" spans="1:4" ht="9" customHeight="1" x14ac:dyDescent="0.25">
      <c r="A3673" s="1059">
        <v>2607158</v>
      </c>
      <c r="B3673" s="1060" t="s">
        <v>25332</v>
      </c>
      <c r="C3673" s="1059" t="s">
        <v>3</v>
      </c>
      <c r="D3673" s="1061">
        <v>319520.12</v>
      </c>
    </row>
    <row r="3674" spans="1:4" ht="9" customHeight="1" x14ac:dyDescent="0.25">
      <c r="A3674" s="1059">
        <v>2607223</v>
      </c>
      <c r="B3674" s="1060" t="s">
        <v>25333</v>
      </c>
      <c r="C3674" s="1059" t="s">
        <v>3</v>
      </c>
      <c r="D3674" s="1061">
        <v>277522.73</v>
      </c>
    </row>
    <row r="3675" spans="1:4" ht="9" customHeight="1" x14ac:dyDescent="0.25">
      <c r="A3675" s="1059">
        <v>2607175</v>
      </c>
      <c r="B3675" s="1060" t="s">
        <v>25334</v>
      </c>
      <c r="C3675" s="1059" t="s">
        <v>3</v>
      </c>
      <c r="D3675" s="1061">
        <v>384291.06</v>
      </c>
    </row>
    <row r="3676" spans="1:4" ht="9" customHeight="1" x14ac:dyDescent="0.25">
      <c r="A3676" s="1059">
        <v>2607151</v>
      </c>
      <c r="B3676" s="1060" t="s">
        <v>25335</v>
      </c>
      <c r="C3676" s="1059" t="s">
        <v>3</v>
      </c>
      <c r="D3676" s="1061">
        <v>364672.38</v>
      </c>
    </row>
    <row r="3677" spans="1:4" ht="9" customHeight="1" x14ac:dyDescent="0.25">
      <c r="A3677" s="1059">
        <v>2607216</v>
      </c>
      <c r="B3677" s="1060" t="s">
        <v>25336</v>
      </c>
      <c r="C3677" s="1059" t="s">
        <v>3</v>
      </c>
      <c r="D3677" s="1061">
        <v>316793.96999999997</v>
      </c>
    </row>
    <row r="3678" spans="1:4" ht="9" customHeight="1" x14ac:dyDescent="0.25">
      <c r="A3678" s="1059">
        <v>2607168</v>
      </c>
      <c r="B3678" s="1060" t="s">
        <v>25337</v>
      </c>
      <c r="C3678" s="1059" t="s">
        <v>3</v>
      </c>
      <c r="D3678" s="1061">
        <v>439046.05</v>
      </c>
    </row>
    <row r="3679" spans="1:4" ht="9" customHeight="1" x14ac:dyDescent="0.25">
      <c r="A3679" s="1059">
        <v>2607155</v>
      </c>
      <c r="B3679" s="1060" t="s">
        <v>25338</v>
      </c>
      <c r="C3679" s="1059" t="s">
        <v>3</v>
      </c>
      <c r="D3679" s="1061">
        <v>433729.06</v>
      </c>
    </row>
    <row r="3680" spans="1:4" ht="9" customHeight="1" x14ac:dyDescent="0.25">
      <c r="A3680" s="1059">
        <v>2607220</v>
      </c>
      <c r="B3680" s="1060" t="s">
        <v>25339</v>
      </c>
      <c r="C3680" s="1059" t="s">
        <v>3</v>
      </c>
      <c r="D3680" s="1061">
        <v>377726.91</v>
      </c>
    </row>
    <row r="3681" spans="1:4" ht="9" customHeight="1" x14ac:dyDescent="0.25">
      <c r="A3681" s="1059">
        <v>2607172</v>
      </c>
      <c r="B3681" s="1060" t="s">
        <v>25340</v>
      </c>
      <c r="C3681" s="1059" t="s">
        <v>3</v>
      </c>
      <c r="D3681" s="1061">
        <v>523291.68</v>
      </c>
    </row>
    <row r="3682" spans="1:4" ht="9" customHeight="1" x14ac:dyDescent="0.25">
      <c r="A3682" s="1059">
        <v>2607159</v>
      </c>
      <c r="B3682" s="1060" t="s">
        <v>25341</v>
      </c>
      <c r="C3682" s="1059" t="s">
        <v>3</v>
      </c>
      <c r="D3682" s="1061">
        <v>384086.7</v>
      </c>
    </row>
    <row r="3683" spans="1:4" ht="9" customHeight="1" x14ac:dyDescent="0.25">
      <c r="A3683" s="1059">
        <v>2607224</v>
      </c>
      <c r="B3683" s="1060" t="s">
        <v>25342</v>
      </c>
      <c r="C3683" s="1059" t="s">
        <v>3</v>
      </c>
      <c r="D3683" s="1061">
        <v>333499.02</v>
      </c>
    </row>
    <row r="3684" spans="1:4" ht="9" customHeight="1" x14ac:dyDescent="0.25">
      <c r="A3684" s="1059">
        <v>2607176</v>
      </c>
      <c r="B3684" s="1060" t="s">
        <v>25343</v>
      </c>
      <c r="C3684" s="1059" t="s">
        <v>3</v>
      </c>
      <c r="D3684" s="1061">
        <v>462168.19</v>
      </c>
    </row>
    <row r="3685" spans="1:4" ht="9" customHeight="1" x14ac:dyDescent="0.25">
      <c r="A3685" s="1059">
        <v>2607225</v>
      </c>
      <c r="B3685" s="1060" t="s">
        <v>25344</v>
      </c>
      <c r="C3685" s="1059" t="s">
        <v>3</v>
      </c>
      <c r="D3685" s="1061">
        <v>179591.12</v>
      </c>
    </row>
    <row r="3686" spans="1:4" ht="9" customHeight="1" x14ac:dyDescent="0.25">
      <c r="A3686" s="1059">
        <v>2607208</v>
      </c>
      <c r="B3686" s="1060" t="s">
        <v>25345</v>
      </c>
      <c r="C3686" s="1059" t="s">
        <v>3</v>
      </c>
      <c r="D3686" s="1061">
        <v>156120.32000000001</v>
      </c>
    </row>
    <row r="3687" spans="1:4" ht="9" customHeight="1" x14ac:dyDescent="0.25">
      <c r="A3687" s="1059">
        <v>2607160</v>
      </c>
      <c r="B3687" s="1060" t="s">
        <v>25346</v>
      </c>
      <c r="C3687" s="1059" t="s">
        <v>3</v>
      </c>
      <c r="D3687" s="1061">
        <v>215854.75</v>
      </c>
    </row>
    <row r="3688" spans="1:4" ht="9" customHeight="1" x14ac:dyDescent="0.25">
      <c r="A3688" s="1059">
        <v>2607229</v>
      </c>
      <c r="B3688" s="1060" t="s">
        <v>25347</v>
      </c>
      <c r="C3688" s="1059" t="s">
        <v>3</v>
      </c>
      <c r="D3688" s="1061">
        <v>227459.14</v>
      </c>
    </row>
    <row r="3689" spans="1:4" ht="9" customHeight="1" x14ac:dyDescent="0.25">
      <c r="A3689" s="1059">
        <v>2607212</v>
      </c>
      <c r="B3689" s="1060" t="s">
        <v>25348</v>
      </c>
      <c r="C3689" s="1059" t="s">
        <v>3</v>
      </c>
      <c r="D3689" s="1061">
        <v>197712.12</v>
      </c>
    </row>
    <row r="3690" spans="1:4" ht="9" customHeight="1" x14ac:dyDescent="0.25">
      <c r="A3690" s="1059">
        <v>2607164</v>
      </c>
      <c r="B3690" s="1060" t="s">
        <v>25349</v>
      </c>
      <c r="C3690" s="1059" t="s">
        <v>3</v>
      </c>
      <c r="D3690" s="1061">
        <v>273516.62</v>
      </c>
    </row>
    <row r="3691" spans="1:4" ht="9" customHeight="1" x14ac:dyDescent="0.25">
      <c r="A3691" s="1059">
        <v>2607207</v>
      </c>
      <c r="B3691" s="1060" t="s">
        <v>25350</v>
      </c>
      <c r="C3691" s="1059" t="s">
        <v>38</v>
      </c>
      <c r="D3691" s="1061">
        <v>152.88999999999999</v>
      </c>
    </row>
    <row r="3692" spans="1:4" ht="9" customHeight="1" x14ac:dyDescent="0.25">
      <c r="A3692" s="1059">
        <v>2607206</v>
      </c>
      <c r="B3692" s="1060" t="s">
        <v>25351</v>
      </c>
      <c r="C3692" s="1059" t="s">
        <v>38</v>
      </c>
      <c r="D3692" s="1061">
        <v>147.37</v>
      </c>
    </row>
    <row r="3693" spans="1:4" ht="18" customHeight="1" x14ac:dyDescent="0.25">
      <c r="A3693" s="1059">
        <v>2607344</v>
      </c>
      <c r="B3693" s="1060" t="s">
        <v>25352</v>
      </c>
      <c r="C3693" s="1059" t="s">
        <v>3</v>
      </c>
      <c r="D3693" s="1061">
        <v>242.39</v>
      </c>
    </row>
    <row r="3694" spans="1:4" ht="18" customHeight="1" x14ac:dyDescent="0.25">
      <c r="A3694" s="1059">
        <v>2607339</v>
      </c>
      <c r="B3694" s="1060" t="s">
        <v>25353</v>
      </c>
      <c r="C3694" s="1059" t="s">
        <v>3</v>
      </c>
      <c r="D3694" s="1061">
        <v>166.52</v>
      </c>
    </row>
    <row r="3695" spans="1:4" ht="18" customHeight="1" x14ac:dyDescent="0.25">
      <c r="A3695" s="1059">
        <v>2607349</v>
      </c>
      <c r="B3695" s="1060" t="s">
        <v>25354</v>
      </c>
      <c r="C3695" s="1059" t="s">
        <v>3</v>
      </c>
      <c r="D3695" s="1061">
        <v>370.22</v>
      </c>
    </row>
    <row r="3696" spans="1:4" ht="18" customHeight="1" x14ac:dyDescent="0.25">
      <c r="A3696" s="1059">
        <v>2607345</v>
      </c>
      <c r="B3696" s="1060" t="s">
        <v>25355</v>
      </c>
      <c r="C3696" s="1059" t="s">
        <v>3</v>
      </c>
      <c r="D3696" s="1061">
        <v>276.58</v>
      </c>
    </row>
    <row r="3697" spans="1:4" ht="18" customHeight="1" x14ac:dyDescent="0.25">
      <c r="A3697" s="1059">
        <v>2607340</v>
      </c>
      <c r="B3697" s="1060" t="s">
        <v>25356</v>
      </c>
      <c r="C3697" s="1059" t="s">
        <v>3</v>
      </c>
      <c r="D3697" s="1061">
        <v>190.16</v>
      </c>
    </row>
    <row r="3698" spans="1:4" ht="18" customHeight="1" x14ac:dyDescent="0.25">
      <c r="A3698" s="1059">
        <v>2607350</v>
      </c>
      <c r="B3698" s="1060" t="s">
        <v>25357</v>
      </c>
      <c r="C3698" s="1059" t="s">
        <v>3</v>
      </c>
      <c r="D3698" s="1061">
        <v>422.88</v>
      </c>
    </row>
    <row r="3699" spans="1:4" ht="18" customHeight="1" x14ac:dyDescent="0.25">
      <c r="A3699" s="1059">
        <v>2607346</v>
      </c>
      <c r="B3699" s="1060" t="s">
        <v>25358</v>
      </c>
      <c r="C3699" s="1059" t="s">
        <v>3</v>
      </c>
      <c r="D3699" s="1061">
        <v>321.25</v>
      </c>
    </row>
    <row r="3700" spans="1:4" ht="18" customHeight="1" x14ac:dyDescent="0.25">
      <c r="A3700" s="1059">
        <v>2607341</v>
      </c>
      <c r="B3700" s="1060" t="s">
        <v>25359</v>
      </c>
      <c r="C3700" s="1059" t="s">
        <v>3</v>
      </c>
      <c r="D3700" s="1061">
        <v>224.34</v>
      </c>
    </row>
    <row r="3701" spans="1:4" ht="18" customHeight="1" x14ac:dyDescent="0.25">
      <c r="A3701" s="1059">
        <v>2607351</v>
      </c>
      <c r="B3701" s="1060" t="s">
        <v>25360</v>
      </c>
      <c r="C3701" s="1059" t="s">
        <v>3</v>
      </c>
      <c r="D3701" s="1061">
        <v>491.23</v>
      </c>
    </row>
    <row r="3702" spans="1:4" ht="18" customHeight="1" x14ac:dyDescent="0.25">
      <c r="A3702" s="1059">
        <v>2607347</v>
      </c>
      <c r="B3702" s="1060" t="s">
        <v>25361</v>
      </c>
      <c r="C3702" s="1059" t="s">
        <v>3</v>
      </c>
      <c r="D3702" s="1061">
        <v>423.85</v>
      </c>
    </row>
    <row r="3703" spans="1:4" ht="18" customHeight="1" x14ac:dyDescent="0.25">
      <c r="A3703" s="1059">
        <v>2607342</v>
      </c>
      <c r="B3703" s="1060" t="s">
        <v>25362</v>
      </c>
      <c r="C3703" s="1059" t="s">
        <v>3</v>
      </c>
      <c r="D3703" s="1061">
        <v>276.58</v>
      </c>
    </row>
    <row r="3704" spans="1:4" ht="18" customHeight="1" x14ac:dyDescent="0.25">
      <c r="A3704" s="1059">
        <v>2607352</v>
      </c>
      <c r="B3704" s="1060" t="s">
        <v>25363</v>
      </c>
      <c r="C3704" s="1059" t="s">
        <v>3</v>
      </c>
      <c r="D3704" s="1061">
        <v>646.33000000000004</v>
      </c>
    </row>
    <row r="3705" spans="1:4" ht="9" customHeight="1" x14ac:dyDescent="0.25">
      <c r="A3705" s="1059">
        <v>2607343</v>
      </c>
      <c r="B3705" s="1060" t="s">
        <v>25364</v>
      </c>
      <c r="C3705" s="1059" t="s">
        <v>3</v>
      </c>
      <c r="D3705" s="1061">
        <v>194.64</v>
      </c>
    </row>
    <row r="3706" spans="1:4" ht="9" customHeight="1" x14ac:dyDescent="0.25">
      <c r="A3706" s="1059">
        <v>2607338</v>
      </c>
      <c r="B3706" s="1060" t="s">
        <v>25365</v>
      </c>
      <c r="C3706" s="1059" t="s">
        <v>3</v>
      </c>
      <c r="D3706" s="1061">
        <v>142.44999999999999</v>
      </c>
    </row>
    <row r="3707" spans="1:4" ht="9" customHeight="1" x14ac:dyDescent="0.25">
      <c r="A3707" s="1059">
        <v>2607348</v>
      </c>
      <c r="B3707" s="1060" t="s">
        <v>25366</v>
      </c>
      <c r="C3707" s="1059" t="s">
        <v>3</v>
      </c>
      <c r="D3707" s="1061">
        <v>297.43</v>
      </c>
    </row>
    <row r="3708" spans="1:4" ht="9" customHeight="1" x14ac:dyDescent="0.25">
      <c r="A3708" s="1059">
        <v>2607329</v>
      </c>
      <c r="B3708" s="1060" t="s">
        <v>25367</v>
      </c>
      <c r="C3708" s="1059" t="s">
        <v>3</v>
      </c>
      <c r="D3708" s="1061">
        <v>575.92999999999995</v>
      </c>
    </row>
    <row r="3709" spans="1:4" ht="9" customHeight="1" x14ac:dyDescent="0.25">
      <c r="A3709" s="1059">
        <v>2607324</v>
      </c>
      <c r="B3709" s="1060" t="s">
        <v>25368</v>
      </c>
      <c r="C3709" s="1059" t="s">
        <v>3</v>
      </c>
      <c r="D3709" s="1061">
        <v>393.2</v>
      </c>
    </row>
    <row r="3710" spans="1:4" ht="9" customHeight="1" x14ac:dyDescent="0.25">
      <c r="A3710" s="1059">
        <v>2607334</v>
      </c>
      <c r="B3710" s="1060" t="s">
        <v>25369</v>
      </c>
      <c r="C3710" s="1059" t="s">
        <v>3</v>
      </c>
      <c r="D3710" s="1061">
        <v>835.02</v>
      </c>
    </row>
    <row r="3711" spans="1:4" ht="9" customHeight="1" x14ac:dyDescent="0.25">
      <c r="A3711" s="1059">
        <v>2607330</v>
      </c>
      <c r="B3711" s="1060" t="s">
        <v>25370</v>
      </c>
      <c r="C3711" s="1059" t="s">
        <v>3</v>
      </c>
      <c r="D3711" s="1061">
        <v>658.57</v>
      </c>
    </row>
    <row r="3712" spans="1:4" ht="9" customHeight="1" x14ac:dyDescent="0.25">
      <c r="A3712" s="1059">
        <v>2607325</v>
      </c>
      <c r="B3712" s="1060" t="s">
        <v>25371</v>
      </c>
      <c r="C3712" s="1059" t="s">
        <v>3</v>
      </c>
      <c r="D3712" s="1061">
        <v>451.56</v>
      </c>
    </row>
    <row r="3713" spans="1:4" ht="9" customHeight="1" x14ac:dyDescent="0.25">
      <c r="A3713" s="1059">
        <v>2607335</v>
      </c>
      <c r="B3713" s="1060" t="s">
        <v>25372</v>
      </c>
      <c r="C3713" s="1059" t="s">
        <v>3</v>
      </c>
      <c r="D3713" s="1061">
        <v>954.17</v>
      </c>
    </row>
    <row r="3714" spans="1:4" ht="9" customHeight="1" x14ac:dyDescent="0.25">
      <c r="A3714" s="1059">
        <v>2607331</v>
      </c>
      <c r="B3714" s="1060" t="s">
        <v>25373</v>
      </c>
      <c r="C3714" s="1059" t="s">
        <v>3</v>
      </c>
      <c r="D3714" s="1061">
        <v>765.61</v>
      </c>
    </row>
    <row r="3715" spans="1:4" ht="9" customHeight="1" x14ac:dyDescent="0.25">
      <c r="A3715" s="1059">
        <v>2607326</v>
      </c>
      <c r="B3715" s="1060" t="s">
        <v>25374</v>
      </c>
      <c r="C3715" s="1059" t="s">
        <v>3</v>
      </c>
      <c r="D3715" s="1061">
        <v>534.19000000000005</v>
      </c>
    </row>
    <row r="3716" spans="1:4" ht="9" customHeight="1" x14ac:dyDescent="0.25">
      <c r="A3716" s="1059">
        <v>2607336</v>
      </c>
      <c r="B3716" s="1060" t="s">
        <v>25375</v>
      </c>
      <c r="C3716" s="1059" t="s">
        <v>3</v>
      </c>
      <c r="D3716" s="1061">
        <v>1109.9100000000001</v>
      </c>
    </row>
    <row r="3717" spans="1:4" ht="9" customHeight="1" x14ac:dyDescent="0.25">
      <c r="A3717" s="1059">
        <v>2607332</v>
      </c>
      <c r="B3717" s="1060" t="s">
        <v>25376</v>
      </c>
      <c r="C3717" s="1059" t="s">
        <v>3</v>
      </c>
      <c r="D3717" s="1061">
        <v>1013.58</v>
      </c>
    </row>
    <row r="3718" spans="1:4" ht="9" customHeight="1" x14ac:dyDescent="0.25">
      <c r="A3718" s="1059">
        <v>2607327</v>
      </c>
      <c r="B3718" s="1060" t="s">
        <v>25377</v>
      </c>
      <c r="C3718" s="1059" t="s">
        <v>3</v>
      </c>
      <c r="D3718" s="1061">
        <v>658.57</v>
      </c>
    </row>
    <row r="3719" spans="1:4" ht="9" customHeight="1" x14ac:dyDescent="0.25">
      <c r="A3719" s="1059">
        <v>2607337</v>
      </c>
      <c r="B3719" s="1060" t="s">
        <v>25378</v>
      </c>
      <c r="C3719" s="1059" t="s">
        <v>3</v>
      </c>
      <c r="D3719" s="1061">
        <v>1467.45</v>
      </c>
    </row>
    <row r="3720" spans="1:4" ht="9" customHeight="1" x14ac:dyDescent="0.25">
      <c r="A3720" s="1059">
        <v>2607328</v>
      </c>
      <c r="B3720" s="1060" t="s">
        <v>25379</v>
      </c>
      <c r="C3720" s="1059" t="s">
        <v>3</v>
      </c>
      <c r="D3720" s="1061">
        <v>462</v>
      </c>
    </row>
    <row r="3721" spans="1:4" ht="9" customHeight="1" x14ac:dyDescent="0.25">
      <c r="A3721" s="1059">
        <v>2607323</v>
      </c>
      <c r="B3721" s="1060" t="s">
        <v>25380</v>
      </c>
      <c r="C3721" s="1059" t="s">
        <v>3</v>
      </c>
      <c r="D3721" s="1061">
        <v>337.56</v>
      </c>
    </row>
    <row r="3722" spans="1:4" ht="9" customHeight="1" x14ac:dyDescent="0.25">
      <c r="A3722" s="1059">
        <v>2607333</v>
      </c>
      <c r="B3722" s="1060" t="s">
        <v>25381</v>
      </c>
      <c r="C3722" s="1059" t="s">
        <v>3</v>
      </c>
      <c r="D3722" s="1061">
        <v>668.93</v>
      </c>
    </row>
    <row r="3723" spans="1:4" ht="9" customHeight="1" x14ac:dyDescent="0.25">
      <c r="A3723" s="1059">
        <v>2607106</v>
      </c>
      <c r="B3723" s="1060" t="s">
        <v>25382</v>
      </c>
      <c r="C3723" s="1059" t="s">
        <v>25383</v>
      </c>
      <c r="D3723" s="1061">
        <v>95878.69</v>
      </c>
    </row>
    <row r="3724" spans="1:4" ht="9" customHeight="1" x14ac:dyDescent="0.25">
      <c r="A3724" s="1059">
        <v>2607102</v>
      </c>
      <c r="B3724" s="1060" t="s">
        <v>25384</v>
      </c>
      <c r="C3724" s="1059" t="s">
        <v>25383</v>
      </c>
      <c r="D3724" s="1061">
        <v>47152.4</v>
      </c>
    </row>
    <row r="3725" spans="1:4" ht="9" customHeight="1" x14ac:dyDescent="0.25">
      <c r="A3725" s="1059">
        <v>2607261</v>
      </c>
      <c r="B3725" s="1060" t="s">
        <v>25385</v>
      </c>
      <c r="C3725" s="1059" t="s">
        <v>25383</v>
      </c>
      <c r="D3725" s="1061">
        <v>95878.69</v>
      </c>
    </row>
    <row r="3726" spans="1:4" ht="9" customHeight="1" x14ac:dyDescent="0.25">
      <c r="A3726" s="1059">
        <v>2607107</v>
      </c>
      <c r="B3726" s="1060" t="s">
        <v>25386</v>
      </c>
      <c r="C3726" s="1059" t="s">
        <v>25383</v>
      </c>
      <c r="D3726" s="1061">
        <v>109429.42</v>
      </c>
    </row>
    <row r="3727" spans="1:4" ht="9" customHeight="1" x14ac:dyDescent="0.25">
      <c r="A3727" s="1059">
        <v>2607103</v>
      </c>
      <c r="B3727" s="1060" t="s">
        <v>25387</v>
      </c>
      <c r="C3727" s="1059" t="s">
        <v>25383</v>
      </c>
      <c r="D3727" s="1061">
        <v>53664.78</v>
      </c>
    </row>
    <row r="3728" spans="1:4" ht="9" customHeight="1" x14ac:dyDescent="0.25">
      <c r="A3728" s="1059">
        <v>2607262</v>
      </c>
      <c r="B3728" s="1060" t="s">
        <v>25388</v>
      </c>
      <c r="C3728" s="1059" t="s">
        <v>25383</v>
      </c>
      <c r="D3728" s="1061">
        <v>109429.42</v>
      </c>
    </row>
    <row r="3729" spans="1:4" ht="9" customHeight="1" x14ac:dyDescent="0.25">
      <c r="A3729" s="1059">
        <v>2607108</v>
      </c>
      <c r="B3729" s="1060" t="s">
        <v>25389</v>
      </c>
      <c r="C3729" s="1059" t="s">
        <v>25383</v>
      </c>
      <c r="D3729" s="1061">
        <v>127472.2</v>
      </c>
    </row>
    <row r="3730" spans="1:4" ht="9" customHeight="1" x14ac:dyDescent="0.25">
      <c r="A3730" s="1059">
        <v>2607104</v>
      </c>
      <c r="B3730" s="1060" t="s">
        <v>25390</v>
      </c>
      <c r="C3730" s="1059" t="s">
        <v>25383</v>
      </c>
      <c r="D3730" s="1061">
        <v>63408.36</v>
      </c>
    </row>
    <row r="3731" spans="1:4" ht="9" customHeight="1" x14ac:dyDescent="0.25">
      <c r="A3731" s="1059">
        <v>2607263</v>
      </c>
      <c r="B3731" s="1060" t="s">
        <v>25391</v>
      </c>
      <c r="C3731" s="1059" t="s">
        <v>25383</v>
      </c>
      <c r="D3731" s="1061">
        <v>127472.2</v>
      </c>
    </row>
    <row r="3732" spans="1:4" ht="9" customHeight="1" x14ac:dyDescent="0.25">
      <c r="A3732" s="1059">
        <v>2607109</v>
      </c>
      <c r="B3732" s="1060" t="s">
        <v>25392</v>
      </c>
      <c r="C3732" s="1059" t="s">
        <v>25383</v>
      </c>
      <c r="D3732" s="1061">
        <v>168074.64</v>
      </c>
    </row>
    <row r="3733" spans="1:4" ht="9" customHeight="1" x14ac:dyDescent="0.25">
      <c r="A3733" s="1059">
        <v>2607105</v>
      </c>
      <c r="B3733" s="1060" t="s">
        <v>25393</v>
      </c>
      <c r="C3733" s="1059" t="s">
        <v>25383</v>
      </c>
      <c r="D3733" s="1061">
        <v>78856.52</v>
      </c>
    </row>
    <row r="3734" spans="1:4" ht="9" customHeight="1" x14ac:dyDescent="0.25">
      <c r="A3734" s="1059">
        <v>2607264</v>
      </c>
      <c r="B3734" s="1060" t="s">
        <v>25394</v>
      </c>
      <c r="C3734" s="1059" t="s">
        <v>25383</v>
      </c>
      <c r="D3734" s="1061">
        <v>168074.64</v>
      </c>
    </row>
    <row r="3735" spans="1:4" ht="9" customHeight="1" x14ac:dyDescent="0.25">
      <c r="A3735" s="1059">
        <v>2607093</v>
      </c>
      <c r="B3735" s="1060" t="s">
        <v>25395</v>
      </c>
      <c r="C3735" s="1059" t="s">
        <v>25383</v>
      </c>
      <c r="D3735" s="1061">
        <v>50058.62</v>
      </c>
    </row>
    <row r="3736" spans="1:4" ht="9" customHeight="1" x14ac:dyDescent="0.25">
      <c r="A3736" s="1059">
        <v>2607088</v>
      </c>
      <c r="B3736" s="1060" t="s">
        <v>25396</v>
      </c>
      <c r="C3736" s="1059" t="s">
        <v>25383</v>
      </c>
      <c r="D3736" s="1061">
        <v>20654.95</v>
      </c>
    </row>
    <row r="3737" spans="1:4" ht="9" customHeight="1" x14ac:dyDescent="0.25">
      <c r="A3737" s="1059">
        <v>2607098</v>
      </c>
      <c r="B3737" s="1060" t="s">
        <v>25397</v>
      </c>
      <c r="C3737" s="1059" t="s">
        <v>25383</v>
      </c>
      <c r="D3737" s="1061">
        <v>50414.21</v>
      </c>
    </row>
    <row r="3738" spans="1:4" ht="9" customHeight="1" x14ac:dyDescent="0.25">
      <c r="A3738" s="1059">
        <v>2607094</v>
      </c>
      <c r="B3738" s="1060" t="s">
        <v>25398</v>
      </c>
      <c r="C3738" s="1059" t="s">
        <v>25383</v>
      </c>
      <c r="D3738" s="1061">
        <v>56423.66</v>
      </c>
    </row>
    <row r="3739" spans="1:4" ht="9" customHeight="1" x14ac:dyDescent="0.25">
      <c r="A3739" s="1059">
        <v>2607089</v>
      </c>
      <c r="B3739" s="1060" t="s">
        <v>25399</v>
      </c>
      <c r="C3739" s="1059" t="s">
        <v>25383</v>
      </c>
      <c r="D3739" s="1061">
        <v>23647.48</v>
      </c>
    </row>
    <row r="3740" spans="1:4" ht="9" customHeight="1" x14ac:dyDescent="0.25">
      <c r="A3740" s="1059">
        <v>2607099</v>
      </c>
      <c r="B3740" s="1060" t="s">
        <v>25400</v>
      </c>
      <c r="C3740" s="1059" t="s">
        <v>25383</v>
      </c>
      <c r="D3740" s="1061">
        <v>56828.75</v>
      </c>
    </row>
    <row r="3741" spans="1:4" ht="9" customHeight="1" x14ac:dyDescent="0.25">
      <c r="A3741" s="1059">
        <v>2607095</v>
      </c>
      <c r="B3741" s="1060" t="s">
        <v>25401</v>
      </c>
      <c r="C3741" s="1059" t="s">
        <v>25383</v>
      </c>
      <c r="D3741" s="1061">
        <v>66280.78</v>
      </c>
    </row>
    <row r="3742" spans="1:4" ht="9" customHeight="1" x14ac:dyDescent="0.25">
      <c r="A3742" s="1059">
        <v>2607090</v>
      </c>
      <c r="B3742" s="1060" t="s">
        <v>25402</v>
      </c>
      <c r="C3742" s="1059" t="s">
        <v>25383</v>
      </c>
      <c r="D3742" s="1061">
        <v>28795.55</v>
      </c>
    </row>
    <row r="3743" spans="1:4" ht="9" customHeight="1" x14ac:dyDescent="0.25">
      <c r="A3743" s="1059">
        <v>2607260</v>
      </c>
      <c r="B3743" s="1060" t="s">
        <v>25403</v>
      </c>
      <c r="C3743" s="1059" t="s">
        <v>25383</v>
      </c>
      <c r="D3743" s="1061">
        <v>66751.27</v>
      </c>
    </row>
    <row r="3744" spans="1:4" ht="9" customHeight="1" x14ac:dyDescent="0.25">
      <c r="A3744" s="1059">
        <v>2607096</v>
      </c>
      <c r="B3744" s="1060" t="s">
        <v>25404</v>
      </c>
      <c r="C3744" s="1059" t="s">
        <v>25383</v>
      </c>
      <c r="D3744" s="1061">
        <v>87375.59</v>
      </c>
    </row>
    <row r="3745" spans="1:4" ht="9" customHeight="1" x14ac:dyDescent="0.25">
      <c r="A3745" s="1059">
        <v>2607091</v>
      </c>
      <c r="B3745" s="1060" t="s">
        <v>25405</v>
      </c>
      <c r="C3745" s="1059" t="s">
        <v>25383</v>
      </c>
      <c r="D3745" s="1061">
        <v>36177.26</v>
      </c>
    </row>
    <row r="3746" spans="1:4" ht="9" customHeight="1" x14ac:dyDescent="0.25">
      <c r="A3746" s="1059">
        <v>2607101</v>
      </c>
      <c r="B3746" s="1060" t="s">
        <v>25406</v>
      </c>
      <c r="C3746" s="1059" t="s">
        <v>25383</v>
      </c>
      <c r="D3746" s="1061">
        <v>87995.69</v>
      </c>
    </row>
    <row r="3747" spans="1:4" ht="9" customHeight="1" x14ac:dyDescent="0.25">
      <c r="A3747" s="1059">
        <v>2607092</v>
      </c>
      <c r="B3747" s="1060" t="s">
        <v>25407</v>
      </c>
      <c r="C3747" s="1059" t="s">
        <v>25383</v>
      </c>
      <c r="D3747" s="1061">
        <v>39833.07</v>
      </c>
    </row>
    <row r="3748" spans="1:4" ht="9" customHeight="1" x14ac:dyDescent="0.25">
      <c r="A3748" s="1059">
        <v>2607087</v>
      </c>
      <c r="B3748" s="1060" t="s">
        <v>25408</v>
      </c>
      <c r="C3748" s="1059" t="s">
        <v>25383</v>
      </c>
      <c r="D3748" s="1061">
        <v>17240.29</v>
      </c>
    </row>
    <row r="3749" spans="1:4" ht="9" customHeight="1" x14ac:dyDescent="0.25">
      <c r="A3749" s="1059">
        <v>2607097</v>
      </c>
      <c r="B3749" s="1060" t="s">
        <v>25409</v>
      </c>
      <c r="C3749" s="1059" t="s">
        <v>25383</v>
      </c>
      <c r="D3749" s="1061">
        <v>40117.760000000002</v>
      </c>
    </row>
    <row r="3750" spans="1:4" ht="9" customHeight="1" x14ac:dyDescent="0.25">
      <c r="A3750" s="1059">
        <v>2607198</v>
      </c>
      <c r="B3750" s="1060" t="s">
        <v>25410</v>
      </c>
      <c r="C3750" s="1059" t="s">
        <v>3</v>
      </c>
      <c r="D3750" s="1061">
        <v>349.53</v>
      </c>
    </row>
    <row r="3751" spans="1:4" ht="9" customHeight="1" x14ac:dyDescent="0.25">
      <c r="A3751" s="1059">
        <v>2809170</v>
      </c>
      <c r="B3751" s="1060" t="s">
        <v>25411</v>
      </c>
      <c r="C3751" s="1059" t="s">
        <v>3</v>
      </c>
      <c r="D3751" s="1061">
        <v>2060.56</v>
      </c>
    </row>
    <row r="3752" spans="1:4" ht="9" customHeight="1" x14ac:dyDescent="0.25">
      <c r="A3752" s="1059">
        <v>2809183</v>
      </c>
      <c r="B3752" s="1060" t="s">
        <v>25412</v>
      </c>
      <c r="C3752" s="1059" t="s">
        <v>3</v>
      </c>
      <c r="D3752" s="1061">
        <v>2982.79</v>
      </c>
    </row>
    <row r="3753" spans="1:4" ht="9" customHeight="1" x14ac:dyDescent="0.25">
      <c r="A3753" s="1059">
        <v>2809174</v>
      </c>
      <c r="B3753" s="1060" t="s">
        <v>25413</v>
      </c>
      <c r="C3753" s="1059" t="s">
        <v>3</v>
      </c>
      <c r="D3753" s="1061">
        <v>2163.77</v>
      </c>
    </row>
    <row r="3754" spans="1:4" ht="9" customHeight="1" x14ac:dyDescent="0.25">
      <c r="A3754" s="1059">
        <v>2809196</v>
      </c>
      <c r="B3754" s="1060" t="s">
        <v>25414</v>
      </c>
      <c r="C3754" s="1059" t="s">
        <v>3</v>
      </c>
      <c r="D3754" s="1061">
        <v>3125.48</v>
      </c>
    </row>
    <row r="3755" spans="1:4" ht="9" customHeight="1" x14ac:dyDescent="0.25">
      <c r="A3755" s="1059">
        <v>2809187</v>
      </c>
      <c r="B3755" s="1060" t="s">
        <v>25415</v>
      </c>
      <c r="C3755" s="1059" t="s">
        <v>3</v>
      </c>
      <c r="D3755" s="1061">
        <v>3137.67</v>
      </c>
    </row>
    <row r="3756" spans="1:4" ht="9" customHeight="1" x14ac:dyDescent="0.25">
      <c r="A3756" s="1059">
        <v>2809178</v>
      </c>
      <c r="B3756" s="1060" t="s">
        <v>25416</v>
      </c>
      <c r="C3756" s="1059" t="s">
        <v>3</v>
      </c>
      <c r="D3756" s="1061">
        <v>2318.44</v>
      </c>
    </row>
    <row r="3757" spans="1:4" ht="9" customHeight="1" x14ac:dyDescent="0.25">
      <c r="A3757" s="1059">
        <v>2809200</v>
      </c>
      <c r="B3757" s="1060" t="s">
        <v>25417</v>
      </c>
      <c r="C3757" s="1059" t="s">
        <v>3</v>
      </c>
      <c r="D3757" s="1061">
        <v>3286.84</v>
      </c>
    </row>
    <row r="3758" spans="1:4" ht="9" customHeight="1" x14ac:dyDescent="0.25">
      <c r="A3758" s="1059">
        <v>2809191</v>
      </c>
      <c r="B3758" s="1060" t="s">
        <v>25418</v>
      </c>
      <c r="C3758" s="1059" t="s">
        <v>3</v>
      </c>
      <c r="D3758" s="1061">
        <v>3279.72</v>
      </c>
    </row>
    <row r="3759" spans="1:4" ht="9" customHeight="1" x14ac:dyDescent="0.25">
      <c r="A3759" s="1059">
        <v>2809204</v>
      </c>
      <c r="B3759" s="1060" t="s">
        <v>25419</v>
      </c>
      <c r="C3759" s="1059" t="s">
        <v>3</v>
      </c>
      <c r="D3759" s="1061">
        <v>3434.55</v>
      </c>
    </row>
    <row r="3760" spans="1:4" ht="9" customHeight="1" x14ac:dyDescent="0.25">
      <c r="A3760" s="1059">
        <v>2809171</v>
      </c>
      <c r="B3760" s="1060" t="s">
        <v>25420</v>
      </c>
      <c r="C3760" s="1059" t="s">
        <v>3</v>
      </c>
      <c r="D3760" s="1061">
        <v>2325.6799999999998</v>
      </c>
    </row>
    <row r="3761" spans="1:4" ht="9" customHeight="1" x14ac:dyDescent="0.25">
      <c r="A3761" s="1059">
        <v>2809184</v>
      </c>
      <c r="B3761" s="1060" t="s">
        <v>25421</v>
      </c>
      <c r="C3761" s="1059" t="s">
        <v>3</v>
      </c>
      <c r="D3761" s="1061">
        <v>3364.25</v>
      </c>
    </row>
    <row r="3762" spans="1:4" ht="9" customHeight="1" x14ac:dyDescent="0.25">
      <c r="A3762" s="1059">
        <v>2809175</v>
      </c>
      <c r="B3762" s="1060" t="s">
        <v>25422</v>
      </c>
      <c r="C3762" s="1059" t="s">
        <v>3</v>
      </c>
      <c r="D3762" s="1061">
        <v>2439.2199999999998</v>
      </c>
    </row>
    <row r="3763" spans="1:4" ht="9" customHeight="1" x14ac:dyDescent="0.25">
      <c r="A3763" s="1059">
        <v>2809197</v>
      </c>
      <c r="B3763" s="1060" t="s">
        <v>25423</v>
      </c>
      <c r="C3763" s="1059" t="s">
        <v>3</v>
      </c>
      <c r="D3763" s="1061">
        <v>3521.41</v>
      </c>
    </row>
    <row r="3764" spans="1:4" ht="9" customHeight="1" x14ac:dyDescent="0.25">
      <c r="A3764" s="1059">
        <v>2809188</v>
      </c>
      <c r="B3764" s="1060" t="s">
        <v>25424</v>
      </c>
      <c r="C3764" s="1059" t="s">
        <v>3</v>
      </c>
      <c r="D3764" s="1061">
        <v>3534.62</v>
      </c>
    </row>
    <row r="3765" spans="1:4" ht="9" customHeight="1" x14ac:dyDescent="0.25">
      <c r="A3765" s="1059">
        <v>2809179</v>
      </c>
      <c r="B3765" s="1060" t="s">
        <v>25425</v>
      </c>
      <c r="C3765" s="1059" t="s">
        <v>3</v>
      </c>
      <c r="D3765" s="1061">
        <v>2609.35</v>
      </c>
    </row>
    <row r="3766" spans="1:4" ht="9" customHeight="1" x14ac:dyDescent="0.25">
      <c r="A3766" s="1059">
        <v>2809201</v>
      </c>
      <c r="B3766" s="1060" t="s">
        <v>25426</v>
      </c>
      <c r="C3766" s="1059" t="s">
        <v>3</v>
      </c>
      <c r="D3766" s="1061">
        <v>3698.9</v>
      </c>
    </row>
    <row r="3767" spans="1:4" ht="9" customHeight="1" x14ac:dyDescent="0.25">
      <c r="A3767" s="1059">
        <v>2809192</v>
      </c>
      <c r="B3767" s="1060" t="s">
        <v>25427</v>
      </c>
      <c r="C3767" s="1059" t="s">
        <v>3</v>
      </c>
      <c r="D3767" s="1061">
        <v>3690.87</v>
      </c>
    </row>
    <row r="3768" spans="1:4" ht="9" customHeight="1" x14ac:dyDescent="0.25">
      <c r="A3768" s="1059">
        <v>2809205</v>
      </c>
      <c r="B3768" s="1060" t="s">
        <v>25428</v>
      </c>
      <c r="C3768" s="1059" t="s">
        <v>3</v>
      </c>
      <c r="D3768" s="1061">
        <v>3861.39</v>
      </c>
    </row>
    <row r="3769" spans="1:4" ht="9" customHeight="1" x14ac:dyDescent="0.25">
      <c r="A3769" s="1059">
        <v>2809172</v>
      </c>
      <c r="B3769" s="1060" t="s">
        <v>25429</v>
      </c>
      <c r="C3769" s="1059" t="s">
        <v>3</v>
      </c>
      <c r="D3769" s="1061">
        <v>2718.3</v>
      </c>
    </row>
    <row r="3770" spans="1:4" ht="9" customHeight="1" x14ac:dyDescent="0.25">
      <c r="A3770" s="1059">
        <v>2809185</v>
      </c>
      <c r="B3770" s="1060" t="s">
        <v>25430</v>
      </c>
      <c r="C3770" s="1059" t="s">
        <v>3</v>
      </c>
      <c r="D3770" s="1061">
        <v>3872.78</v>
      </c>
    </row>
    <row r="3771" spans="1:4" ht="9" customHeight="1" x14ac:dyDescent="0.25">
      <c r="A3771" s="1059">
        <v>2809176</v>
      </c>
      <c r="B3771" s="1060" t="s">
        <v>25431</v>
      </c>
      <c r="C3771" s="1059" t="s">
        <v>3</v>
      </c>
      <c r="D3771" s="1061">
        <v>2843.19</v>
      </c>
    </row>
    <row r="3772" spans="1:4" ht="9" customHeight="1" x14ac:dyDescent="0.25">
      <c r="A3772" s="1059">
        <v>2809198</v>
      </c>
      <c r="B3772" s="1060" t="s">
        <v>25432</v>
      </c>
      <c r="C3772" s="1059" t="s">
        <v>3</v>
      </c>
      <c r="D3772" s="1061">
        <v>4048.04</v>
      </c>
    </row>
    <row r="3773" spans="1:4" ht="9" customHeight="1" x14ac:dyDescent="0.25">
      <c r="A3773" s="1059">
        <v>2809189</v>
      </c>
      <c r="B3773" s="1060" t="s">
        <v>25433</v>
      </c>
      <c r="C3773" s="1059" t="s">
        <v>3</v>
      </c>
      <c r="D3773" s="1061">
        <v>4060.19</v>
      </c>
    </row>
    <row r="3774" spans="1:4" ht="9" customHeight="1" x14ac:dyDescent="0.25">
      <c r="A3774" s="1059">
        <v>2809180</v>
      </c>
      <c r="B3774" s="1060" t="s">
        <v>25434</v>
      </c>
      <c r="C3774" s="1059" t="s">
        <v>3</v>
      </c>
      <c r="D3774" s="1061">
        <v>3030.33</v>
      </c>
    </row>
    <row r="3775" spans="1:4" ht="9" customHeight="1" x14ac:dyDescent="0.25">
      <c r="A3775" s="1059">
        <v>2809202</v>
      </c>
      <c r="B3775" s="1060" t="s">
        <v>25435</v>
      </c>
      <c r="C3775" s="1059" t="s">
        <v>3</v>
      </c>
      <c r="D3775" s="1061">
        <v>4243.28</v>
      </c>
    </row>
    <row r="3776" spans="1:4" ht="9" customHeight="1" x14ac:dyDescent="0.25">
      <c r="A3776" s="1059">
        <v>2809193</v>
      </c>
      <c r="B3776" s="1060" t="s">
        <v>25436</v>
      </c>
      <c r="C3776" s="1059" t="s">
        <v>3</v>
      </c>
      <c r="D3776" s="1061">
        <v>4232.0600000000004</v>
      </c>
    </row>
    <row r="3777" spans="1:4" ht="9" customHeight="1" x14ac:dyDescent="0.25">
      <c r="A3777" s="1059">
        <v>2809206</v>
      </c>
      <c r="B3777" s="1060" t="s">
        <v>25437</v>
      </c>
      <c r="C3777" s="1059" t="s">
        <v>3</v>
      </c>
      <c r="D3777" s="1061">
        <v>4422.0200000000004</v>
      </c>
    </row>
    <row r="3778" spans="1:4" ht="9" customHeight="1" x14ac:dyDescent="0.25">
      <c r="A3778" s="1059">
        <v>2809190</v>
      </c>
      <c r="B3778" s="1060" t="s">
        <v>25438</v>
      </c>
      <c r="C3778" s="1059" t="s">
        <v>3</v>
      </c>
      <c r="D3778" s="1061">
        <v>5256.5</v>
      </c>
    </row>
    <row r="3779" spans="1:4" ht="9" customHeight="1" x14ac:dyDescent="0.25">
      <c r="A3779" s="1059">
        <v>2809181</v>
      </c>
      <c r="B3779" s="1060" t="s">
        <v>25439</v>
      </c>
      <c r="C3779" s="1059" t="s">
        <v>3</v>
      </c>
      <c r="D3779" s="1061">
        <v>3724.44</v>
      </c>
    </row>
    <row r="3780" spans="1:4" ht="9" customHeight="1" x14ac:dyDescent="0.25">
      <c r="A3780" s="1059">
        <v>2809203</v>
      </c>
      <c r="B3780" s="1060" t="s">
        <v>25440</v>
      </c>
      <c r="C3780" s="1059" t="s">
        <v>3</v>
      </c>
      <c r="D3780" s="1061">
        <v>5476.98</v>
      </c>
    </row>
    <row r="3781" spans="1:4" ht="9" customHeight="1" x14ac:dyDescent="0.25">
      <c r="A3781" s="1059">
        <v>2809194</v>
      </c>
      <c r="B3781" s="1060" t="s">
        <v>25441</v>
      </c>
      <c r="C3781" s="1059" t="s">
        <v>3</v>
      </c>
      <c r="D3781" s="1061">
        <v>5462.74</v>
      </c>
    </row>
    <row r="3782" spans="1:4" ht="9" customHeight="1" x14ac:dyDescent="0.25">
      <c r="A3782" s="1059">
        <v>2809207</v>
      </c>
      <c r="B3782" s="1060" t="s">
        <v>25442</v>
      </c>
      <c r="C3782" s="1059" t="s">
        <v>3</v>
      </c>
      <c r="D3782" s="1061">
        <v>5691.47</v>
      </c>
    </row>
    <row r="3783" spans="1:4" ht="9" customHeight="1" x14ac:dyDescent="0.25">
      <c r="A3783" s="1059">
        <v>2809169</v>
      </c>
      <c r="B3783" s="1060" t="s">
        <v>25443</v>
      </c>
      <c r="C3783" s="1059" t="s">
        <v>3</v>
      </c>
      <c r="D3783" s="1061">
        <v>1772.39</v>
      </c>
    </row>
    <row r="3784" spans="1:4" ht="9" customHeight="1" x14ac:dyDescent="0.25">
      <c r="A3784" s="1059">
        <v>2809182</v>
      </c>
      <c r="B3784" s="1060" t="s">
        <v>25444</v>
      </c>
      <c r="C3784" s="1059" t="s">
        <v>3</v>
      </c>
      <c r="D3784" s="1061">
        <v>2457.5300000000002</v>
      </c>
    </row>
    <row r="3785" spans="1:4" ht="9" customHeight="1" x14ac:dyDescent="0.25">
      <c r="A3785" s="1059">
        <v>2809173</v>
      </c>
      <c r="B3785" s="1060" t="s">
        <v>25445</v>
      </c>
      <c r="C3785" s="1059" t="s">
        <v>3</v>
      </c>
      <c r="D3785" s="1061">
        <v>1866.22</v>
      </c>
    </row>
    <row r="3786" spans="1:4" ht="9" customHeight="1" x14ac:dyDescent="0.25">
      <c r="A3786" s="1059">
        <v>2809195</v>
      </c>
      <c r="B3786" s="1060" t="s">
        <v>25446</v>
      </c>
      <c r="C3786" s="1059" t="s">
        <v>3</v>
      </c>
      <c r="D3786" s="1061">
        <v>2564.0300000000002</v>
      </c>
    </row>
    <row r="3787" spans="1:4" ht="9" customHeight="1" x14ac:dyDescent="0.25">
      <c r="A3787" s="1059">
        <v>2809186</v>
      </c>
      <c r="B3787" s="1060" t="s">
        <v>25447</v>
      </c>
      <c r="C3787" s="1059" t="s">
        <v>3</v>
      </c>
      <c r="D3787" s="1061">
        <v>2598.33</v>
      </c>
    </row>
    <row r="3788" spans="1:4" ht="9" customHeight="1" x14ac:dyDescent="0.25">
      <c r="A3788" s="1059">
        <v>2809177</v>
      </c>
      <c r="B3788" s="1060" t="s">
        <v>25448</v>
      </c>
      <c r="C3788" s="1059" t="s">
        <v>3</v>
      </c>
      <c r="D3788" s="1061">
        <v>2006.83</v>
      </c>
    </row>
    <row r="3789" spans="1:4" ht="9" customHeight="1" x14ac:dyDescent="0.25">
      <c r="A3789" s="1059">
        <v>2809199</v>
      </c>
      <c r="B3789" s="1060" t="s">
        <v>25449</v>
      </c>
      <c r="C3789" s="1059" t="s">
        <v>3</v>
      </c>
      <c r="D3789" s="1061">
        <v>2710.72</v>
      </c>
    </row>
    <row r="3790" spans="1:4" ht="18" customHeight="1" x14ac:dyDescent="0.25">
      <c r="A3790" s="1059">
        <v>2809219</v>
      </c>
      <c r="B3790" s="1060" t="s">
        <v>25450</v>
      </c>
      <c r="C3790" s="1059" t="s">
        <v>361</v>
      </c>
      <c r="D3790" s="1061">
        <v>24630.6</v>
      </c>
    </row>
    <row r="3791" spans="1:4" ht="18" customHeight="1" x14ac:dyDescent="0.25">
      <c r="A3791" s="1059">
        <v>2809220</v>
      </c>
      <c r="B3791" s="1060" t="s">
        <v>25451</v>
      </c>
      <c r="C3791" s="1059" t="s">
        <v>361</v>
      </c>
      <c r="D3791" s="1061">
        <v>26121.4</v>
      </c>
    </row>
    <row r="3792" spans="1:4" ht="18" customHeight="1" x14ac:dyDescent="0.25">
      <c r="A3792" s="1059">
        <v>2809221</v>
      </c>
      <c r="B3792" s="1060" t="s">
        <v>25452</v>
      </c>
      <c r="C3792" s="1059" t="s">
        <v>361</v>
      </c>
      <c r="D3792" s="1061">
        <v>26896.63</v>
      </c>
    </row>
    <row r="3793" spans="1:4" ht="18" customHeight="1" x14ac:dyDescent="0.25">
      <c r="A3793" s="1059">
        <v>2809163</v>
      </c>
      <c r="B3793" s="1060" t="s">
        <v>25453</v>
      </c>
      <c r="C3793" s="1059" t="s">
        <v>361</v>
      </c>
      <c r="D3793" s="1061">
        <v>25719.23</v>
      </c>
    </row>
    <row r="3794" spans="1:4" ht="18" customHeight="1" x14ac:dyDescent="0.25">
      <c r="A3794" s="1059">
        <v>2809164</v>
      </c>
      <c r="B3794" s="1060" t="s">
        <v>25454</v>
      </c>
      <c r="C3794" s="1059" t="s">
        <v>361</v>
      </c>
      <c r="D3794" s="1061">
        <v>27263.83</v>
      </c>
    </row>
    <row r="3795" spans="1:4" ht="18" customHeight="1" x14ac:dyDescent="0.25">
      <c r="A3795" s="1059">
        <v>2809165</v>
      </c>
      <c r="B3795" s="1060" t="s">
        <v>25455</v>
      </c>
      <c r="C3795" s="1059" t="s">
        <v>361</v>
      </c>
      <c r="D3795" s="1061">
        <v>28061.119999999999</v>
      </c>
    </row>
    <row r="3796" spans="1:4" ht="18" customHeight="1" x14ac:dyDescent="0.25">
      <c r="A3796" s="1059">
        <v>2809216</v>
      </c>
      <c r="B3796" s="1060" t="s">
        <v>25456</v>
      </c>
      <c r="C3796" s="1059" t="s">
        <v>361</v>
      </c>
      <c r="D3796" s="1061">
        <v>22970.91</v>
      </c>
    </row>
    <row r="3797" spans="1:4" ht="18" customHeight="1" x14ac:dyDescent="0.25">
      <c r="A3797" s="1059">
        <v>2809217</v>
      </c>
      <c r="B3797" s="1060" t="s">
        <v>25457</v>
      </c>
      <c r="C3797" s="1059" t="s">
        <v>361</v>
      </c>
      <c r="D3797" s="1061">
        <v>23380.44</v>
      </c>
    </row>
    <row r="3798" spans="1:4" ht="18" customHeight="1" x14ac:dyDescent="0.25">
      <c r="A3798" s="1059">
        <v>2809218</v>
      </c>
      <c r="B3798" s="1060" t="s">
        <v>25458</v>
      </c>
      <c r="C3798" s="1059" t="s">
        <v>361</v>
      </c>
      <c r="D3798" s="1061">
        <v>24864.33</v>
      </c>
    </row>
    <row r="3799" spans="1:4" ht="18" customHeight="1" x14ac:dyDescent="0.25">
      <c r="A3799" s="1059">
        <v>2809160</v>
      </c>
      <c r="B3799" s="1060" t="s">
        <v>25459</v>
      </c>
      <c r="C3799" s="1059" t="s">
        <v>361</v>
      </c>
      <c r="D3799" s="1061">
        <v>23994.880000000001</v>
      </c>
    </row>
    <row r="3800" spans="1:4" ht="18" customHeight="1" x14ac:dyDescent="0.25">
      <c r="A3800" s="1059">
        <v>2809161</v>
      </c>
      <c r="B3800" s="1060" t="s">
        <v>25460</v>
      </c>
      <c r="C3800" s="1059" t="s">
        <v>361</v>
      </c>
      <c r="D3800" s="1061">
        <v>24407.39</v>
      </c>
    </row>
    <row r="3801" spans="1:4" ht="18" customHeight="1" x14ac:dyDescent="0.25">
      <c r="A3801" s="1059">
        <v>2809162</v>
      </c>
      <c r="B3801" s="1060" t="s">
        <v>25461</v>
      </c>
      <c r="C3801" s="1059" t="s">
        <v>361</v>
      </c>
      <c r="D3801" s="1061">
        <v>25944.89</v>
      </c>
    </row>
    <row r="3802" spans="1:4" ht="18" customHeight="1" x14ac:dyDescent="0.25">
      <c r="A3802" s="1059">
        <v>2809222</v>
      </c>
      <c r="B3802" s="1060" t="s">
        <v>25462</v>
      </c>
      <c r="C3802" s="1059" t="s">
        <v>361</v>
      </c>
      <c r="D3802" s="1061">
        <v>22347.87</v>
      </c>
    </row>
    <row r="3803" spans="1:4" ht="18" customHeight="1" x14ac:dyDescent="0.25">
      <c r="A3803" s="1059">
        <v>2809223</v>
      </c>
      <c r="B3803" s="1060" t="s">
        <v>25463</v>
      </c>
      <c r="C3803" s="1059" t="s">
        <v>361</v>
      </c>
      <c r="D3803" s="1061">
        <v>28563.54</v>
      </c>
    </row>
    <row r="3804" spans="1:4" ht="18" customHeight="1" x14ac:dyDescent="0.25">
      <c r="A3804" s="1059">
        <v>2809224</v>
      </c>
      <c r="B3804" s="1060" t="s">
        <v>25464</v>
      </c>
      <c r="C3804" s="1059" t="s">
        <v>361</v>
      </c>
      <c r="D3804" s="1061">
        <v>29726.39</v>
      </c>
    </row>
    <row r="3805" spans="1:4" ht="18" customHeight="1" x14ac:dyDescent="0.25">
      <c r="A3805" s="1059">
        <v>2809166</v>
      </c>
      <c r="B3805" s="1060" t="s">
        <v>25465</v>
      </c>
      <c r="C3805" s="1059" t="s">
        <v>361</v>
      </c>
      <c r="D3805" s="1061">
        <v>23256.65</v>
      </c>
    </row>
    <row r="3806" spans="1:4" ht="18" customHeight="1" x14ac:dyDescent="0.25">
      <c r="A3806" s="1059">
        <v>2809167</v>
      </c>
      <c r="B3806" s="1060" t="s">
        <v>25466</v>
      </c>
      <c r="C3806" s="1059" t="s">
        <v>361</v>
      </c>
      <c r="D3806" s="1061">
        <v>29776.99</v>
      </c>
    </row>
    <row r="3807" spans="1:4" ht="18" customHeight="1" x14ac:dyDescent="0.25">
      <c r="A3807" s="1059">
        <v>2809168</v>
      </c>
      <c r="B3807" s="1060" t="s">
        <v>25467</v>
      </c>
      <c r="C3807" s="1059" t="s">
        <v>361</v>
      </c>
      <c r="D3807" s="1061">
        <v>30972.93</v>
      </c>
    </row>
    <row r="3808" spans="1:4" ht="9" customHeight="1" x14ac:dyDescent="0.25">
      <c r="A3808" s="1059">
        <v>2909152</v>
      </c>
      <c r="B3808" s="1060" t="s">
        <v>25468</v>
      </c>
      <c r="C3808" s="1059" t="s">
        <v>361</v>
      </c>
      <c r="D3808" s="1061">
        <v>119.53</v>
      </c>
    </row>
    <row r="3809" spans="1:4" ht="9" customHeight="1" x14ac:dyDescent="0.25">
      <c r="A3809" s="1059">
        <v>2909153</v>
      </c>
      <c r="B3809" s="1060" t="s">
        <v>25469</v>
      </c>
      <c r="C3809" s="1059" t="s">
        <v>361</v>
      </c>
      <c r="D3809" s="1061">
        <v>152.05000000000001</v>
      </c>
    </row>
    <row r="3810" spans="1:4" ht="9" customHeight="1" x14ac:dyDescent="0.25">
      <c r="A3810" s="1059">
        <v>2909151</v>
      </c>
      <c r="B3810" s="1060" t="s">
        <v>25470</v>
      </c>
      <c r="C3810" s="1059" t="s">
        <v>361</v>
      </c>
      <c r="D3810" s="1061">
        <v>61.81</v>
      </c>
    </row>
    <row r="3811" spans="1:4" ht="9" customHeight="1" x14ac:dyDescent="0.25">
      <c r="A3811" s="1059">
        <v>2909145</v>
      </c>
      <c r="B3811" s="1060" t="s">
        <v>25471</v>
      </c>
      <c r="C3811" s="1059" t="s">
        <v>3</v>
      </c>
      <c r="D3811" s="1061">
        <v>11.55</v>
      </c>
    </row>
    <row r="3812" spans="1:4" ht="18" customHeight="1" x14ac:dyDescent="0.25">
      <c r="A3812" s="1059">
        <v>2909379</v>
      </c>
      <c r="B3812" s="1060" t="s">
        <v>25472</v>
      </c>
      <c r="C3812" s="1059" t="s">
        <v>361</v>
      </c>
      <c r="D3812" s="1061">
        <v>6338.17</v>
      </c>
    </row>
    <row r="3813" spans="1:4" ht="18" customHeight="1" x14ac:dyDescent="0.25">
      <c r="A3813" s="1059">
        <v>2909381</v>
      </c>
      <c r="B3813" s="1060" t="s">
        <v>25473</v>
      </c>
      <c r="C3813" s="1059" t="s">
        <v>361</v>
      </c>
      <c r="D3813" s="1061">
        <v>6632.32</v>
      </c>
    </row>
    <row r="3814" spans="1:4" ht="18" customHeight="1" x14ac:dyDescent="0.25">
      <c r="A3814" s="1059">
        <v>2909380</v>
      </c>
      <c r="B3814" s="1060" t="s">
        <v>25474</v>
      </c>
      <c r="C3814" s="1059" t="s">
        <v>361</v>
      </c>
      <c r="D3814" s="1061">
        <v>9288.43</v>
      </c>
    </row>
    <row r="3815" spans="1:4" ht="18" customHeight="1" x14ac:dyDescent="0.25">
      <c r="A3815" s="1059">
        <v>2909382</v>
      </c>
      <c r="B3815" s="1060" t="s">
        <v>25475</v>
      </c>
      <c r="C3815" s="1059" t="s">
        <v>361</v>
      </c>
      <c r="D3815" s="1061">
        <v>9728.59</v>
      </c>
    </row>
    <row r="3816" spans="1:4" ht="18" customHeight="1" x14ac:dyDescent="0.25">
      <c r="A3816" s="1059">
        <v>2909375</v>
      </c>
      <c r="B3816" s="1060" t="s">
        <v>25476</v>
      </c>
      <c r="C3816" s="1059" t="s">
        <v>361</v>
      </c>
      <c r="D3816" s="1061">
        <v>10303.15</v>
      </c>
    </row>
    <row r="3817" spans="1:4" ht="18" customHeight="1" x14ac:dyDescent="0.25">
      <c r="A3817" s="1059">
        <v>2909377</v>
      </c>
      <c r="B3817" s="1060" t="s">
        <v>25477</v>
      </c>
      <c r="C3817" s="1059" t="s">
        <v>361</v>
      </c>
      <c r="D3817" s="1061">
        <v>10784.31</v>
      </c>
    </row>
    <row r="3818" spans="1:4" ht="18" customHeight="1" x14ac:dyDescent="0.25">
      <c r="A3818" s="1059">
        <v>2909376</v>
      </c>
      <c r="B3818" s="1060" t="s">
        <v>25478</v>
      </c>
      <c r="C3818" s="1059" t="s">
        <v>361</v>
      </c>
      <c r="D3818" s="1061">
        <v>15132.9</v>
      </c>
    </row>
    <row r="3819" spans="1:4" ht="18" customHeight="1" x14ac:dyDescent="0.25">
      <c r="A3819" s="1059">
        <v>2909378</v>
      </c>
      <c r="B3819" s="1060" t="s">
        <v>25479</v>
      </c>
      <c r="C3819" s="1059" t="s">
        <v>361</v>
      </c>
      <c r="D3819" s="1061">
        <v>15860.44</v>
      </c>
    </row>
    <row r="3820" spans="1:4" ht="18" customHeight="1" x14ac:dyDescent="0.25">
      <c r="A3820" s="1059">
        <v>2909383</v>
      </c>
      <c r="B3820" s="1060" t="s">
        <v>25480</v>
      </c>
      <c r="C3820" s="1059" t="s">
        <v>361</v>
      </c>
      <c r="D3820" s="1061">
        <v>5411.3</v>
      </c>
    </row>
    <row r="3821" spans="1:4" ht="18" customHeight="1" x14ac:dyDescent="0.25">
      <c r="A3821" s="1059">
        <v>2909384</v>
      </c>
      <c r="B3821" s="1060" t="s">
        <v>25481</v>
      </c>
      <c r="C3821" s="1059" t="s">
        <v>361</v>
      </c>
      <c r="D3821" s="1061">
        <v>5680.75</v>
      </c>
    </row>
    <row r="3822" spans="1:4" ht="9" customHeight="1" x14ac:dyDescent="0.25">
      <c r="A3822" s="1059">
        <v>2909148</v>
      </c>
      <c r="B3822" s="1060" t="s">
        <v>25482</v>
      </c>
      <c r="C3822" s="1059" t="s">
        <v>361</v>
      </c>
      <c r="D3822" s="1061">
        <v>434.8</v>
      </c>
    </row>
    <row r="3823" spans="1:4" ht="18" customHeight="1" x14ac:dyDescent="0.25">
      <c r="A3823" s="1059">
        <v>3009336</v>
      </c>
      <c r="B3823" s="1060" t="s">
        <v>25483</v>
      </c>
      <c r="C3823" s="1059" t="s">
        <v>3</v>
      </c>
      <c r="D3823" s="1061">
        <v>103.38</v>
      </c>
    </row>
    <row r="3824" spans="1:4" ht="18" customHeight="1" x14ac:dyDescent="0.25">
      <c r="A3824" s="1059">
        <v>3009337</v>
      </c>
      <c r="B3824" s="1060" t="s">
        <v>25484</v>
      </c>
      <c r="C3824" s="1059" t="s">
        <v>3</v>
      </c>
      <c r="D3824" s="1061">
        <v>106.15</v>
      </c>
    </row>
    <row r="3825" spans="1:4" ht="18" customHeight="1" x14ac:dyDescent="0.25">
      <c r="A3825" s="1059">
        <v>3009340</v>
      </c>
      <c r="B3825" s="1060" t="s">
        <v>25485</v>
      </c>
      <c r="C3825" s="1059" t="s">
        <v>3</v>
      </c>
      <c r="D3825" s="1061">
        <v>198.7</v>
      </c>
    </row>
    <row r="3826" spans="1:4" ht="18" customHeight="1" x14ac:dyDescent="0.25">
      <c r="A3826" s="1059">
        <v>3009341</v>
      </c>
      <c r="B3826" s="1060" t="s">
        <v>25486</v>
      </c>
      <c r="C3826" s="1059" t="s">
        <v>3</v>
      </c>
      <c r="D3826" s="1061">
        <v>204.24</v>
      </c>
    </row>
    <row r="3827" spans="1:4" ht="18" customHeight="1" x14ac:dyDescent="0.25">
      <c r="A3827" s="1059">
        <v>3009344</v>
      </c>
      <c r="B3827" s="1060" t="s">
        <v>25487</v>
      </c>
      <c r="C3827" s="1059" t="s">
        <v>3</v>
      </c>
      <c r="D3827" s="1061">
        <v>103.81</v>
      </c>
    </row>
    <row r="3828" spans="1:4" ht="18" customHeight="1" x14ac:dyDescent="0.25">
      <c r="A3828" s="1059">
        <v>3009345</v>
      </c>
      <c r="B3828" s="1060" t="s">
        <v>25488</v>
      </c>
      <c r="C3828" s="1059" t="s">
        <v>3</v>
      </c>
      <c r="D3828" s="1061">
        <v>106.58</v>
      </c>
    </row>
    <row r="3829" spans="1:4" ht="18" customHeight="1" x14ac:dyDescent="0.25">
      <c r="A3829" s="1059">
        <v>3009348</v>
      </c>
      <c r="B3829" s="1060" t="s">
        <v>25489</v>
      </c>
      <c r="C3829" s="1059" t="s">
        <v>3</v>
      </c>
      <c r="D3829" s="1061">
        <v>198.75</v>
      </c>
    </row>
    <row r="3830" spans="1:4" ht="18" customHeight="1" x14ac:dyDescent="0.25">
      <c r="A3830" s="1059">
        <v>3009349</v>
      </c>
      <c r="B3830" s="1060" t="s">
        <v>25490</v>
      </c>
      <c r="C3830" s="1059" t="s">
        <v>3</v>
      </c>
      <c r="D3830" s="1061">
        <v>204.29</v>
      </c>
    </row>
    <row r="3831" spans="1:4" ht="18" customHeight="1" x14ac:dyDescent="0.25">
      <c r="A3831" s="1059">
        <v>3009338</v>
      </c>
      <c r="B3831" s="1060" t="s">
        <v>25491</v>
      </c>
      <c r="C3831" s="1059" t="s">
        <v>3</v>
      </c>
      <c r="D3831" s="1061">
        <v>103.38</v>
      </c>
    </row>
    <row r="3832" spans="1:4" ht="18" customHeight="1" x14ac:dyDescent="0.25">
      <c r="A3832" s="1059">
        <v>3009339</v>
      </c>
      <c r="B3832" s="1060" t="s">
        <v>25492</v>
      </c>
      <c r="C3832" s="1059" t="s">
        <v>3</v>
      </c>
      <c r="D3832" s="1061">
        <v>106.15</v>
      </c>
    </row>
    <row r="3833" spans="1:4" ht="18" customHeight="1" x14ac:dyDescent="0.25">
      <c r="A3833" s="1059">
        <v>3009342</v>
      </c>
      <c r="B3833" s="1060" t="s">
        <v>25493</v>
      </c>
      <c r="C3833" s="1059" t="s">
        <v>3</v>
      </c>
      <c r="D3833" s="1061">
        <v>198.7</v>
      </c>
    </row>
    <row r="3834" spans="1:4" ht="18" customHeight="1" x14ac:dyDescent="0.25">
      <c r="A3834" s="1059">
        <v>3009343</v>
      </c>
      <c r="B3834" s="1060" t="s">
        <v>25494</v>
      </c>
      <c r="C3834" s="1059" t="s">
        <v>3</v>
      </c>
      <c r="D3834" s="1061">
        <v>204.24</v>
      </c>
    </row>
    <row r="3835" spans="1:4" ht="18" customHeight="1" x14ac:dyDescent="0.25">
      <c r="A3835" s="1059">
        <v>3009346</v>
      </c>
      <c r="B3835" s="1060" t="s">
        <v>25495</v>
      </c>
      <c r="C3835" s="1059" t="s">
        <v>3</v>
      </c>
      <c r="D3835" s="1061">
        <v>103.81</v>
      </c>
    </row>
    <row r="3836" spans="1:4" ht="18" customHeight="1" x14ac:dyDescent="0.25">
      <c r="A3836" s="1059">
        <v>3009347</v>
      </c>
      <c r="B3836" s="1060" t="s">
        <v>25496</v>
      </c>
      <c r="C3836" s="1059" t="s">
        <v>3</v>
      </c>
      <c r="D3836" s="1061">
        <v>106.58</v>
      </c>
    </row>
    <row r="3837" spans="1:4" ht="18" customHeight="1" x14ac:dyDescent="0.25">
      <c r="A3837" s="1059">
        <v>3009350</v>
      </c>
      <c r="B3837" s="1060" t="s">
        <v>25497</v>
      </c>
      <c r="C3837" s="1059" t="s">
        <v>3</v>
      </c>
      <c r="D3837" s="1061">
        <v>198.75</v>
      </c>
    </row>
    <row r="3838" spans="1:4" ht="18" customHeight="1" x14ac:dyDescent="0.25">
      <c r="A3838" s="1059">
        <v>3009351</v>
      </c>
      <c r="B3838" s="1060" t="s">
        <v>25498</v>
      </c>
      <c r="C3838" s="1059" t="s">
        <v>3</v>
      </c>
      <c r="D3838" s="1061">
        <v>204.29</v>
      </c>
    </row>
    <row r="3839" spans="1:4" ht="9" customHeight="1" x14ac:dyDescent="0.25">
      <c r="A3839" s="1059">
        <v>3009080</v>
      </c>
      <c r="B3839" s="1060" t="s">
        <v>25499</v>
      </c>
      <c r="C3839" s="1059" t="s">
        <v>3</v>
      </c>
      <c r="D3839" s="1061">
        <v>0.15</v>
      </c>
    </row>
    <row r="3840" spans="1:4" ht="9" customHeight="1" x14ac:dyDescent="0.25">
      <c r="A3840" s="1059">
        <v>3009075</v>
      </c>
      <c r="B3840" s="1060" t="s">
        <v>25500</v>
      </c>
      <c r="C3840" s="1059" t="s">
        <v>3</v>
      </c>
      <c r="D3840" s="1061">
        <v>31.91</v>
      </c>
    </row>
    <row r="3841" spans="1:4" ht="9" customHeight="1" x14ac:dyDescent="0.25">
      <c r="A3841" s="1059">
        <v>3009076</v>
      </c>
      <c r="B3841" s="1060" t="s">
        <v>25501</v>
      </c>
      <c r="C3841" s="1059" t="s">
        <v>3</v>
      </c>
      <c r="D3841" s="1061">
        <v>33.130000000000003</v>
      </c>
    </row>
    <row r="3842" spans="1:4" ht="9" customHeight="1" x14ac:dyDescent="0.25">
      <c r="A3842" s="1059">
        <v>3009077</v>
      </c>
      <c r="B3842" s="1060" t="s">
        <v>25502</v>
      </c>
      <c r="C3842" s="1059" t="s">
        <v>3</v>
      </c>
      <c r="D3842" s="1061">
        <v>33.130000000000003</v>
      </c>
    </row>
    <row r="3843" spans="1:4" ht="9" customHeight="1" x14ac:dyDescent="0.25">
      <c r="A3843" s="1059">
        <v>3009078</v>
      </c>
      <c r="B3843" s="1060" t="s">
        <v>25503</v>
      </c>
      <c r="C3843" s="1059" t="s">
        <v>3</v>
      </c>
      <c r="D3843" s="1061">
        <v>33.51</v>
      </c>
    </row>
    <row r="3844" spans="1:4" ht="9" customHeight="1" x14ac:dyDescent="0.25">
      <c r="A3844" s="1059">
        <v>3009087</v>
      </c>
      <c r="B3844" s="1060" t="s">
        <v>25504</v>
      </c>
      <c r="C3844" s="1059" t="s">
        <v>3</v>
      </c>
      <c r="D3844" s="1061">
        <v>0.1</v>
      </c>
    </row>
    <row r="3845" spans="1:4" ht="18" customHeight="1" x14ac:dyDescent="0.25">
      <c r="A3845" s="1059">
        <v>3009085</v>
      </c>
      <c r="B3845" s="1060" t="s">
        <v>25505</v>
      </c>
      <c r="C3845" s="1059" t="s">
        <v>2</v>
      </c>
      <c r="D3845" s="1061">
        <v>1302.1199999999999</v>
      </c>
    </row>
    <row r="3846" spans="1:4" ht="18" customHeight="1" x14ac:dyDescent="0.25">
      <c r="A3846" s="1059">
        <v>3009086</v>
      </c>
      <c r="B3846" s="1060" t="s">
        <v>25506</v>
      </c>
      <c r="C3846" s="1059" t="s">
        <v>2</v>
      </c>
      <c r="D3846" s="1061">
        <v>1611.75</v>
      </c>
    </row>
    <row r="3847" spans="1:4" ht="18" customHeight="1" x14ac:dyDescent="0.25">
      <c r="A3847" s="1059">
        <v>3009089</v>
      </c>
      <c r="B3847" s="1060" t="s">
        <v>25507</v>
      </c>
      <c r="C3847" s="1059" t="s">
        <v>2</v>
      </c>
      <c r="D3847" s="1061">
        <v>1914.81</v>
      </c>
    </row>
    <row r="3848" spans="1:4" ht="18" customHeight="1" x14ac:dyDescent="0.25">
      <c r="A3848" s="1059">
        <v>3009090</v>
      </c>
      <c r="B3848" s="1060" t="s">
        <v>25508</v>
      </c>
      <c r="C3848" s="1059" t="s">
        <v>2</v>
      </c>
      <c r="D3848" s="1061">
        <v>2046.43</v>
      </c>
    </row>
    <row r="3849" spans="1:4" ht="9" customHeight="1" x14ac:dyDescent="0.25">
      <c r="A3849" s="1059">
        <v>3009004</v>
      </c>
      <c r="B3849" s="1060" t="s">
        <v>25509</v>
      </c>
      <c r="C3849" s="1059" t="s">
        <v>3</v>
      </c>
      <c r="D3849" s="1061">
        <v>421.06</v>
      </c>
    </row>
    <row r="3850" spans="1:4" ht="9" customHeight="1" x14ac:dyDescent="0.25">
      <c r="A3850" s="1059">
        <v>3009002</v>
      </c>
      <c r="B3850" s="1060" t="s">
        <v>25510</v>
      </c>
      <c r="C3850" s="1059" t="s">
        <v>3</v>
      </c>
      <c r="D3850" s="1061">
        <v>317.60000000000002</v>
      </c>
    </row>
    <row r="3851" spans="1:4" ht="9" customHeight="1" x14ac:dyDescent="0.25">
      <c r="A3851" s="1059">
        <v>3009006</v>
      </c>
      <c r="B3851" s="1060" t="s">
        <v>25511</v>
      </c>
      <c r="C3851" s="1059" t="s">
        <v>3</v>
      </c>
      <c r="D3851" s="1061">
        <v>592.44000000000005</v>
      </c>
    </row>
    <row r="3852" spans="1:4" ht="9" customHeight="1" x14ac:dyDescent="0.25">
      <c r="A3852" s="1059">
        <v>3009335</v>
      </c>
      <c r="B3852" s="1060" t="s">
        <v>25512</v>
      </c>
      <c r="C3852" s="1059" t="s">
        <v>3</v>
      </c>
      <c r="D3852" s="1061">
        <v>1101.92</v>
      </c>
    </row>
    <row r="3853" spans="1:4" ht="9" customHeight="1" x14ac:dyDescent="0.25">
      <c r="A3853" s="1059">
        <v>3009334</v>
      </c>
      <c r="B3853" s="1060" t="s">
        <v>25513</v>
      </c>
      <c r="C3853" s="1059" t="s">
        <v>3</v>
      </c>
      <c r="D3853" s="1061">
        <v>784.89</v>
      </c>
    </row>
    <row r="3854" spans="1:4" ht="18" customHeight="1" x14ac:dyDescent="0.25">
      <c r="A3854" s="1059">
        <v>3009280</v>
      </c>
      <c r="B3854" s="1060" t="s">
        <v>25514</v>
      </c>
      <c r="C3854" s="1059" t="s">
        <v>361</v>
      </c>
      <c r="D3854" s="1061">
        <v>724759.43</v>
      </c>
    </row>
    <row r="3855" spans="1:4" ht="18" customHeight="1" x14ac:dyDescent="0.25">
      <c r="A3855" s="1059">
        <v>3009281</v>
      </c>
      <c r="B3855" s="1060" t="s">
        <v>25515</v>
      </c>
      <c r="C3855" s="1059" t="s">
        <v>361</v>
      </c>
      <c r="D3855" s="1061">
        <v>716483.9</v>
      </c>
    </row>
    <row r="3856" spans="1:4" ht="18" customHeight="1" x14ac:dyDescent="0.25">
      <c r="A3856" s="1059">
        <v>3009061</v>
      </c>
      <c r="B3856" s="1060" t="s">
        <v>25516</v>
      </c>
      <c r="C3856" s="1059" t="s">
        <v>361</v>
      </c>
      <c r="D3856" s="1061">
        <v>760846.17</v>
      </c>
    </row>
    <row r="3857" spans="1:4" ht="18" customHeight="1" x14ac:dyDescent="0.25">
      <c r="A3857" s="1059">
        <v>3009062</v>
      </c>
      <c r="B3857" s="1060" t="s">
        <v>25517</v>
      </c>
      <c r="C3857" s="1059" t="s">
        <v>361</v>
      </c>
      <c r="D3857" s="1061">
        <v>752157.61</v>
      </c>
    </row>
    <row r="3858" spans="1:4" ht="18" customHeight="1" x14ac:dyDescent="0.25">
      <c r="A3858" s="1059">
        <v>3009278</v>
      </c>
      <c r="B3858" s="1060" t="s">
        <v>25518</v>
      </c>
      <c r="C3858" s="1059" t="s">
        <v>361</v>
      </c>
      <c r="D3858" s="1061">
        <v>547384.79</v>
      </c>
    </row>
    <row r="3859" spans="1:4" ht="18" customHeight="1" x14ac:dyDescent="0.25">
      <c r="A3859" s="1059">
        <v>3009279</v>
      </c>
      <c r="B3859" s="1060" t="s">
        <v>25519</v>
      </c>
      <c r="C3859" s="1059" t="s">
        <v>361</v>
      </c>
      <c r="D3859" s="1061">
        <v>541440.93000000005</v>
      </c>
    </row>
    <row r="3860" spans="1:4" ht="18" customHeight="1" x14ac:dyDescent="0.25">
      <c r="A3860" s="1059">
        <v>3009059</v>
      </c>
      <c r="B3860" s="1060" t="s">
        <v>25520</v>
      </c>
      <c r="C3860" s="1059" t="s">
        <v>361</v>
      </c>
      <c r="D3860" s="1061">
        <v>574640.05000000005</v>
      </c>
    </row>
    <row r="3861" spans="1:4" ht="18" customHeight="1" x14ac:dyDescent="0.25">
      <c r="A3861" s="1059">
        <v>3009060</v>
      </c>
      <c r="B3861" s="1060" t="s">
        <v>25521</v>
      </c>
      <c r="C3861" s="1059" t="s">
        <v>361</v>
      </c>
      <c r="D3861" s="1061">
        <v>568399.25</v>
      </c>
    </row>
    <row r="3862" spans="1:4" ht="18" customHeight="1" x14ac:dyDescent="0.25">
      <c r="A3862" s="1059">
        <v>3009282</v>
      </c>
      <c r="B3862" s="1060" t="s">
        <v>25522</v>
      </c>
      <c r="C3862" s="1059" t="s">
        <v>361</v>
      </c>
      <c r="D3862" s="1061">
        <v>1010447.89</v>
      </c>
    </row>
    <row r="3863" spans="1:4" ht="18" customHeight="1" x14ac:dyDescent="0.25">
      <c r="A3863" s="1059">
        <v>3009283</v>
      </c>
      <c r="B3863" s="1060" t="s">
        <v>25523</v>
      </c>
      <c r="C3863" s="1059" t="s">
        <v>361</v>
      </c>
      <c r="D3863" s="1061">
        <v>1002173.69</v>
      </c>
    </row>
    <row r="3864" spans="1:4" ht="18" customHeight="1" x14ac:dyDescent="0.25">
      <c r="A3864" s="1059">
        <v>3009063</v>
      </c>
      <c r="B3864" s="1060" t="s">
        <v>25524</v>
      </c>
      <c r="C3864" s="1059" t="s">
        <v>361</v>
      </c>
      <c r="D3864" s="1061">
        <v>1060759.07</v>
      </c>
    </row>
    <row r="3865" spans="1:4" ht="18" customHeight="1" x14ac:dyDescent="0.25">
      <c r="A3865" s="1059">
        <v>3009064</v>
      </c>
      <c r="B3865" s="1060" t="s">
        <v>25525</v>
      </c>
      <c r="C3865" s="1059" t="s">
        <v>361</v>
      </c>
      <c r="D3865" s="1061">
        <v>1052071.9099999999</v>
      </c>
    </row>
    <row r="3866" spans="1:4" ht="18" customHeight="1" x14ac:dyDescent="0.25">
      <c r="A3866" s="1059">
        <v>3009081</v>
      </c>
      <c r="B3866" s="1060" t="s">
        <v>25526</v>
      </c>
      <c r="C3866" s="1059" t="s">
        <v>3</v>
      </c>
      <c r="D3866" s="1061">
        <v>755.15</v>
      </c>
    </row>
    <row r="3867" spans="1:4" ht="18" customHeight="1" x14ac:dyDescent="0.25">
      <c r="A3867" s="1059">
        <v>3009082</v>
      </c>
      <c r="B3867" s="1060" t="s">
        <v>25527</v>
      </c>
      <c r="C3867" s="1059" t="s">
        <v>3</v>
      </c>
      <c r="D3867" s="1061">
        <v>897.45</v>
      </c>
    </row>
    <row r="3868" spans="1:4" ht="18" customHeight="1" x14ac:dyDescent="0.25">
      <c r="A3868" s="1059">
        <v>3009083</v>
      </c>
      <c r="B3868" s="1060" t="s">
        <v>25528</v>
      </c>
      <c r="C3868" s="1059" t="s">
        <v>3</v>
      </c>
      <c r="D3868" s="1061">
        <v>913.08</v>
      </c>
    </row>
    <row r="3869" spans="1:4" ht="18" customHeight="1" x14ac:dyDescent="0.25">
      <c r="A3869" s="1059">
        <v>3009084</v>
      </c>
      <c r="B3869" s="1060" t="s">
        <v>25529</v>
      </c>
      <c r="C3869" s="1059" t="s">
        <v>3</v>
      </c>
      <c r="D3869" s="1061">
        <v>918.09</v>
      </c>
    </row>
    <row r="3870" spans="1:4" ht="9" customHeight="1" x14ac:dyDescent="0.25">
      <c r="A3870" s="1059">
        <v>3009070</v>
      </c>
      <c r="B3870" s="1060" t="s">
        <v>25530</v>
      </c>
      <c r="C3870" s="1059" t="s">
        <v>3</v>
      </c>
      <c r="D3870" s="1061">
        <v>433.43</v>
      </c>
    </row>
    <row r="3871" spans="1:4" ht="9" customHeight="1" x14ac:dyDescent="0.25">
      <c r="A3871" s="1059">
        <v>3009285</v>
      </c>
      <c r="B3871" s="1060" t="s">
        <v>25531</v>
      </c>
      <c r="C3871" s="1059" t="s">
        <v>361</v>
      </c>
      <c r="D3871" s="1061">
        <v>700066.89</v>
      </c>
    </row>
    <row r="3872" spans="1:4" ht="9" customHeight="1" x14ac:dyDescent="0.25">
      <c r="A3872" s="1059">
        <v>3009072</v>
      </c>
      <c r="B3872" s="1060" t="s">
        <v>25532</v>
      </c>
      <c r="C3872" s="1059" t="s">
        <v>361</v>
      </c>
      <c r="D3872" s="1061">
        <v>734924.19</v>
      </c>
    </row>
    <row r="3873" spans="1:4" ht="9" customHeight="1" x14ac:dyDescent="0.25">
      <c r="A3873" s="1059">
        <v>3009069</v>
      </c>
      <c r="B3873" s="1060" t="s">
        <v>25533</v>
      </c>
      <c r="C3873" s="1059" t="s">
        <v>3</v>
      </c>
      <c r="D3873" s="1061">
        <v>285.08</v>
      </c>
    </row>
    <row r="3874" spans="1:4" ht="9" customHeight="1" x14ac:dyDescent="0.25">
      <c r="A3874" s="1059">
        <v>3009284</v>
      </c>
      <c r="B3874" s="1060" t="s">
        <v>25534</v>
      </c>
      <c r="C3874" s="1059" t="s">
        <v>361</v>
      </c>
      <c r="D3874" s="1061">
        <v>457894.87</v>
      </c>
    </row>
    <row r="3875" spans="1:4" ht="9" customHeight="1" x14ac:dyDescent="0.25">
      <c r="A3875" s="1059">
        <v>3009071</v>
      </c>
      <c r="B3875" s="1060" t="s">
        <v>25535</v>
      </c>
      <c r="C3875" s="1059" t="s">
        <v>361</v>
      </c>
      <c r="D3875" s="1061">
        <v>480694.42</v>
      </c>
    </row>
    <row r="3876" spans="1:4" ht="9" customHeight="1" x14ac:dyDescent="0.25">
      <c r="A3876" s="1059">
        <v>3009091</v>
      </c>
      <c r="B3876" s="1060" t="s">
        <v>25536</v>
      </c>
      <c r="C3876" s="1059" t="s">
        <v>38</v>
      </c>
      <c r="D3876" s="1061">
        <v>162.07</v>
      </c>
    </row>
    <row r="3877" spans="1:4" ht="9" customHeight="1" x14ac:dyDescent="0.25">
      <c r="A3877" s="1059">
        <v>3009058</v>
      </c>
      <c r="B3877" s="1060" t="s">
        <v>25537</v>
      </c>
      <c r="C3877" s="1059" t="s">
        <v>3</v>
      </c>
      <c r="D3877" s="1061">
        <v>91490.17</v>
      </c>
    </row>
    <row r="3878" spans="1:4" ht="9" customHeight="1" x14ac:dyDescent="0.25">
      <c r="A3878" s="1059">
        <v>3009229</v>
      </c>
      <c r="B3878" s="1060" t="s">
        <v>25538</v>
      </c>
      <c r="C3878" s="1059" t="s">
        <v>361</v>
      </c>
      <c r="D3878" s="1061">
        <v>176</v>
      </c>
    </row>
    <row r="3879" spans="1:4" ht="9" customHeight="1" x14ac:dyDescent="0.25">
      <c r="A3879" s="1059">
        <v>3009132</v>
      </c>
      <c r="B3879" s="1060" t="s">
        <v>25539</v>
      </c>
      <c r="C3879" s="1059" t="s">
        <v>361</v>
      </c>
      <c r="D3879" s="1061">
        <v>1385.57</v>
      </c>
    </row>
    <row r="3880" spans="1:4" ht="9" customHeight="1" x14ac:dyDescent="0.25">
      <c r="A3880" s="1059">
        <v>3009133</v>
      </c>
      <c r="B3880" s="1060" t="s">
        <v>25540</v>
      </c>
      <c r="C3880" s="1059" t="s">
        <v>361</v>
      </c>
      <c r="D3880" s="1061">
        <v>1491.46</v>
      </c>
    </row>
    <row r="3881" spans="1:4" ht="9" customHeight="1" x14ac:dyDescent="0.25">
      <c r="A3881" s="1059">
        <v>3009321</v>
      </c>
      <c r="B3881" s="1060" t="s">
        <v>25541</v>
      </c>
      <c r="C3881" s="1059" t="s">
        <v>3</v>
      </c>
      <c r="D3881" s="1061">
        <v>1444</v>
      </c>
    </row>
    <row r="3882" spans="1:4" ht="9" customHeight="1" x14ac:dyDescent="0.25">
      <c r="A3882" s="1059">
        <v>3009322</v>
      </c>
      <c r="B3882" s="1060" t="s">
        <v>25542</v>
      </c>
      <c r="C3882" s="1059" t="s">
        <v>3</v>
      </c>
      <c r="D3882" s="1061">
        <v>1453.75</v>
      </c>
    </row>
    <row r="3883" spans="1:4" ht="9" customHeight="1" x14ac:dyDescent="0.25">
      <c r="A3883" s="1059">
        <v>3009323</v>
      </c>
      <c r="B3883" s="1060" t="s">
        <v>25543</v>
      </c>
      <c r="C3883" s="1059" t="s">
        <v>3</v>
      </c>
      <c r="D3883" s="1061">
        <v>1535.66</v>
      </c>
    </row>
    <row r="3884" spans="1:4" ht="9" customHeight="1" x14ac:dyDescent="0.25">
      <c r="A3884" s="1059">
        <v>3009324</v>
      </c>
      <c r="B3884" s="1060" t="s">
        <v>25544</v>
      </c>
      <c r="C3884" s="1059" t="s">
        <v>3</v>
      </c>
      <c r="D3884" s="1061">
        <v>1469.5</v>
      </c>
    </row>
    <row r="3885" spans="1:4" ht="18" customHeight="1" x14ac:dyDescent="0.25">
      <c r="A3885" s="1059">
        <v>3009096</v>
      </c>
      <c r="B3885" s="1060" t="s">
        <v>25545</v>
      </c>
      <c r="C3885" s="1059" t="s">
        <v>3</v>
      </c>
      <c r="D3885" s="1061">
        <v>248.62</v>
      </c>
    </row>
    <row r="3886" spans="1:4" ht="18" customHeight="1" x14ac:dyDescent="0.25">
      <c r="A3886" s="1059">
        <v>3009330</v>
      </c>
      <c r="B3886" s="1060" t="s">
        <v>25546</v>
      </c>
      <c r="C3886" s="1059" t="s">
        <v>3</v>
      </c>
      <c r="D3886" s="1061">
        <v>212.52</v>
      </c>
    </row>
    <row r="3887" spans="1:4" ht="18" customHeight="1" x14ac:dyDescent="0.25">
      <c r="A3887" s="1059">
        <v>3009326</v>
      </c>
      <c r="B3887" s="1060" t="s">
        <v>25547</v>
      </c>
      <c r="C3887" s="1059" t="s">
        <v>3</v>
      </c>
      <c r="D3887" s="1061">
        <v>217.71</v>
      </c>
    </row>
    <row r="3888" spans="1:4" ht="18" customHeight="1" x14ac:dyDescent="0.25">
      <c r="A3888" s="1059">
        <v>3009234</v>
      </c>
      <c r="B3888" s="1060" t="s">
        <v>25548</v>
      </c>
      <c r="C3888" s="1059" t="s">
        <v>361</v>
      </c>
      <c r="D3888" s="1061">
        <v>1396721.83</v>
      </c>
    </row>
    <row r="3889" spans="1:4" ht="18" customHeight="1" x14ac:dyDescent="0.25">
      <c r="A3889" s="1059">
        <v>3009022</v>
      </c>
      <c r="B3889" s="1060" t="s">
        <v>25549</v>
      </c>
      <c r="C3889" s="1059" t="s">
        <v>361</v>
      </c>
      <c r="D3889" s="1061">
        <v>1404160.86</v>
      </c>
    </row>
    <row r="3890" spans="1:4" ht="18" customHeight="1" x14ac:dyDescent="0.25">
      <c r="A3890" s="1059">
        <v>3009230</v>
      </c>
      <c r="B3890" s="1060" t="s">
        <v>25550</v>
      </c>
      <c r="C3890" s="1059" t="s">
        <v>361</v>
      </c>
      <c r="D3890" s="1061">
        <v>2095256.08</v>
      </c>
    </row>
    <row r="3891" spans="1:4" ht="18" customHeight="1" x14ac:dyDescent="0.25">
      <c r="A3891" s="1059">
        <v>3009018</v>
      </c>
      <c r="B3891" s="1060" t="s">
        <v>25551</v>
      </c>
      <c r="C3891" s="1059" t="s">
        <v>361</v>
      </c>
      <c r="D3891" s="1061">
        <v>2106414.62</v>
      </c>
    </row>
    <row r="3892" spans="1:4" ht="18" customHeight="1" x14ac:dyDescent="0.25">
      <c r="A3892" s="1059">
        <v>3009288</v>
      </c>
      <c r="B3892" s="1060" t="s">
        <v>25552</v>
      </c>
      <c r="C3892" s="1059" t="s">
        <v>361</v>
      </c>
      <c r="D3892" s="1061">
        <v>1643316.26</v>
      </c>
    </row>
    <row r="3893" spans="1:4" ht="18" customHeight="1" x14ac:dyDescent="0.25">
      <c r="A3893" s="1059">
        <v>3009013</v>
      </c>
      <c r="B3893" s="1060" t="s">
        <v>25553</v>
      </c>
      <c r="C3893" s="1059" t="s">
        <v>361</v>
      </c>
      <c r="D3893" s="1061">
        <v>1662803.48</v>
      </c>
    </row>
    <row r="3894" spans="1:4" ht="18" customHeight="1" x14ac:dyDescent="0.25">
      <c r="A3894" s="1059">
        <v>3009292</v>
      </c>
      <c r="B3894" s="1060" t="s">
        <v>25554</v>
      </c>
      <c r="C3894" s="1059" t="s">
        <v>361</v>
      </c>
      <c r="D3894" s="1061">
        <v>2464977.11</v>
      </c>
    </row>
    <row r="3895" spans="1:4" ht="18" customHeight="1" x14ac:dyDescent="0.25">
      <c r="A3895" s="1059">
        <v>3009225</v>
      </c>
      <c r="B3895" s="1060" t="s">
        <v>25555</v>
      </c>
      <c r="C3895" s="1059" t="s">
        <v>361</v>
      </c>
      <c r="D3895" s="1061">
        <v>2494208.1</v>
      </c>
    </row>
    <row r="3896" spans="1:4" ht="18" customHeight="1" x14ac:dyDescent="0.25">
      <c r="A3896" s="1059">
        <v>3009100</v>
      </c>
      <c r="B3896" s="1060" t="s">
        <v>25556</v>
      </c>
      <c r="C3896" s="1059" t="s">
        <v>3</v>
      </c>
      <c r="D3896" s="1061">
        <v>67869.2</v>
      </c>
    </row>
    <row r="3897" spans="1:4" ht="18" customHeight="1" x14ac:dyDescent="0.25">
      <c r="A3897" s="1059">
        <v>3009238</v>
      </c>
      <c r="B3897" s="1060" t="s">
        <v>25557</v>
      </c>
      <c r="C3897" s="1059" t="s">
        <v>361</v>
      </c>
      <c r="D3897" s="1061">
        <v>1299142.42</v>
      </c>
    </row>
    <row r="3898" spans="1:4" ht="18" customHeight="1" x14ac:dyDescent="0.25">
      <c r="A3898" s="1059">
        <v>3009304</v>
      </c>
      <c r="B3898" s="1060" t="s">
        <v>25558</v>
      </c>
      <c r="C3898" s="1059" t="s">
        <v>361</v>
      </c>
      <c r="D3898" s="1061">
        <v>1948625.37</v>
      </c>
    </row>
    <row r="3899" spans="1:4" ht="18" customHeight="1" x14ac:dyDescent="0.25">
      <c r="A3899" s="1059">
        <v>3009030</v>
      </c>
      <c r="B3899" s="1060" t="s">
        <v>25559</v>
      </c>
      <c r="C3899" s="1059" t="s">
        <v>361</v>
      </c>
      <c r="D3899" s="1061">
        <v>1959775.43</v>
      </c>
    </row>
    <row r="3900" spans="1:4" ht="18" customHeight="1" x14ac:dyDescent="0.25">
      <c r="A3900" s="1059">
        <v>3009254</v>
      </c>
      <c r="B3900" s="1060" t="s">
        <v>25560</v>
      </c>
      <c r="C3900" s="1059" t="s">
        <v>361</v>
      </c>
      <c r="D3900" s="1061">
        <v>1691201.16</v>
      </c>
    </row>
    <row r="3901" spans="1:4" ht="18" customHeight="1" x14ac:dyDescent="0.25">
      <c r="A3901" s="1059">
        <v>3009262</v>
      </c>
      <c r="B3901" s="1060" t="s">
        <v>25561</v>
      </c>
      <c r="C3901" s="1059" t="s">
        <v>361</v>
      </c>
      <c r="D3901" s="1061">
        <v>1544144.63</v>
      </c>
    </row>
    <row r="3902" spans="1:4" ht="18" customHeight="1" x14ac:dyDescent="0.25">
      <c r="A3902" s="1059">
        <v>3009034</v>
      </c>
      <c r="B3902" s="1060" t="s">
        <v>25562</v>
      </c>
      <c r="C3902" s="1059" t="s">
        <v>361</v>
      </c>
      <c r="D3902" s="1061">
        <v>1718455.44</v>
      </c>
    </row>
    <row r="3903" spans="1:4" ht="18" customHeight="1" x14ac:dyDescent="0.25">
      <c r="A3903" s="1059">
        <v>3009042</v>
      </c>
      <c r="B3903" s="1060" t="s">
        <v>25563</v>
      </c>
      <c r="C3903" s="1059" t="s">
        <v>361</v>
      </c>
      <c r="D3903" s="1061">
        <v>1564076.79</v>
      </c>
    </row>
    <row r="3904" spans="1:4" ht="18" customHeight="1" x14ac:dyDescent="0.25">
      <c r="A3904" s="1059">
        <v>3009270</v>
      </c>
      <c r="B3904" s="1060" t="s">
        <v>25564</v>
      </c>
      <c r="C3904" s="1059" t="s">
        <v>361</v>
      </c>
      <c r="D3904" s="1061">
        <v>2537550.19</v>
      </c>
    </row>
    <row r="3905" spans="1:4" ht="18" customHeight="1" x14ac:dyDescent="0.25">
      <c r="A3905" s="1059">
        <v>3009050</v>
      </c>
      <c r="B3905" s="1060" t="s">
        <v>25565</v>
      </c>
      <c r="C3905" s="1059" t="s">
        <v>361</v>
      </c>
      <c r="D3905" s="1061">
        <v>2578473.75</v>
      </c>
    </row>
    <row r="3906" spans="1:4" ht="18" customHeight="1" x14ac:dyDescent="0.25">
      <c r="A3906" s="1059">
        <v>3009101</v>
      </c>
      <c r="B3906" s="1060" t="s">
        <v>25566</v>
      </c>
      <c r="C3906" s="1059" t="s">
        <v>3</v>
      </c>
      <c r="D3906" s="1061">
        <v>135987.01999999999</v>
      </c>
    </row>
    <row r="3907" spans="1:4" ht="18" customHeight="1" x14ac:dyDescent="0.25">
      <c r="A3907" s="1059">
        <v>3009246</v>
      </c>
      <c r="B3907" s="1060" t="s">
        <v>25567</v>
      </c>
      <c r="C3907" s="1059" t="s">
        <v>361</v>
      </c>
      <c r="D3907" s="1061">
        <v>1294036.02</v>
      </c>
    </row>
    <row r="3908" spans="1:4" ht="18" customHeight="1" x14ac:dyDescent="0.25">
      <c r="A3908" s="1059">
        <v>3009208</v>
      </c>
      <c r="B3908" s="1060" t="s">
        <v>25568</v>
      </c>
      <c r="C3908" s="1059" t="s">
        <v>361</v>
      </c>
      <c r="D3908" s="1061">
        <v>1301469.6200000001</v>
      </c>
    </row>
    <row r="3909" spans="1:4" ht="18" customHeight="1" x14ac:dyDescent="0.25">
      <c r="A3909" s="1059">
        <v>3009308</v>
      </c>
      <c r="B3909" s="1060" t="s">
        <v>25569</v>
      </c>
      <c r="C3909" s="1059" t="s">
        <v>361</v>
      </c>
      <c r="D3909" s="1061">
        <v>1940966.72</v>
      </c>
    </row>
    <row r="3910" spans="1:4" ht="18" customHeight="1" x14ac:dyDescent="0.25">
      <c r="A3910" s="1059">
        <v>3009212</v>
      </c>
      <c r="B3910" s="1060" t="s">
        <v>25570</v>
      </c>
      <c r="C3910" s="1059" t="s">
        <v>361</v>
      </c>
      <c r="D3910" s="1061">
        <v>1952117.11</v>
      </c>
    </row>
    <row r="3911" spans="1:4" ht="18" customHeight="1" x14ac:dyDescent="0.25">
      <c r="A3911" s="1059">
        <v>3009258</v>
      </c>
      <c r="B3911" s="1060" t="s">
        <v>25571</v>
      </c>
      <c r="C3911" s="1059" t="s">
        <v>361</v>
      </c>
      <c r="D3911" s="1061">
        <v>1686158.3</v>
      </c>
    </row>
    <row r="3912" spans="1:4" ht="18" customHeight="1" x14ac:dyDescent="0.25">
      <c r="A3912" s="1059">
        <v>3009266</v>
      </c>
      <c r="B3912" s="1060" t="s">
        <v>25572</v>
      </c>
      <c r="C3912" s="1059" t="s">
        <v>361</v>
      </c>
      <c r="D3912" s="1061">
        <v>1539101.78</v>
      </c>
    </row>
    <row r="3913" spans="1:4" ht="18" customHeight="1" x14ac:dyDescent="0.25">
      <c r="A3913" s="1059">
        <v>3009038</v>
      </c>
      <c r="B3913" s="1060" t="s">
        <v>25573</v>
      </c>
      <c r="C3913" s="1059" t="s">
        <v>361</v>
      </c>
      <c r="D3913" s="1061">
        <v>1713412.58</v>
      </c>
    </row>
    <row r="3914" spans="1:4" ht="18" customHeight="1" x14ac:dyDescent="0.25">
      <c r="A3914" s="1059">
        <v>3009046</v>
      </c>
      <c r="B3914" s="1060" t="s">
        <v>25574</v>
      </c>
      <c r="C3914" s="1059" t="s">
        <v>361</v>
      </c>
      <c r="D3914" s="1061">
        <v>1559033.93</v>
      </c>
    </row>
    <row r="3915" spans="1:4" ht="18" customHeight="1" x14ac:dyDescent="0.25">
      <c r="A3915" s="1059">
        <v>3009274</v>
      </c>
      <c r="B3915" s="1060" t="s">
        <v>25575</v>
      </c>
      <c r="C3915" s="1059" t="s">
        <v>361</v>
      </c>
      <c r="D3915" s="1061">
        <v>2529986.9300000002</v>
      </c>
    </row>
    <row r="3916" spans="1:4" ht="18" customHeight="1" x14ac:dyDescent="0.25">
      <c r="A3916" s="1059">
        <v>3009054</v>
      </c>
      <c r="B3916" s="1060" t="s">
        <v>25576</v>
      </c>
      <c r="C3916" s="1059" t="s">
        <v>361</v>
      </c>
      <c r="D3916" s="1061">
        <v>2570910.4900000002</v>
      </c>
    </row>
    <row r="3917" spans="1:4" ht="18" customHeight="1" x14ac:dyDescent="0.25">
      <c r="A3917" s="1059">
        <v>3009235</v>
      </c>
      <c r="B3917" s="1060" t="s">
        <v>25577</v>
      </c>
      <c r="C3917" s="1059" t="s">
        <v>361</v>
      </c>
      <c r="D3917" s="1061">
        <v>1706893.37</v>
      </c>
    </row>
    <row r="3918" spans="1:4" ht="18" customHeight="1" x14ac:dyDescent="0.25">
      <c r="A3918" s="1059">
        <v>3009023</v>
      </c>
      <c r="B3918" s="1060" t="s">
        <v>25578</v>
      </c>
      <c r="C3918" s="1059" t="s">
        <v>361</v>
      </c>
      <c r="D3918" s="1061">
        <v>1714101.47</v>
      </c>
    </row>
    <row r="3919" spans="1:4" ht="18" customHeight="1" x14ac:dyDescent="0.25">
      <c r="A3919" s="1059">
        <v>3009231</v>
      </c>
      <c r="B3919" s="1060" t="s">
        <v>25579</v>
      </c>
      <c r="C3919" s="1059" t="s">
        <v>361</v>
      </c>
      <c r="D3919" s="1061">
        <v>2558404.06</v>
      </c>
    </row>
    <row r="3920" spans="1:4" ht="18" customHeight="1" x14ac:dyDescent="0.25">
      <c r="A3920" s="1059">
        <v>3009019</v>
      </c>
      <c r="B3920" s="1060" t="s">
        <v>25580</v>
      </c>
      <c r="C3920" s="1059" t="s">
        <v>361</v>
      </c>
      <c r="D3920" s="1061">
        <v>2571845.16</v>
      </c>
    </row>
    <row r="3921" spans="1:4" ht="18" customHeight="1" x14ac:dyDescent="0.25">
      <c r="A3921" s="1059">
        <v>3009289</v>
      </c>
      <c r="B3921" s="1060" t="s">
        <v>25581</v>
      </c>
      <c r="C3921" s="1059" t="s">
        <v>361</v>
      </c>
      <c r="D3921" s="1061">
        <v>2190392.7599999998</v>
      </c>
    </row>
    <row r="3922" spans="1:4" ht="18" customHeight="1" x14ac:dyDescent="0.25">
      <c r="A3922" s="1059">
        <v>3009014</v>
      </c>
      <c r="B3922" s="1060" t="s">
        <v>25582</v>
      </c>
      <c r="C3922" s="1059" t="s">
        <v>361</v>
      </c>
      <c r="D3922" s="1061">
        <v>2221996.4900000002</v>
      </c>
    </row>
    <row r="3923" spans="1:4" ht="18" customHeight="1" x14ac:dyDescent="0.25">
      <c r="A3923" s="1059">
        <v>3009293</v>
      </c>
      <c r="B3923" s="1060" t="s">
        <v>25583</v>
      </c>
      <c r="C3923" s="1059" t="s">
        <v>361</v>
      </c>
      <c r="D3923" s="1061">
        <v>3285591.96</v>
      </c>
    </row>
    <row r="3924" spans="1:4" ht="18" customHeight="1" x14ac:dyDescent="0.25">
      <c r="A3924" s="1059">
        <v>3009226</v>
      </c>
      <c r="B3924" s="1060" t="s">
        <v>25584</v>
      </c>
      <c r="C3924" s="1059" t="s">
        <v>361</v>
      </c>
      <c r="D3924" s="1061">
        <v>3332997.83</v>
      </c>
    </row>
    <row r="3925" spans="1:4" ht="18" customHeight="1" x14ac:dyDescent="0.25">
      <c r="A3925" s="1059">
        <v>3009102</v>
      </c>
      <c r="B3925" s="1060" t="s">
        <v>25585</v>
      </c>
      <c r="C3925" s="1059" t="s">
        <v>3</v>
      </c>
      <c r="D3925" s="1061">
        <v>85894.37</v>
      </c>
    </row>
    <row r="3926" spans="1:4" ht="18" customHeight="1" x14ac:dyDescent="0.25">
      <c r="A3926" s="1059">
        <v>3009297</v>
      </c>
      <c r="B3926" s="1060" t="s">
        <v>25586</v>
      </c>
      <c r="C3926" s="1059" t="s">
        <v>361</v>
      </c>
      <c r="D3926" s="1061">
        <v>1600447.81</v>
      </c>
    </row>
    <row r="3927" spans="1:4" ht="18" customHeight="1" x14ac:dyDescent="0.25">
      <c r="A3927" s="1059">
        <v>3009027</v>
      </c>
      <c r="B3927" s="1060" t="s">
        <v>25587</v>
      </c>
      <c r="C3927" s="1059" t="s">
        <v>361</v>
      </c>
      <c r="D3927" s="1061">
        <v>1607881.3</v>
      </c>
    </row>
    <row r="3928" spans="1:4" ht="18" customHeight="1" x14ac:dyDescent="0.25">
      <c r="A3928" s="1059">
        <v>3009305</v>
      </c>
      <c r="B3928" s="1060" t="s">
        <v>25588</v>
      </c>
      <c r="C3928" s="1059" t="s">
        <v>361</v>
      </c>
      <c r="D3928" s="1061">
        <v>2400583.37</v>
      </c>
    </row>
    <row r="3929" spans="1:4" ht="18" customHeight="1" x14ac:dyDescent="0.25">
      <c r="A3929" s="1059">
        <v>3009031</v>
      </c>
      <c r="B3929" s="1060" t="s">
        <v>25589</v>
      </c>
      <c r="C3929" s="1059" t="s">
        <v>361</v>
      </c>
      <c r="D3929" s="1061">
        <v>2411733.4300000002</v>
      </c>
    </row>
    <row r="3930" spans="1:4" ht="18" customHeight="1" x14ac:dyDescent="0.25">
      <c r="A3930" s="1059">
        <v>3009255</v>
      </c>
      <c r="B3930" s="1060" t="s">
        <v>25590</v>
      </c>
      <c r="C3930" s="1059" t="s">
        <v>361</v>
      </c>
      <c r="D3930" s="1061">
        <v>2045905.76</v>
      </c>
    </row>
    <row r="3931" spans="1:4" ht="18" customHeight="1" x14ac:dyDescent="0.25">
      <c r="A3931" s="1059">
        <v>3009263</v>
      </c>
      <c r="B3931" s="1060" t="s">
        <v>25591</v>
      </c>
      <c r="C3931" s="1059" t="s">
        <v>361</v>
      </c>
      <c r="D3931" s="1061">
        <v>2082654.08</v>
      </c>
    </row>
    <row r="3932" spans="1:4" ht="18" customHeight="1" x14ac:dyDescent="0.25">
      <c r="A3932" s="1059">
        <v>3009035</v>
      </c>
      <c r="B3932" s="1060" t="s">
        <v>25592</v>
      </c>
      <c r="C3932" s="1059" t="s">
        <v>361</v>
      </c>
      <c r="D3932" s="1061">
        <v>2075818.79</v>
      </c>
    </row>
    <row r="3933" spans="1:4" ht="18" customHeight="1" x14ac:dyDescent="0.25">
      <c r="A3933" s="1059">
        <v>3009043</v>
      </c>
      <c r="B3933" s="1060" t="s">
        <v>25593</v>
      </c>
      <c r="C3933" s="1059" t="s">
        <v>361</v>
      </c>
      <c r="D3933" s="1061">
        <v>2114396.63</v>
      </c>
    </row>
    <row r="3934" spans="1:4" ht="18" customHeight="1" x14ac:dyDescent="0.25">
      <c r="A3934" s="1059">
        <v>3009271</v>
      </c>
      <c r="B3934" s="1060" t="s">
        <v>25594</v>
      </c>
      <c r="C3934" s="1059" t="s">
        <v>361</v>
      </c>
      <c r="D3934" s="1061">
        <v>3069607</v>
      </c>
    </row>
    <row r="3935" spans="1:4" ht="18" customHeight="1" x14ac:dyDescent="0.25">
      <c r="A3935" s="1059">
        <v>3009051</v>
      </c>
      <c r="B3935" s="1060" t="s">
        <v>25595</v>
      </c>
      <c r="C3935" s="1059" t="s">
        <v>361</v>
      </c>
      <c r="D3935" s="1061">
        <v>3114518.69</v>
      </c>
    </row>
    <row r="3936" spans="1:4" ht="18" customHeight="1" x14ac:dyDescent="0.25">
      <c r="A3936" s="1059">
        <v>3009103</v>
      </c>
      <c r="B3936" s="1060" t="s">
        <v>25596</v>
      </c>
      <c r="C3936" s="1059" t="s">
        <v>3</v>
      </c>
      <c r="D3936" s="1061">
        <v>172037.37</v>
      </c>
    </row>
    <row r="3937" spans="1:4" ht="18" customHeight="1" x14ac:dyDescent="0.25">
      <c r="A3937" s="1059">
        <v>3009247</v>
      </c>
      <c r="B3937" s="1060" t="s">
        <v>25597</v>
      </c>
      <c r="C3937" s="1059" t="s">
        <v>361</v>
      </c>
      <c r="D3937" s="1061">
        <v>1594899.01</v>
      </c>
    </row>
    <row r="3938" spans="1:4" ht="18" customHeight="1" x14ac:dyDescent="0.25">
      <c r="A3938" s="1059">
        <v>3009209</v>
      </c>
      <c r="B3938" s="1060" t="s">
        <v>25598</v>
      </c>
      <c r="C3938" s="1059" t="s">
        <v>361</v>
      </c>
      <c r="D3938" s="1061">
        <v>1602332.6</v>
      </c>
    </row>
    <row r="3939" spans="1:4" ht="18" customHeight="1" x14ac:dyDescent="0.25">
      <c r="A3939" s="1059">
        <v>3009309</v>
      </c>
      <c r="B3939" s="1060" t="s">
        <v>25599</v>
      </c>
      <c r="C3939" s="1059" t="s">
        <v>361</v>
      </c>
      <c r="D3939" s="1061">
        <v>2392261.38</v>
      </c>
    </row>
    <row r="3940" spans="1:4" ht="18" customHeight="1" x14ac:dyDescent="0.25">
      <c r="A3940" s="1059">
        <v>3009213</v>
      </c>
      <c r="B3940" s="1060" t="s">
        <v>25600</v>
      </c>
      <c r="C3940" s="1059" t="s">
        <v>361</v>
      </c>
      <c r="D3940" s="1061">
        <v>2403411.77</v>
      </c>
    </row>
    <row r="3941" spans="1:4" ht="18" customHeight="1" x14ac:dyDescent="0.25">
      <c r="A3941" s="1059">
        <v>3009259</v>
      </c>
      <c r="B3941" s="1060" t="s">
        <v>25601</v>
      </c>
      <c r="C3941" s="1059" t="s">
        <v>361</v>
      </c>
      <c r="D3941" s="1061">
        <v>2040420.5</v>
      </c>
    </row>
    <row r="3942" spans="1:4" ht="18" customHeight="1" x14ac:dyDescent="0.25">
      <c r="A3942" s="1059">
        <v>3009267</v>
      </c>
      <c r="B3942" s="1060" t="s">
        <v>25602</v>
      </c>
      <c r="C3942" s="1059" t="s">
        <v>361</v>
      </c>
      <c r="D3942" s="1061">
        <v>2077168.82</v>
      </c>
    </row>
    <row r="3943" spans="1:4" ht="18" customHeight="1" x14ac:dyDescent="0.25">
      <c r="A3943" s="1059">
        <v>3009039</v>
      </c>
      <c r="B3943" s="1060" t="s">
        <v>25603</v>
      </c>
      <c r="C3943" s="1059" t="s">
        <v>361</v>
      </c>
      <c r="D3943" s="1061">
        <v>2070333.53</v>
      </c>
    </row>
    <row r="3944" spans="1:4" ht="18" customHeight="1" x14ac:dyDescent="0.25">
      <c r="A3944" s="1059">
        <v>3009047</v>
      </c>
      <c r="B3944" s="1060" t="s">
        <v>25604</v>
      </c>
      <c r="C3944" s="1059" t="s">
        <v>361</v>
      </c>
      <c r="D3944" s="1061">
        <v>2108911.37</v>
      </c>
    </row>
    <row r="3945" spans="1:4" ht="18" customHeight="1" x14ac:dyDescent="0.25">
      <c r="A3945" s="1059">
        <v>3009275</v>
      </c>
      <c r="B3945" s="1060" t="s">
        <v>25605</v>
      </c>
      <c r="C3945" s="1059" t="s">
        <v>361</v>
      </c>
      <c r="D3945" s="1061">
        <v>3061380.41</v>
      </c>
    </row>
    <row r="3946" spans="1:4" ht="18" customHeight="1" x14ac:dyDescent="0.25">
      <c r="A3946" s="1059">
        <v>3009055</v>
      </c>
      <c r="B3946" s="1060" t="s">
        <v>25606</v>
      </c>
      <c r="C3946" s="1059" t="s">
        <v>361</v>
      </c>
      <c r="D3946" s="1061">
        <v>3106292.1</v>
      </c>
    </row>
    <row r="3947" spans="1:4" ht="18" customHeight="1" x14ac:dyDescent="0.25">
      <c r="A3947" s="1059">
        <v>3009236</v>
      </c>
      <c r="B3947" s="1060" t="s">
        <v>25607</v>
      </c>
      <c r="C3947" s="1059" t="s">
        <v>361</v>
      </c>
      <c r="D3947" s="1061">
        <v>2011481.77</v>
      </c>
    </row>
    <row r="3948" spans="1:4" ht="18" customHeight="1" x14ac:dyDescent="0.25">
      <c r="A3948" s="1059">
        <v>3009024</v>
      </c>
      <c r="B3948" s="1060" t="s">
        <v>25608</v>
      </c>
      <c r="C3948" s="1059" t="s">
        <v>361</v>
      </c>
      <c r="D3948" s="1061">
        <v>2016984.65</v>
      </c>
    </row>
    <row r="3949" spans="1:4" ht="18" customHeight="1" x14ac:dyDescent="0.25">
      <c r="A3949" s="1059">
        <v>3009232</v>
      </c>
      <c r="B3949" s="1060" t="s">
        <v>25609</v>
      </c>
      <c r="C3949" s="1059" t="s">
        <v>361</v>
      </c>
      <c r="D3949" s="1061">
        <v>3012959.76</v>
      </c>
    </row>
    <row r="3950" spans="1:4" ht="18" customHeight="1" x14ac:dyDescent="0.25">
      <c r="A3950" s="1059">
        <v>3009020</v>
      </c>
      <c r="B3950" s="1060" t="s">
        <v>25610</v>
      </c>
      <c r="C3950" s="1059" t="s">
        <v>361</v>
      </c>
      <c r="D3950" s="1061">
        <v>3023714.17</v>
      </c>
    </row>
    <row r="3951" spans="1:4" ht="18" customHeight="1" x14ac:dyDescent="0.25">
      <c r="A3951" s="1059">
        <v>3009290</v>
      </c>
      <c r="B3951" s="1060" t="s">
        <v>25611</v>
      </c>
      <c r="C3951" s="1059" t="s">
        <v>361</v>
      </c>
      <c r="D3951" s="1061">
        <v>2519325.66</v>
      </c>
    </row>
    <row r="3952" spans="1:4" ht="18" customHeight="1" x14ac:dyDescent="0.25">
      <c r="A3952" s="1059">
        <v>3009015</v>
      </c>
      <c r="B3952" s="1060" t="s">
        <v>25612</v>
      </c>
      <c r="C3952" s="1059" t="s">
        <v>361</v>
      </c>
      <c r="D3952" s="1061">
        <v>2552226.39</v>
      </c>
    </row>
    <row r="3953" spans="1:4" ht="18" customHeight="1" x14ac:dyDescent="0.25">
      <c r="A3953" s="1059">
        <v>3009294</v>
      </c>
      <c r="B3953" s="1060" t="s">
        <v>25613</v>
      </c>
      <c r="C3953" s="1059" t="s">
        <v>361</v>
      </c>
      <c r="D3953" s="1061">
        <v>3778991.3</v>
      </c>
    </row>
    <row r="3954" spans="1:4" ht="18" customHeight="1" x14ac:dyDescent="0.25">
      <c r="A3954" s="1059">
        <v>3009227</v>
      </c>
      <c r="B3954" s="1060" t="s">
        <v>25614</v>
      </c>
      <c r="C3954" s="1059" t="s">
        <v>361</v>
      </c>
      <c r="D3954" s="1061">
        <v>3828342.69</v>
      </c>
    </row>
    <row r="3955" spans="1:4" ht="18" customHeight="1" x14ac:dyDescent="0.25">
      <c r="A3955" s="1059">
        <v>3009104</v>
      </c>
      <c r="B3955" s="1060" t="s">
        <v>25615</v>
      </c>
      <c r="C3955" s="1059" t="s">
        <v>3</v>
      </c>
      <c r="D3955" s="1061">
        <v>101567.16</v>
      </c>
    </row>
    <row r="3956" spans="1:4" ht="18" customHeight="1" x14ac:dyDescent="0.25">
      <c r="A3956" s="1059">
        <v>3009240</v>
      </c>
      <c r="B3956" s="1060" t="s">
        <v>25616</v>
      </c>
      <c r="C3956" s="1059" t="s">
        <v>361</v>
      </c>
      <c r="D3956" s="1061">
        <v>1865685.76</v>
      </c>
    </row>
    <row r="3957" spans="1:4" ht="18" customHeight="1" x14ac:dyDescent="0.25">
      <c r="A3957" s="1059">
        <v>3009028</v>
      </c>
      <c r="B3957" s="1060" t="s">
        <v>25617</v>
      </c>
      <c r="C3957" s="1059" t="s">
        <v>361</v>
      </c>
      <c r="D3957" s="1061">
        <v>1873119.26</v>
      </c>
    </row>
    <row r="3958" spans="1:4" ht="18" customHeight="1" x14ac:dyDescent="0.25">
      <c r="A3958" s="1059">
        <v>3009306</v>
      </c>
      <c r="B3958" s="1060" t="s">
        <v>25618</v>
      </c>
      <c r="C3958" s="1059" t="s">
        <v>361</v>
      </c>
      <c r="D3958" s="1061">
        <v>2798440.22</v>
      </c>
    </row>
    <row r="3959" spans="1:4" ht="18" customHeight="1" x14ac:dyDescent="0.25">
      <c r="A3959" s="1059">
        <v>3009032</v>
      </c>
      <c r="B3959" s="1060" t="s">
        <v>25619</v>
      </c>
      <c r="C3959" s="1059" t="s">
        <v>361</v>
      </c>
      <c r="D3959" s="1061">
        <v>2809590.28</v>
      </c>
    </row>
    <row r="3960" spans="1:4" ht="18" customHeight="1" x14ac:dyDescent="0.25">
      <c r="A3960" s="1059">
        <v>3009256</v>
      </c>
      <c r="B3960" s="1060" t="s">
        <v>25620</v>
      </c>
      <c r="C3960" s="1059" t="s">
        <v>361</v>
      </c>
      <c r="D3960" s="1061">
        <v>2479560.6800000002</v>
      </c>
    </row>
    <row r="3961" spans="1:4" ht="18" customHeight="1" x14ac:dyDescent="0.25">
      <c r="A3961" s="1059">
        <v>3009264</v>
      </c>
      <c r="B3961" s="1060" t="s">
        <v>25621</v>
      </c>
      <c r="C3961" s="1059" t="s">
        <v>361</v>
      </c>
      <c r="D3961" s="1061">
        <v>2373941.7400000002</v>
      </c>
    </row>
    <row r="3962" spans="1:4" ht="18" customHeight="1" x14ac:dyDescent="0.25">
      <c r="A3962" s="1059">
        <v>3009036</v>
      </c>
      <c r="B3962" s="1060" t="s">
        <v>25622</v>
      </c>
      <c r="C3962" s="1059" t="s">
        <v>361</v>
      </c>
      <c r="D3962" s="1061">
        <v>2517859.2000000002</v>
      </c>
    </row>
    <row r="3963" spans="1:4" ht="18" customHeight="1" x14ac:dyDescent="0.25">
      <c r="A3963" s="1059">
        <v>3009044</v>
      </c>
      <c r="B3963" s="1060" t="s">
        <v>25623</v>
      </c>
      <c r="C3963" s="1059" t="s">
        <v>361</v>
      </c>
      <c r="D3963" s="1061">
        <v>2406981.31</v>
      </c>
    </row>
    <row r="3964" spans="1:4" ht="18" customHeight="1" x14ac:dyDescent="0.25">
      <c r="A3964" s="1059">
        <v>3009272</v>
      </c>
      <c r="B3964" s="1060" t="s">
        <v>25624</v>
      </c>
      <c r="C3964" s="1059" t="s">
        <v>361</v>
      </c>
      <c r="D3964" s="1061">
        <v>3720089.3</v>
      </c>
    </row>
    <row r="3965" spans="1:4" ht="18" customHeight="1" x14ac:dyDescent="0.25">
      <c r="A3965" s="1059">
        <v>3009052</v>
      </c>
      <c r="B3965" s="1060" t="s">
        <v>25625</v>
      </c>
      <c r="C3965" s="1059" t="s">
        <v>361</v>
      </c>
      <c r="D3965" s="1061">
        <v>3777579.22</v>
      </c>
    </row>
    <row r="3966" spans="1:4" ht="18" customHeight="1" x14ac:dyDescent="0.25">
      <c r="A3966" s="1059">
        <v>3009105</v>
      </c>
      <c r="B3966" s="1060" t="s">
        <v>25626</v>
      </c>
      <c r="C3966" s="1059" t="s">
        <v>3</v>
      </c>
      <c r="D3966" s="1061">
        <v>203382.93</v>
      </c>
    </row>
    <row r="3967" spans="1:4" ht="18" customHeight="1" x14ac:dyDescent="0.25">
      <c r="A3967" s="1059">
        <v>3009248</v>
      </c>
      <c r="B3967" s="1060" t="s">
        <v>25627</v>
      </c>
      <c r="C3967" s="1059" t="s">
        <v>361</v>
      </c>
      <c r="D3967" s="1061">
        <v>1858128.34</v>
      </c>
    </row>
    <row r="3968" spans="1:4" ht="18" customHeight="1" x14ac:dyDescent="0.25">
      <c r="A3968" s="1059">
        <v>3009210</v>
      </c>
      <c r="B3968" s="1060" t="s">
        <v>25628</v>
      </c>
      <c r="C3968" s="1059" t="s">
        <v>361</v>
      </c>
      <c r="D3968" s="1061">
        <v>1865561.94</v>
      </c>
    </row>
    <row r="3969" spans="1:4" ht="18" customHeight="1" x14ac:dyDescent="0.25">
      <c r="A3969" s="1059">
        <v>3009310</v>
      </c>
      <c r="B3969" s="1060" t="s">
        <v>25629</v>
      </c>
      <c r="C3969" s="1059" t="s">
        <v>361</v>
      </c>
      <c r="D3969" s="1061">
        <v>2787105.53</v>
      </c>
    </row>
    <row r="3970" spans="1:4" ht="18" customHeight="1" x14ac:dyDescent="0.25">
      <c r="A3970" s="1059">
        <v>3009214</v>
      </c>
      <c r="B3970" s="1060" t="s">
        <v>25630</v>
      </c>
      <c r="C3970" s="1059" t="s">
        <v>361</v>
      </c>
      <c r="D3970" s="1061">
        <v>2798255.92</v>
      </c>
    </row>
    <row r="3971" spans="1:4" ht="18" customHeight="1" x14ac:dyDescent="0.25">
      <c r="A3971" s="1059">
        <v>3009260</v>
      </c>
      <c r="B3971" s="1060" t="s">
        <v>25631</v>
      </c>
      <c r="C3971" s="1059" t="s">
        <v>361</v>
      </c>
      <c r="D3971" s="1061">
        <v>2472066.7999999998</v>
      </c>
    </row>
    <row r="3972" spans="1:4" ht="18" customHeight="1" x14ac:dyDescent="0.25">
      <c r="A3972" s="1059">
        <v>3009268</v>
      </c>
      <c r="B3972" s="1060" t="s">
        <v>25632</v>
      </c>
      <c r="C3972" s="1059" t="s">
        <v>361</v>
      </c>
      <c r="D3972" s="1061">
        <v>2366447.86</v>
      </c>
    </row>
    <row r="3973" spans="1:4" ht="18" customHeight="1" x14ac:dyDescent="0.25">
      <c r="A3973" s="1059">
        <v>3009040</v>
      </c>
      <c r="B3973" s="1060" t="s">
        <v>25633</v>
      </c>
      <c r="C3973" s="1059" t="s">
        <v>361</v>
      </c>
      <c r="D3973" s="1061">
        <v>2510365.3199999998</v>
      </c>
    </row>
    <row r="3974" spans="1:4" ht="18" customHeight="1" x14ac:dyDescent="0.25">
      <c r="A3974" s="1059">
        <v>3009048</v>
      </c>
      <c r="B3974" s="1060" t="s">
        <v>25634</v>
      </c>
      <c r="C3974" s="1059" t="s">
        <v>361</v>
      </c>
      <c r="D3974" s="1061">
        <v>2399487.4300000002</v>
      </c>
    </row>
    <row r="3975" spans="1:4" ht="18" customHeight="1" x14ac:dyDescent="0.25">
      <c r="A3975" s="1059">
        <v>3009276</v>
      </c>
      <c r="B3975" s="1060" t="s">
        <v>25635</v>
      </c>
      <c r="C3975" s="1059" t="s">
        <v>361</v>
      </c>
      <c r="D3975" s="1061">
        <v>3708850.01</v>
      </c>
    </row>
    <row r="3976" spans="1:4" ht="18" customHeight="1" x14ac:dyDescent="0.25">
      <c r="A3976" s="1059">
        <v>3009056</v>
      </c>
      <c r="B3976" s="1060" t="s">
        <v>25636</v>
      </c>
      <c r="C3976" s="1059" t="s">
        <v>361</v>
      </c>
      <c r="D3976" s="1061">
        <v>3766339.93</v>
      </c>
    </row>
    <row r="3977" spans="1:4" ht="18" customHeight="1" x14ac:dyDescent="0.25">
      <c r="A3977" s="1059">
        <v>3009237</v>
      </c>
      <c r="B3977" s="1060" t="s">
        <v>25637</v>
      </c>
      <c r="C3977" s="1059" t="s">
        <v>361</v>
      </c>
      <c r="D3977" s="1061">
        <v>2143226.8799999999</v>
      </c>
    </row>
    <row r="3978" spans="1:4" ht="18" customHeight="1" x14ac:dyDescent="0.25">
      <c r="A3978" s="1059">
        <v>3009025</v>
      </c>
      <c r="B3978" s="1060" t="s">
        <v>25638</v>
      </c>
      <c r="C3978" s="1059" t="s">
        <v>361</v>
      </c>
      <c r="D3978" s="1061">
        <v>2148845.23</v>
      </c>
    </row>
    <row r="3979" spans="1:4" ht="18" customHeight="1" x14ac:dyDescent="0.25">
      <c r="A3979" s="1059">
        <v>3009319</v>
      </c>
      <c r="B3979" s="1060" t="s">
        <v>25639</v>
      </c>
      <c r="C3979" s="1059" t="s">
        <v>361</v>
      </c>
      <c r="D3979" s="1061">
        <v>3212802.25</v>
      </c>
    </row>
    <row r="3980" spans="1:4" ht="18" customHeight="1" x14ac:dyDescent="0.25">
      <c r="A3980" s="1059">
        <v>3009021</v>
      </c>
      <c r="B3980" s="1060" t="s">
        <v>25640</v>
      </c>
      <c r="C3980" s="1059" t="s">
        <v>361</v>
      </c>
      <c r="D3980" s="1061">
        <v>3221562.77</v>
      </c>
    </row>
    <row r="3981" spans="1:4" ht="18" customHeight="1" x14ac:dyDescent="0.25">
      <c r="A3981" s="1059">
        <v>3009291</v>
      </c>
      <c r="B3981" s="1060" t="s">
        <v>25641</v>
      </c>
      <c r="C3981" s="1059" t="s">
        <v>361</v>
      </c>
      <c r="D3981" s="1061">
        <v>2659429.9900000002</v>
      </c>
    </row>
    <row r="3982" spans="1:4" ht="18" customHeight="1" x14ac:dyDescent="0.25">
      <c r="A3982" s="1059">
        <v>3009016</v>
      </c>
      <c r="B3982" s="1060" t="s">
        <v>25642</v>
      </c>
      <c r="C3982" s="1059" t="s">
        <v>361</v>
      </c>
      <c r="D3982" s="1061">
        <v>2692746.94</v>
      </c>
    </row>
    <row r="3983" spans="1:4" ht="18" customHeight="1" x14ac:dyDescent="0.25">
      <c r="A3983" s="1059">
        <v>3009295</v>
      </c>
      <c r="B3983" s="1060" t="s">
        <v>25643</v>
      </c>
      <c r="C3983" s="1059" t="s">
        <v>361</v>
      </c>
      <c r="D3983" s="1061">
        <v>3989147.81</v>
      </c>
    </row>
    <row r="3984" spans="1:4" ht="18" customHeight="1" x14ac:dyDescent="0.25">
      <c r="A3984" s="1059">
        <v>3009228</v>
      </c>
      <c r="B3984" s="1060" t="s">
        <v>25644</v>
      </c>
      <c r="C3984" s="1059" t="s">
        <v>361</v>
      </c>
      <c r="D3984" s="1061">
        <v>4039123.51</v>
      </c>
    </row>
    <row r="3985" spans="1:4" ht="18" customHeight="1" x14ac:dyDescent="0.25">
      <c r="A3985" s="1059">
        <v>3009106</v>
      </c>
      <c r="B3985" s="1060" t="s">
        <v>25645</v>
      </c>
      <c r="C3985" s="1059" t="s">
        <v>3</v>
      </c>
      <c r="D3985" s="1061">
        <v>111287.07</v>
      </c>
    </row>
    <row r="3986" spans="1:4" ht="18" customHeight="1" x14ac:dyDescent="0.25">
      <c r="A3986" s="1059">
        <v>3009299</v>
      </c>
      <c r="B3986" s="1060" t="s">
        <v>25646</v>
      </c>
      <c r="C3986" s="1059" t="s">
        <v>361</v>
      </c>
      <c r="D3986" s="1061">
        <v>2024767.37</v>
      </c>
    </row>
    <row r="3987" spans="1:4" ht="18" customHeight="1" x14ac:dyDescent="0.25">
      <c r="A3987" s="1059">
        <v>3009029</v>
      </c>
      <c r="B3987" s="1060" t="s">
        <v>25647</v>
      </c>
      <c r="C3987" s="1059" t="s">
        <v>361</v>
      </c>
      <c r="D3987" s="1061">
        <v>2032200.87</v>
      </c>
    </row>
    <row r="3988" spans="1:4" ht="18" customHeight="1" x14ac:dyDescent="0.25">
      <c r="A3988" s="1059">
        <v>3009245</v>
      </c>
      <c r="B3988" s="1060" t="s">
        <v>25648</v>
      </c>
      <c r="C3988" s="1059" t="s">
        <v>361</v>
      </c>
      <c r="D3988" s="1061">
        <v>3037062.58</v>
      </c>
    </row>
    <row r="3989" spans="1:4" ht="18" customHeight="1" x14ac:dyDescent="0.25">
      <c r="A3989" s="1059">
        <v>3009033</v>
      </c>
      <c r="B3989" s="1060" t="s">
        <v>25649</v>
      </c>
      <c r="C3989" s="1059" t="s">
        <v>361</v>
      </c>
      <c r="D3989" s="1061">
        <v>3048212.65</v>
      </c>
    </row>
    <row r="3990" spans="1:4" ht="18" customHeight="1" x14ac:dyDescent="0.25">
      <c r="A3990" s="1059">
        <v>3009257</v>
      </c>
      <c r="B3990" s="1060" t="s">
        <v>25650</v>
      </c>
      <c r="C3990" s="1059" t="s">
        <v>361</v>
      </c>
      <c r="D3990" s="1061">
        <v>2558926.9300000002</v>
      </c>
    </row>
    <row r="3991" spans="1:4" ht="18" customHeight="1" x14ac:dyDescent="0.25">
      <c r="A3991" s="1059">
        <v>3009265</v>
      </c>
      <c r="B3991" s="1060" t="s">
        <v>25651</v>
      </c>
      <c r="C3991" s="1059" t="s">
        <v>361</v>
      </c>
      <c r="D3991" s="1061">
        <v>2541382.58</v>
      </c>
    </row>
    <row r="3992" spans="1:4" ht="18" customHeight="1" x14ac:dyDescent="0.25">
      <c r="A3992" s="1059">
        <v>3009037</v>
      </c>
      <c r="B3992" s="1060" t="s">
        <v>25652</v>
      </c>
      <c r="C3992" s="1059" t="s">
        <v>361</v>
      </c>
      <c r="D3992" s="1061">
        <v>2593256.42</v>
      </c>
    </row>
    <row r="3993" spans="1:4" ht="18" customHeight="1" x14ac:dyDescent="0.25">
      <c r="A3993" s="1059">
        <v>3009045</v>
      </c>
      <c r="B3993" s="1060" t="s">
        <v>25653</v>
      </c>
      <c r="C3993" s="1059" t="s">
        <v>361</v>
      </c>
      <c r="D3993" s="1061">
        <v>2574838.35</v>
      </c>
    </row>
    <row r="3994" spans="1:4" ht="18" customHeight="1" x14ac:dyDescent="0.25">
      <c r="A3994" s="1059">
        <v>3009273</v>
      </c>
      <c r="B3994" s="1060" t="s">
        <v>25654</v>
      </c>
      <c r="C3994" s="1059" t="s">
        <v>361</v>
      </c>
      <c r="D3994" s="1061">
        <v>3839138.63</v>
      </c>
    </row>
    <row r="3995" spans="1:4" ht="18" customHeight="1" x14ac:dyDescent="0.25">
      <c r="A3995" s="1059">
        <v>3009053</v>
      </c>
      <c r="B3995" s="1060" t="s">
        <v>25655</v>
      </c>
      <c r="C3995" s="1059" t="s">
        <v>361</v>
      </c>
      <c r="D3995" s="1061">
        <v>3890675.01</v>
      </c>
    </row>
    <row r="3996" spans="1:4" ht="18" customHeight="1" x14ac:dyDescent="0.25">
      <c r="A3996" s="1059">
        <v>3009107</v>
      </c>
      <c r="B3996" s="1060" t="s">
        <v>25656</v>
      </c>
      <c r="C3996" s="1059" t="s">
        <v>3</v>
      </c>
      <c r="D3996" s="1061">
        <v>222822.76</v>
      </c>
    </row>
    <row r="3997" spans="1:4" ht="18" customHeight="1" x14ac:dyDescent="0.25">
      <c r="A3997" s="1059">
        <v>3009249</v>
      </c>
      <c r="B3997" s="1060" t="s">
        <v>25657</v>
      </c>
      <c r="C3997" s="1059" t="s">
        <v>361</v>
      </c>
      <c r="D3997" s="1061">
        <v>2018669.45</v>
      </c>
    </row>
    <row r="3998" spans="1:4" ht="18" customHeight="1" x14ac:dyDescent="0.25">
      <c r="A3998" s="1059">
        <v>3009211</v>
      </c>
      <c r="B3998" s="1060" t="s">
        <v>25658</v>
      </c>
      <c r="C3998" s="1059" t="s">
        <v>361</v>
      </c>
      <c r="D3998" s="1061">
        <v>2026103.04</v>
      </c>
    </row>
    <row r="3999" spans="1:4" ht="18" customHeight="1" x14ac:dyDescent="0.25">
      <c r="A3999" s="1059">
        <v>3009253</v>
      </c>
      <c r="B3999" s="1060" t="s">
        <v>25659</v>
      </c>
      <c r="C3999" s="1059" t="s">
        <v>361</v>
      </c>
      <c r="D3999" s="1061">
        <v>3027917.29</v>
      </c>
    </row>
    <row r="4000" spans="1:4" ht="18" customHeight="1" x14ac:dyDescent="0.25">
      <c r="A4000" s="1059">
        <v>3009215</v>
      </c>
      <c r="B4000" s="1060" t="s">
        <v>25660</v>
      </c>
      <c r="C4000" s="1059" t="s">
        <v>361</v>
      </c>
      <c r="D4000" s="1061">
        <v>3039067.68</v>
      </c>
    </row>
    <row r="4001" spans="1:4" ht="18" customHeight="1" x14ac:dyDescent="0.25">
      <c r="A4001" s="1059">
        <v>3009261</v>
      </c>
      <c r="B4001" s="1060" t="s">
        <v>25661</v>
      </c>
      <c r="C4001" s="1059" t="s">
        <v>361</v>
      </c>
      <c r="D4001" s="1061">
        <v>2552892.5499999998</v>
      </c>
    </row>
    <row r="4002" spans="1:4" ht="18" customHeight="1" x14ac:dyDescent="0.25">
      <c r="A4002" s="1059">
        <v>3009269</v>
      </c>
      <c r="B4002" s="1060" t="s">
        <v>25662</v>
      </c>
      <c r="C4002" s="1059" t="s">
        <v>361</v>
      </c>
      <c r="D4002" s="1061">
        <v>2535348.2000000002</v>
      </c>
    </row>
    <row r="4003" spans="1:4" ht="18" customHeight="1" x14ac:dyDescent="0.25">
      <c r="A4003" s="1059">
        <v>3009041</v>
      </c>
      <c r="B4003" s="1060" t="s">
        <v>25663</v>
      </c>
      <c r="C4003" s="1059" t="s">
        <v>361</v>
      </c>
      <c r="D4003" s="1061">
        <v>2587222.04</v>
      </c>
    </row>
    <row r="4004" spans="1:4" ht="18" customHeight="1" x14ac:dyDescent="0.25">
      <c r="A4004" s="1059">
        <v>3009049</v>
      </c>
      <c r="B4004" s="1060" t="s">
        <v>25664</v>
      </c>
      <c r="C4004" s="1059" t="s">
        <v>361</v>
      </c>
      <c r="D4004" s="1061">
        <v>2568803.9700000002</v>
      </c>
    </row>
    <row r="4005" spans="1:4" ht="18" customHeight="1" x14ac:dyDescent="0.25">
      <c r="A4005" s="1059">
        <v>3009277</v>
      </c>
      <c r="B4005" s="1060" t="s">
        <v>25665</v>
      </c>
      <c r="C4005" s="1059" t="s">
        <v>361</v>
      </c>
      <c r="D4005" s="1061">
        <v>3830088.74</v>
      </c>
    </row>
    <row r="4006" spans="1:4" ht="18" customHeight="1" x14ac:dyDescent="0.25">
      <c r="A4006" s="1059">
        <v>3009057</v>
      </c>
      <c r="B4006" s="1060" t="s">
        <v>25666</v>
      </c>
      <c r="C4006" s="1059" t="s">
        <v>361</v>
      </c>
      <c r="D4006" s="1061">
        <v>3881625.11</v>
      </c>
    </row>
    <row r="4007" spans="1:4" ht="9" customHeight="1" x14ac:dyDescent="0.25">
      <c r="A4007" s="1059">
        <v>3108073</v>
      </c>
      <c r="B4007" s="1060" t="s">
        <v>25667</v>
      </c>
      <c r="C4007" s="1059" t="s">
        <v>39</v>
      </c>
      <c r="D4007" s="1061">
        <v>394.28</v>
      </c>
    </row>
    <row r="4008" spans="1:4" ht="9" customHeight="1" x14ac:dyDescent="0.25">
      <c r="A4008" s="1059">
        <v>3107965</v>
      </c>
      <c r="B4008" s="1060" t="s">
        <v>25668</v>
      </c>
      <c r="C4008" s="1059" t="s">
        <v>39</v>
      </c>
      <c r="D4008" s="1061">
        <v>633.84</v>
      </c>
    </row>
    <row r="4009" spans="1:4" ht="9" customHeight="1" x14ac:dyDescent="0.25">
      <c r="A4009" s="1059">
        <v>3105941</v>
      </c>
      <c r="B4009" s="1060" t="s">
        <v>25669</v>
      </c>
      <c r="C4009" s="1059" t="s">
        <v>39</v>
      </c>
      <c r="D4009" s="1061">
        <v>30.51</v>
      </c>
    </row>
    <row r="4010" spans="1:4" ht="18" customHeight="1" x14ac:dyDescent="0.25">
      <c r="A4010" s="1059">
        <v>3108150</v>
      </c>
      <c r="B4010" s="1060" t="s">
        <v>25670</v>
      </c>
      <c r="C4010" s="1059" t="s">
        <v>39</v>
      </c>
      <c r="D4010" s="1061">
        <v>19.989999999999998</v>
      </c>
    </row>
    <row r="4011" spans="1:4" ht="9" customHeight="1" x14ac:dyDescent="0.25">
      <c r="A4011" s="1059">
        <v>3108071</v>
      </c>
      <c r="B4011" s="1060" t="s">
        <v>25671</v>
      </c>
      <c r="C4011" s="1059" t="s">
        <v>39</v>
      </c>
      <c r="D4011" s="1061">
        <v>15.11</v>
      </c>
    </row>
    <row r="4012" spans="1:4" ht="18" customHeight="1" x14ac:dyDescent="0.25">
      <c r="A4012" s="1059">
        <v>3107967</v>
      </c>
      <c r="B4012" s="1060" t="s">
        <v>25672</v>
      </c>
      <c r="C4012" s="1059" t="s">
        <v>39</v>
      </c>
      <c r="D4012" s="1061">
        <v>11</v>
      </c>
    </row>
    <row r="4013" spans="1:4" ht="9" customHeight="1" x14ac:dyDescent="0.25">
      <c r="A4013" s="1059">
        <v>3107966</v>
      </c>
      <c r="B4013" s="1060" t="s">
        <v>25673</v>
      </c>
      <c r="C4013" s="1059" t="s">
        <v>39</v>
      </c>
      <c r="D4013" s="1061">
        <v>29.35</v>
      </c>
    </row>
    <row r="4014" spans="1:4" ht="18" customHeight="1" x14ac:dyDescent="0.25">
      <c r="A4014" s="1059">
        <v>3108072</v>
      </c>
      <c r="B4014" s="1060" t="s">
        <v>25674</v>
      </c>
      <c r="C4014" s="1059" t="s">
        <v>39</v>
      </c>
      <c r="D4014" s="1061">
        <v>16.43</v>
      </c>
    </row>
    <row r="4015" spans="1:4" ht="18" customHeight="1" x14ac:dyDescent="0.25">
      <c r="A4015" s="1059">
        <v>3117750</v>
      </c>
      <c r="B4015" s="1060" t="s">
        <v>25675</v>
      </c>
      <c r="C4015" s="1059" t="s">
        <v>39</v>
      </c>
      <c r="D4015" s="1061">
        <v>20.260000000000002</v>
      </c>
    </row>
    <row r="4016" spans="1:4" ht="9" customHeight="1" x14ac:dyDescent="0.25">
      <c r="A4016" s="1059">
        <v>3117749</v>
      </c>
      <c r="B4016" s="1060" t="s">
        <v>25676</v>
      </c>
      <c r="C4016" s="1059" t="s">
        <v>39</v>
      </c>
      <c r="D4016" s="1061">
        <v>16.170000000000002</v>
      </c>
    </row>
    <row r="4017" spans="1:4" ht="9" customHeight="1" x14ac:dyDescent="0.25">
      <c r="A4017" s="1059">
        <v>3106551</v>
      </c>
      <c r="B4017" s="1060" t="s">
        <v>25677</v>
      </c>
      <c r="C4017" s="1059" t="s">
        <v>39</v>
      </c>
      <c r="D4017" s="1061">
        <v>11.96</v>
      </c>
    </row>
    <row r="4018" spans="1:4" ht="18" customHeight="1" x14ac:dyDescent="0.25">
      <c r="A4018" s="1059">
        <v>3106427</v>
      </c>
      <c r="B4018" s="1060" t="s">
        <v>25678</v>
      </c>
      <c r="C4018" s="1059" t="s">
        <v>39</v>
      </c>
      <c r="D4018" s="1061">
        <v>43.74</v>
      </c>
    </row>
    <row r="4019" spans="1:4" ht="9" customHeight="1" x14ac:dyDescent="0.25">
      <c r="A4019" s="1059">
        <v>3106552</v>
      </c>
      <c r="B4019" s="1060" t="s">
        <v>25679</v>
      </c>
      <c r="C4019" s="1059" t="s">
        <v>39</v>
      </c>
      <c r="D4019" s="1061">
        <v>11.25</v>
      </c>
    </row>
    <row r="4020" spans="1:4" ht="9" customHeight="1" x14ac:dyDescent="0.25">
      <c r="A4020" s="1059">
        <v>3107969</v>
      </c>
      <c r="B4020" s="1060" t="s">
        <v>25680</v>
      </c>
      <c r="C4020" s="1059" t="s">
        <v>39</v>
      </c>
      <c r="D4020" s="1061">
        <v>120.46</v>
      </c>
    </row>
    <row r="4021" spans="1:4" ht="9" customHeight="1" x14ac:dyDescent="0.25">
      <c r="A4021" s="1059">
        <v>3107970</v>
      </c>
      <c r="B4021" s="1060" t="s">
        <v>25681</v>
      </c>
      <c r="C4021" s="1059" t="s">
        <v>39</v>
      </c>
      <c r="D4021" s="1061">
        <v>112.05</v>
      </c>
    </row>
    <row r="4022" spans="1:4" ht="9" customHeight="1" x14ac:dyDescent="0.25">
      <c r="A4022" s="1059">
        <v>3108007</v>
      </c>
      <c r="B4022" s="1060" t="s">
        <v>25682</v>
      </c>
      <c r="C4022" s="1059" t="s">
        <v>39</v>
      </c>
      <c r="D4022" s="1061">
        <v>139.97</v>
      </c>
    </row>
    <row r="4023" spans="1:4" ht="9" customHeight="1" x14ac:dyDescent="0.25">
      <c r="A4023" s="1059">
        <v>3108008</v>
      </c>
      <c r="B4023" s="1060" t="s">
        <v>25683</v>
      </c>
      <c r="C4023" s="1059" t="s">
        <v>39</v>
      </c>
      <c r="D4023" s="1061">
        <v>91.95</v>
      </c>
    </row>
    <row r="4024" spans="1:4" ht="9" customHeight="1" x14ac:dyDescent="0.25">
      <c r="A4024" s="1059">
        <v>3108009</v>
      </c>
      <c r="B4024" s="1060" t="s">
        <v>25684</v>
      </c>
      <c r="C4024" s="1059" t="s">
        <v>39</v>
      </c>
      <c r="D4024" s="1061">
        <v>77.400000000000006</v>
      </c>
    </row>
    <row r="4025" spans="1:4" ht="9" customHeight="1" x14ac:dyDescent="0.25">
      <c r="A4025" s="1059">
        <v>3108011</v>
      </c>
      <c r="B4025" s="1060" t="s">
        <v>25685</v>
      </c>
      <c r="C4025" s="1059" t="s">
        <v>39</v>
      </c>
      <c r="D4025" s="1061">
        <v>151.75</v>
      </c>
    </row>
    <row r="4026" spans="1:4" ht="9" customHeight="1" x14ac:dyDescent="0.25">
      <c r="A4026" s="1059">
        <v>3108012</v>
      </c>
      <c r="B4026" s="1060" t="s">
        <v>25686</v>
      </c>
      <c r="C4026" s="1059" t="s">
        <v>39</v>
      </c>
      <c r="D4026" s="1061">
        <v>98.13</v>
      </c>
    </row>
    <row r="4027" spans="1:4" ht="9" customHeight="1" x14ac:dyDescent="0.25">
      <c r="A4027" s="1059">
        <v>3108013</v>
      </c>
      <c r="B4027" s="1060" t="s">
        <v>25687</v>
      </c>
      <c r="C4027" s="1059" t="s">
        <v>39</v>
      </c>
      <c r="D4027" s="1061">
        <v>81.73</v>
      </c>
    </row>
    <row r="4028" spans="1:4" ht="9" customHeight="1" x14ac:dyDescent="0.25">
      <c r="A4028" s="1059">
        <v>3108015</v>
      </c>
      <c r="B4028" s="1060" t="s">
        <v>25688</v>
      </c>
      <c r="C4028" s="1059" t="s">
        <v>39</v>
      </c>
      <c r="D4028" s="1061">
        <v>165.02</v>
      </c>
    </row>
    <row r="4029" spans="1:4" ht="9" customHeight="1" x14ac:dyDescent="0.25">
      <c r="A4029" s="1059">
        <v>3108016</v>
      </c>
      <c r="B4029" s="1060" t="s">
        <v>25689</v>
      </c>
      <c r="C4029" s="1059" t="s">
        <v>39</v>
      </c>
      <c r="D4029" s="1061">
        <v>105.1</v>
      </c>
    </row>
    <row r="4030" spans="1:4" ht="9" customHeight="1" x14ac:dyDescent="0.25">
      <c r="A4030" s="1059">
        <v>3108017</v>
      </c>
      <c r="B4030" s="1060" t="s">
        <v>25690</v>
      </c>
      <c r="C4030" s="1059" t="s">
        <v>39</v>
      </c>
      <c r="D4030" s="1061">
        <v>86.6</v>
      </c>
    </row>
    <row r="4031" spans="1:4" ht="9" customHeight="1" x14ac:dyDescent="0.25">
      <c r="A4031" s="1059">
        <v>3107995</v>
      </c>
      <c r="B4031" s="1060" t="s">
        <v>25691</v>
      </c>
      <c r="C4031" s="1059" t="s">
        <v>39</v>
      </c>
      <c r="D4031" s="1061">
        <v>125.21</v>
      </c>
    </row>
    <row r="4032" spans="1:4" ht="9" customHeight="1" x14ac:dyDescent="0.25">
      <c r="A4032" s="1059">
        <v>3107996</v>
      </c>
      <c r="B4032" s="1060" t="s">
        <v>25692</v>
      </c>
      <c r="C4032" s="1059" t="s">
        <v>39</v>
      </c>
      <c r="D4032" s="1061">
        <v>84.24</v>
      </c>
    </row>
    <row r="4033" spans="1:4" ht="9" customHeight="1" x14ac:dyDescent="0.25">
      <c r="A4033" s="1059">
        <v>3107997</v>
      </c>
      <c r="B4033" s="1060" t="s">
        <v>25693</v>
      </c>
      <c r="C4033" s="1059" t="s">
        <v>39</v>
      </c>
      <c r="D4033" s="1061">
        <v>72.040000000000006</v>
      </c>
    </row>
    <row r="4034" spans="1:4" ht="9" customHeight="1" x14ac:dyDescent="0.25">
      <c r="A4034" s="1059">
        <v>3107999</v>
      </c>
      <c r="B4034" s="1060" t="s">
        <v>25694</v>
      </c>
      <c r="C4034" s="1059" t="s">
        <v>39</v>
      </c>
      <c r="D4034" s="1061">
        <v>132.97</v>
      </c>
    </row>
    <row r="4035" spans="1:4" ht="9" customHeight="1" x14ac:dyDescent="0.25">
      <c r="A4035" s="1059">
        <v>3108000</v>
      </c>
      <c r="B4035" s="1060" t="s">
        <v>25695</v>
      </c>
      <c r="C4035" s="1059" t="s">
        <v>39</v>
      </c>
      <c r="D4035" s="1061">
        <v>88.31</v>
      </c>
    </row>
    <row r="4036" spans="1:4" ht="9" customHeight="1" x14ac:dyDescent="0.25">
      <c r="A4036" s="1059">
        <v>3108001</v>
      </c>
      <c r="B4036" s="1060" t="s">
        <v>25696</v>
      </c>
      <c r="C4036" s="1059" t="s">
        <v>39</v>
      </c>
      <c r="D4036" s="1061">
        <v>74.89</v>
      </c>
    </row>
    <row r="4037" spans="1:4" ht="9" customHeight="1" x14ac:dyDescent="0.25">
      <c r="A4037" s="1059">
        <v>3108003</v>
      </c>
      <c r="B4037" s="1060" t="s">
        <v>25697</v>
      </c>
      <c r="C4037" s="1059" t="s">
        <v>39</v>
      </c>
      <c r="D4037" s="1061">
        <v>137.82</v>
      </c>
    </row>
    <row r="4038" spans="1:4" ht="9" customHeight="1" x14ac:dyDescent="0.25">
      <c r="A4038" s="1059">
        <v>3108004</v>
      </c>
      <c r="B4038" s="1060" t="s">
        <v>25698</v>
      </c>
      <c r="C4038" s="1059" t="s">
        <v>39</v>
      </c>
      <c r="D4038" s="1061">
        <v>90.86</v>
      </c>
    </row>
    <row r="4039" spans="1:4" ht="9" customHeight="1" x14ac:dyDescent="0.25">
      <c r="A4039" s="1059">
        <v>3108005</v>
      </c>
      <c r="B4039" s="1060" t="s">
        <v>25699</v>
      </c>
      <c r="C4039" s="1059" t="s">
        <v>39</v>
      </c>
      <c r="D4039" s="1061">
        <v>76.67</v>
      </c>
    </row>
    <row r="4040" spans="1:4" ht="9" customHeight="1" x14ac:dyDescent="0.25">
      <c r="A4040" s="1059">
        <v>3106119</v>
      </c>
      <c r="B4040" s="1060" t="s">
        <v>25700</v>
      </c>
      <c r="C4040" s="1059" t="s">
        <v>39</v>
      </c>
      <c r="D4040" s="1061">
        <v>148.99</v>
      </c>
    </row>
    <row r="4041" spans="1:4" ht="9" customHeight="1" x14ac:dyDescent="0.25">
      <c r="A4041" s="1059">
        <v>3106120</v>
      </c>
      <c r="B4041" s="1060" t="s">
        <v>25701</v>
      </c>
      <c r="C4041" s="1059" t="s">
        <v>39</v>
      </c>
      <c r="D4041" s="1061">
        <v>104.06</v>
      </c>
    </row>
    <row r="4042" spans="1:4" ht="9" customHeight="1" x14ac:dyDescent="0.25">
      <c r="A4042" s="1059">
        <v>3106121</v>
      </c>
      <c r="B4042" s="1060" t="s">
        <v>25702</v>
      </c>
      <c r="C4042" s="1059" t="s">
        <v>39</v>
      </c>
      <c r="D4042" s="1061">
        <v>90.82</v>
      </c>
    </row>
    <row r="4043" spans="1:4" ht="9" customHeight="1" x14ac:dyDescent="0.25">
      <c r="A4043" s="1059">
        <v>3103302</v>
      </c>
      <c r="B4043" s="1060" t="s">
        <v>25703</v>
      </c>
      <c r="C4043" s="1059" t="s">
        <v>39</v>
      </c>
      <c r="D4043" s="1061">
        <v>71.400000000000006</v>
      </c>
    </row>
    <row r="4044" spans="1:4" ht="9" customHeight="1" x14ac:dyDescent="0.25">
      <c r="A4044" s="1059">
        <v>3103303</v>
      </c>
      <c r="B4044" s="1060" t="s">
        <v>25704</v>
      </c>
      <c r="C4044" s="1059" t="s">
        <v>39</v>
      </c>
      <c r="D4044" s="1061">
        <v>37.46</v>
      </c>
    </row>
    <row r="4045" spans="1:4" ht="18" customHeight="1" x14ac:dyDescent="0.25">
      <c r="A4045" s="1059">
        <v>3106759</v>
      </c>
      <c r="B4045" s="1060" t="s">
        <v>25705</v>
      </c>
      <c r="C4045" s="1059" t="s">
        <v>39</v>
      </c>
      <c r="D4045" s="1061">
        <v>109.58</v>
      </c>
    </row>
    <row r="4046" spans="1:4" ht="9" customHeight="1" x14ac:dyDescent="0.25">
      <c r="A4046" s="1059">
        <v>3108023</v>
      </c>
      <c r="B4046" s="1060" t="s">
        <v>25706</v>
      </c>
      <c r="C4046" s="1059" t="s">
        <v>2</v>
      </c>
      <c r="D4046" s="1061">
        <v>4.95</v>
      </c>
    </row>
    <row r="4047" spans="1:4" ht="9" customHeight="1" x14ac:dyDescent="0.25">
      <c r="A4047" s="1059">
        <v>3108018</v>
      </c>
      <c r="B4047" s="1060" t="s">
        <v>25707</v>
      </c>
      <c r="C4047" s="1059" t="s">
        <v>2</v>
      </c>
      <c r="D4047" s="1061">
        <v>3.62</v>
      </c>
    </row>
    <row r="4048" spans="1:4" ht="9" customHeight="1" x14ac:dyDescent="0.25">
      <c r="A4048" s="1059">
        <v>3108022</v>
      </c>
      <c r="B4048" s="1060" t="s">
        <v>25708</v>
      </c>
      <c r="C4048" s="1059" t="s">
        <v>2</v>
      </c>
      <c r="D4048" s="1061">
        <v>4.0599999999999996</v>
      </c>
    </row>
    <row r="4049" spans="1:4" ht="9" customHeight="1" x14ac:dyDescent="0.25">
      <c r="A4049" s="1059">
        <v>3205864</v>
      </c>
      <c r="B4049" s="1060" t="s">
        <v>25709</v>
      </c>
      <c r="C4049" s="1059" t="s">
        <v>38</v>
      </c>
      <c r="D4049" s="1061">
        <v>925.72</v>
      </c>
    </row>
    <row r="4050" spans="1:4" ht="9" customHeight="1" x14ac:dyDescent="0.25">
      <c r="A4050" s="1059">
        <v>3205863</v>
      </c>
      <c r="B4050" s="1060" t="s">
        <v>25710</v>
      </c>
      <c r="C4050" s="1059" t="s">
        <v>38</v>
      </c>
      <c r="D4050" s="1061">
        <v>833.04</v>
      </c>
    </row>
    <row r="4051" spans="1:4" ht="9" customHeight="1" x14ac:dyDescent="0.25">
      <c r="A4051" s="1059">
        <v>3205868</v>
      </c>
      <c r="B4051" s="1060" t="s">
        <v>25711</v>
      </c>
      <c r="C4051" s="1059" t="s">
        <v>38</v>
      </c>
      <c r="D4051" s="1061">
        <v>786.69</v>
      </c>
    </row>
    <row r="4052" spans="1:4" ht="9" customHeight="1" x14ac:dyDescent="0.25">
      <c r="A4052" s="1059">
        <v>3205867</v>
      </c>
      <c r="B4052" s="1060" t="s">
        <v>25712</v>
      </c>
      <c r="C4052" s="1059" t="s">
        <v>38</v>
      </c>
      <c r="D4052" s="1061">
        <v>694.01</v>
      </c>
    </row>
    <row r="4053" spans="1:4" ht="9" customHeight="1" x14ac:dyDescent="0.25">
      <c r="A4053" s="1059">
        <v>3205866</v>
      </c>
      <c r="B4053" s="1060" t="s">
        <v>25713</v>
      </c>
      <c r="C4053" s="1059" t="s">
        <v>38</v>
      </c>
      <c r="D4053" s="1061">
        <v>714.18</v>
      </c>
    </row>
    <row r="4054" spans="1:4" ht="9" customHeight="1" x14ac:dyDescent="0.25">
      <c r="A4054" s="1059">
        <v>3205865</v>
      </c>
      <c r="B4054" s="1060" t="s">
        <v>25714</v>
      </c>
      <c r="C4054" s="1059" t="s">
        <v>38</v>
      </c>
      <c r="D4054" s="1061">
        <v>621.51</v>
      </c>
    </row>
    <row r="4055" spans="1:4" ht="9" customHeight="1" x14ac:dyDescent="0.25">
      <c r="A4055" s="1059">
        <v>3205870</v>
      </c>
      <c r="B4055" s="1060" t="s">
        <v>25715</v>
      </c>
      <c r="C4055" s="1059" t="s">
        <v>38</v>
      </c>
      <c r="D4055" s="1061">
        <v>743.62</v>
      </c>
    </row>
    <row r="4056" spans="1:4" ht="9" customHeight="1" x14ac:dyDescent="0.25">
      <c r="A4056" s="1059">
        <v>3205869</v>
      </c>
      <c r="B4056" s="1060" t="s">
        <v>25716</v>
      </c>
      <c r="C4056" s="1059" t="s">
        <v>38</v>
      </c>
      <c r="D4056" s="1061">
        <v>650.94000000000005</v>
      </c>
    </row>
    <row r="4057" spans="1:4" ht="9" customHeight="1" x14ac:dyDescent="0.25">
      <c r="A4057" s="1059">
        <v>3205872</v>
      </c>
      <c r="B4057" s="1060" t="s">
        <v>25717</v>
      </c>
      <c r="C4057" s="1059" t="s">
        <v>39</v>
      </c>
      <c r="D4057" s="1061">
        <v>252.42</v>
      </c>
    </row>
    <row r="4058" spans="1:4" ht="9" customHeight="1" x14ac:dyDescent="0.25">
      <c r="A4058" s="1059">
        <v>3205871</v>
      </c>
      <c r="B4058" s="1060" t="s">
        <v>25718</v>
      </c>
      <c r="C4058" s="1059" t="s">
        <v>39</v>
      </c>
      <c r="D4058" s="1061">
        <v>236.66</v>
      </c>
    </row>
    <row r="4059" spans="1:4" ht="9" customHeight="1" x14ac:dyDescent="0.25">
      <c r="A4059" s="1059">
        <v>3205874</v>
      </c>
      <c r="B4059" s="1060" t="s">
        <v>25719</v>
      </c>
      <c r="C4059" s="1059" t="s">
        <v>39</v>
      </c>
      <c r="D4059" s="1061">
        <v>282.82</v>
      </c>
    </row>
    <row r="4060" spans="1:4" ht="9" customHeight="1" x14ac:dyDescent="0.25">
      <c r="A4060" s="1059">
        <v>3205873</v>
      </c>
      <c r="B4060" s="1060" t="s">
        <v>25720</v>
      </c>
      <c r="C4060" s="1059" t="s">
        <v>39</v>
      </c>
      <c r="D4060" s="1061">
        <v>261.5</v>
      </c>
    </row>
    <row r="4061" spans="1:4" ht="9" customHeight="1" x14ac:dyDescent="0.25">
      <c r="A4061" s="1059">
        <v>3205876</v>
      </c>
      <c r="B4061" s="1060" t="s">
        <v>25721</v>
      </c>
      <c r="C4061" s="1059" t="s">
        <v>39</v>
      </c>
      <c r="D4061" s="1061">
        <v>318.29000000000002</v>
      </c>
    </row>
    <row r="4062" spans="1:4" ht="9" customHeight="1" x14ac:dyDescent="0.25">
      <c r="A4062" s="1059">
        <v>3205875</v>
      </c>
      <c r="B4062" s="1060" t="s">
        <v>25722</v>
      </c>
      <c r="C4062" s="1059" t="s">
        <v>39</v>
      </c>
      <c r="D4062" s="1061">
        <v>290.49</v>
      </c>
    </row>
    <row r="4063" spans="1:4" ht="9" customHeight="1" x14ac:dyDescent="0.25">
      <c r="A4063" s="1059">
        <v>3205862</v>
      </c>
      <c r="B4063" s="1060" t="s">
        <v>25723</v>
      </c>
      <c r="C4063" s="1059" t="s">
        <v>38</v>
      </c>
      <c r="D4063" s="1061">
        <v>789.69</v>
      </c>
    </row>
    <row r="4064" spans="1:4" ht="9" customHeight="1" x14ac:dyDescent="0.25">
      <c r="A4064" s="1059">
        <v>3205861</v>
      </c>
      <c r="B4064" s="1060" t="s">
        <v>25724</v>
      </c>
      <c r="C4064" s="1059" t="s">
        <v>38</v>
      </c>
      <c r="D4064" s="1061">
        <v>697.01</v>
      </c>
    </row>
    <row r="4065" spans="1:4" ht="18" customHeight="1" x14ac:dyDescent="0.25">
      <c r="A4065" s="1059">
        <v>3606579</v>
      </c>
      <c r="B4065" s="1060" t="s">
        <v>25725</v>
      </c>
      <c r="C4065" s="1059" t="s">
        <v>38</v>
      </c>
      <c r="D4065" s="1061">
        <v>22.57</v>
      </c>
    </row>
    <row r="4066" spans="1:4" ht="18" customHeight="1" x14ac:dyDescent="0.25">
      <c r="A4066" s="1059">
        <v>3606583</v>
      </c>
      <c r="B4066" s="1060" t="s">
        <v>25726</v>
      </c>
      <c r="C4066" s="1059" t="s">
        <v>38</v>
      </c>
      <c r="D4066" s="1061">
        <v>23.41</v>
      </c>
    </row>
    <row r="4067" spans="1:4" ht="18" customHeight="1" x14ac:dyDescent="0.25">
      <c r="A4067" s="1059">
        <v>3606584</v>
      </c>
      <c r="B4067" s="1060" t="s">
        <v>25727</v>
      </c>
      <c r="C4067" s="1059" t="s">
        <v>38</v>
      </c>
      <c r="D4067" s="1061">
        <v>23.53</v>
      </c>
    </row>
    <row r="4068" spans="1:4" ht="18" customHeight="1" x14ac:dyDescent="0.25">
      <c r="A4068" s="1059">
        <v>3606585</v>
      </c>
      <c r="B4068" s="1060" t="s">
        <v>25728</v>
      </c>
      <c r="C4068" s="1059" t="s">
        <v>38</v>
      </c>
      <c r="D4068" s="1061">
        <v>23.65</v>
      </c>
    </row>
    <row r="4069" spans="1:4" ht="18" customHeight="1" x14ac:dyDescent="0.25">
      <c r="A4069" s="1059">
        <v>3606586</v>
      </c>
      <c r="B4069" s="1060" t="s">
        <v>25729</v>
      </c>
      <c r="C4069" s="1059" t="s">
        <v>38</v>
      </c>
      <c r="D4069" s="1061">
        <v>23.89</v>
      </c>
    </row>
    <row r="4070" spans="1:4" ht="18" customHeight="1" x14ac:dyDescent="0.25">
      <c r="A4070" s="1059">
        <v>3606587</v>
      </c>
      <c r="B4070" s="1060" t="s">
        <v>25730</v>
      </c>
      <c r="C4070" s="1059" t="s">
        <v>38</v>
      </c>
      <c r="D4070" s="1061">
        <v>24.13</v>
      </c>
    </row>
    <row r="4071" spans="1:4" ht="18" customHeight="1" x14ac:dyDescent="0.25">
      <c r="A4071" s="1059">
        <v>3606588</v>
      </c>
      <c r="B4071" s="1060" t="s">
        <v>25731</v>
      </c>
      <c r="C4071" s="1059" t="s">
        <v>38</v>
      </c>
      <c r="D4071" s="1061">
        <v>24.25</v>
      </c>
    </row>
    <row r="4072" spans="1:4" ht="9" customHeight="1" x14ac:dyDescent="0.25">
      <c r="A4072" s="1059">
        <v>3606589</v>
      </c>
      <c r="B4072" s="1060" t="s">
        <v>25732</v>
      </c>
      <c r="C4072" s="1059" t="s">
        <v>38</v>
      </c>
      <c r="D4072" s="1061">
        <v>24.37</v>
      </c>
    </row>
    <row r="4073" spans="1:4" ht="18" customHeight="1" x14ac:dyDescent="0.25">
      <c r="A4073" s="1059">
        <v>3606580</v>
      </c>
      <c r="B4073" s="1060" t="s">
        <v>25733</v>
      </c>
      <c r="C4073" s="1059" t="s">
        <v>38</v>
      </c>
      <c r="D4073" s="1061">
        <v>22.81</v>
      </c>
    </row>
    <row r="4074" spans="1:4" ht="18" customHeight="1" x14ac:dyDescent="0.25">
      <c r="A4074" s="1059">
        <v>3606581</v>
      </c>
      <c r="B4074" s="1060" t="s">
        <v>25734</v>
      </c>
      <c r="C4074" s="1059" t="s">
        <v>38</v>
      </c>
      <c r="D4074" s="1061">
        <v>23.05</v>
      </c>
    </row>
    <row r="4075" spans="1:4" ht="18" customHeight="1" x14ac:dyDescent="0.25">
      <c r="A4075" s="1059">
        <v>3606582</v>
      </c>
      <c r="B4075" s="1060" t="s">
        <v>25735</v>
      </c>
      <c r="C4075" s="1059" t="s">
        <v>38</v>
      </c>
      <c r="D4075" s="1061">
        <v>23.17</v>
      </c>
    </row>
    <row r="4076" spans="1:4" ht="18" customHeight="1" x14ac:dyDescent="0.25">
      <c r="A4076" s="1059">
        <v>3606527</v>
      </c>
      <c r="B4076" s="1060" t="s">
        <v>25736</v>
      </c>
      <c r="C4076" s="1059" t="s">
        <v>38</v>
      </c>
      <c r="D4076" s="1061">
        <v>51.96</v>
      </c>
    </row>
    <row r="4077" spans="1:4" ht="18" customHeight="1" x14ac:dyDescent="0.25">
      <c r="A4077" s="1059">
        <v>3606528</v>
      </c>
      <c r="B4077" s="1060" t="s">
        <v>25737</v>
      </c>
      <c r="C4077" s="1059" t="s">
        <v>38</v>
      </c>
      <c r="D4077" s="1061">
        <v>52.79</v>
      </c>
    </row>
    <row r="4078" spans="1:4" ht="18" customHeight="1" x14ac:dyDescent="0.25">
      <c r="A4078" s="1059">
        <v>3606529</v>
      </c>
      <c r="B4078" s="1060" t="s">
        <v>25738</v>
      </c>
      <c r="C4078" s="1059" t="s">
        <v>38</v>
      </c>
      <c r="D4078" s="1061">
        <v>53.46</v>
      </c>
    </row>
    <row r="4079" spans="1:4" ht="18" customHeight="1" x14ac:dyDescent="0.25">
      <c r="A4079" s="1059">
        <v>3606530</v>
      </c>
      <c r="B4079" s="1060" t="s">
        <v>25739</v>
      </c>
      <c r="C4079" s="1059" t="s">
        <v>38</v>
      </c>
      <c r="D4079" s="1061">
        <v>54.29</v>
      </c>
    </row>
    <row r="4080" spans="1:4" ht="18" customHeight="1" x14ac:dyDescent="0.25">
      <c r="A4080" s="1059">
        <v>3606531</v>
      </c>
      <c r="B4080" s="1060" t="s">
        <v>25740</v>
      </c>
      <c r="C4080" s="1059" t="s">
        <v>38</v>
      </c>
      <c r="D4080" s="1061">
        <v>55.11</v>
      </c>
    </row>
    <row r="4081" spans="1:4" ht="18" customHeight="1" x14ac:dyDescent="0.25">
      <c r="A4081" s="1059">
        <v>3606532</v>
      </c>
      <c r="B4081" s="1060" t="s">
        <v>25741</v>
      </c>
      <c r="C4081" s="1059" t="s">
        <v>38</v>
      </c>
      <c r="D4081" s="1061">
        <v>56.44</v>
      </c>
    </row>
    <row r="4082" spans="1:4" ht="18" customHeight="1" x14ac:dyDescent="0.25">
      <c r="A4082" s="1059">
        <v>3606533</v>
      </c>
      <c r="B4082" s="1060" t="s">
        <v>25742</v>
      </c>
      <c r="C4082" s="1059" t="s">
        <v>38</v>
      </c>
      <c r="D4082" s="1061">
        <v>60.64</v>
      </c>
    </row>
    <row r="4083" spans="1:4" ht="18" customHeight="1" x14ac:dyDescent="0.25">
      <c r="A4083" s="1059">
        <v>3606534</v>
      </c>
      <c r="B4083" s="1060" t="s">
        <v>25743</v>
      </c>
      <c r="C4083" s="1059" t="s">
        <v>38</v>
      </c>
      <c r="D4083" s="1061">
        <v>61.75</v>
      </c>
    </row>
    <row r="4084" spans="1:4" ht="18" customHeight="1" x14ac:dyDescent="0.25">
      <c r="A4084" s="1059">
        <v>3606535</v>
      </c>
      <c r="B4084" s="1060" t="s">
        <v>25744</v>
      </c>
      <c r="C4084" s="1059" t="s">
        <v>38</v>
      </c>
      <c r="D4084" s="1061">
        <v>47.49</v>
      </c>
    </row>
    <row r="4085" spans="1:4" ht="18" customHeight="1" x14ac:dyDescent="0.25">
      <c r="A4085" s="1059">
        <v>3606536</v>
      </c>
      <c r="B4085" s="1060" t="s">
        <v>25745</v>
      </c>
      <c r="C4085" s="1059" t="s">
        <v>38</v>
      </c>
      <c r="D4085" s="1061">
        <v>47.93</v>
      </c>
    </row>
    <row r="4086" spans="1:4" ht="18" customHeight="1" x14ac:dyDescent="0.25">
      <c r="A4086" s="1059">
        <v>3606537</v>
      </c>
      <c r="B4086" s="1060" t="s">
        <v>25746</v>
      </c>
      <c r="C4086" s="1059" t="s">
        <v>38</v>
      </c>
      <c r="D4086" s="1061">
        <v>48.48</v>
      </c>
    </row>
    <row r="4087" spans="1:4" ht="18" customHeight="1" x14ac:dyDescent="0.25">
      <c r="A4087" s="1059">
        <v>3606538</v>
      </c>
      <c r="B4087" s="1060" t="s">
        <v>25747</v>
      </c>
      <c r="C4087" s="1059" t="s">
        <v>38</v>
      </c>
      <c r="D4087" s="1061">
        <v>48.92</v>
      </c>
    </row>
    <row r="4088" spans="1:4" ht="18" customHeight="1" x14ac:dyDescent="0.25">
      <c r="A4088" s="1059">
        <v>3606539</v>
      </c>
      <c r="B4088" s="1060" t="s">
        <v>25748</v>
      </c>
      <c r="C4088" s="1059" t="s">
        <v>38</v>
      </c>
      <c r="D4088" s="1061">
        <v>49.48</v>
      </c>
    </row>
    <row r="4089" spans="1:4" ht="18" customHeight="1" x14ac:dyDescent="0.25">
      <c r="A4089" s="1059">
        <v>3606540</v>
      </c>
      <c r="B4089" s="1060" t="s">
        <v>25749</v>
      </c>
      <c r="C4089" s="1059" t="s">
        <v>38</v>
      </c>
      <c r="D4089" s="1061">
        <v>52.3</v>
      </c>
    </row>
    <row r="4090" spans="1:4" ht="18" customHeight="1" x14ac:dyDescent="0.25">
      <c r="A4090" s="1059">
        <v>3606541</v>
      </c>
      <c r="B4090" s="1060" t="s">
        <v>25750</v>
      </c>
      <c r="C4090" s="1059" t="s">
        <v>38</v>
      </c>
      <c r="D4090" s="1061">
        <v>53.79</v>
      </c>
    </row>
    <row r="4091" spans="1:4" ht="18" customHeight="1" x14ac:dyDescent="0.25">
      <c r="A4091" s="1059">
        <v>3606542</v>
      </c>
      <c r="B4091" s="1060" t="s">
        <v>25751</v>
      </c>
      <c r="C4091" s="1059" t="s">
        <v>38</v>
      </c>
      <c r="D4091" s="1061">
        <v>54.45</v>
      </c>
    </row>
    <row r="4092" spans="1:4" ht="18" customHeight="1" x14ac:dyDescent="0.25">
      <c r="A4092" s="1059">
        <v>3606543</v>
      </c>
      <c r="B4092" s="1060" t="s">
        <v>25752</v>
      </c>
      <c r="C4092" s="1059" t="s">
        <v>38</v>
      </c>
      <c r="D4092" s="1061">
        <v>46.71</v>
      </c>
    </row>
    <row r="4093" spans="1:4" ht="18" customHeight="1" x14ac:dyDescent="0.25">
      <c r="A4093" s="1059">
        <v>3606544</v>
      </c>
      <c r="B4093" s="1060" t="s">
        <v>25753</v>
      </c>
      <c r="C4093" s="1059" t="s">
        <v>38</v>
      </c>
      <c r="D4093" s="1061">
        <v>47.04</v>
      </c>
    </row>
    <row r="4094" spans="1:4" ht="18" customHeight="1" x14ac:dyDescent="0.25">
      <c r="A4094" s="1059">
        <v>3606545</v>
      </c>
      <c r="B4094" s="1060" t="s">
        <v>25754</v>
      </c>
      <c r="C4094" s="1059" t="s">
        <v>38</v>
      </c>
      <c r="D4094" s="1061">
        <v>47.49</v>
      </c>
    </row>
    <row r="4095" spans="1:4" ht="18" customHeight="1" x14ac:dyDescent="0.25">
      <c r="A4095" s="1059">
        <v>3606546</v>
      </c>
      <c r="B4095" s="1060" t="s">
        <v>25755</v>
      </c>
      <c r="C4095" s="1059" t="s">
        <v>38</v>
      </c>
      <c r="D4095" s="1061">
        <v>47.93</v>
      </c>
    </row>
    <row r="4096" spans="1:4" ht="18" customHeight="1" x14ac:dyDescent="0.25">
      <c r="A4096" s="1059">
        <v>3606547</v>
      </c>
      <c r="B4096" s="1060" t="s">
        <v>25756</v>
      </c>
      <c r="C4096" s="1059" t="s">
        <v>38</v>
      </c>
      <c r="D4096" s="1061">
        <v>48.26</v>
      </c>
    </row>
    <row r="4097" spans="1:4" ht="18" customHeight="1" x14ac:dyDescent="0.25">
      <c r="A4097" s="1059">
        <v>3606548</v>
      </c>
      <c r="B4097" s="1060" t="s">
        <v>25757</v>
      </c>
      <c r="C4097" s="1059" t="s">
        <v>38</v>
      </c>
      <c r="D4097" s="1061">
        <v>49.03</v>
      </c>
    </row>
    <row r="4098" spans="1:4" ht="18" customHeight="1" x14ac:dyDescent="0.25">
      <c r="A4098" s="1059">
        <v>3606549</v>
      </c>
      <c r="B4098" s="1060" t="s">
        <v>25758</v>
      </c>
      <c r="C4098" s="1059" t="s">
        <v>38</v>
      </c>
      <c r="D4098" s="1061">
        <v>52.13</v>
      </c>
    </row>
    <row r="4099" spans="1:4" ht="18" customHeight="1" x14ac:dyDescent="0.25">
      <c r="A4099" s="1059">
        <v>3606550</v>
      </c>
      <c r="B4099" s="1060" t="s">
        <v>25759</v>
      </c>
      <c r="C4099" s="1059" t="s">
        <v>38</v>
      </c>
      <c r="D4099" s="1061">
        <v>52.79</v>
      </c>
    </row>
    <row r="4100" spans="1:4" ht="18" customHeight="1" x14ac:dyDescent="0.25">
      <c r="A4100" s="1059">
        <v>3606500</v>
      </c>
      <c r="B4100" s="1060" t="s">
        <v>25760</v>
      </c>
      <c r="C4100" s="1059" t="s">
        <v>38</v>
      </c>
      <c r="D4100" s="1061">
        <v>49.02</v>
      </c>
    </row>
    <row r="4101" spans="1:4" ht="18" customHeight="1" x14ac:dyDescent="0.25">
      <c r="A4101" s="1059">
        <v>3606501</v>
      </c>
      <c r="B4101" s="1060" t="s">
        <v>25761</v>
      </c>
      <c r="C4101" s="1059" t="s">
        <v>38</v>
      </c>
      <c r="D4101" s="1061">
        <v>49.85</v>
      </c>
    </row>
    <row r="4102" spans="1:4" ht="18" customHeight="1" x14ac:dyDescent="0.25">
      <c r="A4102" s="1059">
        <v>3606502</v>
      </c>
      <c r="B4102" s="1060" t="s">
        <v>25762</v>
      </c>
      <c r="C4102" s="1059" t="s">
        <v>38</v>
      </c>
      <c r="D4102" s="1061">
        <v>50.51</v>
      </c>
    </row>
    <row r="4103" spans="1:4" ht="18" customHeight="1" x14ac:dyDescent="0.25">
      <c r="A4103" s="1059">
        <v>3606503</v>
      </c>
      <c r="B4103" s="1060" t="s">
        <v>25763</v>
      </c>
      <c r="C4103" s="1059" t="s">
        <v>38</v>
      </c>
      <c r="D4103" s="1061">
        <v>51.34</v>
      </c>
    </row>
    <row r="4104" spans="1:4" ht="18" customHeight="1" x14ac:dyDescent="0.25">
      <c r="A4104" s="1059">
        <v>3606504</v>
      </c>
      <c r="B4104" s="1060" t="s">
        <v>25764</v>
      </c>
      <c r="C4104" s="1059" t="s">
        <v>38</v>
      </c>
      <c r="D4104" s="1061">
        <v>52.17</v>
      </c>
    </row>
    <row r="4105" spans="1:4" ht="18" customHeight="1" x14ac:dyDescent="0.25">
      <c r="A4105" s="1059">
        <v>3606505</v>
      </c>
      <c r="B4105" s="1060" t="s">
        <v>25765</v>
      </c>
      <c r="C4105" s="1059" t="s">
        <v>38</v>
      </c>
      <c r="D4105" s="1061">
        <v>53.5</v>
      </c>
    </row>
    <row r="4106" spans="1:4" ht="18" customHeight="1" x14ac:dyDescent="0.25">
      <c r="A4106" s="1059">
        <v>3606506</v>
      </c>
      <c r="B4106" s="1060" t="s">
        <v>25766</v>
      </c>
      <c r="C4106" s="1059" t="s">
        <v>38</v>
      </c>
      <c r="D4106" s="1061">
        <v>57.59</v>
      </c>
    </row>
    <row r="4107" spans="1:4" ht="18" customHeight="1" x14ac:dyDescent="0.25">
      <c r="A4107" s="1059">
        <v>3606507</v>
      </c>
      <c r="B4107" s="1060" t="s">
        <v>25767</v>
      </c>
      <c r="C4107" s="1059" t="s">
        <v>38</v>
      </c>
      <c r="D4107" s="1061">
        <v>58.92</v>
      </c>
    </row>
    <row r="4108" spans="1:4" ht="18" customHeight="1" x14ac:dyDescent="0.25">
      <c r="A4108" s="1059">
        <v>3606509</v>
      </c>
      <c r="B4108" s="1060" t="s">
        <v>25768</v>
      </c>
      <c r="C4108" s="1059" t="s">
        <v>38</v>
      </c>
      <c r="D4108" s="1061">
        <v>44.54</v>
      </c>
    </row>
    <row r="4109" spans="1:4" ht="18" customHeight="1" x14ac:dyDescent="0.25">
      <c r="A4109" s="1059">
        <v>3606510</v>
      </c>
      <c r="B4109" s="1060" t="s">
        <v>25769</v>
      </c>
      <c r="C4109" s="1059" t="s">
        <v>38</v>
      </c>
      <c r="D4109" s="1061">
        <v>45.1</v>
      </c>
    </row>
    <row r="4110" spans="1:4" ht="18" customHeight="1" x14ac:dyDescent="0.25">
      <c r="A4110" s="1059">
        <v>3606511</v>
      </c>
      <c r="B4110" s="1060" t="s">
        <v>25770</v>
      </c>
      <c r="C4110" s="1059" t="s">
        <v>38</v>
      </c>
      <c r="D4110" s="1061">
        <v>45.54</v>
      </c>
    </row>
    <row r="4111" spans="1:4" ht="18" customHeight="1" x14ac:dyDescent="0.25">
      <c r="A4111" s="1059">
        <v>3606512</v>
      </c>
      <c r="B4111" s="1060" t="s">
        <v>25771</v>
      </c>
      <c r="C4111" s="1059" t="s">
        <v>38</v>
      </c>
      <c r="D4111" s="1061">
        <v>45.98</v>
      </c>
    </row>
    <row r="4112" spans="1:4" ht="18" customHeight="1" x14ac:dyDescent="0.25">
      <c r="A4112" s="1059">
        <v>3606513</v>
      </c>
      <c r="B4112" s="1060" t="s">
        <v>25772</v>
      </c>
      <c r="C4112" s="1059" t="s">
        <v>38</v>
      </c>
      <c r="D4112" s="1061">
        <v>48.52</v>
      </c>
    </row>
    <row r="4113" spans="1:4" ht="18" customHeight="1" x14ac:dyDescent="0.25">
      <c r="A4113" s="1059">
        <v>3606514</v>
      </c>
      <c r="B4113" s="1060" t="s">
        <v>25773</v>
      </c>
      <c r="C4113" s="1059" t="s">
        <v>38</v>
      </c>
      <c r="D4113" s="1061">
        <v>49.52</v>
      </c>
    </row>
    <row r="4114" spans="1:4" ht="18" customHeight="1" x14ac:dyDescent="0.25">
      <c r="A4114" s="1059">
        <v>3606515</v>
      </c>
      <c r="B4114" s="1060" t="s">
        <v>25774</v>
      </c>
      <c r="C4114" s="1059" t="s">
        <v>38</v>
      </c>
      <c r="D4114" s="1061">
        <v>50.84</v>
      </c>
    </row>
    <row r="4115" spans="1:4" ht="18" customHeight="1" x14ac:dyDescent="0.25">
      <c r="A4115" s="1059">
        <v>3606516</v>
      </c>
      <c r="B4115" s="1060" t="s">
        <v>25775</v>
      </c>
      <c r="C4115" s="1059" t="s">
        <v>38</v>
      </c>
      <c r="D4115" s="1061">
        <v>51.51</v>
      </c>
    </row>
    <row r="4116" spans="1:4" ht="18" customHeight="1" x14ac:dyDescent="0.25">
      <c r="A4116" s="1059">
        <v>3606518</v>
      </c>
      <c r="B4116" s="1060" t="s">
        <v>25776</v>
      </c>
      <c r="C4116" s="1059" t="s">
        <v>38</v>
      </c>
      <c r="D4116" s="1061">
        <v>43.77</v>
      </c>
    </row>
    <row r="4117" spans="1:4" ht="18" customHeight="1" x14ac:dyDescent="0.25">
      <c r="A4117" s="1059">
        <v>3606519</v>
      </c>
      <c r="B4117" s="1060" t="s">
        <v>25777</v>
      </c>
      <c r="C4117" s="1059" t="s">
        <v>38</v>
      </c>
      <c r="D4117" s="1061">
        <v>44.21</v>
      </c>
    </row>
    <row r="4118" spans="1:4" ht="18" customHeight="1" x14ac:dyDescent="0.25">
      <c r="A4118" s="1059">
        <v>3606520</v>
      </c>
      <c r="B4118" s="1060" t="s">
        <v>25778</v>
      </c>
      <c r="C4118" s="1059" t="s">
        <v>38</v>
      </c>
      <c r="D4118" s="1061">
        <v>44.54</v>
      </c>
    </row>
    <row r="4119" spans="1:4" ht="18" customHeight="1" x14ac:dyDescent="0.25">
      <c r="A4119" s="1059">
        <v>3606521</v>
      </c>
      <c r="B4119" s="1060" t="s">
        <v>25779</v>
      </c>
      <c r="C4119" s="1059" t="s">
        <v>38</v>
      </c>
      <c r="D4119" s="1061">
        <v>44.99</v>
      </c>
    </row>
    <row r="4120" spans="1:4" ht="18" customHeight="1" x14ac:dyDescent="0.25">
      <c r="A4120" s="1059">
        <v>3606522</v>
      </c>
      <c r="B4120" s="1060" t="s">
        <v>25780</v>
      </c>
      <c r="C4120" s="1059" t="s">
        <v>38</v>
      </c>
      <c r="D4120" s="1061">
        <v>45.32</v>
      </c>
    </row>
    <row r="4121" spans="1:4" ht="18" customHeight="1" x14ac:dyDescent="0.25">
      <c r="A4121" s="1059">
        <v>3606523</v>
      </c>
      <c r="B4121" s="1060" t="s">
        <v>25781</v>
      </c>
      <c r="C4121" s="1059" t="s">
        <v>38</v>
      </c>
      <c r="D4121" s="1061">
        <v>46.09</v>
      </c>
    </row>
    <row r="4122" spans="1:4" ht="18" customHeight="1" x14ac:dyDescent="0.25">
      <c r="A4122" s="1059">
        <v>3606524</v>
      </c>
      <c r="B4122" s="1060" t="s">
        <v>25782</v>
      </c>
      <c r="C4122" s="1059" t="s">
        <v>38</v>
      </c>
      <c r="D4122" s="1061">
        <v>49.35</v>
      </c>
    </row>
    <row r="4123" spans="1:4" ht="18" customHeight="1" x14ac:dyDescent="0.25">
      <c r="A4123" s="1059">
        <v>3606525</v>
      </c>
      <c r="B4123" s="1060" t="s">
        <v>25783</v>
      </c>
      <c r="C4123" s="1059" t="s">
        <v>38</v>
      </c>
      <c r="D4123" s="1061">
        <v>49.85</v>
      </c>
    </row>
    <row r="4124" spans="1:4" ht="9" customHeight="1" x14ac:dyDescent="0.25">
      <c r="A4124" s="1059">
        <v>3606577</v>
      </c>
      <c r="B4124" s="1060" t="s">
        <v>25784</v>
      </c>
      <c r="C4124" s="1059" t="s">
        <v>38</v>
      </c>
      <c r="D4124" s="1061">
        <v>11.5</v>
      </c>
    </row>
    <row r="4125" spans="1:4" ht="9" customHeight="1" x14ac:dyDescent="0.25">
      <c r="A4125" s="1059">
        <v>3606576</v>
      </c>
      <c r="B4125" s="1060" t="s">
        <v>25785</v>
      </c>
      <c r="C4125" s="1059" t="s">
        <v>38</v>
      </c>
      <c r="D4125" s="1061">
        <v>4.8899999999999997</v>
      </c>
    </row>
    <row r="4126" spans="1:4" ht="9" customHeight="1" x14ac:dyDescent="0.25">
      <c r="A4126" s="1059">
        <v>3606561</v>
      </c>
      <c r="B4126" s="1060" t="s">
        <v>25786</v>
      </c>
      <c r="C4126" s="1059" t="s">
        <v>3</v>
      </c>
      <c r="D4126" s="1061">
        <v>2077.64</v>
      </c>
    </row>
    <row r="4127" spans="1:4" ht="9" customHeight="1" x14ac:dyDescent="0.25">
      <c r="A4127" s="1059">
        <v>3606556</v>
      </c>
      <c r="B4127" s="1060" t="s">
        <v>25787</v>
      </c>
      <c r="C4127" s="1059" t="s">
        <v>3</v>
      </c>
      <c r="D4127" s="1061">
        <v>1527.73</v>
      </c>
    </row>
    <row r="4128" spans="1:4" ht="9" customHeight="1" x14ac:dyDescent="0.25">
      <c r="A4128" s="1059">
        <v>3606562</v>
      </c>
      <c r="B4128" s="1060" t="s">
        <v>25788</v>
      </c>
      <c r="C4128" s="1059" t="s">
        <v>3</v>
      </c>
      <c r="D4128" s="1061">
        <v>2271.8000000000002</v>
      </c>
    </row>
    <row r="4129" spans="1:4" ht="9" customHeight="1" x14ac:dyDescent="0.25">
      <c r="A4129" s="1059">
        <v>3606557</v>
      </c>
      <c r="B4129" s="1060" t="s">
        <v>25789</v>
      </c>
      <c r="C4129" s="1059" t="s">
        <v>3</v>
      </c>
      <c r="D4129" s="1061">
        <v>1666.89</v>
      </c>
    </row>
    <row r="4130" spans="1:4" ht="9" customHeight="1" x14ac:dyDescent="0.25">
      <c r="A4130" s="1059">
        <v>3606563</v>
      </c>
      <c r="B4130" s="1060" t="s">
        <v>25790</v>
      </c>
      <c r="C4130" s="1059" t="s">
        <v>3</v>
      </c>
      <c r="D4130" s="1061">
        <v>2474.04</v>
      </c>
    </row>
    <row r="4131" spans="1:4" ht="9" customHeight="1" x14ac:dyDescent="0.25">
      <c r="A4131" s="1059">
        <v>3606558</v>
      </c>
      <c r="B4131" s="1060" t="s">
        <v>25791</v>
      </c>
      <c r="C4131" s="1059" t="s">
        <v>3</v>
      </c>
      <c r="D4131" s="1061">
        <v>1814.14</v>
      </c>
    </row>
    <row r="4132" spans="1:4" ht="9" customHeight="1" x14ac:dyDescent="0.25">
      <c r="A4132" s="1059">
        <v>3606559</v>
      </c>
      <c r="B4132" s="1060" t="s">
        <v>25792</v>
      </c>
      <c r="C4132" s="1059" t="s">
        <v>3</v>
      </c>
      <c r="D4132" s="1061">
        <v>1664.24</v>
      </c>
    </row>
    <row r="4133" spans="1:4" ht="9" customHeight="1" x14ac:dyDescent="0.25">
      <c r="A4133" s="1059">
        <v>3606554</v>
      </c>
      <c r="B4133" s="1060" t="s">
        <v>25793</v>
      </c>
      <c r="C4133" s="1059" t="s">
        <v>3</v>
      </c>
      <c r="D4133" s="1061">
        <v>1224.31</v>
      </c>
    </row>
    <row r="4134" spans="1:4" ht="9" customHeight="1" x14ac:dyDescent="0.25">
      <c r="A4134" s="1059">
        <v>3606560</v>
      </c>
      <c r="B4134" s="1060" t="s">
        <v>25794</v>
      </c>
      <c r="C4134" s="1059" t="s">
        <v>3</v>
      </c>
      <c r="D4134" s="1061">
        <v>1859.32</v>
      </c>
    </row>
    <row r="4135" spans="1:4" ht="9" customHeight="1" x14ac:dyDescent="0.25">
      <c r="A4135" s="1059">
        <v>3606555</v>
      </c>
      <c r="B4135" s="1060" t="s">
        <v>25795</v>
      </c>
      <c r="C4135" s="1059" t="s">
        <v>3</v>
      </c>
      <c r="D4135" s="1061">
        <v>1364.4</v>
      </c>
    </row>
    <row r="4136" spans="1:4" ht="9" customHeight="1" x14ac:dyDescent="0.25">
      <c r="A4136" s="1059">
        <v>3606571</v>
      </c>
      <c r="B4136" s="1060" t="s">
        <v>25796</v>
      </c>
      <c r="C4136" s="1059" t="s">
        <v>3</v>
      </c>
      <c r="D4136" s="1061">
        <v>2055.0100000000002</v>
      </c>
    </row>
    <row r="4137" spans="1:4" ht="9" customHeight="1" x14ac:dyDescent="0.25">
      <c r="A4137" s="1059">
        <v>3606566</v>
      </c>
      <c r="B4137" s="1060" t="s">
        <v>25797</v>
      </c>
      <c r="C4137" s="1059" t="s">
        <v>3</v>
      </c>
      <c r="D4137" s="1061">
        <v>1505.1</v>
      </c>
    </row>
    <row r="4138" spans="1:4" ht="9" customHeight="1" x14ac:dyDescent="0.25">
      <c r="A4138" s="1059">
        <v>3606572</v>
      </c>
      <c r="B4138" s="1060" t="s">
        <v>25798</v>
      </c>
      <c r="C4138" s="1059" t="s">
        <v>3</v>
      </c>
      <c r="D4138" s="1061">
        <v>2252.31</v>
      </c>
    </row>
    <row r="4139" spans="1:4" ht="9" customHeight="1" x14ac:dyDescent="0.25">
      <c r="A4139" s="1059">
        <v>3606567</v>
      </c>
      <c r="B4139" s="1060" t="s">
        <v>25799</v>
      </c>
      <c r="C4139" s="1059" t="s">
        <v>3</v>
      </c>
      <c r="D4139" s="1061">
        <v>1647.4</v>
      </c>
    </row>
    <row r="4140" spans="1:4" ht="9" customHeight="1" x14ac:dyDescent="0.25">
      <c r="A4140" s="1059">
        <v>3606573</v>
      </c>
      <c r="B4140" s="1060" t="s">
        <v>25800</v>
      </c>
      <c r="C4140" s="1059" t="s">
        <v>3</v>
      </c>
      <c r="D4140" s="1061">
        <v>2449.14</v>
      </c>
    </row>
    <row r="4141" spans="1:4" ht="9" customHeight="1" x14ac:dyDescent="0.25">
      <c r="A4141" s="1059">
        <v>3606568</v>
      </c>
      <c r="B4141" s="1060" t="s">
        <v>25801</v>
      </c>
      <c r="C4141" s="1059" t="s">
        <v>3</v>
      </c>
      <c r="D4141" s="1061">
        <v>1789.24</v>
      </c>
    </row>
    <row r="4142" spans="1:4" ht="9" customHeight="1" x14ac:dyDescent="0.25">
      <c r="A4142" s="1059">
        <v>3606569</v>
      </c>
      <c r="B4142" s="1060" t="s">
        <v>25802</v>
      </c>
      <c r="C4142" s="1059" t="s">
        <v>3</v>
      </c>
      <c r="D4142" s="1061">
        <v>1658.74</v>
      </c>
    </row>
    <row r="4143" spans="1:4" ht="9" customHeight="1" x14ac:dyDescent="0.25">
      <c r="A4143" s="1059">
        <v>3606564</v>
      </c>
      <c r="B4143" s="1060" t="s">
        <v>25803</v>
      </c>
      <c r="C4143" s="1059" t="s">
        <v>3</v>
      </c>
      <c r="D4143" s="1061">
        <v>1218.81</v>
      </c>
    </row>
    <row r="4144" spans="1:4" ht="9" customHeight="1" x14ac:dyDescent="0.25">
      <c r="A4144" s="1059">
        <v>3606570</v>
      </c>
      <c r="B4144" s="1060" t="s">
        <v>25804</v>
      </c>
      <c r="C4144" s="1059" t="s">
        <v>3</v>
      </c>
      <c r="D4144" s="1061">
        <v>1857.18</v>
      </c>
    </row>
    <row r="4145" spans="1:4" ht="9" customHeight="1" x14ac:dyDescent="0.25">
      <c r="A4145" s="1059">
        <v>3606565</v>
      </c>
      <c r="B4145" s="1060" t="s">
        <v>25805</v>
      </c>
      <c r="C4145" s="1059" t="s">
        <v>3</v>
      </c>
      <c r="D4145" s="1061">
        <v>1362.26</v>
      </c>
    </row>
    <row r="4146" spans="1:4" ht="9" customHeight="1" x14ac:dyDescent="0.25">
      <c r="A4146" s="1059">
        <v>3606578</v>
      </c>
      <c r="B4146" s="1060" t="s">
        <v>25806</v>
      </c>
      <c r="C4146" s="1059" t="s">
        <v>3</v>
      </c>
      <c r="D4146" s="1061">
        <v>113.1</v>
      </c>
    </row>
    <row r="4147" spans="1:4" ht="9" customHeight="1" x14ac:dyDescent="0.25">
      <c r="A4147" s="1059">
        <v>3606575</v>
      </c>
      <c r="B4147" s="1060" t="s">
        <v>25807</v>
      </c>
      <c r="C4147" s="1059" t="s">
        <v>38</v>
      </c>
      <c r="D4147" s="1061">
        <v>1.89</v>
      </c>
    </row>
    <row r="4148" spans="1:4" ht="9" customHeight="1" x14ac:dyDescent="0.25">
      <c r="A4148" s="1059">
        <v>3606574</v>
      </c>
      <c r="B4148" s="1060" t="s">
        <v>25808</v>
      </c>
      <c r="C4148" s="1059" t="s">
        <v>38</v>
      </c>
      <c r="D4148" s="1061">
        <v>0.94</v>
      </c>
    </row>
    <row r="4149" spans="1:4" ht="9" customHeight="1" x14ac:dyDescent="0.25">
      <c r="A4149" s="1059">
        <v>3713603</v>
      </c>
      <c r="B4149" s="1060" t="s">
        <v>25809</v>
      </c>
      <c r="C4149" s="1059" t="s">
        <v>2</v>
      </c>
      <c r="D4149" s="1061">
        <v>1019.3</v>
      </c>
    </row>
    <row r="4150" spans="1:4" ht="9" customHeight="1" x14ac:dyDescent="0.25">
      <c r="A4150" s="1059">
        <v>3713601</v>
      </c>
      <c r="B4150" s="1060" t="s">
        <v>25810</v>
      </c>
      <c r="C4150" s="1059" t="s">
        <v>2</v>
      </c>
      <c r="D4150" s="1061">
        <v>822.76</v>
      </c>
    </row>
    <row r="4151" spans="1:4" ht="9" customHeight="1" x14ac:dyDescent="0.25">
      <c r="A4151" s="1059">
        <v>3713607</v>
      </c>
      <c r="B4151" s="1060" t="s">
        <v>25811</v>
      </c>
      <c r="C4151" s="1059" t="s">
        <v>2</v>
      </c>
      <c r="D4151" s="1061">
        <v>770.04</v>
      </c>
    </row>
    <row r="4152" spans="1:4" ht="9" customHeight="1" x14ac:dyDescent="0.25">
      <c r="A4152" s="1059">
        <v>3713605</v>
      </c>
      <c r="B4152" s="1060" t="s">
        <v>25812</v>
      </c>
      <c r="C4152" s="1059" t="s">
        <v>2</v>
      </c>
      <c r="D4152" s="1061">
        <v>549.98</v>
      </c>
    </row>
    <row r="4153" spans="1:4" ht="9" customHeight="1" x14ac:dyDescent="0.25">
      <c r="A4153" s="1059">
        <v>3719530</v>
      </c>
      <c r="B4153" s="1060" t="s">
        <v>25813</v>
      </c>
      <c r="C4153" s="1059" t="s">
        <v>2</v>
      </c>
      <c r="D4153" s="1061">
        <v>301.02</v>
      </c>
    </row>
    <row r="4154" spans="1:4" ht="9" customHeight="1" x14ac:dyDescent="0.25">
      <c r="A4154" s="1059">
        <v>3713828</v>
      </c>
      <c r="B4154" s="1060" t="s">
        <v>25814</v>
      </c>
      <c r="C4154" s="1059" t="s">
        <v>2</v>
      </c>
      <c r="D4154" s="1061">
        <v>224.98</v>
      </c>
    </row>
    <row r="4155" spans="1:4" ht="9" customHeight="1" x14ac:dyDescent="0.25">
      <c r="A4155" s="1059">
        <v>3713875</v>
      </c>
      <c r="B4155" s="1060" t="s">
        <v>25815</v>
      </c>
      <c r="C4155" s="1059" t="s">
        <v>2</v>
      </c>
      <c r="D4155" s="1061">
        <v>66.290000000000006</v>
      </c>
    </row>
    <row r="4156" spans="1:4" ht="9" customHeight="1" x14ac:dyDescent="0.25">
      <c r="A4156" s="1059">
        <v>3713619</v>
      </c>
      <c r="B4156" s="1060" t="s">
        <v>25816</v>
      </c>
      <c r="C4156" s="1059" t="s">
        <v>2</v>
      </c>
      <c r="D4156" s="1061">
        <v>66.75</v>
      </c>
    </row>
    <row r="4157" spans="1:4" ht="9" customHeight="1" x14ac:dyDescent="0.25">
      <c r="A4157" s="1059">
        <v>3713876</v>
      </c>
      <c r="B4157" s="1060" t="s">
        <v>25817</v>
      </c>
      <c r="C4157" s="1059" t="s">
        <v>2</v>
      </c>
      <c r="D4157" s="1061">
        <v>84.62</v>
      </c>
    </row>
    <row r="4158" spans="1:4" ht="9" customHeight="1" x14ac:dyDescent="0.25">
      <c r="A4158" s="1059">
        <v>3713827</v>
      </c>
      <c r="B4158" s="1060" t="s">
        <v>25818</v>
      </c>
      <c r="C4158" s="1059" t="s">
        <v>2</v>
      </c>
      <c r="D4158" s="1061">
        <v>83.2</v>
      </c>
    </row>
    <row r="4159" spans="1:4" ht="9" customHeight="1" x14ac:dyDescent="0.25">
      <c r="A4159" s="1059">
        <v>3713904</v>
      </c>
      <c r="B4159" s="1060" t="s">
        <v>25819</v>
      </c>
      <c r="C4159" s="1059" t="s">
        <v>2</v>
      </c>
      <c r="D4159" s="1061">
        <v>260.73</v>
      </c>
    </row>
    <row r="4160" spans="1:4" ht="9" customHeight="1" x14ac:dyDescent="0.25">
      <c r="A4160" s="1059">
        <v>3719529</v>
      </c>
      <c r="B4160" s="1060" t="s">
        <v>25820</v>
      </c>
      <c r="C4160" s="1059" t="s">
        <v>2</v>
      </c>
      <c r="D4160" s="1061">
        <v>190.58</v>
      </c>
    </row>
    <row r="4161" spans="1:4" ht="9" customHeight="1" x14ac:dyDescent="0.25">
      <c r="A4161" s="1059">
        <v>3713878</v>
      </c>
      <c r="B4161" s="1060" t="s">
        <v>25821</v>
      </c>
      <c r="C4161" s="1059" t="s">
        <v>2</v>
      </c>
      <c r="D4161" s="1061">
        <v>65.87</v>
      </c>
    </row>
    <row r="4162" spans="1:4" ht="9" customHeight="1" x14ac:dyDescent="0.25">
      <c r="A4162" s="1059">
        <v>3713617</v>
      </c>
      <c r="B4162" s="1060" t="s">
        <v>25822</v>
      </c>
      <c r="C4162" s="1059" t="s">
        <v>2</v>
      </c>
      <c r="D4162" s="1061">
        <v>66.099999999999994</v>
      </c>
    </row>
    <row r="4163" spans="1:4" ht="9" customHeight="1" x14ac:dyDescent="0.25">
      <c r="A4163" s="1059">
        <v>3713879</v>
      </c>
      <c r="B4163" s="1060" t="s">
        <v>25823</v>
      </c>
      <c r="C4163" s="1059" t="s">
        <v>2</v>
      </c>
      <c r="D4163" s="1061">
        <v>76.03</v>
      </c>
    </row>
    <row r="4164" spans="1:4" ht="9" customHeight="1" x14ac:dyDescent="0.25">
      <c r="A4164" s="1059">
        <v>3713826</v>
      </c>
      <c r="B4164" s="1060" t="s">
        <v>25824</v>
      </c>
      <c r="C4164" s="1059" t="s">
        <v>2</v>
      </c>
      <c r="D4164" s="1061">
        <v>72.569999999999993</v>
      </c>
    </row>
    <row r="4165" spans="1:4" ht="18" customHeight="1" x14ac:dyDescent="0.25">
      <c r="A4165" s="1059">
        <v>3713610</v>
      </c>
      <c r="B4165" s="1060" t="s">
        <v>25825</v>
      </c>
      <c r="C4165" s="1059" t="s">
        <v>2</v>
      </c>
      <c r="D4165" s="1061">
        <v>34.43</v>
      </c>
    </row>
    <row r="4166" spans="1:4" ht="18" customHeight="1" x14ac:dyDescent="0.25">
      <c r="A4166" s="1059">
        <v>3713609</v>
      </c>
      <c r="B4166" s="1060" t="s">
        <v>25826</v>
      </c>
      <c r="C4166" s="1059" t="s">
        <v>2</v>
      </c>
      <c r="D4166" s="1061">
        <v>33.01</v>
      </c>
    </row>
    <row r="4167" spans="1:4" ht="18" customHeight="1" x14ac:dyDescent="0.25">
      <c r="A4167" s="1059">
        <v>3713612</v>
      </c>
      <c r="B4167" s="1060" t="s">
        <v>25827</v>
      </c>
      <c r="C4167" s="1059" t="s">
        <v>2</v>
      </c>
      <c r="D4167" s="1061">
        <v>28.41</v>
      </c>
    </row>
    <row r="4168" spans="1:4" ht="18" customHeight="1" x14ac:dyDescent="0.25">
      <c r="A4168" s="1059">
        <v>3713611</v>
      </c>
      <c r="B4168" s="1060" t="s">
        <v>25828</v>
      </c>
      <c r="C4168" s="1059" t="s">
        <v>2</v>
      </c>
      <c r="D4168" s="1061">
        <v>27.79</v>
      </c>
    </row>
    <row r="4169" spans="1:4" ht="9" customHeight="1" x14ac:dyDescent="0.25">
      <c r="A4169" s="1059">
        <v>3713608</v>
      </c>
      <c r="B4169" s="1060" t="s">
        <v>25829</v>
      </c>
      <c r="C4169" s="1059" t="s">
        <v>2</v>
      </c>
      <c r="D4169" s="1061">
        <v>22.76</v>
      </c>
    </row>
    <row r="4170" spans="1:4" ht="9" customHeight="1" x14ac:dyDescent="0.25">
      <c r="A4170" s="1059">
        <v>3713613</v>
      </c>
      <c r="B4170" s="1060" t="s">
        <v>25830</v>
      </c>
      <c r="C4170" s="1059" t="s">
        <v>2</v>
      </c>
      <c r="D4170" s="1061">
        <v>20.92</v>
      </c>
    </row>
    <row r="4171" spans="1:4" ht="9" customHeight="1" x14ac:dyDescent="0.25">
      <c r="A4171" s="1059">
        <v>3713822</v>
      </c>
      <c r="B4171" s="1060" t="s">
        <v>25831</v>
      </c>
      <c r="C4171" s="1059" t="s">
        <v>2</v>
      </c>
      <c r="D4171" s="1061">
        <v>293.83</v>
      </c>
    </row>
    <row r="4172" spans="1:4" ht="9" customHeight="1" x14ac:dyDescent="0.25">
      <c r="A4172" s="1059">
        <v>3713824</v>
      </c>
      <c r="B4172" s="1060" t="s">
        <v>25832</v>
      </c>
      <c r="C4172" s="1059" t="s">
        <v>2</v>
      </c>
      <c r="D4172" s="1061">
        <v>217.79</v>
      </c>
    </row>
    <row r="4173" spans="1:4" ht="9" customHeight="1" x14ac:dyDescent="0.25">
      <c r="A4173" s="1059">
        <v>3713825</v>
      </c>
      <c r="B4173" s="1060" t="s">
        <v>25833</v>
      </c>
      <c r="C4173" s="1059" t="s">
        <v>2</v>
      </c>
      <c r="D4173" s="1061">
        <v>253.54</v>
      </c>
    </row>
    <row r="4174" spans="1:4" ht="9" customHeight="1" x14ac:dyDescent="0.25">
      <c r="A4174" s="1059">
        <v>3713823</v>
      </c>
      <c r="B4174" s="1060" t="s">
        <v>25834</v>
      </c>
      <c r="C4174" s="1059" t="s">
        <v>2</v>
      </c>
      <c r="D4174" s="1061">
        <v>183.39</v>
      </c>
    </row>
    <row r="4175" spans="1:4" ht="9" customHeight="1" x14ac:dyDescent="0.25">
      <c r="A4175" s="1059">
        <v>3713602</v>
      </c>
      <c r="B4175" s="1060" t="s">
        <v>25835</v>
      </c>
      <c r="C4175" s="1059" t="s">
        <v>2</v>
      </c>
      <c r="D4175" s="1061">
        <v>938.46</v>
      </c>
    </row>
    <row r="4176" spans="1:4" ht="9" customHeight="1" x14ac:dyDescent="0.25">
      <c r="A4176" s="1059">
        <v>3713600</v>
      </c>
      <c r="B4176" s="1060" t="s">
        <v>25836</v>
      </c>
      <c r="C4176" s="1059" t="s">
        <v>2</v>
      </c>
      <c r="D4176" s="1061">
        <v>755.84</v>
      </c>
    </row>
    <row r="4177" spans="1:4" ht="9" customHeight="1" x14ac:dyDescent="0.25">
      <c r="A4177" s="1059">
        <v>3713606</v>
      </c>
      <c r="B4177" s="1060" t="s">
        <v>25837</v>
      </c>
      <c r="C4177" s="1059" t="s">
        <v>2</v>
      </c>
      <c r="D4177" s="1061">
        <v>689.19</v>
      </c>
    </row>
    <row r="4178" spans="1:4" ht="9" customHeight="1" x14ac:dyDescent="0.25">
      <c r="A4178" s="1059">
        <v>3713604</v>
      </c>
      <c r="B4178" s="1060" t="s">
        <v>25838</v>
      </c>
      <c r="C4178" s="1059" t="s">
        <v>2</v>
      </c>
      <c r="D4178" s="1061">
        <v>494.6</v>
      </c>
    </row>
    <row r="4179" spans="1:4" ht="9" customHeight="1" x14ac:dyDescent="0.25">
      <c r="A4179" s="1059">
        <v>3716129</v>
      </c>
      <c r="B4179" s="1060" t="s">
        <v>25839</v>
      </c>
      <c r="C4179" s="1059" t="s">
        <v>3</v>
      </c>
      <c r="D4179" s="1061">
        <v>49.59</v>
      </c>
    </row>
    <row r="4180" spans="1:4" ht="9" customHeight="1" x14ac:dyDescent="0.25">
      <c r="A4180" s="1059">
        <v>3716128</v>
      </c>
      <c r="B4180" s="1060" t="s">
        <v>25840</v>
      </c>
      <c r="C4180" s="1059" t="s">
        <v>3</v>
      </c>
      <c r="D4180" s="1061">
        <v>43.54</v>
      </c>
    </row>
    <row r="4181" spans="1:4" ht="9" customHeight="1" x14ac:dyDescent="0.25">
      <c r="A4181" s="1059">
        <v>3716133</v>
      </c>
      <c r="B4181" s="1060" t="s">
        <v>25841</v>
      </c>
      <c r="C4181" s="1059" t="s">
        <v>3</v>
      </c>
      <c r="D4181" s="1061">
        <v>29.17</v>
      </c>
    </row>
    <row r="4182" spans="1:4" ht="9" customHeight="1" x14ac:dyDescent="0.25">
      <c r="A4182" s="1059">
        <v>3716132</v>
      </c>
      <c r="B4182" s="1060" t="s">
        <v>25842</v>
      </c>
      <c r="C4182" s="1059" t="s">
        <v>3</v>
      </c>
      <c r="D4182" s="1061">
        <v>26.55</v>
      </c>
    </row>
    <row r="4183" spans="1:4" ht="9" customHeight="1" x14ac:dyDescent="0.25">
      <c r="A4183" s="1059">
        <v>3716131</v>
      </c>
      <c r="B4183" s="1060" t="s">
        <v>25843</v>
      </c>
      <c r="C4183" s="1059" t="s">
        <v>3</v>
      </c>
      <c r="D4183" s="1061">
        <v>32.159999999999997</v>
      </c>
    </row>
    <row r="4184" spans="1:4" ht="9" customHeight="1" x14ac:dyDescent="0.25">
      <c r="A4184" s="1059">
        <v>3716130</v>
      </c>
      <c r="B4184" s="1060" t="s">
        <v>25844</v>
      </c>
      <c r="C4184" s="1059" t="s">
        <v>3</v>
      </c>
      <c r="D4184" s="1061">
        <v>29.06</v>
      </c>
    </row>
    <row r="4185" spans="1:4" ht="9" customHeight="1" x14ac:dyDescent="0.25">
      <c r="A4185" s="1059">
        <v>3716135</v>
      </c>
      <c r="B4185" s="1060" t="s">
        <v>25845</v>
      </c>
      <c r="C4185" s="1059" t="s">
        <v>3</v>
      </c>
      <c r="D4185" s="1061">
        <v>20.11</v>
      </c>
    </row>
    <row r="4186" spans="1:4" ht="9" customHeight="1" x14ac:dyDescent="0.25">
      <c r="A4186" s="1059">
        <v>3716134</v>
      </c>
      <c r="B4186" s="1060" t="s">
        <v>25846</v>
      </c>
      <c r="C4186" s="1059" t="s">
        <v>3</v>
      </c>
      <c r="D4186" s="1061">
        <v>18.760000000000002</v>
      </c>
    </row>
    <row r="4187" spans="1:4" ht="18" customHeight="1" x14ac:dyDescent="0.25">
      <c r="A4187" s="1059">
        <v>3713698</v>
      </c>
      <c r="B4187" s="1060" t="s">
        <v>25847</v>
      </c>
      <c r="C4187" s="1059" t="s">
        <v>3</v>
      </c>
      <c r="D4187" s="1061">
        <v>284061.73</v>
      </c>
    </row>
    <row r="4188" spans="1:4" ht="18" customHeight="1" x14ac:dyDescent="0.25">
      <c r="A4188" s="1059">
        <v>3713699</v>
      </c>
      <c r="B4188" s="1060" t="s">
        <v>25848</v>
      </c>
      <c r="C4188" s="1059" t="s">
        <v>3</v>
      </c>
      <c r="D4188" s="1061">
        <v>291628.03999999998</v>
      </c>
    </row>
    <row r="4189" spans="1:4" ht="18" customHeight="1" x14ac:dyDescent="0.25">
      <c r="A4189" s="1059">
        <v>3713700</v>
      </c>
      <c r="B4189" s="1060" t="s">
        <v>25849</v>
      </c>
      <c r="C4189" s="1059" t="s">
        <v>3</v>
      </c>
      <c r="D4189" s="1061">
        <v>296257.03000000003</v>
      </c>
    </row>
    <row r="4190" spans="1:4" ht="18" customHeight="1" x14ac:dyDescent="0.25">
      <c r="A4190" s="1059">
        <v>3713701</v>
      </c>
      <c r="B4190" s="1060" t="s">
        <v>25850</v>
      </c>
      <c r="C4190" s="1059" t="s">
        <v>3</v>
      </c>
      <c r="D4190" s="1061">
        <v>306032.57</v>
      </c>
    </row>
    <row r="4191" spans="1:4" ht="18" customHeight="1" x14ac:dyDescent="0.25">
      <c r="A4191" s="1059">
        <v>3713702</v>
      </c>
      <c r="B4191" s="1060" t="s">
        <v>25851</v>
      </c>
      <c r="C4191" s="1059" t="s">
        <v>3</v>
      </c>
      <c r="D4191" s="1061">
        <v>315041.05</v>
      </c>
    </row>
    <row r="4192" spans="1:4" ht="18" customHeight="1" x14ac:dyDescent="0.25">
      <c r="A4192" s="1059">
        <v>3713693</v>
      </c>
      <c r="B4192" s="1060" t="s">
        <v>25852</v>
      </c>
      <c r="C4192" s="1059" t="s">
        <v>3</v>
      </c>
      <c r="D4192" s="1061">
        <v>233217.86</v>
      </c>
    </row>
    <row r="4193" spans="1:4" ht="18" customHeight="1" x14ac:dyDescent="0.25">
      <c r="A4193" s="1059">
        <v>3713694</v>
      </c>
      <c r="B4193" s="1060" t="s">
        <v>25853</v>
      </c>
      <c r="C4193" s="1059" t="s">
        <v>3</v>
      </c>
      <c r="D4193" s="1061">
        <v>242357.75</v>
      </c>
    </row>
    <row r="4194" spans="1:4" ht="18" customHeight="1" x14ac:dyDescent="0.25">
      <c r="A4194" s="1059">
        <v>3713695</v>
      </c>
      <c r="B4194" s="1060" t="s">
        <v>25854</v>
      </c>
      <c r="C4194" s="1059" t="s">
        <v>3</v>
      </c>
      <c r="D4194" s="1061">
        <v>252091.14</v>
      </c>
    </row>
    <row r="4195" spans="1:4" ht="18" customHeight="1" x14ac:dyDescent="0.25">
      <c r="A4195" s="1059">
        <v>3713696</v>
      </c>
      <c r="B4195" s="1060" t="s">
        <v>25855</v>
      </c>
      <c r="C4195" s="1059" t="s">
        <v>3</v>
      </c>
      <c r="D4195" s="1061">
        <v>268268.18</v>
      </c>
    </row>
    <row r="4196" spans="1:4" ht="18" customHeight="1" x14ac:dyDescent="0.25">
      <c r="A4196" s="1059">
        <v>3713697</v>
      </c>
      <c r="B4196" s="1060" t="s">
        <v>25856</v>
      </c>
      <c r="C4196" s="1059" t="s">
        <v>3</v>
      </c>
      <c r="D4196" s="1061">
        <v>265559.84000000003</v>
      </c>
    </row>
    <row r="4197" spans="1:4" ht="18" customHeight="1" x14ac:dyDescent="0.25">
      <c r="A4197" s="1059">
        <v>3713692</v>
      </c>
      <c r="B4197" s="1060" t="s">
        <v>25857</v>
      </c>
      <c r="C4197" s="1059" t="s">
        <v>3</v>
      </c>
      <c r="D4197" s="1061">
        <v>222077.17</v>
      </c>
    </row>
    <row r="4198" spans="1:4" ht="18" customHeight="1" x14ac:dyDescent="0.25">
      <c r="A4198" s="1059">
        <v>3713691</v>
      </c>
      <c r="B4198" s="1060" t="s">
        <v>25858</v>
      </c>
      <c r="C4198" s="1059" t="s">
        <v>3</v>
      </c>
      <c r="D4198" s="1061">
        <v>190823.14</v>
      </c>
    </row>
    <row r="4199" spans="1:4" ht="9" customHeight="1" x14ac:dyDescent="0.25">
      <c r="A4199" s="1059">
        <v>3713873</v>
      </c>
      <c r="B4199" s="1060" t="s">
        <v>25859</v>
      </c>
      <c r="C4199" s="1059" t="s">
        <v>3</v>
      </c>
      <c r="D4199" s="1061">
        <v>6813.83</v>
      </c>
    </row>
    <row r="4200" spans="1:4" ht="9" customHeight="1" x14ac:dyDescent="0.25">
      <c r="A4200" s="1059">
        <v>3713705</v>
      </c>
      <c r="B4200" s="1060" t="s">
        <v>25860</v>
      </c>
      <c r="C4200" s="1059" t="s">
        <v>2</v>
      </c>
      <c r="D4200" s="1061">
        <v>23.19</v>
      </c>
    </row>
    <row r="4201" spans="1:4" ht="9" customHeight="1" x14ac:dyDescent="0.25">
      <c r="A4201" s="1059">
        <v>3713902</v>
      </c>
      <c r="B4201" s="1060" t="s">
        <v>25861</v>
      </c>
      <c r="C4201" s="1059" t="s">
        <v>3</v>
      </c>
      <c r="D4201" s="1061">
        <v>29601.95</v>
      </c>
    </row>
    <row r="4202" spans="1:4" ht="9" customHeight="1" x14ac:dyDescent="0.25">
      <c r="A4202" s="1059">
        <v>3713903</v>
      </c>
      <c r="B4202" s="1060" t="s">
        <v>25862</v>
      </c>
      <c r="C4202" s="1059" t="s">
        <v>3</v>
      </c>
      <c r="D4202" s="1061">
        <v>53691.08</v>
      </c>
    </row>
    <row r="4203" spans="1:4" ht="9" customHeight="1" x14ac:dyDescent="0.25">
      <c r="A4203" s="1059">
        <v>3713689</v>
      </c>
      <c r="B4203" s="1060" t="s">
        <v>25863</v>
      </c>
      <c r="C4203" s="1059" t="s">
        <v>3</v>
      </c>
      <c r="D4203" s="1061">
        <v>427.04</v>
      </c>
    </row>
    <row r="4204" spans="1:4" ht="9" customHeight="1" x14ac:dyDescent="0.25">
      <c r="A4204" s="1059">
        <v>3713690</v>
      </c>
      <c r="B4204" s="1060" t="s">
        <v>25864</v>
      </c>
      <c r="C4204" s="1059" t="s">
        <v>3</v>
      </c>
      <c r="D4204" s="1061">
        <v>567.29</v>
      </c>
    </row>
    <row r="4205" spans="1:4" ht="9" customHeight="1" x14ac:dyDescent="0.25">
      <c r="A4205" s="1059">
        <v>3713897</v>
      </c>
      <c r="B4205" s="1060" t="s">
        <v>25865</v>
      </c>
      <c r="C4205" s="1059" t="s">
        <v>2</v>
      </c>
      <c r="D4205" s="1061">
        <v>279.70999999999998</v>
      </c>
    </row>
    <row r="4206" spans="1:4" ht="9" customHeight="1" x14ac:dyDescent="0.25">
      <c r="A4206" s="1059">
        <v>3713893</v>
      </c>
      <c r="B4206" s="1060" t="s">
        <v>25866</v>
      </c>
      <c r="C4206" s="1059" t="s">
        <v>2</v>
      </c>
      <c r="D4206" s="1061">
        <v>283.62</v>
      </c>
    </row>
    <row r="4207" spans="1:4" ht="9" customHeight="1" x14ac:dyDescent="0.25">
      <c r="A4207" s="1059">
        <v>3713898</v>
      </c>
      <c r="B4207" s="1060" t="s">
        <v>25867</v>
      </c>
      <c r="C4207" s="1059" t="s">
        <v>2</v>
      </c>
      <c r="D4207" s="1061">
        <v>293.36</v>
      </c>
    </row>
    <row r="4208" spans="1:4" ht="18" customHeight="1" x14ac:dyDescent="0.25">
      <c r="A4208" s="1059">
        <v>3713894</v>
      </c>
      <c r="B4208" s="1060" t="s">
        <v>25868</v>
      </c>
      <c r="C4208" s="1059" t="s">
        <v>2</v>
      </c>
      <c r="D4208" s="1061">
        <v>294.89999999999998</v>
      </c>
    </row>
    <row r="4209" spans="1:4" ht="9" customHeight="1" x14ac:dyDescent="0.25">
      <c r="A4209" s="1059">
        <v>3713895</v>
      </c>
      <c r="B4209" s="1060" t="s">
        <v>25869</v>
      </c>
      <c r="C4209" s="1059" t="s">
        <v>2</v>
      </c>
      <c r="D4209" s="1061">
        <v>259.83999999999997</v>
      </c>
    </row>
    <row r="4210" spans="1:4" ht="9" customHeight="1" x14ac:dyDescent="0.25">
      <c r="A4210" s="1059">
        <v>3713891</v>
      </c>
      <c r="B4210" s="1060" t="s">
        <v>25870</v>
      </c>
      <c r="C4210" s="1059" t="s">
        <v>2</v>
      </c>
      <c r="D4210" s="1061">
        <v>258.7</v>
      </c>
    </row>
    <row r="4211" spans="1:4" ht="9" customHeight="1" x14ac:dyDescent="0.25">
      <c r="A4211" s="1059">
        <v>3713896</v>
      </c>
      <c r="B4211" s="1060" t="s">
        <v>25871</v>
      </c>
      <c r="C4211" s="1059" t="s">
        <v>2</v>
      </c>
      <c r="D4211" s="1061">
        <v>267.54000000000002</v>
      </c>
    </row>
    <row r="4212" spans="1:4" ht="18" customHeight="1" x14ac:dyDescent="0.25">
      <c r="A4212" s="1059">
        <v>3713892</v>
      </c>
      <c r="B4212" s="1060" t="s">
        <v>25872</v>
      </c>
      <c r="C4212" s="1059" t="s">
        <v>2</v>
      </c>
      <c r="D4212" s="1061">
        <v>262.77</v>
      </c>
    </row>
    <row r="4213" spans="1:4" ht="9" customHeight="1" x14ac:dyDescent="0.25">
      <c r="A4213" s="1059">
        <v>3806412</v>
      </c>
      <c r="B4213" s="1060" t="s">
        <v>25873</v>
      </c>
      <c r="C4213" s="1059" t="s">
        <v>3</v>
      </c>
      <c r="D4213" s="1061">
        <v>59.17</v>
      </c>
    </row>
    <row r="4214" spans="1:4" ht="9" customHeight="1" x14ac:dyDescent="0.25">
      <c r="A4214" s="1059">
        <v>3806413</v>
      </c>
      <c r="B4214" s="1060" t="s">
        <v>25874</v>
      </c>
      <c r="C4214" s="1059" t="s">
        <v>39</v>
      </c>
      <c r="D4214" s="1061">
        <v>18.559999999999999</v>
      </c>
    </row>
    <row r="4215" spans="1:4" ht="9" customHeight="1" x14ac:dyDescent="0.25">
      <c r="A4215" s="1059">
        <v>3807863</v>
      </c>
      <c r="B4215" s="1060" t="s">
        <v>25875</v>
      </c>
      <c r="C4215" s="1059" t="s">
        <v>3</v>
      </c>
      <c r="D4215" s="1061">
        <v>11.94</v>
      </c>
    </row>
    <row r="4216" spans="1:4" ht="9" customHeight="1" x14ac:dyDescent="0.25">
      <c r="A4216" s="1059">
        <v>3807864</v>
      </c>
      <c r="B4216" s="1060" t="s">
        <v>25876</v>
      </c>
      <c r="C4216" s="1059" t="s">
        <v>3</v>
      </c>
      <c r="D4216" s="1061">
        <v>21.2</v>
      </c>
    </row>
    <row r="4217" spans="1:4" ht="9" customHeight="1" x14ac:dyDescent="0.25">
      <c r="A4217" s="1059">
        <v>3807865</v>
      </c>
      <c r="B4217" s="1060" t="s">
        <v>25877</v>
      </c>
      <c r="C4217" s="1059" t="s">
        <v>3</v>
      </c>
      <c r="D4217" s="1061">
        <v>28.05</v>
      </c>
    </row>
    <row r="4218" spans="1:4" ht="9" customHeight="1" x14ac:dyDescent="0.25">
      <c r="A4218" s="1059">
        <v>3807861</v>
      </c>
      <c r="B4218" s="1060" t="s">
        <v>25878</v>
      </c>
      <c r="C4218" s="1059" t="s">
        <v>3</v>
      </c>
      <c r="D4218" s="1061">
        <v>3.84</v>
      </c>
    </row>
    <row r="4219" spans="1:4" ht="9" customHeight="1" x14ac:dyDescent="0.25">
      <c r="A4219" s="1059">
        <v>3807862</v>
      </c>
      <c r="B4219" s="1060" t="s">
        <v>25879</v>
      </c>
      <c r="C4219" s="1059" t="s">
        <v>3</v>
      </c>
      <c r="D4219" s="1061">
        <v>4.8899999999999997</v>
      </c>
    </row>
    <row r="4220" spans="1:4" ht="9" customHeight="1" x14ac:dyDescent="0.25">
      <c r="A4220" s="1059">
        <v>3806415</v>
      </c>
      <c r="B4220" s="1060" t="s">
        <v>25880</v>
      </c>
      <c r="C4220" s="1059" t="s">
        <v>38</v>
      </c>
      <c r="D4220" s="1061">
        <v>591.66</v>
      </c>
    </row>
    <row r="4221" spans="1:4" ht="9" customHeight="1" x14ac:dyDescent="0.25">
      <c r="A4221" s="1059">
        <v>3806416</v>
      </c>
      <c r="B4221" s="1060" t="s">
        <v>25881</v>
      </c>
      <c r="C4221" s="1059" t="s">
        <v>3</v>
      </c>
      <c r="D4221" s="1061">
        <v>77.92</v>
      </c>
    </row>
    <row r="4222" spans="1:4" ht="9" customHeight="1" x14ac:dyDescent="0.25">
      <c r="A4222" s="1059">
        <v>3806419</v>
      </c>
      <c r="B4222" s="1060" t="s">
        <v>25882</v>
      </c>
      <c r="C4222" s="1059" t="s">
        <v>3</v>
      </c>
      <c r="D4222" s="1061">
        <v>104.85</v>
      </c>
    </row>
    <row r="4223" spans="1:4" ht="9" customHeight="1" x14ac:dyDescent="0.25">
      <c r="A4223" s="1059">
        <v>3806417</v>
      </c>
      <c r="B4223" s="1060" t="s">
        <v>25883</v>
      </c>
      <c r="C4223" s="1059" t="s">
        <v>3</v>
      </c>
      <c r="D4223" s="1061">
        <v>87.35</v>
      </c>
    </row>
    <row r="4224" spans="1:4" ht="9" customHeight="1" x14ac:dyDescent="0.25">
      <c r="A4224" s="1059">
        <v>3806418</v>
      </c>
      <c r="B4224" s="1060" t="s">
        <v>25884</v>
      </c>
      <c r="C4224" s="1059" t="s">
        <v>3</v>
      </c>
      <c r="D4224" s="1061">
        <v>103.62</v>
      </c>
    </row>
    <row r="4225" spans="1:4" ht="9" customHeight="1" x14ac:dyDescent="0.25">
      <c r="A4225" s="1059">
        <v>3808207</v>
      </c>
      <c r="B4225" s="1060" t="s">
        <v>25885</v>
      </c>
      <c r="C4225" s="1059" t="s">
        <v>2</v>
      </c>
      <c r="D4225" s="1061">
        <v>180.15</v>
      </c>
    </row>
    <row r="4226" spans="1:4" ht="9" customHeight="1" x14ac:dyDescent="0.25">
      <c r="A4226" s="1059">
        <v>3806400</v>
      </c>
      <c r="B4226" s="1060" t="s">
        <v>25886</v>
      </c>
      <c r="C4226" s="1059" t="s">
        <v>3</v>
      </c>
      <c r="D4226" s="1061">
        <v>160853.16</v>
      </c>
    </row>
    <row r="4227" spans="1:4" ht="9" customHeight="1" x14ac:dyDescent="0.25">
      <c r="A4227" s="1059">
        <v>3806399</v>
      </c>
      <c r="B4227" s="1060" t="s">
        <v>25887</v>
      </c>
      <c r="C4227" s="1059" t="s">
        <v>3</v>
      </c>
      <c r="D4227" s="1061">
        <v>228082.49</v>
      </c>
    </row>
    <row r="4228" spans="1:4" ht="9" customHeight="1" x14ac:dyDescent="0.25">
      <c r="A4228" s="1059">
        <v>3806387</v>
      </c>
      <c r="B4228" s="1060" t="s">
        <v>25888</v>
      </c>
      <c r="C4228" s="1059" t="s">
        <v>3</v>
      </c>
      <c r="D4228" s="1061">
        <v>286326.96000000002</v>
      </c>
    </row>
    <row r="4229" spans="1:4" ht="9" customHeight="1" x14ac:dyDescent="0.25">
      <c r="A4229" s="1059">
        <v>3806397</v>
      </c>
      <c r="B4229" s="1060" t="s">
        <v>25889</v>
      </c>
      <c r="C4229" s="1059" t="s">
        <v>3</v>
      </c>
      <c r="D4229" s="1061">
        <v>382615.96</v>
      </c>
    </row>
    <row r="4230" spans="1:4" ht="9" customHeight="1" x14ac:dyDescent="0.25">
      <c r="A4230" s="1059">
        <v>3806396</v>
      </c>
      <c r="B4230" s="1060" t="s">
        <v>25890</v>
      </c>
      <c r="C4230" s="1059" t="s">
        <v>3</v>
      </c>
      <c r="D4230" s="1061">
        <v>440277.65</v>
      </c>
    </row>
    <row r="4231" spans="1:4" ht="9" customHeight="1" x14ac:dyDescent="0.25">
      <c r="A4231" s="1059">
        <v>3816118</v>
      </c>
      <c r="B4231" s="1060" t="s">
        <v>25891</v>
      </c>
      <c r="C4231" s="1059" t="s">
        <v>2</v>
      </c>
      <c r="D4231" s="1061">
        <v>96.67</v>
      </c>
    </row>
    <row r="4232" spans="1:4" ht="9" customHeight="1" x14ac:dyDescent="0.25">
      <c r="A4232" s="1059">
        <v>3816117</v>
      </c>
      <c r="B4232" s="1060" t="s">
        <v>25892</v>
      </c>
      <c r="C4232" s="1059" t="s">
        <v>2</v>
      </c>
      <c r="D4232" s="1061">
        <v>89.53</v>
      </c>
    </row>
    <row r="4233" spans="1:4" ht="9" customHeight="1" x14ac:dyDescent="0.25">
      <c r="A4233" s="1059">
        <v>3806386</v>
      </c>
      <c r="B4233" s="1060" t="s">
        <v>25893</v>
      </c>
      <c r="C4233" s="1059" t="s">
        <v>2</v>
      </c>
      <c r="D4233" s="1061">
        <v>723.72</v>
      </c>
    </row>
    <row r="4234" spans="1:4" ht="9" customHeight="1" x14ac:dyDescent="0.25">
      <c r="A4234" s="1059">
        <v>3816196</v>
      </c>
      <c r="B4234" s="1060" t="s">
        <v>25894</v>
      </c>
      <c r="C4234" s="1059" t="s">
        <v>38</v>
      </c>
      <c r="D4234" s="1061">
        <v>991.92</v>
      </c>
    </row>
    <row r="4235" spans="1:4" ht="9" customHeight="1" x14ac:dyDescent="0.25">
      <c r="A4235" s="1059">
        <v>3806426</v>
      </c>
      <c r="B4235" s="1060" t="s">
        <v>25895</v>
      </c>
      <c r="C4235" s="1059" t="s">
        <v>25896</v>
      </c>
      <c r="D4235" s="1061">
        <v>65.37</v>
      </c>
    </row>
    <row r="4236" spans="1:4" ht="9" customHeight="1" x14ac:dyDescent="0.25">
      <c r="A4236" s="1059">
        <v>3806401</v>
      </c>
      <c r="B4236" s="1060" t="s">
        <v>25897</v>
      </c>
      <c r="C4236" s="1059" t="s">
        <v>3</v>
      </c>
      <c r="D4236" s="1061">
        <v>14912.29</v>
      </c>
    </row>
    <row r="4237" spans="1:4" ht="9" customHeight="1" x14ac:dyDescent="0.25">
      <c r="A4237" s="1059">
        <v>3806423</v>
      </c>
      <c r="B4237" s="1060" t="s">
        <v>25898</v>
      </c>
      <c r="C4237" s="1059" t="s">
        <v>3</v>
      </c>
      <c r="D4237" s="1061">
        <v>9782.14</v>
      </c>
    </row>
    <row r="4238" spans="1:4" ht="9" customHeight="1" x14ac:dyDescent="0.25">
      <c r="A4238" s="1059">
        <v>3806421</v>
      </c>
      <c r="B4238" s="1060" t="s">
        <v>25899</v>
      </c>
      <c r="C4238" s="1059" t="s">
        <v>3</v>
      </c>
      <c r="D4238" s="1061">
        <v>4955.93</v>
      </c>
    </row>
    <row r="4239" spans="1:4" ht="9" customHeight="1" x14ac:dyDescent="0.25">
      <c r="A4239" s="1059">
        <v>3806422</v>
      </c>
      <c r="B4239" s="1060" t="s">
        <v>25900</v>
      </c>
      <c r="C4239" s="1059" t="s">
        <v>3</v>
      </c>
      <c r="D4239" s="1061">
        <v>8803.9500000000007</v>
      </c>
    </row>
    <row r="4240" spans="1:4" ht="9" customHeight="1" x14ac:dyDescent="0.25">
      <c r="A4240" s="1059">
        <v>3806425</v>
      </c>
      <c r="B4240" s="1060" t="s">
        <v>25901</v>
      </c>
      <c r="C4240" s="1059" t="s">
        <v>3</v>
      </c>
      <c r="D4240" s="1061">
        <v>3038.59</v>
      </c>
    </row>
    <row r="4241" spans="1:4" ht="9" customHeight="1" x14ac:dyDescent="0.25">
      <c r="A4241" s="1059">
        <v>3806424</v>
      </c>
      <c r="B4241" s="1060" t="s">
        <v>25902</v>
      </c>
      <c r="C4241" s="1059" t="s">
        <v>3</v>
      </c>
      <c r="D4241" s="1061">
        <v>5060.6499999999996</v>
      </c>
    </row>
    <row r="4242" spans="1:4" ht="9" customHeight="1" x14ac:dyDescent="0.25">
      <c r="A4242" s="1059">
        <v>3806420</v>
      </c>
      <c r="B4242" s="1060" t="s">
        <v>25903</v>
      </c>
      <c r="C4242" s="1059" t="s">
        <v>3</v>
      </c>
      <c r="D4242" s="1061">
        <v>4336.46</v>
      </c>
    </row>
    <row r="4243" spans="1:4" ht="9" customHeight="1" x14ac:dyDescent="0.25">
      <c r="A4243" s="1059">
        <v>3806405</v>
      </c>
      <c r="B4243" s="1060" t="s">
        <v>25904</v>
      </c>
      <c r="C4243" s="1059" t="s">
        <v>3</v>
      </c>
      <c r="D4243" s="1061">
        <v>135.08000000000001</v>
      </c>
    </row>
    <row r="4244" spans="1:4" ht="9" customHeight="1" x14ac:dyDescent="0.25">
      <c r="A4244" s="1059">
        <v>3806404</v>
      </c>
      <c r="B4244" s="1060" t="s">
        <v>25905</v>
      </c>
      <c r="C4244" s="1059" t="s">
        <v>38</v>
      </c>
      <c r="D4244" s="1061">
        <v>111.07</v>
      </c>
    </row>
    <row r="4245" spans="1:4" ht="9" customHeight="1" x14ac:dyDescent="0.25">
      <c r="A4245" s="1059">
        <v>3806406</v>
      </c>
      <c r="B4245" s="1060" t="s">
        <v>25906</v>
      </c>
      <c r="C4245" s="1059" t="s">
        <v>2</v>
      </c>
      <c r="D4245" s="1061">
        <v>5.73</v>
      </c>
    </row>
    <row r="4246" spans="1:4" ht="9" customHeight="1" x14ac:dyDescent="0.25">
      <c r="A4246" s="1059">
        <v>3806403</v>
      </c>
      <c r="B4246" s="1060" t="s">
        <v>25907</v>
      </c>
      <c r="C4246" s="1059" t="s">
        <v>39</v>
      </c>
      <c r="D4246" s="1061">
        <v>8.06</v>
      </c>
    </row>
    <row r="4247" spans="1:4" ht="9" customHeight="1" x14ac:dyDescent="0.25">
      <c r="A4247" s="1059">
        <v>3806402</v>
      </c>
      <c r="B4247" s="1060" t="s">
        <v>25908</v>
      </c>
      <c r="C4247" s="1059" t="s">
        <v>39</v>
      </c>
      <c r="D4247" s="1061">
        <v>2.29</v>
      </c>
    </row>
    <row r="4248" spans="1:4" ht="18" customHeight="1" x14ac:dyDescent="0.25">
      <c r="A4248" s="1059">
        <v>3806407</v>
      </c>
      <c r="B4248" s="1060" t="s">
        <v>25909</v>
      </c>
      <c r="C4248" s="1059" t="s">
        <v>2</v>
      </c>
      <c r="D4248" s="1061">
        <v>180.49</v>
      </c>
    </row>
    <row r="4249" spans="1:4" ht="9" customHeight="1" x14ac:dyDescent="0.25">
      <c r="A4249" s="1059">
        <v>3808043</v>
      </c>
      <c r="B4249" s="1060" t="s">
        <v>25910</v>
      </c>
      <c r="C4249" s="1059" t="s">
        <v>39</v>
      </c>
      <c r="D4249" s="1061">
        <v>4.6100000000000003</v>
      </c>
    </row>
    <row r="4250" spans="1:4" ht="9" customHeight="1" x14ac:dyDescent="0.25">
      <c r="A4250" s="1059">
        <v>3806431</v>
      </c>
      <c r="B4250" s="1060" t="s">
        <v>25911</v>
      </c>
      <c r="C4250" s="1059" t="s">
        <v>3</v>
      </c>
      <c r="D4250" s="1061">
        <v>6193.15</v>
      </c>
    </row>
    <row r="4251" spans="1:4" ht="9" customHeight="1" x14ac:dyDescent="0.25">
      <c r="A4251" s="1059">
        <v>3806432</v>
      </c>
      <c r="B4251" s="1060" t="s">
        <v>25912</v>
      </c>
      <c r="C4251" s="1059" t="s">
        <v>3</v>
      </c>
      <c r="D4251" s="1061">
        <v>3225.17</v>
      </c>
    </row>
    <row r="4252" spans="1:4" ht="18" customHeight="1" x14ac:dyDescent="0.25">
      <c r="A4252" s="1059">
        <v>3806429</v>
      </c>
      <c r="B4252" s="1060" t="s">
        <v>25913</v>
      </c>
      <c r="C4252" s="1059" t="s">
        <v>38</v>
      </c>
      <c r="D4252" s="1061">
        <v>18.5</v>
      </c>
    </row>
    <row r="4253" spans="1:4" ht="18" customHeight="1" x14ac:dyDescent="0.25">
      <c r="A4253" s="1059">
        <v>3806430</v>
      </c>
      <c r="B4253" s="1060" t="s">
        <v>25914</v>
      </c>
      <c r="C4253" s="1059" t="s">
        <v>38</v>
      </c>
      <c r="D4253" s="1061">
        <v>11.62</v>
      </c>
    </row>
    <row r="4254" spans="1:4" ht="18" customHeight="1" x14ac:dyDescent="0.25">
      <c r="A4254" s="1059">
        <v>3806428</v>
      </c>
      <c r="B4254" s="1060" t="s">
        <v>25915</v>
      </c>
      <c r="C4254" s="1059" t="s">
        <v>38</v>
      </c>
      <c r="D4254" s="1061">
        <v>40.770000000000003</v>
      </c>
    </row>
    <row r="4255" spans="1:4" ht="18" customHeight="1" x14ac:dyDescent="0.25">
      <c r="A4255" s="1059">
        <v>3816198</v>
      </c>
      <c r="B4255" s="1060" t="s">
        <v>25916</v>
      </c>
      <c r="C4255" s="1059" t="s">
        <v>38</v>
      </c>
      <c r="D4255" s="1061">
        <v>63.62</v>
      </c>
    </row>
    <row r="4256" spans="1:4" ht="18" customHeight="1" x14ac:dyDescent="0.25">
      <c r="A4256" s="1059">
        <v>3816197</v>
      </c>
      <c r="B4256" s="1060" t="s">
        <v>25917</v>
      </c>
      <c r="C4256" s="1059" t="s">
        <v>38</v>
      </c>
      <c r="D4256" s="1061">
        <v>58.12</v>
      </c>
    </row>
    <row r="4257" spans="1:4" ht="18" customHeight="1" x14ac:dyDescent="0.25">
      <c r="A4257" s="1059">
        <v>3806410</v>
      </c>
      <c r="B4257" s="1060" t="s">
        <v>25918</v>
      </c>
      <c r="C4257" s="1059" t="s">
        <v>39</v>
      </c>
      <c r="D4257" s="1061">
        <v>63.35</v>
      </c>
    </row>
    <row r="4258" spans="1:4" ht="9" customHeight="1" x14ac:dyDescent="0.25">
      <c r="A4258" s="1059">
        <v>3806411</v>
      </c>
      <c r="B4258" s="1060" t="s">
        <v>25919</v>
      </c>
      <c r="C4258" s="1059" t="s">
        <v>24766</v>
      </c>
      <c r="D4258" s="1061">
        <v>645.69000000000005</v>
      </c>
    </row>
    <row r="4259" spans="1:4" ht="9" customHeight="1" x14ac:dyDescent="0.25">
      <c r="A4259" s="1059">
        <v>3815644</v>
      </c>
      <c r="B4259" s="1060" t="s">
        <v>25920</v>
      </c>
      <c r="C4259" s="1059" t="s">
        <v>3</v>
      </c>
      <c r="D4259" s="1061">
        <v>98.13</v>
      </c>
    </row>
    <row r="4260" spans="1:4" ht="9" customHeight="1" x14ac:dyDescent="0.25">
      <c r="A4260" s="1059">
        <v>3815643</v>
      </c>
      <c r="B4260" s="1060" t="s">
        <v>25921</v>
      </c>
      <c r="C4260" s="1059" t="s">
        <v>3</v>
      </c>
      <c r="D4260" s="1061">
        <v>89.84</v>
      </c>
    </row>
    <row r="4261" spans="1:4" ht="9" customHeight="1" x14ac:dyDescent="0.25">
      <c r="A4261" s="1059">
        <v>3815706</v>
      </c>
      <c r="B4261" s="1060" t="s">
        <v>25922</v>
      </c>
      <c r="C4261" s="1059" t="s">
        <v>2</v>
      </c>
      <c r="D4261" s="1061">
        <v>129.78</v>
      </c>
    </row>
    <row r="4262" spans="1:4" ht="9" customHeight="1" x14ac:dyDescent="0.25">
      <c r="A4262" s="1059">
        <v>3815597</v>
      </c>
      <c r="B4262" s="1060" t="s">
        <v>25923</v>
      </c>
      <c r="C4262" s="1059" t="s">
        <v>2</v>
      </c>
      <c r="D4262" s="1061">
        <v>122.64</v>
      </c>
    </row>
    <row r="4263" spans="1:4" ht="9" customHeight="1" x14ac:dyDescent="0.25">
      <c r="A4263" s="1059">
        <v>3815600</v>
      </c>
      <c r="B4263" s="1060" t="s">
        <v>25924</v>
      </c>
      <c r="C4263" s="1059" t="s">
        <v>39</v>
      </c>
      <c r="D4263" s="1061">
        <v>58.24</v>
      </c>
    </row>
    <row r="4264" spans="1:4" ht="9" customHeight="1" x14ac:dyDescent="0.25">
      <c r="A4264" s="1059">
        <v>3815601</v>
      </c>
      <c r="B4264" s="1060" t="s">
        <v>25925</v>
      </c>
      <c r="C4264" s="1059" t="s">
        <v>39</v>
      </c>
      <c r="D4264" s="1061">
        <v>53.95</v>
      </c>
    </row>
    <row r="4265" spans="1:4" ht="9" customHeight="1" x14ac:dyDescent="0.25">
      <c r="A4265" s="1059">
        <v>3815599</v>
      </c>
      <c r="B4265" s="1060" t="s">
        <v>25926</v>
      </c>
      <c r="C4265" s="1059" t="s">
        <v>39</v>
      </c>
      <c r="D4265" s="1061">
        <v>24.91</v>
      </c>
    </row>
    <row r="4266" spans="1:4" ht="9" customHeight="1" x14ac:dyDescent="0.25">
      <c r="A4266" s="1059">
        <v>3806414</v>
      </c>
      <c r="B4266" s="1060" t="s">
        <v>25927</v>
      </c>
      <c r="C4266" s="1059" t="s">
        <v>38</v>
      </c>
      <c r="D4266" s="1061">
        <v>566.99</v>
      </c>
    </row>
    <row r="4267" spans="1:4" ht="9" customHeight="1" x14ac:dyDescent="0.25">
      <c r="A4267" s="1059">
        <v>3806409</v>
      </c>
      <c r="B4267" s="1060" t="s">
        <v>25928</v>
      </c>
      <c r="C4267" s="1059" t="s">
        <v>2</v>
      </c>
      <c r="D4267" s="1061">
        <v>58.74</v>
      </c>
    </row>
    <row r="4268" spans="1:4" ht="9" customHeight="1" x14ac:dyDescent="0.25">
      <c r="A4268" s="1059">
        <v>3815602</v>
      </c>
      <c r="B4268" s="1060" t="s">
        <v>25929</v>
      </c>
      <c r="C4268" s="1059" t="s">
        <v>2</v>
      </c>
      <c r="D4268" s="1061">
        <v>30.31</v>
      </c>
    </row>
    <row r="4269" spans="1:4" ht="9" customHeight="1" x14ac:dyDescent="0.25">
      <c r="A4269" s="1059">
        <v>4011444</v>
      </c>
      <c r="B4269" s="1060" t="s">
        <v>25930</v>
      </c>
      <c r="C4269" s="1059" t="s">
        <v>25896</v>
      </c>
      <c r="D4269" s="1061">
        <v>203.65</v>
      </c>
    </row>
    <row r="4270" spans="1:4" ht="9" customHeight="1" x14ac:dyDescent="0.25">
      <c r="A4270" s="1059">
        <v>4011443</v>
      </c>
      <c r="B4270" s="1060" t="s">
        <v>25931</v>
      </c>
      <c r="C4270" s="1059" t="s">
        <v>25896</v>
      </c>
      <c r="D4270" s="1061">
        <v>126.25</v>
      </c>
    </row>
    <row r="4271" spans="1:4" ht="9" customHeight="1" x14ac:dyDescent="0.25">
      <c r="A4271" s="1059">
        <v>4011446</v>
      </c>
      <c r="B4271" s="1060" t="s">
        <v>25932</v>
      </c>
      <c r="C4271" s="1059" t="s">
        <v>25896</v>
      </c>
      <c r="D4271" s="1061">
        <v>194.69</v>
      </c>
    </row>
    <row r="4272" spans="1:4" ht="9" customHeight="1" x14ac:dyDescent="0.25">
      <c r="A4272" s="1059">
        <v>4011445</v>
      </c>
      <c r="B4272" s="1060" t="s">
        <v>25933</v>
      </c>
      <c r="C4272" s="1059" t="s">
        <v>25896</v>
      </c>
      <c r="D4272" s="1061">
        <v>115.59</v>
      </c>
    </row>
    <row r="4273" spans="1:4" ht="9" customHeight="1" x14ac:dyDescent="0.25">
      <c r="A4273" s="1059">
        <v>4011448</v>
      </c>
      <c r="B4273" s="1060" t="s">
        <v>25934</v>
      </c>
      <c r="C4273" s="1059" t="s">
        <v>25896</v>
      </c>
      <c r="D4273" s="1061">
        <v>197.64</v>
      </c>
    </row>
    <row r="4274" spans="1:4" ht="9" customHeight="1" x14ac:dyDescent="0.25">
      <c r="A4274" s="1059">
        <v>4011447</v>
      </c>
      <c r="B4274" s="1060" t="s">
        <v>25935</v>
      </c>
      <c r="C4274" s="1059" t="s">
        <v>25896</v>
      </c>
      <c r="D4274" s="1061">
        <v>116.31</v>
      </c>
    </row>
    <row r="4275" spans="1:4" ht="9" customHeight="1" x14ac:dyDescent="0.25">
      <c r="A4275" s="1059">
        <v>4011450</v>
      </c>
      <c r="B4275" s="1060" t="s">
        <v>25936</v>
      </c>
      <c r="C4275" s="1059" t="s">
        <v>25896</v>
      </c>
      <c r="D4275" s="1061">
        <v>202.57</v>
      </c>
    </row>
    <row r="4276" spans="1:4" ht="9" customHeight="1" x14ac:dyDescent="0.25">
      <c r="A4276" s="1059">
        <v>4011449</v>
      </c>
      <c r="B4276" s="1060" t="s">
        <v>25937</v>
      </c>
      <c r="C4276" s="1059" t="s">
        <v>25896</v>
      </c>
      <c r="D4276" s="1061">
        <v>122.69</v>
      </c>
    </row>
    <row r="4277" spans="1:4" ht="9" customHeight="1" x14ac:dyDescent="0.25">
      <c r="A4277" s="1059">
        <v>4011452</v>
      </c>
      <c r="B4277" s="1060" t="s">
        <v>25938</v>
      </c>
      <c r="C4277" s="1059" t="s">
        <v>25896</v>
      </c>
      <c r="D4277" s="1061">
        <v>205.76</v>
      </c>
    </row>
    <row r="4278" spans="1:4" ht="9" customHeight="1" x14ac:dyDescent="0.25">
      <c r="A4278" s="1059">
        <v>4011451</v>
      </c>
      <c r="B4278" s="1060" t="s">
        <v>25939</v>
      </c>
      <c r="C4278" s="1059" t="s">
        <v>25896</v>
      </c>
      <c r="D4278" s="1061">
        <v>126.91</v>
      </c>
    </row>
    <row r="4279" spans="1:4" ht="9" customHeight="1" x14ac:dyDescent="0.25">
      <c r="A4279" s="1059">
        <v>4011219</v>
      </c>
      <c r="B4279" s="1060" t="s">
        <v>25940</v>
      </c>
      <c r="C4279" s="1059" t="s">
        <v>38</v>
      </c>
      <c r="D4279" s="1061">
        <v>11.93</v>
      </c>
    </row>
    <row r="4280" spans="1:4" ht="9" customHeight="1" x14ac:dyDescent="0.25">
      <c r="A4280" s="1059">
        <v>4011291</v>
      </c>
      <c r="B4280" s="1060" t="s">
        <v>25941</v>
      </c>
      <c r="C4280" s="1059" t="s">
        <v>38</v>
      </c>
      <c r="D4280" s="1061">
        <v>59.57</v>
      </c>
    </row>
    <row r="4281" spans="1:4" ht="9" customHeight="1" x14ac:dyDescent="0.25">
      <c r="A4281" s="1059">
        <v>4011287</v>
      </c>
      <c r="B4281" s="1060" t="s">
        <v>25942</v>
      </c>
      <c r="C4281" s="1059" t="s">
        <v>38</v>
      </c>
      <c r="D4281" s="1061">
        <v>52.53</v>
      </c>
    </row>
    <row r="4282" spans="1:4" ht="9" customHeight="1" x14ac:dyDescent="0.25">
      <c r="A4282" s="1059">
        <v>4011305</v>
      </c>
      <c r="B4282" s="1060" t="s">
        <v>25943</v>
      </c>
      <c r="C4282" s="1059" t="s">
        <v>38</v>
      </c>
      <c r="D4282" s="1061">
        <v>81.94</v>
      </c>
    </row>
    <row r="4283" spans="1:4" ht="9" customHeight="1" x14ac:dyDescent="0.25">
      <c r="A4283" s="1059">
        <v>4011313</v>
      </c>
      <c r="B4283" s="1060" t="s">
        <v>25944</v>
      </c>
      <c r="C4283" s="1059" t="s">
        <v>38</v>
      </c>
      <c r="D4283" s="1061">
        <v>104.71</v>
      </c>
    </row>
    <row r="4284" spans="1:4" ht="9" customHeight="1" x14ac:dyDescent="0.25">
      <c r="A4284" s="1059">
        <v>4011297</v>
      </c>
      <c r="B4284" s="1060" t="s">
        <v>25945</v>
      </c>
      <c r="C4284" s="1059" t="s">
        <v>38</v>
      </c>
      <c r="D4284" s="1061">
        <v>104.64</v>
      </c>
    </row>
    <row r="4285" spans="1:4" ht="9" customHeight="1" x14ac:dyDescent="0.25">
      <c r="A4285" s="1059">
        <v>4011221</v>
      </c>
      <c r="B4285" s="1060" t="s">
        <v>25946</v>
      </c>
      <c r="C4285" s="1059" t="s">
        <v>38</v>
      </c>
      <c r="D4285" s="1061">
        <v>12.67</v>
      </c>
    </row>
    <row r="4286" spans="1:4" ht="9" customHeight="1" x14ac:dyDescent="0.25">
      <c r="A4286" s="1059">
        <v>4011226</v>
      </c>
      <c r="B4286" s="1060" t="s">
        <v>25947</v>
      </c>
      <c r="C4286" s="1059" t="s">
        <v>38</v>
      </c>
      <c r="D4286" s="1061">
        <v>30.81</v>
      </c>
    </row>
    <row r="4287" spans="1:4" ht="18" customHeight="1" x14ac:dyDescent="0.25">
      <c r="A4287" s="1059">
        <v>4011240</v>
      </c>
      <c r="B4287" s="1060" t="s">
        <v>25948</v>
      </c>
      <c r="C4287" s="1059" t="s">
        <v>38</v>
      </c>
      <c r="D4287" s="1061">
        <v>114.44</v>
      </c>
    </row>
    <row r="4288" spans="1:4" ht="18" customHeight="1" x14ac:dyDescent="0.25">
      <c r="A4288" s="1059">
        <v>4011239</v>
      </c>
      <c r="B4288" s="1060" t="s">
        <v>25949</v>
      </c>
      <c r="C4288" s="1059" t="s">
        <v>38</v>
      </c>
      <c r="D4288" s="1061">
        <v>86.15</v>
      </c>
    </row>
    <row r="4289" spans="1:4" ht="9" customHeight="1" x14ac:dyDescent="0.25">
      <c r="A4289" s="1059">
        <v>4011268</v>
      </c>
      <c r="B4289" s="1060" t="s">
        <v>25950</v>
      </c>
      <c r="C4289" s="1059" t="s">
        <v>38</v>
      </c>
      <c r="D4289" s="1061">
        <v>76.94</v>
      </c>
    </row>
    <row r="4290" spans="1:4" ht="9" customHeight="1" x14ac:dyDescent="0.25">
      <c r="A4290" s="1059">
        <v>4011267</v>
      </c>
      <c r="B4290" s="1060" t="s">
        <v>25951</v>
      </c>
      <c r="C4290" s="1059" t="s">
        <v>38</v>
      </c>
      <c r="D4290" s="1061">
        <v>47.78</v>
      </c>
    </row>
    <row r="4291" spans="1:4" ht="9" customHeight="1" x14ac:dyDescent="0.25">
      <c r="A4291" s="1059">
        <v>4011256</v>
      </c>
      <c r="B4291" s="1060" t="s">
        <v>25952</v>
      </c>
      <c r="C4291" s="1059" t="s">
        <v>38</v>
      </c>
      <c r="D4291" s="1061">
        <v>63.79</v>
      </c>
    </row>
    <row r="4292" spans="1:4" ht="9" customHeight="1" x14ac:dyDescent="0.25">
      <c r="A4292" s="1059">
        <v>4011255</v>
      </c>
      <c r="B4292" s="1060" t="s">
        <v>25953</v>
      </c>
      <c r="C4292" s="1059" t="s">
        <v>38</v>
      </c>
      <c r="D4292" s="1061">
        <v>34.630000000000003</v>
      </c>
    </row>
    <row r="4293" spans="1:4" ht="9" customHeight="1" x14ac:dyDescent="0.25">
      <c r="A4293" s="1059">
        <v>4011276</v>
      </c>
      <c r="B4293" s="1060" t="s">
        <v>25954</v>
      </c>
      <c r="C4293" s="1059" t="s">
        <v>38</v>
      </c>
      <c r="D4293" s="1061">
        <v>218.76</v>
      </c>
    </row>
    <row r="4294" spans="1:4" ht="9" customHeight="1" x14ac:dyDescent="0.25">
      <c r="A4294" s="1059">
        <v>4011275</v>
      </c>
      <c r="B4294" s="1060" t="s">
        <v>25955</v>
      </c>
      <c r="C4294" s="1059" t="s">
        <v>38</v>
      </c>
      <c r="D4294" s="1061">
        <v>107.2</v>
      </c>
    </row>
    <row r="4295" spans="1:4" ht="9" customHeight="1" x14ac:dyDescent="0.25">
      <c r="A4295" s="1059">
        <v>4011549</v>
      </c>
      <c r="B4295" s="1060" t="s">
        <v>25956</v>
      </c>
      <c r="C4295" s="1059" t="s">
        <v>38</v>
      </c>
      <c r="D4295" s="1061">
        <v>219.24</v>
      </c>
    </row>
    <row r="4296" spans="1:4" ht="9" customHeight="1" x14ac:dyDescent="0.25">
      <c r="A4296" s="1059">
        <v>4011548</v>
      </c>
      <c r="B4296" s="1060" t="s">
        <v>25957</v>
      </c>
      <c r="C4296" s="1059" t="s">
        <v>38</v>
      </c>
      <c r="D4296" s="1061">
        <v>107.68</v>
      </c>
    </row>
    <row r="4297" spans="1:4" ht="9" customHeight="1" x14ac:dyDescent="0.25">
      <c r="A4297" s="1059">
        <v>4011278</v>
      </c>
      <c r="B4297" s="1060" t="s">
        <v>25958</v>
      </c>
      <c r="C4297" s="1059" t="s">
        <v>38</v>
      </c>
      <c r="D4297" s="1061">
        <v>264.02</v>
      </c>
    </row>
    <row r="4298" spans="1:4" ht="9" customHeight="1" x14ac:dyDescent="0.25">
      <c r="A4298" s="1059">
        <v>4011277</v>
      </c>
      <c r="B4298" s="1060" t="s">
        <v>25959</v>
      </c>
      <c r="C4298" s="1059" t="s">
        <v>38</v>
      </c>
      <c r="D4298" s="1061">
        <v>152.22</v>
      </c>
    </row>
    <row r="4299" spans="1:4" ht="9" customHeight="1" x14ac:dyDescent="0.25">
      <c r="A4299" s="1059">
        <v>4011561</v>
      </c>
      <c r="B4299" s="1060" t="s">
        <v>25960</v>
      </c>
      <c r="C4299" s="1059" t="s">
        <v>38</v>
      </c>
      <c r="D4299" s="1061">
        <v>264.5</v>
      </c>
    </row>
    <row r="4300" spans="1:4" ht="9" customHeight="1" x14ac:dyDescent="0.25">
      <c r="A4300" s="1059">
        <v>4011560</v>
      </c>
      <c r="B4300" s="1060" t="s">
        <v>25961</v>
      </c>
      <c r="C4300" s="1059" t="s">
        <v>38</v>
      </c>
      <c r="D4300" s="1061">
        <v>152.69999999999999</v>
      </c>
    </row>
    <row r="4301" spans="1:4" ht="9" customHeight="1" x14ac:dyDescent="0.25">
      <c r="A4301" s="1059">
        <v>4011282</v>
      </c>
      <c r="B4301" s="1060" t="s">
        <v>25962</v>
      </c>
      <c r="C4301" s="1059" t="s">
        <v>38</v>
      </c>
      <c r="D4301" s="1061">
        <v>185.7</v>
      </c>
    </row>
    <row r="4302" spans="1:4" ht="9" customHeight="1" x14ac:dyDescent="0.25">
      <c r="A4302" s="1059">
        <v>4011281</v>
      </c>
      <c r="B4302" s="1060" t="s">
        <v>25963</v>
      </c>
      <c r="C4302" s="1059" t="s">
        <v>38</v>
      </c>
      <c r="D4302" s="1061">
        <v>93.14</v>
      </c>
    </row>
    <row r="4303" spans="1:4" ht="9" customHeight="1" x14ac:dyDescent="0.25">
      <c r="A4303" s="1059">
        <v>4011279</v>
      </c>
      <c r="B4303" s="1060" t="s">
        <v>25964</v>
      </c>
      <c r="C4303" s="1059" t="s">
        <v>38</v>
      </c>
      <c r="D4303" s="1061">
        <v>180.04</v>
      </c>
    </row>
    <row r="4304" spans="1:4" ht="9" customHeight="1" x14ac:dyDescent="0.25">
      <c r="A4304" s="1059">
        <v>4011280</v>
      </c>
      <c r="B4304" s="1060" t="s">
        <v>25965</v>
      </c>
      <c r="C4304" s="1059" t="s">
        <v>38</v>
      </c>
      <c r="D4304" s="1061">
        <v>87.48</v>
      </c>
    </row>
    <row r="4305" spans="1:4" ht="18" customHeight="1" x14ac:dyDescent="0.25">
      <c r="A4305" s="1059">
        <v>4011327</v>
      </c>
      <c r="B4305" s="1060" t="s">
        <v>25966</v>
      </c>
      <c r="C4305" s="1059" t="s">
        <v>38</v>
      </c>
      <c r="D4305" s="1061">
        <v>36.03</v>
      </c>
    </row>
    <row r="4306" spans="1:4" ht="18" customHeight="1" x14ac:dyDescent="0.25">
      <c r="A4306" s="1059">
        <v>4011325</v>
      </c>
      <c r="B4306" s="1060" t="s">
        <v>25967</v>
      </c>
      <c r="C4306" s="1059" t="s">
        <v>38</v>
      </c>
      <c r="D4306" s="1061">
        <v>21.25</v>
      </c>
    </row>
    <row r="4307" spans="1:4" ht="9" customHeight="1" x14ac:dyDescent="0.25">
      <c r="A4307" s="1059">
        <v>4011454</v>
      </c>
      <c r="B4307" s="1060" t="s">
        <v>25968</v>
      </c>
      <c r="C4307" s="1059" t="s">
        <v>25896</v>
      </c>
      <c r="D4307" s="1061">
        <v>196.07</v>
      </c>
    </row>
    <row r="4308" spans="1:4" ht="9" customHeight="1" x14ac:dyDescent="0.25">
      <c r="A4308" s="1059">
        <v>4011453</v>
      </c>
      <c r="B4308" s="1060" t="s">
        <v>25969</v>
      </c>
      <c r="C4308" s="1059" t="s">
        <v>25896</v>
      </c>
      <c r="D4308" s="1061">
        <v>136.97999999999999</v>
      </c>
    </row>
    <row r="4309" spans="1:4" ht="9" customHeight="1" x14ac:dyDescent="0.25">
      <c r="A4309" s="1059">
        <v>4011455</v>
      </c>
      <c r="B4309" s="1060" t="s">
        <v>25970</v>
      </c>
      <c r="C4309" s="1059" t="s">
        <v>25896</v>
      </c>
      <c r="D4309" s="1061">
        <v>17.25</v>
      </c>
    </row>
    <row r="4310" spans="1:4" ht="9" customHeight="1" x14ac:dyDescent="0.25">
      <c r="A4310" s="1059">
        <v>4011459</v>
      </c>
      <c r="B4310" s="1060" t="s">
        <v>25971</v>
      </c>
      <c r="C4310" s="1059" t="s">
        <v>25896</v>
      </c>
      <c r="D4310" s="1061">
        <v>200.9</v>
      </c>
    </row>
    <row r="4311" spans="1:4" ht="9" customHeight="1" x14ac:dyDescent="0.25">
      <c r="A4311" s="1059">
        <v>4011458</v>
      </c>
      <c r="B4311" s="1060" t="s">
        <v>25972</v>
      </c>
      <c r="C4311" s="1059" t="s">
        <v>25896</v>
      </c>
      <c r="D4311" s="1061">
        <v>139.37</v>
      </c>
    </row>
    <row r="4312" spans="1:4" ht="9" customHeight="1" x14ac:dyDescent="0.25">
      <c r="A4312" s="1059">
        <v>4011463</v>
      </c>
      <c r="B4312" s="1060" t="s">
        <v>25973</v>
      </c>
      <c r="C4312" s="1059" t="s">
        <v>25896</v>
      </c>
      <c r="D4312" s="1061">
        <v>204.18</v>
      </c>
    </row>
    <row r="4313" spans="1:4" ht="9" customHeight="1" x14ac:dyDescent="0.25">
      <c r="A4313" s="1059">
        <v>4011462</v>
      </c>
      <c r="B4313" s="1060" t="s">
        <v>25974</v>
      </c>
      <c r="C4313" s="1059" t="s">
        <v>25896</v>
      </c>
      <c r="D4313" s="1061">
        <v>137.51</v>
      </c>
    </row>
    <row r="4314" spans="1:4" ht="9" customHeight="1" x14ac:dyDescent="0.25">
      <c r="A4314" s="1059">
        <v>4011464</v>
      </c>
      <c r="B4314" s="1060" t="s">
        <v>25975</v>
      </c>
      <c r="C4314" s="1059" t="s">
        <v>25896</v>
      </c>
      <c r="D4314" s="1061">
        <v>17.25</v>
      </c>
    </row>
    <row r="4315" spans="1:4" ht="9" customHeight="1" x14ac:dyDescent="0.25">
      <c r="A4315" s="1059">
        <v>4011457</v>
      </c>
      <c r="B4315" s="1060" t="s">
        <v>25976</v>
      </c>
      <c r="C4315" s="1059" t="s">
        <v>25896</v>
      </c>
      <c r="D4315" s="1061">
        <v>199.01</v>
      </c>
    </row>
    <row r="4316" spans="1:4" ht="9" customHeight="1" x14ac:dyDescent="0.25">
      <c r="A4316" s="1059">
        <v>4011456</v>
      </c>
      <c r="B4316" s="1060" t="s">
        <v>25977</v>
      </c>
      <c r="C4316" s="1059" t="s">
        <v>25896</v>
      </c>
      <c r="D4316" s="1061">
        <v>137.19999999999999</v>
      </c>
    </row>
    <row r="4317" spans="1:4" ht="9" customHeight="1" x14ac:dyDescent="0.25">
      <c r="A4317" s="1059">
        <v>4011461</v>
      </c>
      <c r="B4317" s="1060" t="s">
        <v>25978</v>
      </c>
      <c r="C4317" s="1059" t="s">
        <v>25896</v>
      </c>
      <c r="D4317" s="1061">
        <v>201.42</v>
      </c>
    </row>
    <row r="4318" spans="1:4" ht="9" customHeight="1" x14ac:dyDescent="0.25">
      <c r="A4318" s="1059">
        <v>4011460</v>
      </c>
      <c r="B4318" s="1060" t="s">
        <v>25979</v>
      </c>
      <c r="C4318" s="1059" t="s">
        <v>25896</v>
      </c>
      <c r="D4318" s="1061">
        <v>139.61000000000001</v>
      </c>
    </row>
    <row r="4319" spans="1:4" ht="9" customHeight="1" x14ac:dyDescent="0.25">
      <c r="A4319" s="1059">
        <v>4011466</v>
      </c>
      <c r="B4319" s="1060" t="s">
        <v>25980</v>
      </c>
      <c r="C4319" s="1059" t="s">
        <v>25896</v>
      </c>
      <c r="D4319" s="1061">
        <v>210.2</v>
      </c>
    </row>
    <row r="4320" spans="1:4" ht="9" customHeight="1" x14ac:dyDescent="0.25">
      <c r="A4320" s="1059">
        <v>4011465</v>
      </c>
      <c r="B4320" s="1060" t="s">
        <v>25981</v>
      </c>
      <c r="C4320" s="1059" t="s">
        <v>25896</v>
      </c>
      <c r="D4320" s="1061">
        <v>141.72</v>
      </c>
    </row>
    <row r="4321" spans="1:4" ht="9" customHeight="1" x14ac:dyDescent="0.25">
      <c r="A4321" s="1059">
        <v>4011469</v>
      </c>
      <c r="B4321" s="1060" t="s">
        <v>25982</v>
      </c>
      <c r="C4321" s="1059" t="s">
        <v>25896</v>
      </c>
      <c r="D4321" s="1061">
        <v>235.62</v>
      </c>
    </row>
    <row r="4322" spans="1:4" ht="9" customHeight="1" x14ac:dyDescent="0.25">
      <c r="A4322" s="1059">
        <v>4011473</v>
      </c>
      <c r="B4322" s="1060" t="s">
        <v>25983</v>
      </c>
      <c r="C4322" s="1059" t="s">
        <v>25896</v>
      </c>
      <c r="D4322" s="1061">
        <v>191.02</v>
      </c>
    </row>
    <row r="4323" spans="1:4" ht="9" customHeight="1" x14ac:dyDescent="0.25">
      <c r="A4323" s="1059">
        <v>4011470</v>
      </c>
      <c r="B4323" s="1060" t="s">
        <v>25984</v>
      </c>
      <c r="C4323" s="1059" t="s">
        <v>25896</v>
      </c>
      <c r="D4323" s="1061">
        <v>239.53</v>
      </c>
    </row>
    <row r="4324" spans="1:4" ht="9" customHeight="1" x14ac:dyDescent="0.25">
      <c r="A4324" s="1059">
        <v>4011474</v>
      </c>
      <c r="B4324" s="1060" t="s">
        <v>25985</v>
      </c>
      <c r="C4324" s="1059" t="s">
        <v>25896</v>
      </c>
      <c r="D4324" s="1061">
        <v>194.82</v>
      </c>
    </row>
    <row r="4325" spans="1:4" ht="9" customHeight="1" x14ac:dyDescent="0.25">
      <c r="A4325" s="1059">
        <v>4011471</v>
      </c>
      <c r="B4325" s="1060" t="s">
        <v>25986</v>
      </c>
      <c r="C4325" s="1059" t="s">
        <v>25896</v>
      </c>
      <c r="D4325" s="1061">
        <v>241.03</v>
      </c>
    </row>
    <row r="4326" spans="1:4" ht="9" customHeight="1" x14ac:dyDescent="0.25">
      <c r="A4326" s="1059">
        <v>4011475</v>
      </c>
      <c r="B4326" s="1060" t="s">
        <v>25987</v>
      </c>
      <c r="C4326" s="1059" t="s">
        <v>25896</v>
      </c>
      <c r="D4326" s="1061">
        <v>196.71</v>
      </c>
    </row>
    <row r="4327" spans="1:4" ht="9" customHeight="1" x14ac:dyDescent="0.25">
      <c r="A4327" s="1059">
        <v>4011472</v>
      </c>
      <c r="B4327" s="1060" t="s">
        <v>25988</v>
      </c>
      <c r="C4327" s="1059" t="s">
        <v>25896</v>
      </c>
      <c r="D4327" s="1061">
        <v>240.06</v>
      </c>
    </row>
    <row r="4328" spans="1:4" ht="9" customHeight="1" x14ac:dyDescent="0.25">
      <c r="A4328" s="1059">
        <v>4011476</v>
      </c>
      <c r="B4328" s="1060" t="s">
        <v>25989</v>
      </c>
      <c r="C4328" s="1059" t="s">
        <v>25896</v>
      </c>
      <c r="D4328" s="1061">
        <v>190.91</v>
      </c>
    </row>
    <row r="4329" spans="1:4" ht="9" customHeight="1" x14ac:dyDescent="0.25">
      <c r="A4329" s="1059">
        <v>4011478</v>
      </c>
      <c r="B4329" s="1060" t="s">
        <v>25990</v>
      </c>
      <c r="C4329" s="1059" t="s">
        <v>25896</v>
      </c>
      <c r="D4329" s="1061">
        <v>169.33</v>
      </c>
    </row>
    <row r="4330" spans="1:4" ht="9" customHeight="1" x14ac:dyDescent="0.25">
      <c r="A4330" s="1059">
        <v>4011477</v>
      </c>
      <c r="B4330" s="1060" t="s">
        <v>25991</v>
      </c>
      <c r="C4330" s="1059" t="s">
        <v>25896</v>
      </c>
      <c r="D4330" s="1061">
        <v>141.1</v>
      </c>
    </row>
    <row r="4331" spans="1:4" ht="9" customHeight="1" x14ac:dyDescent="0.25">
      <c r="A4331" s="1059">
        <v>4011538</v>
      </c>
      <c r="B4331" s="1060" t="s">
        <v>25992</v>
      </c>
      <c r="C4331" s="1059" t="s">
        <v>39</v>
      </c>
      <c r="D4331" s="1061">
        <v>0.17</v>
      </c>
    </row>
    <row r="4332" spans="1:4" ht="9" customHeight="1" x14ac:dyDescent="0.25">
      <c r="A4332" s="1059">
        <v>4016096</v>
      </c>
      <c r="B4332" s="1060" t="s">
        <v>21627</v>
      </c>
      <c r="C4332" s="1059" t="s">
        <v>38</v>
      </c>
      <c r="D4332" s="1061">
        <v>1.59</v>
      </c>
    </row>
    <row r="4333" spans="1:4" ht="9" customHeight="1" x14ac:dyDescent="0.25">
      <c r="A4333" s="1059">
        <v>4016008</v>
      </c>
      <c r="B4333" s="1060" t="s">
        <v>25993</v>
      </c>
      <c r="C4333" s="1059" t="s">
        <v>38</v>
      </c>
      <c r="D4333" s="1061">
        <v>3.73</v>
      </c>
    </row>
    <row r="4334" spans="1:4" ht="9" customHeight="1" x14ac:dyDescent="0.25">
      <c r="A4334" s="1059">
        <v>4016007</v>
      </c>
      <c r="B4334" s="1060" t="s">
        <v>25994</v>
      </c>
      <c r="C4334" s="1059" t="s">
        <v>38</v>
      </c>
      <c r="D4334" s="1061">
        <v>4.6399999999999997</v>
      </c>
    </row>
    <row r="4335" spans="1:4" ht="9" customHeight="1" x14ac:dyDescent="0.25">
      <c r="A4335" s="1059">
        <v>4015612</v>
      </c>
      <c r="B4335" s="1060" t="s">
        <v>25995</v>
      </c>
      <c r="C4335" s="1059" t="s">
        <v>38</v>
      </c>
      <c r="D4335" s="1061">
        <v>11.75</v>
      </c>
    </row>
    <row r="4336" spans="1:4" ht="9" customHeight="1" x14ac:dyDescent="0.25">
      <c r="A4336" s="1059">
        <v>4011479</v>
      </c>
      <c r="B4336" s="1060" t="s">
        <v>25996</v>
      </c>
      <c r="C4336" s="1059" t="s">
        <v>38</v>
      </c>
      <c r="D4336" s="1061">
        <v>53.32</v>
      </c>
    </row>
    <row r="4337" spans="1:4" ht="9" customHeight="1" x14ac:dyDescent="0.25">
      <c r="A4337" s="1059">
        <v>4011480</v>
      </c>
      <c r="B4337" s="1060" t="s">
        <v>25997</v>
      </c>
      <c r="C4337" s="1059" t="s">
        <v>38</v>
      </c>
      <c r="D4337" s="1061">
        <v>72.150000000000006</v>
      </c>
    </row>
    <row r="4338" spans="1:4" ht="18" customHeight="1" x14ac:dyDescent="0.25">
      <c r="A4338" s="1059">
        <v>4011562</v>
      </c>
      <c r="B4338" s="1060" t="s">
        <v>25998</v>
      </c>
      <c r="C4338" s="1059" t="s">
        <v>39</v>
      </c>
      <c r="D4338" s="1061">
        <v>37.479999999999997</v>
      </c>
    </row>
    <row r="4339" spans="1:4" ht="9" customHeight="1" x14ac:dyDescent="0.25">
      <c r="A4339" s="1059">
        <v>4011351</v>
      </c>
      <c r="B4339" s="1060" t="s">
        <v>25999</v>
      </c>
      <c r="C4339" s="1059" t="s">
        <v>39</v>
      </c>
      <c r="D4339" s="1061">
        <v>0.38</v>
      </c>
    </row>
    <row r="4340" spans="1:4" ht="9" customHeight="1" x14ac:dyDescent="0.25">
      <c r="A4340" s="1059">
        <v>4011352</v>
      </c>
      <c r="B4340" s="1060" t="s">
        <v>26000</v>
      </c>
      <c r="C4340" s="1059" t="s">
        <v>39</v>
      </c>
      <c r="D4340" s="1061">
        <v>0.41</v>
      </c>
    </row>
    <row r="4341" spans="1:4" ht="9" customHeight="1" x14ac:dyDescent="0.25">
      <c r="A4341" s="1059">
        <v>4011402</v>
      </c>
      <c r="B4341" s="1060" t="s">
        <v>26001</v>
      </c>
      <c r="C4341" s="1059" t="s">
        <v>39</v>
      </c>
      <c r="D4341" s="1061">
        <v>0.89</v>
      </c>
    </row>
    <row r="4342" spans="1:4" ht="9" customHeight="1" x14ac:dyDescent="0.25">
      <c r="A4342" s="1059">
        <v>4011401</v>
      </c>
      <c r="B4342" s="1060" t="s">
        <v>26002</v>
      </c>
      <c r="C4342" s="1059" t="s">
        <v>39</v>
      </c>
      <c r="D4342" s="1061">
        <v>0.59</v>
      </c>
    </row>
    <row r="4343" spans="1:4" ht="9" customHeight="1" x14ac:dyDescent="0.25">
      <c r="A4343" s="1059">
        <v>4011404</v>
      </c>
      <c r="B4343" s="1060" t="s">
        <v>26003</v>
      </c>
      <c r="C4343" s="1059" t="s">
        <v>39</v>
      </c>
      <c r="D4343" s="1061">
        <v>0.63</v>
      </c>
    </row>
    <row r="4344" spans="1:4" ht="9" customHeight="1" x14ac:dyDescent="0.25">
      <c r="A4344" s="1059">
        <v>4011403</v>
      </c>
      <c r="B4344" s="1060" t="s">
        <v>26004</v>
      </c>
      <c r="C4344" s="1059" t="s">
        <v>39</v>
      </c>
      <c r="D4344" s="1061">
        <v>0.4</v>
      </c>
    </row>
    <row r="4345" spans="1:4" ht="9" customHeight="1" x14ac:dyDescent="0.25">
      <c r="A4345" s="1059">
        <v>4011406</v>
      </c>
      <c r="B4345" s="1060" t="s">
        <v>26005</v>
      </c>
      <c r="C4345" s="1059" t="s">
        <v>39</v>
      </c>
      <c r="D4345" s="1061">
        <v>1.1599999999999999</v>
      </c>
    </row>
    <row r="4346" spans="1:4" ht="9" customHeight="1" x14ac:dyDescent="0.25">
      <c r="A4346" s="1059">
        <v>4011405</v>
      </c>
      <c r="B4346" s="1060" t="s">
        <v>26006</v>
      </c>
      <c r="C4346" s="1059" t="s">
        <v>39</v>
      </c>
      <c r="D4346" s="1061">
        <v>0.77</v>
      </c>
    </row>
    <row r="4347" spans="1:4" ht="9" customHeight="1" x14ac:dyDescent="0.25">
      <c r="A4347" s="1059">
        <v>4011392</v>
      </c>
      <c r="B4347" s="1060" t="s">
        <v>26007</v>
      </c>
      <c r="C4347" s="1059" t="s">
        <v>38</v>
      </c>
      <c r="D4347" s="1061">
        <v>213.86</v>
      </c>
    </row>
    <row r="4348" spans="1:4" ht="9" customHeight="1" x14ac:dyDescent="0.25">
      <c r="A4348" s="1059">
        <v>4011391</v>
      </c>
      <c r="B4348" s="1060" t="s">
        <v>26008</v>
      </c>
      <c r="C4348" s="1059" t="s">
        <v>38</v>
      </c>
      <c r="D4348" s="1061">
        <v>123.9</v>
      </c>
    </row>
    <row r="4349" spans="1:4" ht="9" customHeight="1" x14ac:dyDescent="0.25">
      <c r="A4349" s="1059">
        <v>4011394</v>
      </c>
      <c r="B4349" s="1060" t="s">
        <v>26009</v>
      </c>
      <c r="C4349" s="1059" t="s">
        <v>38</v>
      </c>
      <c r="D4349" s="1061">
        <v>214.42</v>
      </c>
    </row>
    <row r="4350" spans="1:4" ht="9" customHeight="1" x14ac:dyDescent="0.25">
      <c r="A4350" s="1059">
        <v>4011393</v>
      </c>
      <c r="B4350" s="1060" t="s">
        <v>26010</v>
      </c>
      <c r="C4350" s="1059" t="s">
        <v>38</v>
      </c>
      <c r="D4350" s="1061">
        <v>124.49</v>
      </c>
    </row>
    <row r="4351" spans="1:4" ht="9" customHeight="1" x14ac:dyDescent="0.25">
      <c r="A4351" s="1059">
        <v>4011396</v>
      </c>
      <c r="B4351" s="1060" t="s">
        <v>26011</v>
      </c>
      <c r="C4351" s="1059" t="s">
        <v>38</v>
      </c>
      <c r="D4351" s="1061">
        <v>216.14</v>
      </c>
    </row>
    <row r="4352" spans="1:4" ht="9" customHeight="1" x14ac:dyDescent="0.25">
      <c r="A4352" s="1059">
        <v>4011395</v>
      </c>
      <c r="B4352" s="1060" t="s">
        <v>26012</v>
      </c>
      <c r="C4352" s="1059" t="s">
        <v>38</v>
      </c>
      <c r="D4352" s="1061">
        <v>125.18</v>
      </c>
    </row>
    <row r="4353" spans="1:4" ht="9" customHeight="1" x14ac:dyDescent="0.25">
      <c r="A4353" s="1059">
        <v>4011398</v>
      </c>
      <c r="B4353" s="1060" t="s">
        <v>26013</v>
      </c>
      <c r="C4353" s="1059" t="s">
        <v>38</v>
      </c>
      <c r="D4353" s="1061">
        <v>219.58</v>
      </c>
    </row>
    <row r="4354" spans="1:4" ht="9" customHeight="1" x14ac:dyDescent="0.25">
      <c r="A4354" s="1059">
        <v>4011397</v>
      </c>
      <c r="B4354" s="1060" t="s">
        <v>26014</v>
      </c>
      <c r="C4354" s="1059" t="s">
        <v>38</v>
      </c>
      <c r="D4354" s="1061">
        <v>125.52</v>
      </c>
    </row>
    <row r="4355" spans="1:4" ht="9" customHeight="1" x14ac:dyDescent="0.25">
      <c r="A4355" s="1059">
        <v>4011400</v>
      </c>
      <c r="B4355" s="1060" t="s">
        <v>26015</v>
      </c>
      <c r="C4355" s="1059" t="s">
        <v>38</v>
      </c>
      <c r="D4355" s="1061">
        <v>231.18</v>
      </c>
    </row>
    <row r="4356" spans="1:4" ht="9" customHeight="1" x14ac:dyDescent="0.25">
      <c r="A4356" s="1059">
        <v>4011399</v>
      </c>
      <c r="B4356" s="1060" t="s">
        <v>26016</v>
      </c>
      <c r="C4356" s="1059" t="s">
        <v>38</v>
      </c>
      <c r="D4356" s="1061">
        <v>142.82</v>
      </c>
    </row>
    <row r="4357" spans="1:4" ht="9" customHeight="1" x14ac:dyDescent="0.25">
      <c r="A4357" s="1059">
        <v>4011490</v>
      </c>
      <c r="B4357" s="1060" t="s">
        <v>26017</v>
      </c>
      <c r="C4357" s="1059" t="s">
        <v>39</v>
      </c>
      <c r="D4357" s="1061">
        <v>5.47</v>
      </c>
    </row>
    <row r="4358" spans="1:4" ht="9" customHeight="1" x14ac:dyDescent="0.25">
      <c r="A4358" s="1059">
        <v>4011536</v>
      </c>
      <c r="B4358" s="1060" t="s">
        <v>26018</v>
      </c>
      <c r="C4358" s="1059" t="s">
        <v>39</v>
      </c>
      <c r="D4358" s="1061">
        <v>2.11</v>
      </c>
    </row>
    <row r="4359" spans="1:4" ht="9" customHeight="1" x14ac:dyDescent="0.25">
      <c r="A4359" s="1059">
        <v>4011415</v>
      </c>
      <c r="B4359" s="1060" t="s">
        <v>26019</v>
      </c>
      <c r="C4359" s="1059" t="s">
        <v>25896</v>
      </c>
      <c r="D4359" s="1061">
        <v>184.28</v>
      </c>
    </row>
    <row r="4360" spans="1:4" ht="9" customHeight="1" x14ac:dyDescent="0.25">
      <c r="A4360" s="1059">
        <v>4011416</v>
      </c>
      <c r="B4360" s="1060" t="s">
        <v>26020</v>
      </c>
      <c r="C4360" s="1059" t="s">
        <v>25896</v>
      </c>
      <c r="D4360" s="1061">
        <v>140.1</v>
      </c>
    </row>
    <row r="4361" spans="1:4" ht="9" customHeight="1" x14ac:dyDescent="0.25">
      <c r="A4361" s="1059">
        <v>4011408</v>
      </c>
      <c r="B4361" s="1060" t="s">
        <v>26021</v>
      </c>
      <c r="C4361" s="1059" t="s">
        <v>39</v>
      </c>
      <c r="D4361" s="1061">
        <v>2.29</v>
      </c>
    </row>
    <row r="4362" spans="1:4" ht="9" customHeight="1" x14ac:dyDescent="0.25">
      <c r="A4362" s="1059">
        <v>4011407</v>
      </c>
      <c r="B4362" s="1060" t="s">
        <v>26022</v>
      </c>
      <c r="C4362" s="1059" t="s">
        <v>39</v>
      </c>
      <c r="D4362" s="1061">
        <v>1.73</v>
      </c>
    </row>
    <row r="4363" spans="1:4" ht="9" customHeight="1" x14ac:dyDescent="0.25">
      <c r="A4363" s="1059">
        <v>4011410</v>
      </c>
      <c r="B4363" s="1060" t="s">
        <v>26023</v>
      </c>
      <c r="C4363" s="1059" t="s">
        <v>39</v>
      </c>
      <c r="D4363" s="1061">
        <v>4.3</v>
      </c>
    </row>
    <row r="4364" spans="1:4" ht="9" customHeight="1" x14ac:dyDescent="0.25">
      <c r="A4364" s="1059">
        <v>4011409</v>
      </c>
      <c r="B4364" s="1060" t="s">
        <v>26024</v>
      </c>
      <c r="C4364" s="1059" t="s">
        <v>39</v>
      </c>
      <c r="D4364" s="1061">
        <v>3.25</v>
      </c>
    </row>
    <row r="4365" spans="1:4" ht="9" customHeight="1" x14ac:dyDescent="0.25">
      <c r="A4365" s="1059">
        <v>4011412</v>
      </c>
      <c r="B4365" s="1060" t="s">
        <v>26025</v>
      </c>
      <c r="C4365" s="1059" t="s">
        <v>39</v>
      </c>
      <c r="D4365" s="1061">
        <v>5.92</v>
      </c>
    </row>
    <row r="4366" spans="1:4" ht="9" customHeight="1" x14ac:dyDescent="0.25">
      <c r="A4366" s="1059">
        <v>4011411</v>
      </c>
      <c r="B4366" s="1060" t="s">
        <v>26026</v>
      </c>
      <c r="C4366" s="1059" t="s">
        <v>39</v>
      </c>
      <c r="D4366" s="1061">
        <v>4.5199999999999996</v>
      </c>
    </row>
    <row r="4367" spans="1:4" ht="9" customHeight="1" x14ac:dyDescent="0.25">
      <c r="A4367" s="1059">
        <v>4011520</v>
      </c>
      <c r="B4367" s="1060" t="s">
        <v>26027</v>
      </c>
      <c r="C4367" s="1059" t="s">
        <v>38</v>
      </c>
      <c r="D4367" s="1061">
        <v>528.04999999999995</v>
      </c>
    </row>
    <row r="4368" spans="1:4" ht="9" customHeight="1" x14ac:dyDescent="0.25">
      <c r="A4368" s="1059">
        <v>4011507</v>
      </c>
      <c r="B4368" s="1060" t="s">
        <v>26028</v>
      </c>
      <c r="C4368" s="1059" t="s">
        <v>38</v>
      </c>
      <c r="D4368" s="1061">
        <v>402.35</v>
      </c>
    </row>
    <row r="4369" spans="1:4" ht="9" customHeight="1" x14ac:dyDescent="0.25">
      <c r="A4369" s="1059">
        <v>4011535</v>
      </c>
      <c r="B4369" s="1060" t="s">
        <v>26029</v>
      </c>
      <c r="C4369" s="1059" t="s">
        <v>38</v>
      </c>
      <c r="D4369" s="1061">
        <v>403.92</v>
      </c>
    </row>
    <row r="4370" spans="1:4" ht="9" customHeight="1" x14ac:dyDescent="0.25">
      <c r="A4370" s="1059">
        <v>4011534</v>
      </c>
      <c r="B4370" s="1060" t="s">
        <v>26030</v>
      </c>
      <c r="C4370" s="1059" t="s">
        <v>38</v>
      </c>
      <c r="D4370" s="1061">
        <v>285.69</v>
      </c>
    </row>
    <row r="4371" spans="1:4" ht="9" customHeight="1" x14ac:dyDescent="0.25">
      <c r="A4371" s="1059">
        <v>4011533</v>
      </c>
      <c r="B4371" s="1060" t="s">
        <v>26031</v>
      </c>
      <c r="C4371" s="1059" t="s">
        <v>38</v>
      </c>
      <c r="D4371" s="1061">
        <v>409.37</v>
      </c>
    </row>
    <row r="4372" spans="1:4" ht="9" customHeight="1" x14ac:dyDescent="0.25">
      <c r="A4372" s="1059">
        <v>4011532</v>
      </c>
      <c r="B4372" s="1060" t="s">
        <v>26032</v>
      </c>
      <c r="C4372" s="1059" t="s">
        <v>38</v>
      </c>
      <c r="D4372" s="1061">
        <v>291.14</v>
      </c>
    </row>
    <row r="4373" spans="1:4" ht="9" customHeight="1" x14ac:dyDescent="0.25">
      <c r="A4373" s="1059">
        <v>4011492</v>
      </c>
      <c r="B4373" s="1060" t="s">
        <v>26033</v>
      </c>
      <c r="C4373" s="1059" t="s">
        <v>38</v>
      </c>
      <c r="D4373" s="1061">
        <v>325.12</v>
      </c>
    </row>
    <row r="4374" spans="1:4" ht="9" customHeight="1" x14ac:dyDescent="0.25">
      <c r="A4374" s="1059">
        <v>4011491</v>
      </c>
      <c r="B4374" s="1060" t="s">
        <v>26034</v>
      </c>
      <c r="C4374" s="1059" t="s">
        <v>38</v>
      </c>
      <c r="D4374" s="1061">
        <v>218.88</v>
      </c>
    </row>
    <row r="4375" spans="1:4" ht="9" customHeight="1" x14ac:dyDescent="0.25">
      <c r="A4375" s="1059">
        <v>4011353</v>
      </c>
      <c r="B4375" s="1060" t="s">
        <v>26035</v>
      </c>
      <c r="C4375" s="1059" t="s">
        <v>39</v>
      </c>
      <c r="D4375" s="1061">
        <v>0.28000000000000003</v>
      </c>
    </row>
    <row r="4376" spans="1:4" ht="9" customHeight="1" x14ac:dyDescent="0.25">
      <c r="A4376" s="1059">
        <v>4011354</v>
      </c>
      <c r="B4376" s="1060" t="s">
        <v>26036</v>
      </c>
      <c r="C4376" s="1059" t="s">
        <v>39</v>
      </c>
      <c r="D4376" s="1061">
        <v>0.28000000000000003</v>
      </c>
    </row>
    <row r="4377" spans="1:4" ht="9" customHeight="1" x14ac:dyDescent="0.25">
      <c r="A4377" s="1059">
        <v>4011418</v>
      </c>
      <c r="B4377" s="1060" t="s">
        <v>26037</v>
      </c>
      <c r="C4377" s="1059" t="s">
        <v>38</v>
      </c>
      <c r="D4377" s="1061">
        <v>312.60000000000002</v>
      </c>
    </row>
    <row r="4378" spans="1:4" ht="9" customHeight="1" x14ac:dyDescent="0.25">
      <c r="A4378" s="1059">
        <v>4011417</v>
      </c>
      <c r="B4378" s="1060" t="s">
        <v>26038</v>
      </c>
      <c r="C4378" s="1059" t="s">
        <v>38</v>
      </c>
      <c r="D4378" s="1061">
        <v>180.7</v>
      </c>
    </row>
    <row r="4379" spans="1:4" ht="9" customHeight="1" x14ac:dyDescent="0.25">
      <c r="A4379" s="1059">
        <v>4011420</v>
      </c>
      <c r="B4379" s="1060" t="s">
        <v>26039</v>
      </c>
      <c r="C4379" s="1059" t="s">
        <v>38</v>
      </c>
      <c r="D4379" s="1061">
        <v>321.82</v>
      </c>
    </row>
    <row r="4380" spans="1:4" ht="9" customHeight="1" x14ac:dyDescent="0.25">
      <c r="A4380" s="1059">
        <v>4011419</v>
      </c>
      <c r="B4380" s="1060" t="s">
        <v>26040</v>
      </c>
      <c r="C4380" s="1059" t="s">
        <v>38</v>
      </c>
      <c r="D4380" s="1061">
        <v>177.64</v>
      </c>
    </row>
    <row r="4381" spans="1:4" ht="9" customHeight="1" x14ac:dyDescent="0.25">
      <c r="A4381" s="1059">
        <v>4011422</v>
      </c>
      <c r="B4381" s="1060" t="s">
        <v>26041</v>
      </c>
      <c r="C4381" s="1059" t="s">
        <v>38</v>
      </c>
      <c r="D4381" s="1061">
        <v>327.68</v>
      </c>
    </row>
    <row r="4382" spans="1:4" ht="9" customHeight="1" x14ac:dyDescent="0.25">
      <c r="A4382" s="1059">
        <v>4011421</v>
      </c>
      <c r="B4382" s="1060" t="s">
        <v>26042</v>
      </c>
      <c r="C4382" s="1059" t="s">
        <v>38</v>
      </c>
      <c r="D4382" s="1061">
        <v>191.19</v>
      </c>
    </row>
    <row r="4383" spans="1:4" ht="9" customHeight="1" x14ac:dyDescent="0.25">
      <c r="A4383" s="1059">
        <v>4011424</v>
      </c>
      <c r="B4383" s="1060" t="s">
        <v>26043</v>
      </c>
      <c r="C4383" s="1059" t="s">
        <v>38</v>
      </c>
      <c r="D4383" s="1061">
        <v>337.73</v>
      </c>
    </row>
    <row r="4384" spans="1:4" ht="9" customHeight="1" x14ac:dyDescent="0.25">
      <c r="A4384" s="1059">
        <v>4011423</v>
      </c>
      <c r="B4384" s="1060" t="s">
        <v>26044</v>
      </c>
      <c r="C4384" s="1059" t="s">
        <v>38</v>
      </c>
      <c r="D4384" s="1061">
        <v>188.13</v>
      </c>
    </row>
    <row r="4385" spans="1:4" ht="9" customHeight="1" x14ac:dyDescent="0.25">
      <c r="A4385" s="1059">
        <v>4011426</v>
      </c>
      <c r="B4385" s="1060" t="s">
        <v>26045</v>
      </c>
      <c r="C4385" s="1059" t="s">
        <v>38</v>
      </c>
      <c r="D4385" s="1061">
        <v>312.60000000000002</v>
      </c>
    </row>
    <row r="4386" spans="1:4" ht="9" customHeight="1" x14ac:dyDescent="0.25">
      <c r="A4386" s="1059">
        <v>4011425</v>
      </c>
      <c r="B4386" s="1060" t="s">
        <v>26046</v>
      </c>
      <c r="C4386" s="1059" t="s">
        <v>38</v>
      </c>
      <c r="D4386" s="1061">
        <v>180.7</v>
      </c>
    </row>
    <row r="4387" spans="1:4" ht="9" customHeight="1" x14ac:dyDescent="0.25">
      <c r="A4387" s="1059">
        <v>4011428</v>
      </c>
      <c r="B4387" s="1060" t="s">
        <v>26047</v>
      </c>
      <c r="C4387" s="1059" t="s">
        <v>38</v>
      </c>
      <c r="D4387" s="1061">
        <v>321.82</v>
      </c>
    </row>
    <row r="4388" spans="1:4" ht="9" customHeight="1" x14ac:dyDescent="0.25">
      <c r="A4388" s="1059">
        <v>4011427</v>
      </c>
      <c r="B4388" s="1060" t="s">
        <v>26048</v>
      </c>
      <c r="C4388" s="1059" t="s">
        <v>38</v>
      </c>
      <c r="D4388" s="1061">
        <v>177.64</v>
      </c>
    </row>
    <row r="4389" spans="1:4" ht="9" customHeight="1" x14ac:dyDescent="0.25">
      <c r="A4389" s="1059">
        <v>4011430</v>
      </c>
      <c r="B4389" s="1060" t="s">
        <v>26049</v>
      </c>
      <c r="C4389" s="1059" t="s">
        <v>38</v>
      </c>
      <c r="D4389" s="1061">
        <v>326.51</v>
      </c>
    </row>
    <row r="4390" spans="1:4" ht="9" customHeight="1" x14ac:dyDescent="0.25">
      <c r="A4390" s="1059">
        <v>4011429</v>
      </c>
      <c r="B4390" s="1060" t="s">
        <v>26050</v>
      </c>
      <c r="C4390" s="1059" t="s">
        <v>38</v>
      </c>
      <c r="D4390" s="1061">
        <v>190.67</v>
      </c>
    </row>
    <row r="4391" spans="1:4" ht="9" customHeight="1" x14ac:dyDescent="0.25">
      <c r="A4391" s="1059">
        <v>4011432</v>
      </c>
      <c r="B4391" s="1060" t="s">
        <v>26051</v>
      </c>
      <c r="C4391" s="1059" t="s">
        <v>38</v>
      </c>
      <c r="D4391" s="1061">
        <v>336.52</v>
      </c>
    </row>
    <row r="4392" spans="1:4" ht="9" customHeight="1" x14ac:dyDescent="0.25">
      <c r="A4392" s="1059">
        <v>4011431</v>
      </c>
      <c r="B4392" s="1060" t="s">
        <v>26052</v>
      </c>
      <c r="C4392" s="1059" t="s">
        <v>38</v>
      </c>
      <c r="D4392" s="1061">
        <v>187.62</v>
      </c>
    </row>
    <row r="4393" spans="1:4" ht="9" customHeight="1" x14ac:dyDescent="0.25">
      <c r="A4393" s="1059">
        <v>4011434</v>
      </c>
      <c r="B4393" s="1060" t="s">
        <v>26053</v>
      </c>
      <c r="C4393" s="1059" t="s">
        <v>25896</v>
      </c>
      <c r="D4393" s="1061">
        <v>199.54</v>
      </c>
    </row>
    <row r="4394" spans="1:4" ht="9" customHeight="1" x14ac:dyDescent="0.25">
      <c r="A4394" s="1059">
        <v>4011433</v>
      </c>
      <c r="B4394" s="1060" t="s">
        <v>26054</v>
      </c>
      <c r="C4394" s="1059" t="s">
        <v>25896</v>
      </c>
      <c r="D4394" s="1061">
        <v>136.59</v>
      </c>
    </row>
    <row r="4395" spans="1:4" ht="9" customHeight="1" x14ac:dyDescent="0.25">
      <c r="A4395" s="1059">
        <v>4011436</v>
      </c>
      <c r="B4395" s="1060" t="s">
        <v>26055</v>
      </c>
      <c r="C4395" s="1059" t="s">
        <v>25896</v>
      </c>
      <c r="D4395" s="1061">
        <v>192.61</v>
      </c>
    </row>
    <row r="4396" spans="1:4" ht="9" customHeight="1" x14ac:dyDescent="0.25">
      <c r="A4396" s="1059">
        <v>4011435</v>
      </c>
      <c r="B4396" s="1060" t="s">
        <v>26056</v>
      </c>
      <c r="C4396" s="1059" t="s">
        <v>25896</v>
      </c>
      <c r="D4396" s="1061">
        <v>127.83</v>
      </c>
    </row>
    <row r="4397" spans="1:4" ht="9" customHeight="1" x14ac:dyDescent="0.25">
      <c r="A4397" s="1059">
        <v>4011438</v>
      </c>
      <c r="B4397" s="1060" t="s">
        <v>26057</v>
      </c>
      <c r="C4397" s="1059" t="s">
        <v>25896</v>
      </c>
      <c r="D4397" s="1061">
        <v>201.58</v>
      </c>
    </row>
    <row r="4398" spans="1:4" ht="9" customHeight="1" x14ac:dyDescent="0.25">
      <c r="A4398" s="1059">
        <v>4011437</v>
      </c>
      <c r="B4398" s="1060" t="s">
        <v>26058</v>
      </c>
      <c r="C4398" s="1059" t="s">
        <v>25896</v>
      </c>
      <c r="D4398" s="1061">
        <v>134.78</v>
      </c>
    </row>
    <row r="4399" spans="1:4" ht="9" customHeight="1" x14ac:dyDescent="0.25">
      <c r="A4399" s="1059">
        <v>4011440</v>
      </c>
      <c r="B4399" s="1060" t="s">
        <v>26059</v>
      </c>
      <c r="C4399" s="1059" t="s">
        <v>25896</v>
      </c>
      <c r="D4399" s="1061">
        <v>201.48</v>
      </c>
    </row>
    <row r="4400" spans="1:4" ht="9" customHeight="1" x14ac:dyDescent="0.25">
      <c r="A4400" s="1059">
        <v>4011439</v>
      </c>
      <c r="B4400" s="1060" t="s">
        <v>26060</v>
      </c>
      <c r="C4400" s="1059" t="s">
        <v>25896</v>
      </c>
      <c r="D4400" s="1061">
        <v>140.78</v>
      </c>
    </row>
    <row r="4401" spans="1:4" ht="9" customHeight="1" x14ac:dyDescent="0.25">
      <c r="A4401" s="1059">
        <v>4011442</v>
      </c>
      <c r="B4401" s="1060" t="s">
        <v>26061</v>
      </c>
      <c r="C4401" s="1059" t="s">
        <v>25896</v>
      </c>
      <c r="D4401" s="1061">
        <v>199.68</v>
      </c>
    </row>
    <row r="4402" spans="1:4" ht="9" customHeight="1" x14ac:dyDescent="0.25">
      <c r="A4402" s="1059">
        <v>4011441</v>
      </c>
      <c r="B4402" s="1060" t="s">
        <v>26062</v>
      </c>
      <c r="C4402" s="1059" t="s">
        <v>25896</v>
      </c>
      <c r="D4402" s="1061">
        <v>140.38</v>
      </c>
    </row>
    <row r="4403" spans="1:4" ht="9" customHeight="1" x14ac:dyDescent="0.25">
      <c r="A4403" s="1059">
        <v>4011482</v>
      </c>
      <c r="B4403" s="1060" t="s">
        <v>26063</v>
      </c>
      <c r="C4403" s="1059" t="s">
        <v>38</v>
      </c>
      <c r="D4403" s="1061">
        <v>69.900000000000006</v>
      </c>
    </row>
    <row r="4404" spans="1:4" ht="9" customHeight="1" x14ac:dyDescent="0.25">
      <c r="A4404" s="1059">
        <v>4011484</v>
      </c>
      <c r="B4404" s="1060" t="s">
        <v>26064</v>
      </c>
      <c r="C4404" s="1059" t="s">
        <v>38</v>
      </c>
      <c r="D4404" s="1061">
        <v>66.66</v>
      </c>
    </row>
    <row r="4405" spans="1:4" ht="9" customHeight="1" x14ac:dyDescent="0.25">
      <c r="A4405" s="1059">
        <v>4011483</v>
      </c>
      <c r="B4405" s="1060" t="s">
        <v>26065</v>
      </c>
      <c r="C4405" s="1059" t="s">
        <v>38</v>
      </c>
      <c r="D4405" s="1061">
        <v>48.99</v>
      </c>
    </row>
    <row r="4406" spans="1:4" ht="9" customHeight="1" x14ac:dyDescent="0.25">
      <c r="A4406" s="1059">
        <v>4011488</v>
      </c>
      <c r="B4406" s="1060" t="s">
        <v>26066</v>
      </c>
      <c r="C4406" s="1059" t="s">
        <v>38</v>
      </c>
      <c r="D4406" s="1061">
        <v>52.3</v>
      </c>
    </row>
    <row r="4407" spans="1:4" ht="18" customHeight="1" x14ac:dyDescent="0.25">
      <c r="A4407" s="1059">
        <v>4011487</v>
      </c>
      <c r="B4407" s="1060" t="s">
        <v>26067</v>
      </c>
      <c r="C4407" s="1059" t="s">
        <v>38</v>
      </c>
      <c r="D4407" s="1061">
        <v>79.88</v>
      </c>
    </row>
    <row r="4408" spans="1:4" ht="9" customHeight="1" x14ac:dyDescent="0.25">
      <c r="A4408" s="1059">
        <v>4011486</v>
      </c>
      <c r="B4408" s="1060" t="s">
        <v>26068</v>
      </c>
      <c r="C4408" s="1059" t="s">
        <v>38</v>
      </c>
      <c r="D4408" s="1061">
        <v>105.28</v>
      </c>
    </row>
    <row r="4409" spans="1:4" ht="9" customHeight="1" x14ac:dyDescent="0.25">
      <c r="A4409" s="1059">
        <v>4011485</v>
      </c>
      <c r="B4409" s="1060" t="s">
        <v>26069</v>
      </c>
      <c r="C4409" s="1059" t="s">
        <v>38</v>
      </c>
      <c r="D4409" s="1061">
        <v>87.61</v>
      </c>
    </row>
    <row r="4410" spans="1:4" ht="9" customHeight="1" x14ac:dyDescent="0.25">
      <c r="A4410" s="1059">
        <v>4011489</v>
      </c>
      <c r="B4410" s="1060" t="s">
        <v>26070</v>
      </c>
      <c r="C4410" s="1059" t="s">
        <v>38</v>
      </c>
      <c r="D4410" s="1061">
        <v>138.1</v>
      </c>
    </row>
    <row r="4411" spans="1:4" ht="9" customHeight="1" x14ac:dyDescent="0.25">
      <c r="A4411" s="1059">
        <v>4011481</v>
      </c>
      <c r="B4411" s="1060" t="s">
        <v>26071</v>
      </c>
      <c r="C4411" s="1059" t="s">
        <v>38</v>
      </c>
      <c r="D4411" s="1061">
        <v>31.27</v>
      </c>
    </row>
    <row r="4412" spans="1:4" ht="9" customHeight="1" x14ac:dyDescent="0.25">
      <c r="A4412" s="1059">
        <v>4011347</v>
      </c>
      <c r="B4412" s="1060" t="s">
        <v>26072</v>
      </c>
      <c r="C4412" s="1059" t="s">
        <v>38</v>
      </c>
      <c r="D4412" s="1061">
        <v>58.43</v>
      </c>
    </row>
    <row r="4413" spans="1:4" ht="9" customHeight="1" x14ac:dyDescent="0.25">
      <c r="A4413" s="1059">
        <v>4011342</v>
      </c>
      <c r="B4413" s="1060" t="s">
        <v>26073</v>
      </c>
      <c r="C4413" s="1059" t="s">
        <v>38</v>
      </c>
      <c r="D4413" s="1061">
        <v>78.06</v>
      </c>
    </row>
    <row r="4414" spans="1:4" ht="9" customHeight="1" x14ac:dyDescent="0.25">
      <c r="A4414" s="1059">
        <v>4011344</v>
      </c>
      <c r="B4414" s="1060" t="s">
        <v>26074</v>
      </c>
      <c r="C4414" s="1059" t="s">
        <v>38</v>
      </c>
      <c r="D4414" s="1061">
        <v>48.89</v>
      </c>
    </row>
    <row r="4415" spans="1:4" ht="9" customHeight="1" x14ac:dyDescent="0.25">
      <c r="A4415" s="1059">
        <v>4011341</v>
      </c>
      <c r="B4415" s="1060" t="s">
        <v>26075</v>
      </c>
      <c r="C4415" s="1059" t="s">
        <v>38</v>
      </c>
      <c r="D4415" s="1061">
        <v>11.72</v>
      </c>
    </row>
    <row r="4416" spans="1:4" ht="9" customHeight="1" x14ac:dyDescent="0.25">
      <c r="A4416" s="1059">
        <v>4011346</v>
      </c>
      <c r="B4416" s="1060" t="s">
        <v>26076</v>
      </c>
      <c r="C4416" s="1059" t="s">
        <v>38</v>
      </c>
      <c r="D4416" s="1061">
        <v>8.25</v>
      </c>
    </row>
    <row r="4417" spans="1:4" ht="9" customHeight="1" x14ac:dyDescent="0.25">
      <c r="A4417" s="1059">
        <v>4011211</v>
      </c>
      <c r="B4417" s="1060" t="s">
        <v>26077</v>
      </c>
      <c r="C4417" s="1059" t="s">
        <v>38</v>
      </c>
      <c r="D4417" s="1061">
        <v>11.28</v>
      </c>
    </row>
    <row r="4418" spans="1:4" ht="9" customHeight="1" x14ac:dyDescent="0.25">
      <c r="A4418" s="1059">
        <v>4011304</v>
      </c>
      <c r="B4418" s="1060" t="s">
        <v>26078</v>
      </c>
      <c r="C4418" s="1059" t="s">
        <v>38</v>
      </c>
      <c r="D4418" s="1061">
        <v>52.25</v>
      </c>
    </row>
    <row r="4419" spans="1:4" ht="9" customHeight="1" x14ac:dyDescent="0.25">
      <c r="A4419" s="1059">
        <v>4011209</v>
      </c>
      <c r="B4419" s="1060" t="s">
        <v>26079</v>
      </c>
      <c r="C4419" s="1059" t="s">
        <v>39</v>
      </c>
      <c r="D4419" s="1061">
        <v>1.08</v>
      </c>
    </row>
    <row r="4420" spans="1:4" ht="9" customHeight="1" x14ac:dyDescent="0.25">
      <c r="A4420" s="1059">
        <v>4011210</v>
      </c>
      <c r="B4420" s="1060" t="s">
        <v>26080</v>
      </c>
      <c r="C4420" s="1059" t="s">
        <v>39</v>
      </c>
      <c r="D4420" s="1061">
        <v>1.19</v>
      </c>
    </row>
    <row r="4421" spans="1:4" ht="9" customHeight="1" x14ac:dyDescent="0.25">
      <c r="A4421" s="1059">
        <v>4011537</v>
      </c>
      <c r="B4421" s="1060" t="s">
        <v>26081</v>
      </c>
      <c r="C4421" s="1059" t="s">
        <v>2</v>
      </c>
      <c r="D4421" s="1061">
        <v>18.59</v>
      </c>
    </row>
    <row r="4422" spans="1:4" ht="9" customHeight="1" x14ac:dyDescent="0.25">
      <c r="A4422" s="1059">
        <v>4011218</v>
      </c>
      <c r="B4422" s="1060" t="s">
        <v>26082</v>
      </c>
      <c r="C4422" s="1059" t="s">
        <v>38</v>
      </c>
      <c r="D4422" s="1061">
        <v>409.71</v>
      </c>
    </row>
    <row r="4423" spans="1:4" ht="9" customHeight="1" x14ac:dyDescent="0.25">
      <c r="A4423" s="1059">
        <v>4011217</v>
      </c>
      <c r="B4423" s="1060" t="s">
        <v>26083</v>
      </c>
      <c r="C4423" s="1059" t="s">
        <v>38</v>
      </c>
      <c r="D4423" s="1061">
        <v>272.27999999999997</v>
      </c>
    </row>
    <row r="4424" spans="1:4" ht="9" customHeight="1" x14ac:dyDescent="0.25">
      <c r="A4424" s="1059">
        <v>4011214</v>
      </c>
      <c r="B4424" s="1060" t="s">
        <v>26084</v>
      </c>
      <c r="C4424" s="1059" t="s">
        <v>38</v>
      </c>
      <c r="D4424" s="1061">
        <v>278.79000000000002</v>
      </c>
    </row>
    <row r="4425" spans="1:4" ht="9" customHeight="1" x14ac:dyDescent="0.25">
      <c r="A4425" s="1059">
        <v>4011213</v>
      </c>
      <c r="B4425" s="1060" t="s">
        <v>26085</v>
      </c>
      <c r="C4425" s="1059" t="s">
        <v>38</v>
      </c>
      <c r="D4425" s="1061">
        <v>167.73</v>
      </c>
    </row>
    <row r="4426" spans="1:4" ht="9" customHeight="1" x14ac:dyDescent="0.25">
      <c r="A4426" s="1059">
        <v>4011227</v>
      </c>
      <c r="B4426" s="1060" t="s">
        <v>26086</v>
      </c>
      <c r="C4426" s="1059" t="s">
        <v>38</v>
      </c>
      <c r="D4426" s="1061">
        <v>11.28</v>
      </c>
    </row>
    <row r="4427" spans="1:4" ht="9" customHeight="1" x14ac:dyDescent="0.25">
      <c r="A4427" s="1059">
        <v>4011302</v>
      </c>
      <c r="B4427" s="1060" t="s">
        <v>26087</v>
      </c>
      <c r="C4427" s="1059" t="s">
        <v>38</v>
      </c>
      <c r="D4427" s="1061">
        <v>59.21</v>
      </c>
    </row>
    <row r="4428" spans="1:4" ht="9" customHeight="1" x14ac:dyDescent="0.25">
      <c r="A4428" s="1059">
        <v>4011300</v>
      </c>
      <c r="B4428" s="1060" t="s">
        <v>26088</v>
      </c>
      <c r="C4428" s="1059" t="s">
        <v>38</v>
      </c>
      <c r="D4428" s="1061">
        <v>52.17</v>
      </c>
    </row>
    <row r="4429" spans="1:4" ht="9" customHeight="1" x14ac:dyDescent="0.25">
      <c r="A4429" s="1059">
        <v>4011306</v>
      </c>
      <c r="B4429" s="1060" t="s">
        <v>26089</v>
      </c>
      <c r="C4429" s="1059" t="s">
        <v>38</v>
      </c>
      <c r="D4429" s="1061">
        <v>81.58</v>
      </c>
    </row>
    <row r="4430" spans="1:4" ht="9" customHeight="1" x14ac:dyDescent="0.25">
      <c r="A4430" s="1059">
        <v>4011303</v>
      </c>
      <c r="B4430" s="1060" t="s">
        <v>26090</v>
      </c>
      <c r="C4430" s="1059" t="s">
        <v>38</v>
      </c>
      <c r="D4430" s="1061">
        <v>104.35</v>
      </c>
    </row>
    <row r="4431" spans="1:4" ht="9" customHeight="1" x14ac:dyDescent="0.25">
      <c r="A4431" s="1059">
        <v>4011301</v>
      </c>
      <c r="B4431" s="1060" t="s">
        <v>26091</v>
      </c>
      <c r="C4431" s="1059" t="s">
        <v>38</v>
      </c>
      <c r="D4431" s="1061">
        <v>104.28</v>
      </c>
    </row>
    <row r="4432" spans="1:4" ht="9" customHeight="1" x14ac:dyDescent="0.25">
      <c r="A4432" s="1059">
        <v>4011228</v>
      </c>
      <c r="B4432" s="1060" t="s">
        <v>26092</v>
      </c>
      <c r="C4432" s="1059" t="s">
        <v>38</v>
      </c>
      <c r="D4432" s="1061">
        <v>12.31</v>
      </c>
    </row>
    <row r="4433" spans="1:4" ht="18" customHeight="1" x14ac:dyDescent="0.25">
      <c r="A4433" s="1059">
        <v>4011229</v>
      </c>
      <c r="B4433" s="1060" t="s">
        <v>26093</v>
      </c>
      <c r="C4433" s="1059" t="s">
        <v>38</v>
      </c>
      <c r="D4433" s="1061">
        <v>30.45</v>
      </c>
    </row>
    <row r="4434" spans="1:4" ht="18" customHeight="1" x14ac:dyDescent="0.25">
      <c r="A4434" s="1059">
        <v>4011231</v>
      </c>
      <c r="B4434" s="1060" t="s">
        <v>26094</v>
      </c>
      <c r="C4434" s="1059" t="s">
        <v>38</v>
      </c>
      <c r="D4434" s="1061">
        <v>114.08</v>
      </c>
    </row>
    <row r="4435" spans="1:4" ht="18" customHeight="1" x14ac:dyDescent="0.25">
      <c r="A4435" s="1059">
        <v>4011230</v>
      </c>
      <c r="B4435" s="1060" t="s">
        <v>26095</v>
      </c>
      <c r="C4435" s="1059" t="s">
        <v>38</v>
      </c>
      <c r="D4435" s="1061">
        <v>85.79</v>
      </c>
    </row>
    <row r="4436" spans="1:4" ht="18" customHeight="1" x14ac:dyDescent="0.25">
      <c r="A4436" s="1059">
        <v>4011235</v>
      </c>
      <c r="B4436" s="1060" t="s">
        <v>26096</v>
      </c>
      <c r="C4436" s="1059" t="s">
        <v>38</v>
      </c>
      <c r="D4436" s="1061">
        <v>76.58</v>
      </c>
    </row>
    <row r="4437" spans="1:4" ht="18" customHeight="1" x14ac:dyDescent="0.25">
      <c r="A4437" s="1059">
        <v>4011234</v>
      </c>
      <c r="B4437" s="1060" t="s">
        <v>26097</v>
      </c>
      <c r="C4437" s="1059" t="s">
        <v>38</v>
      </c>
      <c r="D4437" s="1061">
        <v>47.42</v>
      </c>
    </row>
    <row r="4438" spans="1:4" ht="18" customHeight="1" x14ac:dyDescent="0.25">
      <c r="A4438" s="1059">
        <v>4011233</v>
      </c>
      <c r="B4438" s="1060" t="s">
        <v>26098</v>
      </c>
      <c r="C4438" s="1059" t="s">
        <v>38</v>
      </c>
      <c r="D4438" s="1061">
        <v>63.43</v>
      </c>
    </row>
    <row r="4439" spans="1:4" ht="18" customHeight="1" x14ac:dyDescent="0.25">
      <c r="A4439" s="1059">
        <v>4011232</v>
      </c>
      <c r="B4439" s="1060" t="s">
        <v>26099</v>
      </c>
      <c r="C4439" s="1059" t="s">
        <v>38</v>
      </c>
      <c r="D4439" s="1061">
        <v>34.270000000000003</v>
      </c>
    </row>
    <row r="4440" spans="1:4" ht="9" customHeight="1" x14ac:dyDescent="0.25">
      <c r="A4440" s="1059">
        <v>4011372</v>
      </c>
      <c r="B4440" s="1060" t="s">
        <v>26100</v>
      </c>
      <c r="C4440" s="1059" t="s">
        <v>39</v>
      </c>
      <c r="D4440" s="1061">
        <v>5.74</v>
      </c>
    </row>
    <row r="4441" spans="1:4" ht="9" customHeight="1" x14ac:dyDescent="0.25">
      <c r="A4441" s="1059">
        <v>4011371</v>
      </c>
      <c r="B4441" s="1060" t="s">
        <v>26101</v>
      </c>
      <c r="C4441" s="1059" t="s">
        <v>39</v>
      </c>
      <c r="D4441" s="1061">
        <v>3.99</v>
      </c>
    </row>
    <row r="4442" spans="1:4" ht="9" customHeight="1" x14ac:dyDescent="0.25">
      <c r="A4442" s="1059">
        <v>4011378</v>
      </c>
      <c r="B4442" s="1060" t="s">
        <v>26102</v>
      </c>
      <c r="C4442" s="1059" t="s">
        <v>39</v>
      </c>
      <c r="D4442" s="1061">
        <v>5.74</v>
      </c>
    </row>
    <row r="4443" spans="1:4" ht="9" customHeight="1" x14ac:dyDescent="0.25">
      <c r="A4443" s="1059">
        <v>4011377</v>
      </c>
      <c r="B4443" s="1060" t="s">
        <v>26103</v>
      </c>
      <c r="C4443" s="1059" t="s">
        <v>39</v>
      </c>
      <c r="D4443" s="1061">
        <v>3.99</v>
      </c>
    </row>
    <row r="4444" spans="1:4" ht="9" customHeight="1" x14ac:dyDescent="0.25">
      <c r="A4444" s="1059">
        <v>4011368</v>
      </c>
      <c r="B4444" s="1060" t="s">
        <v>26104</v>
      </c>
      <c r="C4444" s="1059" t="s">
        <v>39</v>
      </c>
      <c r="D4444" s="1061">
        <v>4.59</v>
      </c>
    </row>
    <row r="4445" spans="1:4" ht="9" customHeight="1" x14ac:dyDescent="0.25">
      <c r="A4445" s="1059">
        <v>4011367</v>
      </c>
      <c r="B4445" s="1060" t="s">
        <v>26105</v>
      </c>
      <c r="C4445" s="1059" t="s">
        <v>39</v>
      </c>
      <c r="D4445" s="1061">
        <v>2.84</v>
      </c>
    </row>
    <row r="4446" spans="1:4" ht="9" customHeight="1" x14ac:dyDescent="0.25">
      <c r="A4446" s="1059">
        <v>4011374</v>
      </c>
      <c r="B4446" s="1060" t="s">
        <v>26106</v>
      </c>
      <c r="C4446" s="1059" t="s">
        <v>39</v>
      </c>
      <c r="D4446" s="1061">
        <v>4.59</v>
      </c>
    </row>
    <row r="4447" spans="1:4" ht="9" customHeight="1" x14ac:dyDescent="0.25">
      <c r="A4447" s="1059">
        <v>4011373</v>
      </c>
      <c r="B4447" s="1060" t="s">
        <v>26107</v>
      </c>
      <c r="C4447" s="1059" t="s">
        <v>39</v>
      </c>
      <c r="D4447" s="1061">
        <v>2.84</v>
      </c>
    </row>
    <row r="4448" spans="1:4" ht="9" customHeight="1" x14ac:dyDescent="0.25">
      <c r="A4448" s="1059">
        <v>4011370</v>
      </c>
      <c r="B4448" s="1060" t="s">
        <v>26108</v>
      </c>
      <c r="C4448" s="1059" t="s">
        <v>39</v>
      </c>
      <c r="D4448" s="1061">
        <v>5.21</v>
      </c>
    </row>
    <row r="4449" spans="1:4" ht="9" customHeight="1" x14ac:dyDescent="0.25">
      <c r="A4449" s="1059">
        <v>4011369</v>
      </c>
      <c r="B4449" s="1060" t="s">
        <v>26109</v>
      </c>
      <c r="C4449" s="1059" t="s">
        <v>39</v>
      </c>
      <c r="D4449" s="1061">
        <v>3.47</v>
      </c>
    </row>
    <row r="4450" spans="1:4" ht="9" customHeight="1" x14ac:dyDescent="0.25">
      <c r="A4450" s="1059">
        <v>4011376</v>
      </c>
      <c r="B4450" s="1060" t="s">
        <v>26110</v>
      </c>
      <c r="C4450" s="1059" t="s">
        <v>39</v>
      </c>
      <c r="D4450" s="1061">
        <v>5.21</v>
      </c>
    </row>
    <row r="4451" spans="1:4" ht="9" customHeight="1" x14ac:dyDescent="0.25">
      <c r="A4451" s="1059">
        <v>4011375</v>
      </c>
      <c r="B4451" s="1060" t="s">
        <v>26111</v>
      </c>
      <c r="C4451" s="1059" t="s">
        <v>39</v>
      </c>
      <c r="D4451" s="1061">
        <v>3.47</v>
      </c>
    </row>
    <row r="4452" spans="1:4" ht="9" customHeight="1" x14ac:dyDescent="0.25">
      <c r="A4452" s="1059">
        <v>4011360</v>
      </c>
      <c r="B4452" s="1060" t="s">
        <v>26112</v>
      </c>
      <c r="C4452" s="1059" t="s">
        <v>39</v>
      </c>
      <c r="D4452" s="1061">
        <v>2.08</v>
      </c>
    </row>
    <row r="4453" spans="1:4" ht="9" customHeight="1" x14ac:dyDescent="0.25">
      <c r="A4453" s="1059">
        <v>4011359</v>
      </c>
      <c r="B4453" s="1060" t="s">
        <v>26113</v>
      </c>
      <c r="C4453" s="1059" t="s">
        <v>39</v>
      </c>
      <c r="D4453" s="1061">
        <v>1.46</v>
      </c>
    </row>
    <row r="4454" spans="1:4" ht="9" customHeight="1" x14ac:dyDescent="0.25">
      <c r="A4454" s="1059">
        <v>4011366</v>
      </c>
      <c r="B4454" s="1060" t="s">
        <v>26114</v>
      </c>
      <c r="C4454" s="1059" t="s">
        <v>39</v>
      </c>
      <c r="D4454" s="1061">
        <v>2.08</v>
      </c>
    </row>
    <row r="4455" spans="1:4" ht="9" customHeight="1" x14ac:dyDescent="0.25">
      <c r="A4455" s="1059">
        <v>4011365</v>
      </c>
      <c r="B4455" s="1060" t="s">
        <v>26115</v>
      </c>
      <c r="C4455" s="1059" t="s">
        <v>39</v>
      </c>
      <c r="D4455" s="1061">
        <v>1.46</v>
      </c>
    </row>
    <row r="4456" spans="1:4" ht="9" customHeight="1" x14ac:dyDescent="0.25">
      <c r="A4456" s="1059">
        <v>4011356</v>
      </c>
      <c r="B4456" s="1060" t="s">
        <v>26116</v>
      </c>
      <c r="C4456" s="1059" t="s">
        <v>39</v>
      </c>
      <c r="D4456" s="1061">
        <v>1.6</v>
      </c>
    </row>
    <row r="4457" spans="1:4" ht="9" customHeight="1" x14ac:dyDescent="0.25">
      <c r="A4457" s="1059">
        <v>4011355</v>
      </c>
      <c r="B4457" s="1060" t="s">
        <v>26117</v>
      </c>
      <c r="C4457" s="1059" t="s">
        <v>39</v>
      </c>
      <c r="D4457" s="1061">
        <v>0.98</v>
      </c>
    </row>
    <row r="4458" spans="1:4" ht="9" customHeight="1" x14ac:dyDescent="0.25">
      <c r="A4458" s="1059">
        <v>4011362</v>
      </c>
      <c r="B4458" s="1060" t="s">
        <v>26118</v>
      </c>
      <c r="C4458" s="1059" t="s">
        <v>39</v>
      </c>
      <c r="D4458" s="1061">
        <v>1.6</v>
      </c>
    </row>
    <row r="4459" spans="1:4" ht="9" customHeight="1" x14ac:dyDescent="0.25">
      <c r="A4459" s="1059">
        <v>4011361</v>
      </c>
      <c r="B4459" s="1060" t="s">
        <v>26119</v>
      </c>
      <c r="C4459" s="1059" t="s">
        <v>39</v>
      </c>
      <c r="D4459" s="1061">
        <v>0.98</v>
      </c>
    </row>
    <row r="4460" spans="1:4" ht="9" customHeight="1" x14ac:dyDescent="0.25">
      <c r="A4460" s="1059">
        <v>4011358</v>
      </c>
      <c r="B4460" s="1060" t="s">
        <v>26120</v>
      </c>
      <c r="C4460" s="1059" t="s">
        <v>39</v>
      </c>
      <c r="D4460" s="1061">
        <v>1.85</v>
      </c>
    </row>
    <row r="4461" spans="1:4" ht="9" customHeight="1" x14ac:dyDescent="0.25">
      <c r="A4461" s="1059">
        <v>4011357</v>
      </c>
      <c r="B4461" s="1060" t="s">
        <v>26121</v>
      </c>
      <c r="C4461" s="1059" t="s">
        <v>39</v>
      </c>
      <c r="D4461" s="1061">
        <v>1.23</v>
      </c>
    </row>
    <row r="4462" spans="1:4" ht="9" customHeight="1" x14ac:dyDescent="0.25">
      <c r="A4462" s="1059">
        <v>4011364</v>
      </c>
      <c r="B4462" s="1060" t="s">
        <v>26122</v>
      </c>
      <c r="C4462" s="1059" t="s">
        <v>39</v>
      </c>
      <c r="D4462" s="1061">
        <v>1.85</v>
      </c>
    </row>
    <row r="4463" spans="1:4" ht="9" customHeight="1" x14ac:dyDescent="0.25">
      <c r="A4463" s="1059">
        <v>4011363</v>
      </c>
      <c r="B4463" s="1060" t="s">
        <v>26123</v>
      </c>
      <c r="C4463" s="1059" t="s">
        <v>39</v>
      </c>
      <c r="D4463" s="1061">
        <v>1.23</v>
      </c>
    </row>
    <row r="4464" spans="1:4" ht="9" customHeight="1" x14ac:dyDescent="0.25">
      <c r="A4464" s="1059">
        <v>4011384</v>
      </c>
      <c r="B4464" s="1060" t="s">
        <v>26124</v>
      </c>
      <c r="C4464" s="1059" t="s">
        <v>39</v>
      </c>
      <c r="D4464" s="1061">
        <v>6.33</v>
      </c>
    </row>
    <row r="4465" spans="1:4" ht="9" customHeight="1" x14ac:dyDescent="0.25">
      <c r="A4465" s="1059">
        <v>4011383</v>
      </c>
      <c r="B4465" s="1060" t="s">
        <v>26125</v>
      </c>
      <c r="C4465" s="1059" t="s">
        <v>39</v>
      </c>
      <c r="D4465" s="1061">
        <v>4.3600000000000003</v>
      </c>
    </row>
    <row r="4466" spans="1:4" ht="9" customHeight="1" x14ac:dyDescent="0.25">
      <c r="A4466" s="1059">
        <v>4011390</v>
      </c>
      <c r="B4466" s="1060" t="s">
        <v>26126</v>
      </c>
      <c r="C4466" s="1059" t="s">
        <v>39</v>
      </c>
      <c r="D4466" s="1061">
        <v>6.33</v>
      </c>
    </row>
    <row r="4467" spans="1:4" ht="9" customHeight="1" x14ac:dyDescent="0.25">
      <c r="A4467" s="1059">
        <v>4011389</v>
      </c>
      <c r="B4467" s="1060" t="s">
        <v>26127</v>
      </c>
      <c r="C4467" s="1059" t="s">
        <v>39</v>
      </c>
      <c r="D4467" s="1061">
        <v>4.3600000000000003</v>
      </c>
    </row>
    <row r="4468" spans="1:4" ht="9" customHeight="1" x14ac:dyDescent="0.25">
      <c r="A4468" s="1059">
        <v>4011380</v>
      </c>
      <c r="B4468" s="1060" t="s">
        <v>26128</v>
      </c>
      <c r="C4468" s="1059" t="s">
        <v>39</v>
      </c>
      <c r="D4468" s="1061">
        <v>5.19</v>
      </c>
    </row>
    <row r="4469" spans="1:4" ht="9" customHeight="1" x14ac:dyDescent="0.25">
      <c r="A4469" s="1059">
        <v>4011379</v>
      </c>
      <c r="B4469" s="1060" t="s">
        <v>26129</v>
      </c>
      <c r="C4469" s="1059" t="s">
        <v>39</v>
      </c>
      <c r="D4469" s="1061">
        <v>3.22</v>
      </c>
    </row>
    <row r="4470" spans="1:4" ht="9" customHeight="1" x14ac:dyDescent="0.25">
      <c r="A4470" s="1059">
        <v>4011386</v>
      </c>
      <c r="B4470" s="1060" t="s">
        <v>26130</v>
      </c>
      <c r="C4470" s="1059" t="s">
        <v>39</v>
      </c>
      <c r="D4470" s="1061">
        <v>5.19</v>
      </c>
    </row>
    <row r="4471" spans="1:4" ht="9" customHeight="1" x14ac:dyDescent="0.25">
      <c r="A4471" s="1059">
        <v>4011385</v>
      </c>
      <c r="B4471" s="1060" t="s">
        <v>26131</v>
      </c>
      <c r="C4471" s="1059" t="s">
        <v>39</v>
      </c>
      <c r="D4471" s="1061">
        <v>3.22</v>
      </c>
    </row>
    <row r="4472" spans="1:4" ht="9" customHeight="1" x14ac:dyDescent="0.25">
      <c r="A4472" s="1059">
        <v>4011382</v>
      </c>
      <c r="B4472" s="1060" t="s">
        <v>26132</v>
      </c>
      <c r="C4472" s="1059" t="s">
        <v>39</v>
      </c>
      <c r="D4472" s="1061">
        <v>5.81</v>
      </c>
    </row>
    <row r="4473" spans="1:4" ht="9" customHeight="1" x14ac:dyDescent="0.25">
      <c r="A4473" s="1059">
        <v>4011381</v>
      </c>
      <c r="B4473" s="1060" t="s">
        <v>26133</v>
      </c>
      <c r="C4473" s="1059" t="s">
        <v>39</v>
      </c>
      <c r="D4473" s="1061">
        <v>3.84</v>
      </c>
    </row>
    <row r="4474" spans="1:4" ht="9" customHeight="1" x14ac:dyDescent="0.25">
      <c r="A4474" s="1059">
        <v>4011388</v>
      </c>
      <c r="B4474" s="1060" t="s">
        <v>26134</v>
      </c>
      <c r="C4474" s="1059" t="s">
        <v>39</v>
      </c>
      <c r="D4474" s="1061">
        <v>5.81</v>
      </c>
    </row>
    <row r="4475" spans="1:4" ht="9" customHeight="1" x14ac:dyDescent="0.25">
      <c r="A4475" s="1059">
        <v>4011387</v>
      </c>
      <c r="B4475" s="1060" t="s">
        <v>26135</v>
      </c>
      <c r="C4475" s="1059" t="s">
        <v>39</v>
      </c>
      <c r="D4475" s="1061">
        <v>3.84</v>
      </c>
    </row>
    <row r="4476" spans="1:4" ht="9" customHeight="1" x14ac:dyDescent="0.25">
      <c r="A4476" s="1059">
        <v>4011212</v>
      </c>
      <c r="B4476" s="1060" t="s">
        <v>26136</v>
      </c>
      <c r="C4476" s="1059" t="s">
        <v>39</v>
      </c>
      <c r="D4476" s="1061">
        <v>0.06</v>
      </c>
    </row>
    <row r="4477" spans="1:4" ht="9" customHeight="1" x14ac:dyDescent="0.25">
      <c r="A4477" s="1059">
        <v>4208197</v>
      </c>
      <c r="B4477" s="1060" t="s">
        <v>26137</v>
      </c>
      <c r="C4477" s="1059" t="s">
        <v>3</v>
      </c>
      <c r="D4477" s="1061">
        <v>11576.19</v>
      </c>
    </row>
    <row r="4478" spans="1:4" ht="9" customHeight="1" x14ac:dyDescent="0.25">
      <c r="A4478" s="1059">
        <v>4208158</v>
      </c>
      <c r="B4478" s="1060" t="s">
        <v>26138</v>
      </c>
      <c r="C4478" s="1059" t="s">
        <v>3</v>
      </c>
      <c r="D4478" s="1061">
        <v>16057.67</v>
      </c>
    </row>
    <row r="4479" spans="1:4" ht="9" customHeight="1" x14ac:dyDescent="0.25">
      <c r="A4479" s="1059">
        <v>4208198</v>
      </c>
      <c r="B4479" s="1060" t="s">
        <v>26139</v>
      </c>
      <c r="C4479" s="1059" t="s">
        <v>3</v>
      </c>
      <c r="D4479" s="1061">
        <v>17286.099999999999</v>
      </c>
    </row>
    <row r="4480" spans="1:4" ht="9" customHeight="1" x14ac:dyDescent="0.25">
      <c r="A4480" s="1059">
        <v>4208159</v>
      </c>
      <c r="B4480" s="1060" t="s">
        <v>26140</v>
      </c>
      <c r="C4480" s="1059" t="s">
        <v>3</v>
      </c>
      <c r="D4480" s="1061">
        <v>25884</v>
      </c>
    </row>
    <row r="4481" spans="1:4" ht="9" customHeight="1" x14ac:dyDescent="0.25">
      <c r="A4481" s="1059">
        <v>4208160</v>
      </c>
      <c r="B4481" s="1060" t="s">
        <v>26141</v>
      </c>
      <c r="C4481" s="1059" t="s">
        <v>3</v>
      </c>
      <c r="D4481" s="1061">
        <v>30831.59</v>
      </c>
    </row>
    <row r="4482" spans="1:4" ht="9" customHeight="1" x14ac:dyDescent="0.25">
      <c r="A4482" s="1059">
        <v>4208199</v>
      </c>
      <c r="B4482" s="1060" t="s">
        <v>26142</v>
      </c>
      <c r="C4482" s="1059" t="s">
        <v>3</v>
      </c>
      <c r="D4482" s="1061">
        <v>35800.61</v>
      </c>
    </row>
    <row r="4483" spans="1:4" ht="9" customHeight="1" x14ac:dyDescent="0.25">
      <c r="A4483" s="1059">
        <v>4208161</v>
      </c>
      <c r="B4483" s="1060" t="s">
        <v>26143</v>
      </c>
      <c r="C4483" s="1059" t="s">
        <v>3</v>
      </c>
      <c r="D4483" s="1061">
        <v>45621.2</v>
      </c>
    </row>
    <row r="4484" spans="1:4" ht="9" customHeight="1" x14ac:dyDescent="0.25">
      <c r="A4484" s="1059">
        <v>4208162</v>
      </c>
      <c r="B4484" s="1060" t="s">
        <v>26144</v>
      </c>
      <c r="C4484" s="1059" t="s">
        <v>3</v>
      </c>
      <c r="D4484" s="1061">
        <v>51022.75</v>
      </c>
    </row>
    <row r="4485" spans="1:4" ht="9" customHeight="1" x14ac:dyDescent="0.25">
      <c r="A4485" s="1059">
        <v>4208163</v>
      </c>
      <c r="B4485" s="1060" t="s">
        <v>26145</v>
      </c>
      <c r="C4485" s="1059" t="s">
        <v>3</v>
      </c>
      <c r="D4485" s="1061">
        <v>66354.740000000005</v>
      </c>
    </row>
    <row r="4486" spans="1:4" ht="9" customHeight="1" x14ac:dyDescent="0.25">
      <c r="A4486" s="1059">
        <v>4208200</v>
      </c>
      <c r="B4486" s="1060" t="s">
        <v>26146</v>
      </c>
      <c r="C4486" s="1059" t="s">
        <v>3</v>
      </c>
      <c r="D4486" s="1061">
        <v>70244.81</v>
      </c>
    </row>
    <row r="4487" spans="1:4" ht="9" customHeight="1" x14ac:dyDescent="0.25">
      <c r="A4487" s="1059">
        <v>4208164</v>
      </c>
      <c r="B4487" s="1060" t="s">
        <v>26147</v>
      </c>
      <c r="C4487" s="1059" t="s">
        <v>3</v>
      </c>
      <c r="D4487" s="1061">
        <v>89203.13</v>
      </c>
    </row>
    <row r="4488" spans="1:4" ht="9" customHeight="1" x14ac:dyDescent="0.25">
      <c r="A4488" s="1059">
        <v>4208201</v>
      </c>
      <c r="B4488" s="1060" t="s">
        <v>26148</v>
      </c>
      <c r="C4488" s="1059" t="s">
        <v>3</v>
      </c>
      <c r="D4488" s="1061">
        <v>12480.02</v>
      </c>
    </row>
    <row r="4489" spans="1:4" ht="9" customHeight="1" x14ac:dyDescent="0.25">
      <c r="A4489" s="1059">
        <v>4208151</v>
      </c>
      <c r="B4489" s="1060" t="s">
        <v>26149</v>
      </c>
      <c r="C4489" s="1059" t="s">
        <v>3</v>
      </c>
      <c r="D4489" s="1061">
        <v>19250.57</v>
      </c>
    </row>
    <row r="4490" spans="1:4" ht="9" customHeight="1" x14ac:dyDescent="0.25">
      <c r="A4490" s="1059">
        <v>4208202</v>
      </c>
      <c r="B4490" s="1060" t="s">
        <v>26150</v>
      </c>
      <c r="C4490" s="1059" t="s">
        <v>3</v>
      </c>
      <c r="D4490" s="1061">
        <v>22193.84</v>
      </c>
    </row>
    <row r="4491" spans="1:4" ht="9" customHeight="1" x14ac:dyDescent="0.25">
      <c r="A4491" s="1059">
        <v>4208152</v>
      </c>
      <c r="B4491" s="1060" t="s">
        <v>26151</v>
      </c>
      <c r="C4491" s="1059" t="s">
        <v>3</v>
      </c>
      <c r="D4491" s="1061">
        <v>30864.33</v>
      </c>
    </row>
    <row r="4492" spans="1:4" ht="9" customHeight="1" x14ac:dyDescent="0.25">
      <c r="A4492" s="1059">
        <v>4208153</v>
      </c>
      <c r="B4492" s="1060" t="s">
        <v>26152</v>
      </c>
      <c r="C4492" s="1059" t="s">
        <v>3</v>
      </c>
      <c r="D4492" s="1061">
        <v>36758.29</v>
      </c>
    </row>
    <row r="4493" spans="1:4" ht="9" customHeight="1" x14ac:dyDescent="0.25">
      <c r="A4493" s="1059">
        <v>4208203</v>
      </c>
      <c r="B4493" s="1060" t="s">
        <v>26153</v>
      </c>
      <c r="C4493" s="1059" t="s">
        <v>3</v>
      </c>
      <c r="D4493" s="1061">
        <v>42811.82</v>
      </c>
    </row>
    <row r="4494" spans="1:4" ht="9" customHeight="1" x14ac:dyDescent="0.25">
      <c r="A4494" s="1059">
        <v>4208154</v>
      </c>
      <c r="B4494" s="1060" t="s">
        <v>26154</v>
      </c>
      <c r="C4494" s="1059" t="s">
        <v>3</v>
      </c>
      <c r="D4494" s="1061">
        <v>54466.07</v>
      </c>
    </row>
    <row r="4495" spans="1:4" ht="9" customHeight="1" x14ac:dyDescent="0.25">
      <c r="A4495" s="1059">
        <v>4208155</v>
      </c>
      <c r="B4495" s="1060" t="s">
        <v>26155</v>
      </c>
      <c r="C4495" s="1059" t="s">
        <v>3</v>
      </c>
      <c r="D4495" s="1061">
        <v>62941.78</v>
      </c>
    </row>
    <row r="4496" spans="1:4" ht="9" customHeight="1" x14ac:dyDescent="0.25">
      <c r="A4496" s="1059">
        <v>4208156</v>
      </c>
      <c r="B4496" s="1060" t="s">
        <v>26156</v>
      </c>
      <c r="C4496" s="1059" t="s">
        <v>3</v>
      </c>
      <c r="D4496" s="1061">
        <v>78064.53</v>
      </c>
    </row>
    <row r="4497" spans="1:4" ht="9" customHeight="1" x14ac:dyDescent="0.25">
      <c r="A4497" s="1059">
        <v>4208204</v>
      </c>
      <c r="B4497" s="1060" t="s">
        <v>26157</v>
      </c>
      <c r="C4497" s="1059" t="s">
        <v>3</v>
      </c>
      <c r="D4497" s="1061">
        <v>85322.15</v>
      </c>
    </row>
    <row r="4498" spans="1:4" ht="9" customHeight="1" x14ac:dyDescent="0.25">
      <c r="A4498" s="1059">
        <v>4208157</v>
      </c>
      <c r="B4498" s="1060" t="s">
        <v>26158</v>
      </c>
      <c r="C4498" s="1059" t="s">
        <v>3</v>
      </c>
      <c r="D4498" s="1061">
        <v>110111.84</v>
      </c>
    </row>
    <row r="4499" spans="1:4" ht="9" customHeight="1" x14ac:dyDescent="0.25">
      <c r="A4499" s="1059">
        <v>4208127</v>
      </c>
      <c r="B4499" s="1060" t="s">
        <v>26159</v>
      </c>
      <c r="C4499" s="1059" t="s">
        <v>6</v>
      </c>
      <c r="D4499" s="1061">
        <v>27.29</v>
      </c>
    </row>
    <row r="4500" spans="1:4" ht="18" customHeight="1" x14ac:dyDescent="0.25">
      <c r="A4500" s="1059">
        <v>4208196</v>
      </c>
      <c r="B4500" s="1060" t="s">
        <v>26160</v>
      </c>
      <c r="C4500" s="1059" t="s">
        <v>3</v>
      </c>
      <c r="D4500" s="1061">
        <v>2454.61</v>
      </c>
    </row>
    <row r="4501" spans="1:4" ht="9" customHeight="1" x14ac:dyDescent="0.25">
      <c r="A4501" s="1059">
        <v>4208209</v>
      </c>
      <c r="B4501" s="1060" t="s">
        <v>26161</v>
      </c>
      <c r="C4501" s="1059" t="s">
        <v>3</v>
      </c>
      <c r="D4501" s="1061">
        <v>11177.95</v>
      </c>
    </row>
    <row r="4502" spans="1:4" ht="9" customHeight="1" x14ac:dyDescent="0.25">
      <c r="A4502" s="1059">
        <v>4208206</v>
      </c>
      <c r="B4502" s="1060" t="s">
        <v>26162</v>
      </c>
      <c r="C4502" s="1059" t="s">
        <v>24766</v>
      </c>
      <c r="D4502" s="1061">
        <v>106.22</v>
      </c>
    </row>
    <row r="4503" spans="1:4" ht="9" customHeight="1" x14ac:dyDescent="0.25">
      <c r="A4503" s="1059">
        <v>4208210</v>
      </c>
      <c r="B4503" s="1060" t="s">
        <v>26163</v>
      </c>
      <c r="C4503" s="1059" t="s">
        <v>3</v>
      </c>
      <c r="D4503" s="1061">
        <v>25354.12</v>
      </c>
    </row>
    <row r="4504" spans="1:4" ht="9" customHeight="1" x14ac:dyDescent="0.25">
      <c r="A4504" s="1059">
        <v>4208195</v>
      </c>
      <c r="B4504" s="1060" t="s">
        <v>26164</v>
      </c>
      <c r="C4504" s="1059" t="s">
        <v>3</v>
      </c>
      <c r="D4504" s="1061">
        <v>12655.57</v>
      </c>
    </row>
    <row r="4505" spans="1:4" ht="9" customHeight="1" x14ac:dyDescent="0.25">
      <c r="A4505" s="1059">
        <v>4208208</v>
      </c>
      <c r="B4505" s="1060" t="s">
        <v>26165</v>
      </c>
      <c r="C4505" s="1059" t="s">
        <v>24766</v>
      </c>
      <c r="D4505" s="1061">
        <v>538.01</v>
      </c>
    </row>
    <row r="4506" spans="1:4" ht="9" customHeight="1" x14ac:dyDescent="0.25">
      <c r="A4506" s="1059">
        <v>4208135</v>
      </c>
      <c r="B4506" s="1060" t="s">
        <v>26166</v>
      </c>
      <c r="C4506" s="1059" t="s">
        <v>2</v>
      </c>
      <c r="D4506" s="1061">
        <v>9974.94</v>
      </c>
    </row>
    <row r="4507" spans="1:4" ht="9" customHeight="1" x14ac:dyDescent="0.25">
      <c r="A4507" s="1059">
        <v>4208136</v>
      </c>
      <c r="B4507" s="1060" t="s">
        <v>26167</v>
      </c>
      <c r="C4507" s="1059" t="s">
        <v>2</v>
      </c>
      <c r="D4507" s="1061">
        <v>11812.18</v>
      </c>
    </row>
    <row r="4508" spans="1:4" ht="9" customHeight="1" x14ac:dyDescent="0.25">
      <c r="A4508" s="1059">
        <v>4208137</v>
      </c>
      <c r="B4508" s="1060" t="s">
        <v>26168</v>
      </c>
      <c r="C4508" s="1059" t="s">
        <v>2</v>
      </c>
      <c r="D4508" s="1061">
        <v>13796.57</v>
      </c>
    </row>
    <row r="4509" spans="1:4" ht="9" customHeight="1" x14ac:dyDescent="0.25">
      <c r="A4509" s="1059">
        <v>4208138</v>
      </c>
      <c r="B4509" s="1060" t="s">
        <v>26169</v>
      </c>
      <c r="C4509" s="1059" t="s">
        <v>2</v>
      </c>
      <c r="D4509" s="1061">
        <v>17271.150000000001</v>
      </c>
    </row>
    <row r="4510" spans="1:4" ht="9" customHeight="1" x14ac:dyDescent="0.25">
      <c r="A4510" s="1059">
        <v>4208139</v>
      </c>
      <c r="B4510" s="1060" t="s">
        <v>26170</v>
      </c>
      <c r="C4510" s="1059" t="s">
        <v>2</v>
      </c>
      <c r="D4510" s="1061">
        <v>19916.37</v>
      </c>
    </row>
    <row r="4511" spans="1:4" ht="9" customHeight="1" x14ac:dyDescent="0.25">
      <c r="A4511" s="1059">
        <v>4208140</v>
      </c>
      <c r="B4511" s="1060" t="s">
        <v>26171</v>
      </c>
      <c r="C4511" s="1059" t="s">
        <v>2</v>
      </c>
      <c r="D4511" s="1061">
        <v>26032.97</v>
      </c>
    </row>
    <row r="4512" spans="1:4" ht="9" customHeight="1" x14ac:dyDescent="0.25">
      <c r="A4512" s="1059">
        <v>4208141</v>
      </c>
      <c r="B4512" s="1060" t="s">
        <v>26172</v>
      </c>
      <c r="C4512" s="1059" t="s">
        <v>2</v>
      </c>
      <c r="D4512" s="1061">
        <v>29342.36</v>
      </c>
    </row>
    <row r="4513" spans="1:4" ht="9" customHeight="1" x14ac:dyDescent="0.25">
      <c r="A4513" s="1059">
        <v>4208212</v>
      </c>
      <c r="B4513" s="1060" t="s">
        <v>26173</v>
      </c>
      <c r="C4513" s="1059" t="s">
        <v>2</v>
      </c>
      <c r="D4513" s="1061">
        <v>33639.839999999997</v>
      </c>
    </row>
    <row r="4514" spans="1:4" ht="9" customHeight="1" x14ac:dyDescent="0.25">
      <c r="A4514" s="1059">
        <v>4208213</v>
      </c>
      <c r="B4514" s="1060" t="s">
        <v>26174</v>
      </c>
      <c r="C4514" s="1059" t="s">
        <v>2</v>
      </c>
      <c r="D4514" s="1061">
        <v>42666.06</v>
      </c>
    </row>
    <row r="4515" spans="1:4" ht="9" customHeight="1" x14ac:dyDescent="0.25">
      <c r="A4515" s="1059">
        <v>4208214</v>
      </c>
      <c r="B4515" s="1060" t="s">
        <v>26175</v>
      </c>
      <c r="C4515" s="1059" t="s">
        <v>2</v>
      </c>
      <c r="D4515" s="1061">
        <v>49676.36</v>
      </c>
    </row>
    <row r="4516" spans="1:4" ht="9" customHeight="1" x14ac:dyDescent="0.25">
      <c r="A4516" s="1059">
        <v>4208215</v>
      </c>
      <c r="B4516" s="1060" t="s">
        <v>26176</v>
      </c>
      <c r="C4516" s="1059" t="s">
        <v>2</v>
      </c>
      <c r="D4516" s="1061">
        <v>65836.800000000003</v>
      </c>
    </row>
    <row r="4517" spans="1:4" ht="9" customHeight="1" x14ac:dyDescent="0.25">
      <c r="A4517" s="1059">
        <v>4208216</v>
      </c>
      <c r="B4517" s="1060" t="s">
        <v>26177</v>
      </c>
      <c r="C4517" s="1059" t="s">
        <v>2</v>
      </c>
      <c r="D4517" s="1061">
        <v>9297.27</v>
      </c>
    </row>
    <row r="4518" spans="1:4" ht="9" customHeight="1" x14ac:dyDescent="0.25">
      <c r="A4518" s="1059">
        <v>4208217</v>
      </c>
      <c r="B4518" s="1060" t="s">
        <v>26178</v>
      </c>
      <c r="C4518" s="1059" t="s">
        <v>2</v>
      </c>
      <c r="D4518" s="1061">
        <v>10952.28</v>
      </c>
    </row>
    <row r="4519" spans="1:4" ht="9" customHeight="1" x14ac:dyDescent="0.25">
      <c r="A4519" s="1059">
        <v>4208218</v>
      </c>
      <c r="B4519" s="1060" t="s">
        <v>26179</v>
      </c>
      <c r="C4519" s="1059" t="s">
        <v>2</v>
      </c>
      <c r="D4519" s="1061">
        <v>13431.73</v>
      </c>
    </row>
    <row r="4520" spans="1:4" ht="9" customHeight="1" x14ac:dyDescent="0.25">
      <c r="A4520" s="1059">
        <v>4208219</v>
      </c>
      <c r="B4520" s="1060" t="s">
        <v>26180</v>
      </c>
      <c r="C4520" s="1059" t="s">
        <v>2</v>
      </c>
      <c r="D4520" s="1061">
        <v>16573.71</v>
      </c>
    </row>
    <row r="4521" spans="1:4" ht="9" customHeight="1" x14ac:dyDescent="0.25">
      <c r="A4521" s="1059">
        <v>4208220</v>
      </c>
      <c r="B4521" s="1060" t="s">
        <v>26181</v>
      </c>
      <c r="C4521" s="1059" t="s">
        <v>2</v>
      </c>
      <c r="D4521" s="1061">
        <v>19384.34</v>
      </c>
    </row>
    <row r="4522" spans="1:4" ht="9" customHeight="1" x14ac:dyDescent="0.25">
      <c r="A4522" s="1059">
        <v>4208221</v>
      </c>
      <c r="B4522" s="1060" t="s">
        <v>26182</v>
      </c>
      <c r="C4522" s="1059" t="s">
        <v>2</v>
      </c>
      <c r="D4522" s="1061">
        <v>25500.05</v>
      </c>
    </row>
    <row r="4523" spans="1:4" ht="9" customHeight="1" x14ac:dyDescent="0.25">
      <c r="A4523" s="1059">
        <v>4208222</v>
      </c>
      <c r="B4523" s="1060" t="s">
        <v>26183</v>
      </c>
      <c r="C4523" s="1059" t="s">
        <v>2</v>
      </c>
      <c r="D4523" s="1061">
        <v>28478.25</v>
      </c>
    </row>
    <row r="4524" spans="1:4" ht="9" customHeight="1" x14ac:dyDescent="0.25">
      <c r="A4524" s="1059">
        <v>4208223</v>
      </c>
      <c r="B4524" s="1060" t="s">
        <v>26184</v>
      </c>
      <c r="C4524" s="1059" t="s">
        <v>2</v>
      </c>
      <c r="D4524" s="1061">
        <v>32941.85</v>
      </c>
    </row>
    <row r="4525" spans="1:4" ht="9" customHeight="1" x14ac:dyDescent="0.25">
      <c r="A4525" s="1059">
        <v>4208224</v>
      </c>
      <c r="B4525" s="1060" t="s">
        <v>26185</v>
      </c>
      <c r="C4525" s="1059" t="s">
        <v>2</v>
      </c>
      <c r="D4525" s="1061">
        <v>41867.97</v>
      </c>
    </row>
    <row r="4526" spans="1:4" ht="9" customHeight="1" x14ac:dyDescent="0.25">
      <c r="A4526" s="1059">
        <v>4208225</v>
      </c>
      <c r="B4526" s="1060" t="s">
        <v>26186</v>
      </c>
      <c r="C4526" s="1059" t="s">
        <v>2</v>
      </c>
      <c r="D4526" s="1061">
        <v>48976.22</v>
      </c>
    </row>
    <row r="4527" spans="1:4" ht="9" customHeight="1" x14ac:dyDescent="0.25">
      <c r="A4527" s="1059">
        <v>4208226</v>
      </c>
      <c r="B4527" s="1060" t="s">
        <v>26187</v>
      </c>
      <c r="C4527" s="1059" t="s">
        <v>2</v>
      </c>
      <c r="D4527" s="1061">
        <v>64840.99</v>
      </c>
    </row>
    <row r="4528" spans="1:4" ht="9" customHeight="1" x14ac:dyDescent="0.25">
      <c r="A4528" s="1059">
        <v>4208227</v>
      </c>
      <c r="B4528" s="1060" t="s">
        <v>26188</v>
      </c>
      <c r="C4528" s="1059" t="s">
        <v>2</v>
      </c>
      <c r="D4528" s="1061">
        <v>9297.31</v>
      </c>
    </row>
    <row r="4529" spans="1:4" ht="9" customHeight="1" x14ac:dyDescent="0.25">
      <c r="A4529" s="1059">
        <v>4208228</v>
      </c>
      <c r="B4529" s="1060" t="s">
        <v>26189</v>
      </c>
      <c r="C4529" s="1059" t="s">
        <v>2</v>
      </c>
      <c r="D4529" s="1061">
        <v>10952.36</v>
      </c>
    </row>
    <row r="4530" spans="1:4" ht="9" customHeight="1" x14ac:dyDescent="0.25">
      <c r="A4530" s="1059">
        <v>4208229</v>
      </c>
      <c r="B4530" s="1060" t="s">
        <v>26190</v>
      </c>
      <c r="C4530" s="1059" t="s">
        <v>2</v>
      </c>
      <c r="D4530" s="1061">
        <v>13431.76</v>
      </c>
    </row>
    <row r="4531" spans="1:4" ht="9" customHeight="1" x14ac:dyDescent="0.25">
      <c r="A4531" s="1059">
        <v>4208230</v>
      </c>
      <c r="B4531" s="1060" t="s">
        <v>26191</v>
      </c>
      <c r="C4531" s="1059" t="s">
        <v>2</v>
      </c>
      <c r="D4531" s="1061">
        <v>16573.89</v>
      </c>
    </row>
    <row r="4532" spans="1:4" ht="9" customHeight="1" x14ac:dyDescent="0.25">
      <c r="A4532" s="1059">
        <v>4208231</v>
      </c>
      <c r="B4532" s="1060" t="s">
        <v>26192</v>
      </c>
      <c r="C4532" s="1059" t="s">
        <v>2</v>
      </c>
      <c r="D4532" s="1061">
        <v>19384.400000000001</v>
      </c>
    </row>
    <row r="4533" spans="1:4" ht="9" customHeight="1" x14ac:dyDescent="0.25">
      <c r="A4533" s="1059">
        <v>4208232</v>
      </c>
      <c r="B4533" s="1060" t="s">
        <v>26193</v>
      </c>
      <c r="C4533" s="1059" t="s">
        <v>2</v>
      </c>
      <c r="D4533" s="1061">
        <v>25500.13</v>
      </c>
    </row>
    <row r="4534" spans="1:4" ht="9" customHeight="1" x14ac:dyDescent="0.25">
      <c r="A4534" s="1059">
        <v>4208233</v>
      </c>
      <c r="B4534" s="1060" t="s">
        <v>26194</v>
      </c>
      <c r="C4534" s="1059" t="s">
        <v>2</v>
      </c>
      <c r="D4534" s="1061">
        <v>28478.49</v>
      </c>
    </row>
    <row r="4535" spans="1:4" ht="9" customHeight="1" x14ac:dyDescent="0.25">
      <c r="A4535" s="1059">
        <v>4208234</v>
      </c>
      <c r="B4535" s="1060" t="s">
        <v>26195</v>
      </c>
      <c r="C4535" s="1059" t="s">
        <v>2</v>
      </c>
      <c r="D4535" s="1061">
        <v>32941.879999999997</v>
      </c>
    </row>
    <row r="4536" spans="1:4" ht="9" customHeight="1" x14ac:dyDescent="0.25">
      <c r="A4536" s="1059">
        <v>4208235</v>
      </c>
      <c r="B4536" s="1060" t="s">
        <v>26196</v>
      </c>
      <c r="C4536" s="1059" t="s">
        <v>2</v>
      </c>
      <c r="D4536" s="1061">
        <v>41868.1</v>
      </c>
    </row>
    <row r="4537" spans="1:4" ht="9" customHeight="1" x14ac:dyDescent="0.25">
      <c r="A4537" s="1059">
        <v>4208236</v>
      </c>
      <c r="B4537" s="1060" t="s">
        <v>26197</v>
      </c>
      <c r="C4537" s="1059" t="s">
        <v>2</v>
      </c>
      <c r="D4537" s="1061">
        <v>48977.31</v>
      </c>
    </row>
    <row r="4538" spans="1:4" ht="9" customHeight="1" x14ac:dyDescent="0.25">
      <c r="A4538" s="1059">
        <v>4208237</v>
      </c>
      <c r="B4538" s="1060" t="s">
        <v>26198</v>
      </c>
      <c r="C4538" s="1059" t="s">
        <v>2</v>
      </c>
      <c r="D4538" s="1061">
        <v>64841.1</v>
      </c>
    </row>
    <row r="4539" spans="1:4" ht="9" customHeight="1" x14ac:dyDescent="0.25">
      <c r="A4539" s="1059">
        <v>4208128</v>
      </c>
      <c r="B4539" s="1060" t="s">
        <v>26199</v>
      </c>
      <c r="C4539" s="1059" t="s">
        <v>2</v>
      </c>
      <c r="D4539" s="1061">
        <v>361.08</v>
      </c>
    </row>
    <row r="4540" spans="1:4" ht="9" customHeight="1" x14ac:dyDescent="0.25">
      <c r="A4540" s="1059">
        <v>4208129</v>
      </c>
      <c r="B4540" s="1060" t="s">
        <v>26200</v>
      </c>
      <c r="C4540" s="1059" t="s">
        <v>2</v>
      </c>
      <c r="D4540" s="1061">
        <v>569.97</v>
      </c>
    </row>
    <row r="4541" spans="1:4" ht="9" customHeight="1" x14ac:dyDescent="0.25">
      <c r="A4541" s="1059">
        <v>4208130</v>
      </c>
      <c r="B4541" s="1060" t="s">
        <v>26201</v>
      </c>
      <c r="C4541" s="1059" t="s">
        <v>2</v>
      </c>
      <c r="D4541" s="1061">
        <v>743.61</v>
      </c>
    </row>
    <row r="4542" spans="1:4" ht="9" customHeight="1" x14ac:dyDescent="0.25">
      <c r="A4542" s="1059">
        <v>4208131</v>
      </c>
      <c r="B4542" s="1060" t="s">
        <v>26202</v>
      </c>
      <c r="C4542" s="1059" t="s">
        <v>2</v>
      </c>
      <c r="D4542" s="1061">
        <v>952.2</v>
      </c>
    </row>
    <row r="4543" spans="1:4" ht="9" customHeight="1" x14ac:dyDescent="0.25">
      <c r="A4543" s="1059">
        <v>4208132</v>
      </c>
      <c r="B4543" s="1060" t="s">
        <v>26203</v>
      </c>
      <c r="C4543" s="1059" t="s">
        <v>2</v>
      </c>
      <c r="D4543" s="1061">
        <v>1091.82</v>
      </c>
    </row>
    <row r="4544" spans="1:4" ht="9" customHeight="1" x14ac:dyDescent="0.25">
      <c r="A4544" s="1059">
        <v>4208133</v>
      </c>
      <c r="B4544" s="1060" t="s">
        <v>26204</v>
      </c>
      <c r="C4544" s="1059" t="s">
        <v>2</v>
      </c>
      <c r="D4544" s="1061">
        <v>1368.83</v>
      </c>
    </row>
    <row r="4545" spans="1:4" ht="9" customHeight="1" x14ac:dyDescent="0.25">
      <c r="A4545" s="1059">
        <v>4208134</v>
      </c>
      <c r="B4545" s="1060" t="s">
        <v>26205</v>
      </c>
      <c r="C4545" s="1059" t="s">
        <v>2</v>
      </c>
      <c r="D4545" s="1061">
        <v>1526.53</v>
      </c>
    </row>
    <row r="4546" spans="1:4" ht="9" customHeight="1" x14ac:dyDescent="0.25">
      <c r="A4546" s="1059">
        <v>4208238</v>
      </c>
      <c r="B4546" s="1060" t="s">
        <v>26206</v>
      </c>
      <c r="C4546" s="1059" t="s">
        <v>2</v>
      </c>
      <c r="D4546" s="1061">
        <v>1769.61</v>
      </c>
    </row>
    <row r="4547" spans="1:4" ht="9" customHeight="1" x14ac:dyDescent="0.25">
      <c r="A4547" s="1059">
        <v>4208239</v>
      </c>
      <c r="B4547" s="1060" t="s">
        <v>26207</v>
      </c>
      <c r="C4547" s="1059" t="s">
        <v>2</v>
      </c>
      <c r="D4547" s="1061">
        <v>2047.51</v>
      </c>
    </row>
    <row r="4548" spans="1:4" ht="9" customHeight="1" x14ac:dyDescent="0.25">
      <c r="A4548" s="1059">
        <v>4413920</v>
      </c>
      <c r="B4548" s="1060" t="s">
        <v>26208</v>
      </c>
      <c r="C4548" s="1059" t="s">
        <v>39</v>
      </c>
      <c r="D4548" s="1061">
        <v>0.6</v>
      </c>
    </row>
    <row r="4549" spans="1:4" ht="9" customHeight="1" x14ac:dyDescent="0.25">
      <c r="A4549" s="1059">
        <v>4413024</v>
      </c>
      <c r="B4549" s="1060" t="s">
        <v>26209</v>
      </c>
      <c r="C4549" s="1059" t="s">
        <v>39</v>
      </c>
      <c r="D4549" s="1061">
        <v>0.45</v>
      </c>
    </row>
    <row r="4550" spans="1:4" ht="9" customHeight="1" x14ac:dyDescent="0.25">
      <c r="A4550" s="1059">
        <v>4413022</v>
      </c>
      <c r="B4550" s="1060" t="s">
        <v>26210</v>
      </c>
      <c r="C4550" s="1059" t="s">
        <v>39</v>
      </c>
      <c r="D4550" s="1061">
        <v>0.7</v>
      </c>
    </row>
    <row r="4551" spans="1:4" ht="18" customHeight="1" x14ac:dyDescent="0.25">
      <c r="A4551" s="1059">
        <v>4413020</v>
      </c>
      <c r="B4551" s="1060" t="s">
        <v>26211</v>
      </c>
      <c r="C4551" s="1059" t="s">
        <v>2</v>
      </c>
      <c r="D4551" s="1061">
        <v>34.01</v>
      </c>
    </row>
    <row r="4552" spans="1:4" ht="18" customHeight="1" x14ac:dyDescent="0.25">
      <c r="A4552" s="1059">
        <v>4413013</v>
      </c>
      <c r="B4552" s="1060" t="s">
        <v>26212</v>
      </c>
      <c r="C4552" s="1059" t="s">
        <v>2</v>
      </c>
      <c r="D4552" s="1061">
        <v>91.54</v>
      </c>
    </row>
    <row r="4553" spans="1:4" ht="9" customHeight="1" x14ac:dyDescent="0.25">
      <c r="A4553" s="1059">
        <v>4413019</v>
      </c>
      <c r="B4553" s="1060" t="s">
        <v>26213</v>
      </c>
      <c r="C4553" s="1059" t="s">
        <v>2</v>
      </c>
      <c r="D4553" s="1061">
        <v>31.36</v>
      </c>
    </row>
    <row r="4554" spans="1:4" ht="9" customHeight="1" x14ac:dyDescent="0.25">
      <c r="A4554" s="1059">
        <v>4413026</v>
      </c>
      <c r="B4554" s="1060" t="s">
        <v>26214</v>
      </c>
      <c r="C4554" s="1059" t="s">
        <v>39</v>
      </c>
      <c r="D4554" s="1061">
        <v>213.14</v>
      </c>
    </row>
    <row r="4555" spans="1:4" ht="9" customHeight="1" x14ac:dyDescent="0.25">
      <c r="A4555" s="1059">
        <v>4413996</v>
      </c>
      <c r="B4555" s="1060" t="s">
        <v>26215</v>
      </c>
      <c r="C4555" s="1059" t="s">
        <v>39</v>
      </c>
      <c r="D4555" s="1061">
        <v>10.08</v>
      </c>
    </row>
    <row r="4556" spans="1:4" ht="9" customHeight="1" x14ac:dyDescent="0.25">
      <c r="A4556" s="1059">
        <v>4413942</v>
      </c>
      <c r="B4556" s="1060" t="s">
        <v>26216</v>
      </c>
      <c r="C4556" s="1059" t="s">
        <v>38</v>
      </c>
      <c r="D4556" s="1061">
        <v>1.59</v>
      </c>
    </row>
    <row r="4557" spans="1:4" ht="9" customHeight="1" x14ac:dyDescent="0.25">
      <c r="A4557" s="1059">
        <v>4413018</v>
      </c>
      <c r="B4557" s="1060" t="s">
        <v>26217</v>
      </c>
      <c r="C4557" s="1059" t="s">
        <v>6</v>
      </c>
      <c r="D4557" s="1061">
        <v>13.39</v>
      </c>
    </row>
    <row r="4558" spans="1:4" ht="9" customHeight="1" x14ac:dyDescent="0.25">
      <c r="A4558" s="1059">
        <v>4413905</v>
      </c>
      <c r="B4558" s="1060" t="s">
        <v>26218</v>
      </c>
      <c r="C4558" s="1059" t="s">
        <v>39</v>
      </c>
      <c r="D4558" s="1061">
        <v>6.47</v>
      </c>
    </row>
    <row r="4559" spans="1:4" ht="9" customHeight="1" x14ac:dyDescent="0.25">
      <c r="A4559" s="1059">
        <v>4413987</v>
      </c>
      <c r="B4559" s="1060" t="s">
        <v>26219</v>
      </c>
      <c r="C4559" s="1059" t="s">
        <v>39</v>
      </c>
      <c r="D4559" s="1061">
        <v>0.36</v>
      </c>
    </row>
    <row r="4560" spans="1:4" ht="9" customHeight="1" x14ac:dyDescent="0.25">
      <c r="A4560" s="1059">
        <v>4413995</v>
      </c>
      <c r="B4560" s="1060" t="s">
        <v>26220</v>
      </c>
      <c r="C4560" s="1059" t="s">
        <v>39</v>
      </c>
      <c r="D4560" s="1061">
        <v>2.85</v>
      </c>
    </row>
    <row r="4561" spans="1:4" ht="18" customHeight="1" x14ac:dyDescent="0.25">
      <c r="A4561" s="1059">
        <v>4413994</v>
      </c>
      <c r="B4561" s="1060" t="s">
        <v>26221</v>
      </c>
      <c r="C4561" s="1059" t="s">
        <v>2</v>
      </c>
      <c r="D4561" s="1061">
        <v>613.4</v>
      </c>
    </row>
    <row r="4562" spans="1:4" ht="9" customHeight="1" x14ac:dyDescent="0.25">
      <c r="A4562" s="1059">
        <v>4413200</v>
      </c>
      <c r="B4562" s="1060" t="s">
        <v>26222</v>
      </c>
      <c r="C4562" s="1059" t="s">
        <v>39</v>
      </c>
      <c r="D4562" s="1061">
        <v>13.2</v>
      </c>
    </row>
    <row r="4563" spans="1:4" ht="9" customHeight="1" x14ac:dyDescent="0.25">
      <c r="A4563" s="1059">
        <v>4413990</v>
      </c>
      <c r="B4563" s="1060" t="s">
        <v>26223</v>
      </c>
      <c r="C4563" s="1059" t="s">
        <v>3</v>
      </c>
      <c r="D4563" s="1061">
        <v>31.36</v>
      </c>
    </row>
    <row r="4564" spans="1:4" ht="9" customHeight="1" x14ac:dyDescent="0.25">
      <c r="A4564" s="1059">
        <v>4413989</v>
      </c>
      <c r="B4564" s="1060" t="s">
        <v>26224</v>
      </c>
      <c r="C4564" s="1059" t="s">
        <v>3</v>
      </c>
      <c r="D4564" s="1061">
        <v>34.01</v>
      </c>
    </row>
    <row r="4565" spans="1:4" ht="9" customHeight="1" x14ac:dyDescent="0.25">
      <c r="A4565" s="1059">
        <v>4413951</v>
      </c>
      <c r="B4565" s="1060" t="s">
        <v>26225</v>
      </c>
      <c r="C4565" s="1059" t="s">
        <v>3</v>
      </c>
      <c r="D4565" s="1061">
        <v>61.14</v>
      </c>
    </row>
    <row r="4566" spans="1:4" ht="9" customHeight="1" x14ac:dyDescent="0.25">
      <c r="A4566" s="1059">
        <v>4413950</v>
      </c>
      <c r="B4566" s="1060" t="s">
        <v>26226</v>
      </c>
      <c r="C4566" s="1059" t="s">
        <v>3</v>
      </c>
      <c r="D4566" s="1061">
        <v>109.61</v>
      </c>
    </row>
    <row r="4567" spans="1:4" ht="9" customHeight="1" x14ac:dyDescent="0.25">
      <c r="A4567" s="1059">
        <v>4413949</v>
      </c>
      <c r="B4567" s="1060" t="s">
        <v>26227</v>
      </c>
      <c r="C4567" s="1059" t="s">
        <v>3</v>
      </c>
      <c r="D4567" s="1061">
        <v>197.4</v>
      </c>
    </row>
    <row r="4568" spans="1:4" ht="9" customHeight="1" x14ac:dyDescent="0.25">
      <c r="A4568" s="1059">
        <v>4413948</v>
      </c>
      <c r="B4568" s="1060" t="s">
        <v>26228</v>
      </c>
      <c r="C4568" s="1059" t="s">
        <v>3</v>
      </c>
      <c r="D4568" s="1061">
        <v>50.18</v>
      </c>
    </row>
    <row r="4569" spans="1:4" ht="9" customHeight="1" x14ac:dyDescent="0.25">
      <c r="A4569" s="1059">
        <v>4413947</v>
      </c>
      <c r="B4569" s="1060" t="s">
        <v>26229</v>
      </c>
      <c r="C4569" s="1059" t="s">
        <v>3</v>
      </c>
      <c r="D4569" s="1061">
        <v>74.63</v>
      </c>
    </row>
    <row r="4570" spans="1:4" ht="9" customHeight="1" x14ac:dyDescent="0.25">
      <c r="A4570" s="1059">
        <v>4413946</v>
      </c>
      <c r="B4570" s="1060" t="s">
        <v>26230</v>
      </c>
      <c r="C4570" s="1059" t="s">
        <v>3</v>
      </c>
      <c r="D4570" s="1061">
        <v>103.57</v>
      </c>
    </row>
    <row r="4571" spans="1:4" ht="9" customHeight="1" x14ac:dyDescent="0.25">
      <c r="A4571" s="1059">
        <v>4413952</v>
      </c>
      <c r="B4571" s="1060" t="s">
        <v>26231</v>
      </c>
      <c r="C4571" s="1059" t="s">
        <v>39</v>
      </c>
      <c r="D4571" s="1061">
        <v>71.8</v>
      </c>
    </row>
    <row r="4572" spans="1:4" ht="9" customHeight="1" x14ac:dyDescent="0.25">
      <c r="A4572" s="1059">
        <v>4413012</v>
      </c>
      <c r="B4572" s="1060" t="s">
        <v>26232</v>
      </c>
      <c r="C4572" s="1059" t="s">
        <v>38</v>
      </c>
      <c r="D4572" s="1061">
        <v>392.73</v>
      </c>
    </row>
    <row r="4573" spans="1:4" ht="9" customHeight="1" x14ac:dyDescent="0.25">
      <c r="A4573" s="1059">
        <v>4413014</v>
      </c>
      <c r="B4573" s="1060" t="s">
        <v>26233</v>
      </c>
      <c r="C4573" s="1059" t="s">
        <v>39</v>
      </c>
      <c r="D4573" s="1061">
        <v>17.100000000000001</v>
      </c>
    </row>
    <row r="4574" spans="1:4" ht="18" customHeight="1" x14ac:dyDescent="0.25">
      <c r="A4574" s="1059">
        <v>4413016</v>
      </c>
      <c r="B4574" s="1060" t="s">
        <v>26234</v>
      </c>
      <c r="C4574" s="1059" t="s">
        <v>39</v>
      </c>
      <c r="D4574" s="1061">
        <v>9.86</v>
      </c>
    </row>
    <row r="4575" spans="1:4" ht="9" customHeight="1" x14ac:dyDescent="0.25">
      <c r="A4575" s="1059">
        <v>4413984</v>
      </c>
      <c r="B4575" s="1060" t="s">
        <v>26235</v>
      </c>
      <c r="C4575" s="1059" t="s">
        <v>38</v>
      </c>
      <c r="D4575" s="1061">
        <v>3.69</v>
      </c>
    </row>
    <row r="4576" spans="1:4" ht="9" customHeight="1" x14ac:dyDescent="0.25">
      <c r="A4576" s="1059">
        <v>4413986</v>
      </c>
      <c r="B4576" s="1060" t="s">
        <v>26236</v>
      </c>
      <c r="C4576" s="1059" t="s">
        <v>39</v>
      </c>
      <c r="D4576" s="1061">
        <v>0.06</v>
      </c>
    </row>
    <row r="4577" spans="1:4" ht="9" customHeight="1" x14ac:dyDescent="0.25">
      <c r="A4577" s="1059">
        <v>4413985</v>
      </c>
      <c r="B4577" s="1060" t="s">
        <v>26237</v>
      </c>
      <c r="C4577" s="1059" t="s">
        <v>39</v>
      </c>
      <c r="D4577" s="1061">
        <v>23.63</v>
      </c>
    </row>
    <row r="4578" spans="1:4" ht="9" customHeight="1" x14ac:dyDescent="0.25">
      <c r="A4578" s="1059">
        <v>4413017</v>
      </c>
      <c r="B4578" s="1060" t="s">
        <v>26238</v>
      </c>
      <c r="C4578" s="1059" t="s">
        <v>2</v>
      </c>
      <c r="D4578" s="1061">
        <v>44.28</v>
      </c>
    </row>
    <row r="4579" spans="1:4" ht="9" customHeight="1" x14ac:dyDescent="0.25">
      <c r="A4579" s="1059">
        <v>4415673</v>
      </c>
      <c r="B4579" s="1060" t="s">
        <v>26239</v>
      </c>
      <c r="C4579" s="1059" t="s">
        <v>39</v>
      </c>
      <c r="D4579" s="1061">
        <v>8.44</v>
      </c>
    </row>
    <row r="4580" spans="1:4" ht="9" customHeight="1" x14ac:dyDescent="0.25">
      <c r="A4580" s="1059">
        <v>4415684</v>
      </c>
      <c r="B4580" s="1060" t="s">
        <v>26240</v>
      </c>
      <c r="C4580" s="1059" t="s">
        <v>39</v>
      </c>
      <c r="D4580" s="1061">
        <v>4.76</v>
      </c>
    </row>
    <row r="4581" spans="1:4" ht="9" customHeight="1" x14ac:dyDescent="0.25">
      <c r="A4581" s="1059">
        <v>4413993</v>
      </c>
      <c r="B4581" s="1060" t="s">
        <v>26241</v>
      </c>
      <c r="C4581" s="1059" t="s">
        <v>39</v>
      </c>
      <c r="D4581" s="1061">
        <v>0.64</v>
      </c>
    </row>
    <row r="4582" spans="1:4" ht="9" customHeight="1" x14ac:dyDescent="0.25">
      <c r="A4582" s="1059">
        <v>4507754</v>
      </c>
      <c r="B4582" s="1060" t="s">
        <v>26242</v>
      </c>
      <c r="C4582" s="1059" t="s">
        <v>3</v>
      </c>
      <c r="D4582" s="1061">
        <v>898.84</v>
      </c>
    </row>
    <row r="4583" spans="1:4" ht="9" customHeight="1" x14ac:dyDescent="0.25">
      <c r="A4583" s="1059">
        <v>4507738</v>
      </c>
      <c r="B4583" s="1060" t="s">
        <v>26243</v>
      </c>
      <c r="C4583" s="1059" t="s">
        <v>3</v>
      </c>
      <c r="D4583" s="1061">
        <v>1207.3599999999999</v>
      </c>
    </row>
    <row r="4584" spans="1:4" ht="9" customHeight="1" x14ac:dyDescent="0.25">
      <c r="A4584" s="1059">
        <v>4507755</v>
      </c>
      <c r="B4584" s="1060" t="s">
        <v>26244</v>
      </c>
      <c r="C4584" s="1059" t="s">
        <v>3</v>
      </c>
      <c r="D4584" s="1061">
        <v>1134.3800000000001</v>
      </c>
    </row>
    <row r="4585" spans="1:4" ht="9" customHeight="1" x14ac:dyDescent="0.25">
      <c r="A4585" s="1059">
        <v>4507756</v>
      </c>
      <c r="B4585" s="1060" t="s">
        <v>26245</v>
      </c>
      <c r="C4585" s="1059" t="s">
        <v>3</v>
      </c>
      <c r="D4585" s="1061">
        <v>1477.97</v>
      </c>
    </row>
    <row r="4586" spans="1:4" ht="9" customHeight="1" x14ac:dyDescent="0.25">
      <c r="A4586" s="1059">
        <v>4507757</v>
      </c>
      <c r="B4586" s="1060" t="s">
        <v>26246</v>
      </c>
      <c r="C4586" s="1059" t="s">
        <v>3</v>
      </c>
      <c r="D4586" s="1061">
        <v>1565.07</v>
      </c>
    </row>
    <row r="4587" spans="1:4" ht="9" customHeight="1" x14ac:dyDescent="0.25">
      <c r="A4587" s="1059">
        <v>4507758</v>
      </c>
      <c r="B4587" s="1060" t="s">
        <v>26247</v>
      </c>
      <c r="C4587" s="1059" t="s">
        <v>3</v>
      </c>
      <c r="D4587" s="1061">
        <v>1916.25</v>
      </c>
    </row>
    <row r="4588" spans="1:4" ht="9" customHeight="1" x14ac:dyDescent="0.25">
      <c r="A4588" s="1059">
        <v>4507759</v>
      </c>
      <c r="B4588" s="1060" t="s">
        <v>26248</v>
      </c>
      <c r="C4588" s="1059" t="s">
        <v>3</v>
      </c>
      <c r="D4588" s="1061">
        <v>1982.77</v>
      </c>
    </row>
    <row r="4589" spans="1:4" ht="9" customHeight="1" x14ac:dyDescent="0.25">
      <c r="A4589" s="1059">
        <v>4507760</v>
      </c>
      <c r="B4589" s="1060" t="s">
        <v>26249</v>
      </c>
      <c r="C4589" s="1059" t="s">
        <v>3</v>
      </c>
      <c r="D4589" s="1061">
        <v>2491.21</v>
      </c>
    </row>
    <row r="4590" spans="1:4" ht="9" customHeight="1" x14ac:dyDescent="0.25">
      <c r="A4590" s="1059">
        <v>4507761</v>
      </c>
      <c r="B4590" s="1060" t="s">
        <v>26250</v>
      </c>
      <c r="C4590" s="1059" t="s">
        <v>3</v>
      </c>
      <c r="D4590" s="1061">
        <v>2543.79</v>
      </c>
    </row>
    <row r="4591" spans="1:4" ht="9" customHeight="1" x14ac:dyDescent="0.25">
      <c r="A4591" s="1059">
        <v>4507762</v>
      </c>
      <c r="B4591" s="1060" t="s">
        <v>26251</v>
      </c>
      <c r="C4591" s="1059" t="s">
        <v>3</v>
      </c>
      <c r="D4591" s="1061">
        <v>3176.12</v>
      </c>
    </row>
    <row r="4592" spans="1:4" ht="9" customHeight="1" x14ac:dyDescent="0.25">
      <c r="A4592" s="1059">
        <v>4507763</v>
      </c>
      <c r="B4592" s="1060" t="s">
        <v>26252</v>
      </c>
      <c r="C4592" s="1059" t="s">
        <v>3</v>
      </c>
      <c r="D4592" s="1061">
        <v>3020.86</v>
      </c>
    </row>
    <row r="4593" spans="1:4" ht="9" customHeight="1" x14ac:dyDescent="0.25">
      <c r="A4593" s="1059">
        <v>4507764</v>
      </c>
      <c r="B4593" s="1060" t="s">
        <v>26253</v>
      </c>
      <c r="C4593" s="1059" t="s">
        <v>3</v>
      </c>
      <c r="D4593" s="1061">
        <v>4159.8100000000004</v>
      </c>
    </row>
    <row r="4594" spans="1:4" ht="9" customHeight="1" x14ac:dyDescent="0.25">
      <c r="A4594" s="1059">
        <v>4507765</v>
      </c>
      <c r="B4594" s="1060" t="s">
        <v>26254</v>
      </c>
      <c r="C4594" s="1059" t="s">
        <v>3</v>
      </c>
      <c r="D4594" s="1061">
        <v>4146.68</v>
      </c>
    </row>
    <row r="4595" spans="1:4" ht="9" customHeight="1" x14ac:dyDescent="0.25">
      <c r="A4595" s="1059">
        <v>4508192</v>
      </c>
      <c r="B4595" s="1060" t="s">
        <v>26255</v>
      </c>
      <c r="C4595" s="1059" t="s">
        <v>3</v>
      </c>
      <c r="D4595" s="1061">
        <v>5682.28</v>
      </c>
    </row>
    <row r="4596" spans="1:4" ht="9" customHeight="1" x14ac:dyDescent="0.25">
      <c r="A4596" s="1059">
        <v>4507766</v>
      </c>
      <c r="B4596" s="1060" t="s">
        <v>26256</v>
      </c>
      <c r="C4596" s="1059" t="s">
        <v>3</v>
      </c>
      <c r="D4596" s="1061">
        <v>381.98</v>
      </c>
    </row>
    <row r="4597" spans="1:4" ht="9" customHeight="1" x14ac:dyDescent="0.25">
      <c r="A4597" s="1059">
        <v>4507767</v>
      </c>
      <c r="B4597" s="1060" t="s">
        <v>26257</v>
      </c>
      <c r="C4597" s="1059" t="s">
        <v>3</v>
      </c>
      <c r="D4597" s="1061">
        <v>455.4</v>
      </c>
    </row>
    <row r="4598" spans="1:4" ht="9" customHeight="1" x14ac:dyDescent="0.25">
      <c r="A4598" s="1059">
        <v>4507768</v>
      </c>
      <c r="B4598" s="1060" t="s">
        <v>26258</v>
      </c>
      <c r="C4598" s="1059" t="s">
        <v>3</v>
      </c>
      <c r="D4598" s="1061">
        <v>549.55999999999995</v>
      </c>
    </row>
    <row r="4599" spans="1:4" ht="9" customHeight="1" x14ac:dyDescent="0.25">
      <c r="A4599" s="1059">
        <v>4507769</v>
      </c>
      <c r="B4599" s="1060" t="s">
        <v>26259</v>
      </c>
      <c r="C4599" s="1059" t="s">
        <v>3</v>
      </c>
      <c r="D4599" s="1061">
        <v>680.05</v>
      </c>
    </row>
    <row r="4600" spans="1:4" ht="9" customHeight="1" x14ac:dyDescent="0.25">
      <c r="A4600" s="1059">
        <v>4507770</v>
      </c>
      <c r="B4600" s="1060" t="s">
        <v>26260</v>
      </c>
      <c r="C4600" s="1059" t="s">
        <v>3</v>
      </c>
      <c r="D4600" s="1061">
        <v>631.79999999999995</v>
      </c>
    </row>
    <row r="4601" spans="1:4" ht="9" customHeight="1" x14ac:dyDescent="0.25">
      <c r="A4601" s="1059">
        <v>4507771</v>
      </c>
      <c r="B4601" s="1060" t="s">
        <v>26261</v>
      </c>
      <c r="C4601" s="1059" t="s">
        <v>3</v>
      </c>
      <c r="D4601" s="1061">
        <v>798.91</v>
      </c>
    </row>
    <row r="4602" spans="1:4" ht="9" customHeight="1" x14ac:dyDescent="0.25">
      <c r="A4602" s="1059">
        <v>4507772</v>
      </c>
      <c r="B4602" s="1060" t="s">
        <v>26262</v>
      </c>
      <c r="C4602" s="1059" t="s">
        <v>3</v>
      </c>
      <c r="D4602" s="1061">
        <v>740.45</v>
      </c>
    </row>
    <row r="4603" spans="1:4" ht="9" customHeight="1" x14ac:dyDescent="0.25">
      <c r="A4603" s="1059">
        <v>4508193</v>
      </c>
      <c r="B4603" s="1060" t="s">
        <v>26263</v>
      </c>
      <c r="C4603" s="1059" t="s">
        <v>3</v>
      </c>
      <c r="D4603" s="1061">
        <v>925.04</v>
      </c>
    </row>
    <row r="4604" spans="1:4" ht="9" customHeight="1" x14ac:dyDescent="0.25">
      <c r="A4604" s="1059">
        <v>4507773</v>
      </c>
      <c r="B4604" s="1060" t="s">
        <v>26264</v>
      </c>
      <c r="C4604" s="1059" t="s">
        <v>3</v>
      </c>
      <c r="D4604" s="1061">
        <v>832.92</v>
      </c>
    </row>
    <row r="4605" spans="1:4" ht="9" customHeight="1" x14ac:dyDescent="0.25">
      <c r="A4605" s="1059">
        <v>4507774</v>
      </c>
      <c r="B4605" s="1060" t="s">
        <v>26265</v>
      </c>
      <c r="C4605" s="1059" t="s">
        <v>3</v>
      </c>
      <c r="D4605" s="1061">
        <v>1074.51</v>
      </c>
    </row>
    <row r="4606" spans="1:4" ht="9" customHeight="1" x14ac:dyDescent="0.25">
      <c r="A4606" s="1059">
        <v>4507775</v>
      </c>
      <c r="B4606" s="1060" t="s">
        <v>26266</v>
      </c>
      <c r="C4606" s="1059" t="s">
        <v>3</v>
      </c>
      <c r="D4606" s="1061">
        <v>248.53</v>
      </c>
    </row>
    <row r="4607" spans="1:4" ht="9" customHeight="1" x14ac:dyDescent="0.25">
      <c r="A4607" s="1059">
        <v>4507776</v>
      </c>
      <c r="B4607" s="1060" t="s">
        <v>26267</v>
      </c>
      <c r="C4607" s="1059" t="s">
        <v>3</v>
      </c>
      <c r="D4607" s="1061">
        <v>316.87</v>
      </c>
    </row>
    <row r="4608" spans="1:4" ht="9" customHeight="1" x14ac:dyDescent="0.25">
      <c r="A4608" s="1059">
        <v>4507783</v>
      </c>
      <c r="B4608" s="1060" t="s">
        <v>26268</v>
      </c>
      <c r="C4608" s="1059" t="s">
        <v>3</v>
      </c>
      <c r="D4608" s="1061">
        <v>79.959999999999994</v>
      </c>
    </row>
    <row r="4609" spans="1:4" ht="9" customHeight="1" x14ac:dyDescent="0.25">
      <c r="A4609" s="1059">
        <v>4507784</v>
      </c>
      <c r="B4609" s="1060" t="s">
        <v>26269</v>
      </c>
      <c r="C4609" s="1059" t="s">
        <v>3</v>
      </c>
      <c r="D4609" s="1061">
        <v>107.79</v>
      </c>
    </row>
    <row r="4610" spans="1:4" ht="9" customHeight="1" x14ac:dyDescent="0.25">
      <c r="A4610" s="1059">
        <v>4507777</v>
      </c>
      <c r="B4610" s="1060" t="s">
        <v>26270</v>
      </c>
      <c r="C4610" s="1059" t="s">
        <v>3</v>
      </c>
      <c r="D4610" s="1061">
        <v>564.45000000000005</v>
      </c>
    </row>
    <row r="4611" spans="1:4" ht="9" customHeight="1" x14ac:dyDescent="0.25">
      <c r="A4611" s="1059">
        <v>4507778</v>
      </c>
      <c r="B4611" s="1060" t="s">
        <v>26271</v>
      </c>
      <c r="C4611" s="1059" t="s">
        <v>3</v>
      </c>
      <c r="D4611" s="1061">
        <v>733.47</v>
      </c>
    </row>
    <row r="4612" spans="1:4" ht="9" customHeight="1" x14ac:dyDescent="0.25">
      <c r="A4612" s="1059">
        <v>4507779</v>
      </c>
      <c r="B4612" s="1060" t="s">
        <v>26272</v>
      </c>
      <c r="C4612" s="1059" t="s">
        <v>3</v>
      </c>
      <c r="D4612" s="1061">
        <v>1106.06</v>
      </c>
    </row>
    <row r="4613" spans="1:4" ht="9" customHeight="1" x14ac:dyDescent="0.25">
      <c r="A4613" s="1059">
        <v>4507780</v>
      </c>
      <c r="B4613" s="1060" t="s">
        <v>26273</v>
      </c>
      <c r="C4613" s="1059" t="s">
        <v>3</v>
      </c>
      <c r="D4613" s="1061">
        <v>1376.01</v>
      </c>
    </row>
    <row r="4614" spans="1:4" ht="9" customHeight="1" x14ac:dyDescent="0.25">
      <c r="A4614" s="1059">
        <v>4507781</v>
      </c>
      <c r="B4614" s="1060" t="s">
        <v>26274</v>
      </c>
      <c r="C4614" s="1059" t="s">
        <v>3</v>
      </c>
      <c r="D4614" s="1061">
        <v>1209.3900000000001</v>
      </c>
    </row>
    <row r="4615" spans="1:4" ht="9" customHeight="1" x14ac:dyDescent="0.25">
      <c r="A4615" s="1059">
        <v>4507782</v>
      </c>
      <c r="B4615" s="1060" t="s">
        <v>26275</v>
      </c>
      <c r="C4615" s="1059" t="s">
        <v>3</v>
      </c>
      <c r="D4615" s="1061">
        <v>1480.23</v>
      </c>
    </row>
    <row r="4616" spans="1:4" ht="9" customHeight="1" x14ac:dyDescent="0.25">
      <c r="A4616" s="1059">
        <v>4507785</v>
      </c>
      <c r="B4616" s="1060" t="s">
        <v>26276</v>
      </c>
      <c r="C4616" s="1059" t="s">
        <v>3</v>
      </c>
      <c r="D4616" s="1061">
        <v>349.86</v>
      </c>
    </row>
    <row r="4617" spans="1:4" ht="9" customHeight="1" x14ac:dyDescent="0.25">
      <c r="A4617" s="1059">
        <v>4508194</v>
      </c>
      <c r="B4617" s="1060" t="s">
        <v>26277</v>
      </c>
      <c r="C4617" s="1059" t="s">
        <v>3</v>
      </c>
      <c r="D4617" s="1061">
        <v>484.4</v>
      </c>
    </row>
    <row r="4618" spans="1:4" ht="9" customHeight="1" x14ac:dyDescent="0.25">
      <c r="A4618" s="1059">
        <v>4507786</v>
      </c>
      <c r="B4618" s="1060" t="s">
        <v>26278</v>
      </c>
      <c r="C4618" s="1059" t="s">
        <v>3</v>
      </c>
      <c r="D4618" s="1061">
        <v>417.95</v>
      </c>
    </row>
    <row r="4619" spans="1:4" ht="9" customHeight="1" x14ac:dyDescent="0.25">
      <c r="A4619" s="1059">
        <v>4507787</v>
      </c>
      <c r="B4619" s="1060" t="s">
        <v>26279</v>
      </c>
      <c r="C4619" s="1059" t="s">
        <v>3</v>
      </c>
      <c r="D4619" s="1061">
        <v>586.17999999999995</v>
      </c>
    </row>
    <row r="4620" spans="1:4" ht="9" customHeight="1" x14ac:dyDescent="0.25">
      <c r="A4620" s="1059">
        <v>4507788</v>
      </c>
      <c r="B4620" s="1060" t="s">
        <v>26280</v>
      </c>
      <c r="C4620" s="1059" t="s">
        <v>3</v>
      </c>
      <c r="D4620" s="1061">
        <v>621</v>
      </c>
    </row>
    <row r="4621" spans="1:4" ht="9" customHeight="1" x14ac:dyDescent="0.25">
      <c r="A4621" s="1059">
        <v>4507789</v>
      </c>
      <c r="B4621" s="1060" t="s">
        <v>26281</v>
      </c>
      <c r="C4621" s="1059" t="s">
        <v>3</v>
      </c>
      <c r="D4621" s="1061">
        <v>755.58</v>
      </c>
    </row>
    <row r="4622" spans="1:4" ht="9" customHeight="1" x14ac:dyDescent="0.25">
      <c r="A4622" s="1059">
        <v>4507790</v>
      </c>
      <c r="B4622" s="1060" t="s">
        <v>26282</v>
      </c>
      <c r="C4622" s="1059" t="s">
        <v>3</v>
      </c>
      <c r="D4622" s="1061">
        <v>790.93</v>
      </c>
    </row>
    <row r="4623" spans="1:4" ht="9" customHeight="1" x14ac:dyDescent="0.25">
      <c r="A4623" s="1059">
        <v>4507791</v>
      </c>
      <c r="B4623" s="1060" t="s">
        <v>26283</v>
      </c>
      <c r="C4623" s="1059" t="s">
        <v>3</v>
      </c>
      <c r="D4623" s="1061">
        <v>959.13</v>
      </c>
    </row>
    <row r="4624" spans="1:4" ht="9" customHeight="1" x14ac:dyDescent="0.25">
      <c r="A4624" s="1059">
        <v>4507792</v>
      </c>
      <c r="B4624" s="1060" t="s">
        <v>26284</v>
      </c>
      <c r="C4624" s="1059" t="s">
        <v>3</v>
      </c>
      <c r="D4624" s="1061">
        <v>926.81</v>
      </c>
    </row>
    <row r="4625" spans="1:4" ht="9" customHeight="1" x14ac:dyDescent="0.25">
      <c r="A4625" s="1059">
        <v>4507793</v>
      </c>
      <c r="B4625" s="1060" t="s">
        <v>26285</v>
      </c>
      <c r="C4625" s="1059" t="s">
        <v>3</v>
      </c>
      <c r="D4625" s="1061">
        <v>1111.8499999999999</v>
      </c>
    </row>
    <row r="4626" spans="1:4" ht="9" customHeight="1" x14ac:dyDescent="0.25">
      <c r="A4626" s="1059">
        <v>4507794</v>
      </c>
      <c r="B4626" s="1060" t="s">
        <v>26286</v>
      </c>
      <c r="C4626" s="1059" t="s">
        <v>3</v>
      </c>
      <c r="D4626" s="1061">
        <v>1147.55</v>
      </c>
    </row>
    <row r="4627" spans="1:4" ht="9" customHeight="1" x14ac:dyDescent="0.25">
      <c r="A4627" s="1059">
        <v>4507795</v>
      </c>
      <c r="B4627" s="1060" t="s">
        <v>26287</v>
      </c>
      <c r="C4627" s="1059" t="s">
        <v>3</v>
      </c>
      <c r="D4627" s="1061">
        <v>1366.33</v>
      </c>
    </row>
    <row r="4628" spans="1:4" ht="9" customHeight="1" x14ac:dyDescent="0.25">
      <c r="A4628" s="1059">
        <v>4507796</v>
      </c>
      <c r="B4628" s="1060" t="s">
        <v>26288</v>
      </c>
      <c r="C4628" s="1059" t="s">
        <v>3</v>
      </c>
      <c r="D4628" s="1061">
        <v>1317.58</v>
      </c>
    </row>
    <row r="4629" spans="1:4" ht="9" customHeight="1" x14ac:dyDescent="0.25">
      <c r="A4629" s="1059">
        <v>4508190</v>
      </c>
      <c r="B4629" s="1060" t="s">
        <v>26289</v>
      </c>
      <c r="C4629" s="1059" t="s">
        <v>3</v>
      </c>
      <c r="D4629" s="1061">
        <v>1569.99</v>
      </c>
    </row>
    <row r="4630" spans="1:4" ht="9" customHeight="1" x14ac:dyDescent="0.25">
      <c r="A4630" s="1059">
        <v>4507797</v>
      </c>
      <c r="B4630" s="1060" t="s">
        <v>26290</v>
      </c>
      <c r="C4630" s="1059" t="s">
        <v>3</v>
      </c>
      <c r="D4630" s="1061">
        <v>178.84</v>
      </c>
    </row>
    <row r="4631" spans="1:4" ht="9" customHeight="1" x14ac:dyDescent="0.25">
      <c r="A4631" s="1059">
        <v>4507798</v>
      </c>
      <c r="B4631" s="1060" t="s">
        <v>26291</v>
      </c>
      <c r="C4631" s="1059" t="s">
        <v>3</v>
      </c>
      <c r="D4631" s="1061">
        <v>246.08</v>
      </c>
    </row>
    <row r="4632" spans="1:4" ht="9" customHeight="1" x14ac:dyDescent="0.25">
      <c r="A4632" s="1059">
        <v>4507799</v>
      </c>
      <c r="B4632" s="1060" t="s">
        <v>26292</v>
      </c>
      <c r="C4632" s="1059" t="s">
        <v>3</v>
      </c>
      <c r="D4632" s="1061">
        <v>265.32</v>
      </c>
    </row>
    <row r="4633" spans="1:4" ht="9" customHeight="1" x14ac:dyDescent="0.25">
      <c r="A4633" s="1059">
        <v>4507800</v>
      </c>
      <c r="B4633" s="1060" t="s">
        <v>26293</v>
      </c>
      <c r="C4633" s="1059" t="s">
        <v>3</v>
      </c>
      <c r="D4633" s="1061">
        <v>364.78</v>
      </c>
    </row>
    <row r="4634" spans="1:4" ht="9" customHeight="1" x14ac:dyDescent="0.25">
      <c r="A4634" s="1059">
        <v>4507801</v>
      </c>
      <c r="B4634" s="1060" t="s">
        <v>26294</v>
      </c>
      <c r="C4634" s="1059" t="s">
        <v>3</v>
      </c>
      <c r="D4634" s="1061">
        <v>281.16000000000003</v>
      </c>
    </row>
    <row r="4635" spans="1:4" ht="9" customHeight="1" x14ac:dyDescent="0.25">
      <c r="A4635" s="1059">
        <v>4507802</v>
      </c>
      <c r="B4635" s="1060" t="s">
        <v>26295</v>
      </c>
      <c r="C4635" s="1059" t="s">
        <v>3</v>
      </c>
      <c r="D4635" s="1061">
        <v>382.07</v>
      </c>
    </row>
    <row r="4636" spans="1:4" ht="9" customHeight="1" x14ac:dyDescent="0.25">
      <c r="A4636" s="1059">
        <v>4507803</v>
      </c>
      <c r="B4636" s="1060" t="s">
        <v>26296</v>
      </c>
      <c r="C4636" s="1059" t="s">
        <v>3</v>
      </c>
      <c r="D4636" s="1061">
        <v>315.22000000000003</v>
      </c>
    </row>
    <row r="4637" spans="1:4" ht="9" customHeight="1" x14ac:dyDescent="0.25">
      <c r="A4637" s="1059">
        <v>4508191</v>
      </c>
      <c r="B4637" s="1060" t="s">
        <v>26297</v>
      </c>
      <c r="C4637" s="1059" t="s">
        <v>3</v>
      </c>
      <c r="D4637" s="1061">
        <v>432.95</v>
      </c>
    </row>
    <row r="4638" spans="1:4" ht="9" customHeight="1" x14ac:dyDescent="0.25">
      <c r="A4638" s="1059">
        <v>4507804</v>
      </c>
      <c r="B4638" s="1060" t="s">
        <v>26298</v>
      </c>
      <c r="C4638" s="1059" t="s">
        <v>3</v>
      </c>
      <c r="D4638" s="1061">
        <v>349.35</v>
      </c>
    </row>
    <row r="4639" spans="1:4" ht="9" customHeight="1" x14ac:dyDescent="0.25">
      <c r="A4639" s="1059">
        <v>4507805</v>
      </c>
      <c r="B4639" s="1060" t="s">
        <v>26299</v>
      </c>
      <c r="C4639" s="1059" t="s">
        <v>3</v>
      </c>
      <c r="D4639" s="1061">
        <v>483.88</v>
      </c>
    </row>
    <row r="4640" spans="1:4" ht="9" customHeight="1" x14ac:dyDescent="0.25">
      <c r="A4640" s="1059">
        <v>4507806</v>
      </c>
      <c r="B4640" s="1060" t="s">
        <v>26300</v>
      </c>
      <c r="C4640" s="1059" t="s">
        <v>3</v>
      </c>
      <c r="D4640" s="1061">
        <v>27.3</v>
      </c>
    </row>
    <row r="4641" spans="1:4" ht="9" customHeight="1" x14ac:dyDescent="0.25">
      <c r="A4641" s="1059">
        <v>4507807</v>
      </c>
      <c r="B4641" s="1060" t="s">
        <v>26301</v>
      </c>
      <c r="C4641" s="1059" t="s">
        <v>3</v>
      </c>
      <c r="D4641" s="1061">
        <v>33.659999999999997</v>
      </c>
    </row>
    <row r="4642" spans="1:4" ht="9" customHeight="1" x14ac:dyDescent="0.25">
      <c r="A4642" s="1059">
        <v>4507866</v>
      </c>
      <c r="B4642" s="1060" t="s">
        <v>26302</v>
      </c>
      <c r="C4642" s="1059" t="s">
        <v>3</v>
      </c>
      <c r="D4642" s="1061">
        <v>74.37</v>
      </c>
    </row>
    <row r="4643" spans="1:4" ht="9" customHeight="1" x14ac:dyDescent="0.25">
      <c r="A4643" s="1059">
        <v>4507867</v>
      </c>
      <c r="B4643" s="1060" t="s">
        <v>26303</v>
      </c>
      <c r="C4643" s="1059" t="s">
        <v>3</v>
      </c>
      <c r="D4643" s="1061">
        <v>102.21</v>
      </c>
    </row>
    <row r="4644" spans="1:4" ht="9" customHeight="1" x14ac:dyDescent="0.25">
      <c r="A4644" s="1059">
        <v>4507808</v>
      </c>
      <c r="B4644" s="1060" t="s">
        <v>26304</v>
      </c>
      <c r="C4644" s="1059" t="s">
        <v>3</v>
      </c>
      <c r="D4644" s="1061">
        <v>32.64</v>
      </c>
    </row>
    <row r="4645" spans="1:4" ht="9" customHeight="1" x14ac:dyDescent="0.25">
      <c r="A4645" s="1059">
        <v>4507809</v>
      </c>
      <c r="B4645" s="1060" t="s">
        <v>26305</v>
      </c>
      <c r="C4645" s="1059" t="s">
        <v>3</v>
      </c>
      <c r="D4645" s="1061">
        <v>41.44</v>
      </c>
    </row>
    <row r="4646" spans="1:4" ht="9" customHeight="1" x14ac:dyDescent="0.25">
      <c r="A4646" s="1059">
        <v>4507810</v>
      </c>
      <c r="B4646" s="1060" t="s">
        <v>26306</v>
      </c>
      <c r="C4646" s="1059" t="s">
        <v>3</v>
      </c>
      <c r="D4646" s="1061">
        <v>50.23</v>
      </c>
    </row>
    <row r="4647" spans="1:4" ht="9" customHeight="1" x14ac:dyDescent="0.25">
      <c r="A4647" s="1059">
        <v>4507811</v>
      </c>
      <c r="B4647" s="1060" t="s">
        <v>26307</v>
      </c>
      <c r="C4647" s="1059" t="s">
        <v>3</v>
      </c>
      <c r="D4647" s="1061">
        <v>51.67</v>
      </c>
    </row>
    <row r="4648" spans="1:4" ht="9" customHeight="1" x14ac:dyDescent="0.25">
      <c r="A4648" s="1059">
        <v>4507812</v>
      </c>
      <c r="B4648" s="1060" t="s">
        <v>26308</v>
      </c>
      <c r="C4648" s="1059" t="s">
        <v>3</v>
      </c>
      <c r="D4648" s="1061">
        <v>61.69</v>
      </c>
    </row>
    <row r="4649" spans="1:4" ht="9" customHeight="1" x14ac:dyDescent="0.25">
      <c r="A4649" s="1059">
        <v>4507813</v>
      </c>
      <c r="B4649" s="1060" t="s">
        <v>26309</v>
      </c>
      <c r="C4649" s="1059" t="s">
        <v>3</v>
      </c>
      <c r="D4649" s="1061">
        <v>81.59</v>
      </c>
    </row>
    <row r="4650" spans="1:4" ht="18" customHeight="1" x14ac:dyDescent="0.25">
      <c r="A4650" s="1059">
        <v>4507851</v>
      </c>
      <c r="B4650" s="1060" t="s">
        <v>26310</v>
      </c>
      <c r="C4650" s="1059" t="s">
        <v>2</v>
      </c>
      <c r="D4650" s="1061">
        <v>45.13</v>
      </c>
    </row>
    <row r="4651" spans="1:4" ht="18" customHeight="1" x14ac:dyDescent="0.25">
      <c r="A4651" s="1059">
        <v>4507852</v>
      </c>
      <c r="B4651" s="1060" t="s">
        <v>26311</v>
      </c>
      <c r="C4651" s="1059" t="s">
        <v>2</v>
      </c>
      <c r="D4651" s="1061">
        <v>44.99</v>
      </c>
    </row>
    <row r="4652" spans="1:4" ht="18" customHeight="1" x14ac:dyDescent="0.25">
      <c r="A4652" s="1059">
        <v>4507853</v>
      </c>
      <c r="B4652" s="1060" t="s">
        <v>26312</v>
      </c>
      <c r="C4652" s="1059" t="s">
        <v>2</v>
      </c>
      <c r="D4652" s="1061">
        <v>51.17</v>
      </c>
    </row>
    <row r="4653" spans="1:4" ht="18" customHeight="1" x14ac:dyDescent="0.25">
      <c r="A4653" s="1059">
        <v>4507854</v>
      </c>
      <c r="B4653" s="1060" t="s">
        <v>26313</v>
      </c>
      <c r="C4653" s="1059" t="s">
        <v>2</v>
      </c>
      <c r="D4653" s="1061">
        <v>57.42</v>
      </c>
    </row>
    <row r="4654" spans="1:4" ht="18" customHeight="1" x14ac:dyDescent="0.25">
      <c r="A4654" s="1059">
        <v>4507855</v>
      </c>
      <c r="B4654" s="1060" t="s">
        <v>26314</v>
      </c>
      <c r="C4654" s="1059" t="s">
        <v>2</v>
      </c>
      <c r="D4654" s="1061">
        <v>45.28</v>
      </c>
    </row>
    <row r="4655" spans="1:4" ht="18" customHeight="1" x14ac:dyDescent="0.25">
      <c r="A4655" s="1059">
        <v>4507856</v>
      </c>
      <c r="B4655" s="1060" t="s">
        <v>26315</v>
      </c>
      <c r="C4655" s="1059" t="s">
        <v>2</v>
      </c>
      <c r="D4655" s="1061">
        <v>45.09</v>
      </c>
    </row>
    <row r="4656" spans="1:4" ht="18" customHeight="1" x14ac:dyDescent="0.25">
      <c r="A4656" s="1059">
        <v>4507857</v>
      </c>
      <c r="B4656" s="1060" t="s">
        <v>26316</v>
      </c>
      <c r="C4656" s="1059" t="s">
        <v>2</v>
      </c>
      <c r="D4656" s="1061">
        <v>53.72</v>
      </c>
    </row>
    <row r="4657" spans="1:4" ht="18" customHeight="1" x14ac:dyDescent="0.25">
      <c r="A4657" s="1059">
        <v>4507858</v>
      </c>
      <c r="B4657" s="1060" t="s">
        <v>26317</v>
      </c>
      <c r="C4657" s="1059" t="s">
        <v>2</v>
      </c>
      <c r="D4657" s="1061">
        <v>61.98</v>
      </c>
    </row>
    <row r="4658" spans="1:4" ht="9" customHeight="1" x14ac:dyDescent="0.25">
      <c r="A4658" s="1059">
        <v>4508177</v>
      </c>
      <c r="B4658" s="1060" t="s">
        <v>26318</v>
      </c>
      <c r="C4658" s="1059" t="s">
        <v>2</v>
      </c>
      <c r="D4658" s="1061">
        <v>163.56</v>
      </c>
    </row>
    <row r="4659" spans="1:4" ht="9" customHeight="1" x14ac:dyDescent="0.25">
      <c r="A4659" s="1059">
        <v>4508178</v>
      </c>
      <c r="B4659" s="1060" t="s">
        <v>26319</v>
      </c>
      <c r="C4659" s="1059" t="s">
        <v>2</v>
      </c>
      <c r="D4659" s="1061">
        <v>163.37</v>
      </c>
    </row>
    <row r="4660" spans="1:4" ht="9" customHeight="1" x14ac:dyDescent="0.25">
      <c r="A4660" s="1059">
        <v>4507821</v>
      </c>
      <c r="B4660" s="1060" t="s">
        <v>26320</v>
      </c>
      <c r="C4660" s="1059" t="s">
        <v>2</v>
      </c>
      <c r="D4660" s="1061">
        <v>162.97999999999999</v>
      </c>
    </row>
    <row r="4661" spans="1:4" ht="9" customHeight="1" x14ac:dyDescent="0.25">
      <c r="A4661" s="1059">
        <v>4507822</v>
      </c>
      <c r="B4661" s="1060" t="s">
        <v>26321</v>
      </c>
      <c r="C4661" s="1059" t="s">
        <v>2</v>
      </c>
      <c r="D4661" s="1061">
        <v>162.79</v>
      </c>
    </row>
    <row r="4662" spans="1:4" ht="9" customHeight="1" x14ac:dyDescent="0.25">
      <c r="A4662" s="1059">
        <v>4507823</v>
      </c>
      <c r="B4662" s="1060" t="s">
        <v>26322</v>
      </c>
      <c r="C4662" s="1059" t="s">
        <v>2</v>
      </c>
      <c r="D4662" s="1061">
        <v>163.58000000000001</v>
      </c>
    </row>
    <row r="4663" spans="1:4" ht="9" customHeight="1" x14ac:dyDescent="0.25">
      <c r="A4663" s="1059">
        <v>4508188</v>
      </c>
      <c r="B4663" s="1060" t="s">
        <v>26323</v>
      </c>
      <c r="C4663" s="1059" t="s">
        <v>2</v>
      </c>
      <c r="D4663" s="1061">
        <v>163.44</v>
      </c>
    </row>
    <row r="4664" spans="1:4" ht="9" customHeight="1" x14ac:dyDescent="0.25">
      <c r="A4664" s="1059">
        <v>4507824</v>
      </c>
      <c r="B4664" s="1060" t="s">
        <v>26324</v>
      </c>
      <c r="C4664" s="1059" t="s">
        <v>2</v>
      </c>
      <c r="D4664" s="1061">
        <v>173.96</v>
      </c>
    </row>
    <row r="4665" spans="1:4" ht="9" customHeight="1" x14ac:dyDescent="0.25">
      <c r="A4665" s="1059">
        <v>4507825</v>
      </c>
      <c r="B4665" s="1060" t="s">
        <v>26325</v>
      </c>
      <c r="C4665" s="1059" t="s">
        <v>2</v>
      </c>
      <c r="D4665" s="1061">
        <v>174.19</v>
      </c>
    </row>
    <row r="4666" spans="1:4" ht="9" customHeight="1" x14ac:dyDescent="0.25">
      <c r="A4666" s="1059">
        <v>4507826</v>
      </c>
      <c r="B4666" s="1060" t="s">
        <v>26326</v>
      </c>
      <c r="C4666" s="1059" t="s">
        <v>2</v>
      </c>
      <c r="D4666" s="1061">
        <v>183.47</v>
      </c>
    </row>
    <row r="4667" spans="1:4" ht="9" customHeight="1" x14ac:dyDescent="0.25">
      <c r="A4667" s="1059">
        <v>4508179</v>
      </c>
      <c r="B4667" s="1060" t="s">
        <v>26327</v>
      </c>
      <c r="C4667" s="1059" t="s">
        <v>2</v>
      </c>
      <c r="D4667" s="1061">
        <v>183.28</v>
      </c>
    </row>
    <row r="4668" spans="1:4" ht="9" customHeight="1" x14ac:dyDescent="0.25">
      <c r="A4668" s="1059">
        <v>4507827</v>
      </c>
      <c r="B4668" s="1060" t="s">
        <v>26328</v>
      </c>
      <c r="C4668" s="1059" t="s">
        <v>2</v>
      </c>
      <c r="D4668" s="1061">
        <v>188.89</v>
      </c>
    </row>
    <row r="4669" spans="1:4" ht="9" customHeight="1" x14ac:dyDescent="0.25">
      <c r="A4669" s="1059">
        <v>4508180</v>
      </c>
      <c r="B4669" s="1060" t="s">
        <v>26329</v>
      </c>
      <c r="C4669" s="1059" t="s">
        <v>2</v>
      </c>
      <c r="D4669" s="1061">
        <v>41.14</v>
      </c>
    </row>
    <row r="4670" spans="1:4" ht="9" customHeight="1" x14ac:dyDescent="0.25">
      <c r="A4670" s="1059">
        <v>4507739</v>
      </c>
      <c r="B4670" s="1060" t="s">
        <v>26330</v>
      </c>
      <c r="C4670" s="1059" t="s">
        <v>2</v>
      </c>
      <c r="D4670" s="1061">
        <v>43.63</v>
      </c>
    </row>
    <row r="4671" spans="1:4" ht="9" customHeight="1" x14ac:dyDescent="0.25">
      <c r="A4671" s="1059">
        <v>4508181</v>
      </c>
      <c r="B4671" s="1060" t="s">
        <v>26331</v>
      </c>
      <c r="C4671" s="1059" t="s">
        <v>2</v>
      </c>
      <c r="D4671" s="1061">
        <v>43.61</v>
      </c>
    </row>
    <row r="4672" spans="1:4" ht="9" customHeight="1" x14ac:dyDescent="0.25">
      <c r="A4672" s="1059">
        <v>4508125</v>
      </c>
      <c r="B4672" s="1060" t="s">
        <v>26332</v>
      </c>
      <c r="C4672" s="1059" t="s">
        <v>2</v>
      </c>
      <c r="D4672" s="1061">
        <v>50.54</v>
      </c>
    </row>
    <row r="4673" spans="1:4" ht="9" customHeight="1" x14ac:dyDescent="0.25">
      <c r="A4673" s="1059">
        <v>4507828</v>
      </c>
      <c r="B4673" s="1060" t="s">
        <v>26333</v>
      </c>
      <c r="C4673" s="1059" t="s">
        <v>2</v>
      </c>
      <c r="D4673" s="1061">
        <v>50.58</v>
      </c>
    </row>
    <row r="4674" spans="1:4" ht="9" customHeight="1" x14ac:dyDescent="0.25">
      <c r="A4674" s="1059">
        <v>4507829</v>
      </c>
      <c r="B4674" s="1060" t="s">
        <v>26334</v>
      </c>
      <c r="C4674" s="1059" t="s">
        <v>2</v>
      </c>
      <c r="D4674" s="1061">
        <v>53.27</v>
      </c>
    </row>
    <row r="4675" spans="1:4" ht="9" customHeight="1" x14ac:dyDescent="0.25">
      <c r="A4675" s="1059">
        <v>4508182</v>
      </c>
      <c r="B4675" s="1060" t="s">
        <v>26335</v>
      </c>
      <c r="C4675" s="1059" t="s">
        <v>2</v>
      </c>
      <c r="D4675" s="1061">
        <v>53.36</v>
      </c>
    </row>
    <row r="4676" spans="1:4" ht="9" customHeight="1" x14ac:dyDescent="0.25">
      <c r="A4676" s="1059">
        <v>4508092</v>
      </c>
      <c r="B4676" s="1060" t="s">
        <v>26336</v>
      </c>
      <c r="C4676" s="1059" t="s">
        <v>2</v>
      </c>
      <c r="D4676" s="1061">
        <v>57.78</v>
      </c>
    </row>
    <row r="4677" spans="1:4" ht="9" customHeight="1" x14ac:dyDescent="0.25">
      <c r="A4677" s="1059">
        <v>4507830</v>
      </c>
      <c r="B4677" s="1060" t="s">
        <v>26337</v>
      </c>
      <c r="C4677" s="1059" t="s">
        <v>2</v>
      </c>
      <c r="D4677" s="1061">
        <v>57.94</v>
      </c>
    </row>
    <row r="4678" spans="1:4" ht="9" customHeight="1" x14ac:dyDescent="0.25">
      <c r="A4678" s="1059">
        <v>4508183</v>
      </c>
      <c r="B4678" s="1060" t="s">
        <v>26338</v>
      </c>
      <c r="C4678" s="1059" t="s">
        <v>2</v>
      </c>
      <c r="D4678" s="1061">
        <v>82.48</v>
      </c>
    </row>
    <row r="4679" spans="1:4" ht="9" customHeight="1" x14ac:dyDescent="0.25">
      <c r="A4679" s="1059">
        <v>4507831</v>
      </c>
      <c r="B4679" s="1060" t="s">
        <v>26339</v>
      </c>
      <c r="C4679" s="1059" t="s">
        <v>2</v>
      </c>
      <c r="D4679" s="1061">
        <v>62.82</v>
      </c>
    </row>
    <row r="4680" spans="1:4" ht="9" customHeight="1" x14ac:dyDescent="0.25">
      <c r="A4680" s="1059">
        <v>4507832</v>
      </c>
      <c r="B4680" s="1060" t="s">
        <v>26340</v>
      </c>
      <c r="C4680" s="1059" t="s">
        <v>2</v>
      </c>
      <c r="D4680" s="1061">
        <v>83.12</v>
      </c>
    </row>
    <row r="4681" spans="1:4" ht="9" customHeight="1" x14ac:dyDescent="0.25">
      <c r="A4681" s="1059">
        <v>4507833</v>
      </c>
      <c r="B4681" s="1060" t="s">
        <v>26341</v>
      </c>
      <c r="C4681" s="1059" t="s">
        <v>2</v>
      </c>
      <c r="D4681" s="1061">
        <v>83.06</v>
      </c>
    </row>
    <row r="4682" spans="1:4" ht="9" customHeight="1" x14ac:dyDescent="0.25">
      <c r="A4682" s="1059">
        <v>4507834</v>
      </c>
      <c r="B4682" s="1060" t="s">
        <v>26342</v>
      </c>
      <c r="C4682" s="1059" t="s">
        <v>2</v>
      </c>
      <c r="D4682" s="1061">
        <v>92.93</v>
      </c>
    </row>
    <row r="4683" spans="1:4" ht="9" customHeight="1" x14ac:dyDescent="0.25">
      <c r="A4683" s="1059">
        <v>4508184</v>
      </c>
      <c r="B4683" s="1060" t="s">
        <v>26343</v>
      </c>
      <c r="C4683" s="1059" t="s">
        <v>2</v>
      </c>
      <c r="D4683" s="1061">
        <v>92.8</v>
      </c>
    </row>
    <row r="4684" spans="1:4" ht="9" customHeight="1" x14ac:dyDescent="0.25">
      <c r="A4684" s="1059">
        <v>4507835</v>
      </c>
      <c r="B4684" s="1060" t="s">
        <v>26344</v>
      </c>
      <c r="C4684" s="1059" t="s">
        <v>2</v>
      </c>
      <c r="D4684" s="1061">
        <v>92.66</v>
      </c>
    </row>
    <row r="4685" spans="1:4" ht="9" customHeight="1" x14ac:dyDescent="0.25">
      <c r="A4685" s="1059">
        <v>4508174</v>
      </c>
      <c r="B4685" s="1060" t="s">
        <v>26345</v>
      </c>
      <c r="C4685" s="1059" t="s">
        <v>2</v>
      </c>
      <c r="D4685" s="1061">
        <v>92.93</v>
      </c>
    </row>
    <row r="4686" spans="1:4" ht="9" customHeight="1" x14ac:dyDescent="0.25">
      <c r="A4686" s="1059">
        <v>4507836</v>
      </c>
      <c r="B4686" s="1060" t="s">
        <v>26346</v>
      </c>
      <c r="C4686" s="1059" t="s">
        <v>2</v>
      </c>
      <c r="D4686" s="1061">
        <v>92.74</v>
      </c>
    </row>
    <row r="4687" spans="1:4" ht="9" customHeight="1" x14ac:dyDescent="0.25">
      <c r="A4687" s="1059">
        <v>4507837</v>
      </c>
      <c r="B4687" s="1060" t="s">
        <v>26347</v>
      </c>
      <c r="C4687" s="1059" t="s">
        <v>2</v>
      </c>
      <c r="D4687" s="1061">
        <v>97.4</v>
      </c>
    </row>
    <row r="4688" spans="1:4" ht="9" customHeight="1" x14ac:dyDescent="0.25">
      <c r="A4688" s="1059">
        <v>4507838</v>
      </c>
      <c r="B4688" s="1060" t="s">
        <v>26348</v>
      </c>
      <c r="C4688" s="1059" t="s">
        <v>2</v>
      </c>
      <c r="D4688" s="1061">
        <v>97.68</v>
      </c>
    </row>
    <row r="4689" spans="1:4" ht="9" customHeight="1" x14ac:dyDescent="0.25">
      <c r="A4689" s="1059">
        <v>4507839</v>
      </c>
      <c r="B4689" s="1060" t="s">
        <v>26349</v>
      </c>
      <c r="C4689" s="1059" t="s">
        <v>2</v>
      </c>
      <c r="D4689" s="1061">
        <v>102.92</v>
      </c>
    </row>
    <row r="4690" spans="1:4" ht="9" customHeight="1" x14ac:dyDescent="0.25">
      <c r="A4690" s="1059">
        <v>4508175</v>
      </c>
      <c r="B4690" s="1060" t="s">
        <v>26350</v>
      </c>
      <c r="C4690" s="1059" t="s">
        <v>2</v>
      </c>
      <c r="D4690" s="1061">
        <v>102.73</v>
      </c>
    </row>
    <row r="4691" spans="1:4" ht="9" customHeight="1" x14ac:dyDescent="0.25">
      <c r="A4691" s="1059">
        <v>4507840</v>
      </c>
      <c r="B4691" s="1060" t="s">
        <v>26351</v>
      </c>
      <c r="C4691" s="1059" t="s">
        <v>2</v>
      </c>
      <c r="D4691" s="1061">
        <v>102.69</v>
      </c>
    </row>
    <row r="4692" spans="1:4" ht="9" customHeight="1" x14ac:dyDescent="0.25">
      <c r="A4692" s="1059">
        <v>4507841</v>
      </c>
      <c r="B4692" s="1060" t="s">
        <v>26352</v>
      </c>
      <c r="C4692" s="1059" t="s">
        <v>2</v>
      </c>
      <c r="D4692" s="1061">
        <v>102.42</v>
      </c>
    </row>
    <row r="4693" spans="1:4" ht="9" customHeight="1" x14ac:dyDescent="0.25">
      <c r="A4693" s="1059">
        <v>4507842</v>
      </c>
      <c r="B4693" s="1060" t="s">
        <v>26353</v>
      </c>
      <c r="C4693" s="1059" t="s">
        <v>2</v>
      </c>
      <c r="D4693" s="1061">
        <v>104.86</v>
      </c>
    </row>
    <row r="4694" spans="1:4" ht="9" customHeight="1" x14ac:dyDescent="0.25">
      <c r="A4694" s="1059">
        <v>4508185</v>
      </c>
      <c r="B4694" s="1060" t="s">
        <v>26354</v>
      </c>
      <c r="C4694" s="1059" t="s">
        <v>2</v>
      </c>
      <c r="D4694" s="1061">
        <v>104.62</v>
      </c>
    </row>
    <row r="4695" spans="1:4" ht="9" customHeight="1" x14ac:dyDescent="0.25">
      <c r="A4695" s="1059">
        <v>4507843</v>
      </c>
      <c r="B4695" s="1060" t="s">
        <v>26355</v>
      </c>
      <c r="C4695" s="1059" t="s">
        <v>2</v>
      </c>
      <c r="D4695" s="1061">
        <v>104.48</v>
      </c>
    </row>
    <row r="4696" spans="1:4" ht="9" customHeight="1" x14ac:dyDescent="0.25">
      <c r="A4696" s="1059">
        <v>4507844</v>
      </c>
      <c r="B4696" s="1060" t="s">
        <v>26356</v>
      </c>
      <c r="C4696" s="1059" t="s">
        <v>2</v>
      </c>
      <c r="D4696" s="1061">
        <v>132.22</v>
      </c>
    </row>
    <row r="4697" spans="1:4" ht="9" customHeight="1" x14ac:dyDescent="0.25">
      <c r="A4697" s="1059">
        <v>4508186</v>
      </c>
      <c r="B4697" s="1060" t="s">
        <v>26357</v>
      </c>
      <c r="C4697" s="1059" t="s">
        <v>2</v>
      </c>
      <c r="D4697" s="1061">
        <v>132.29</v>
      </c>
    </row>
    <row r="4698" spans="1:4" ht="9" customHeight="1" x14ac:dyDescent="0.25">
      <c r="A4698" s="1059">
        <v>4508187</v>
      </c>
      <c r="B4698" s="1060" t="s">
        <v>26358</v>
      </c>
      <c r="C4698" s="1059" t="s">
        <v>2</v>
      </c>
      <c r="D4698" s="1061">
        <v>132.15</v>
      </c>
    </row>
    <row r="4699" spans="1:4" ht="9" customHeight="1" x14ac:dyDescent="0.25">
      <c r="A4699" s="1059">
        <v>4507845</v>
      </c>
      <c r="B4699" s="1060" t="s">
        <v>26359</v>
      </c>
      <c r="C4699" s="1059" t="s">
        <v>2</v>
      </c>
      <c r="D4699" s="1061">
        <v>131.88</v>
      </c>
    </row>
    <row r="4700" spans="1:4" ht="9" customHeight="1" x14ac:dyDescent="0.25">
      <c r="A4700" s="1059">
        <v>4507846</v>
      </c>
      <c r="B4700" s="1060" t="s">
        <v>26360</v>
      </c>
      <c r="C4700" s="1059" t="s">
        <v>2</v>
      </c>
      <c r="D4700" s="1061">
        <v>131.74</v>
      </c>
    </row>
    <row r="4701" spans="1:4" ht="9" customHeight="1" x14ac:dyDescent="0.25">
      <c r="A4701" s="1059">
        <v>4507847</v>
      </c>
      <c r="B4701" s="1060" t="s">
        <v>26361</v>
      </c>
      <c r="C4701" s="1059" t="s">
        <v>2</v>
      </c>
      <c r="D4701" s="1061">
        <v>140.65</v>
      </c>
    </row>
    <row r="4702" spans="1:4" ht="9" customHeight="1" x14ac:dyDescent="0.25">
      <c r="A4702" s="1059">
        <v>4507848</v>
      </c>
      <c r="B4702" s="1060" t="s">
        <v>26362</v>
      </c>
      <c r="C4702" s="1059" t="s">
        <v>2</v>
      </c>
      <c r="D4702" s="1061">
        <v>140.26</v>
      </c>
    </row>
    <row r="4703" spans="1:4" ht="9" customHeight="1" x14ac:dyDescent="0.25">
      <c r="A4703" s="1059">
        <v>4507849</v>
      </c>
      <c r="B4703" s="1060" t="s">
        <v>26363</v>
      </c>
      <c r="C4703" s="1059" t="s">
        <v>2</v>
      </c>
      <c r="D4703" s="1061">
        <v>140.09</v>
      </c>
    </row>
    <row r="4704" spans="1:4" ht="9" customHeight="1" x14ac:dyDescent="0.25">
      <c r="A4704" s="1059">
        <v>4508176</v>
      </c>
      <c r="B4704" s="1060" t="s">
        <v>26364</v>
      </c>
      <c r="C4704" s="1059" t="s">
        <v>2</v>
      </c>
      <c r="D4704" s="1061">
        <v>150.56</v>
      </c>
    </row>
    <row r="4705" spans="1:4" ht="9" customHeight="1" x14ac:dyDescent="0.25">
      <c r="A4705" s="1059">
        <v>4507850</v>
      </c>
      <c r="B4705" s="1060" t="s">
        <v>26365</v>
      </c>
      <c r="C4705" s="1059" t="s">
        <v>2</v>
      </c>
      <c r="D4705" s="1061">
        <v>150.37</v>
      </c>
    </row>
    <row r="4706" spans="1:4" ht="9" customHeight="1" x14ac:dyDescent="0.25">
      <c r="A4706" s="1059">
        <v>4507956</v>
      </c>
      <c r="B4706" s="1060" t="s">
        <v>26366</v>
      </c>
      <c r="C4706" s="1059" t="s">
        <v>6</v>
      </c>
      <c r="D4706" s="1061">
        <v>14.35</v>
      </c>
    </row>
    <row r="4707" spans="1:4" ht="9" customHeight="1" x14ac:dyDescent="0.25">
      <c r="A4707" s="1059">
        <v>4507957</v>
      </c>
      <c r="B4707" s="1060" t="s">
        <v>26367</v>
      </c>
      <c r="C4707" s="1059" t="s">
        <v>6</v>
      </c>
      <c r="D4707" s="1061">
        <v>15.08</v>
      </c>
    </row>
    <row r="4708" spans="1:4" ht="9" customHeight="1" x14ac:dyDescent="0.25">
      <c r="A4708" s="1059">
        <v>4507958</v>
      </c>
      <c r="B4708" s="1060" t="s">
        <v>26368</v>
      </c>
      <c r="C4708" s="1059" t="s">
        <v>6</v>
      </c>
      <c r="D4708" s="1061">
        <v>17.2</v>
      </c>
    </row>
    <row r="4709" spans="1:4" ht="9" customHeight="1" x14ac:dyDescent="0.25">
      <c r="A4709" s="1059">
        <v>4507959</v>
      </c>
      <c r="B4709" s="1060" t="s">
        <v>26369</v>
      </c>
      <c r="C4709" s="1059" t="s">
        <v>6</v>
      </c>
      <c r="D4709" s="1061">
        <v>17.2</v>
      </c>
    </row>
    <row r="4710" spans="1:4" ht="9" customHeight="1" x14ac:dyDescent="0.25">
      <c r="A4710" s="1059">
        <v>4516138</v>
      </c>
      <c r="B4710" s="1060" t="s">
        <v>26370</v>
      </c>
      <c r="C4710" s="1059" t="s">
        <v>6</v>
      </c>
      <c r="D4710" s="1061">
        <v>11.23</v>
      </c>
    </row>
    <row r="4711" spans="1:4" ht="9" customHeight="1" x14ac:dyDescent="0.25">
      <c r="A4711" s="1059">
        <v>4516137</v>
      </c>
      <c r="B4711" s="1060" t="s">
        <v>26371</v>
      </c>
      <c r="C4711" s="1059" t="s">
        <v>39</v>
      </c>
      <c r="D4711" s="1061">
        <v>134.13999999999999</v>
      </c>
    </row>
    <row r="4712" spans="1:4" ht="9" customHeight="1" x14ac:dyDescent="0.25">
      <c r="A4712" s="1059">
        <v>4805755</v>
      </c>
      <c r="B4712" s="1060" t="s">
        <v>26372</v>
      </c>
      <c r="C4712" s="1059" t="s">
        <v>38</v>
      </c>
      <c r="D4712" s="1061">
        <v>34.5</v>
      </c>
    </row>
    <row r="4713" spans="1:4" ht="9" customHeight="1" x14ac:dyDescent="0.25">
      <c r="A4713" s="1059">
        <v>4816020</v>
      </c>
      <c r="B4713" s="1060" t="s">
        <v>26373</v>
      </c>
      <c r="C4713" s="1059" t="s">
        <v>38</v>
      </c>
      <c r="D4713" s="1061">
        <v>12.13</v>
      </c>
    </row>
    <row r="4714" spans="1:4" ht="9" customHeight="1" x14ac:dyDescent="0.25">
      <c r="A4714" s="1059">
        <v>4816019</v>
      </c>
      <c r="B4714" s="1060" t="s">
        <v>26374</v>
      </c>
      <c r="C4714" s="1059" t="s">
        <v>38</v>
      </c>
      <c r="D4714" s="1061">
        <v>7.66</v>
      </c>
    </row>
    <row r="4715" spans="1:4" ht="9" customHeight="1" x14ac:dyDescent="0.25">
      <c r="A4715" s="1059">
        <v>4816018</v>
      </c>
      <c r="B4715" s="1060" t="s">
        <v>26375</v>
      </c>
      <c r="C4715" s="1059" t="s">
        <v>38</v>
      </c>
      <c r="D4715" s="1061">
        <v>4.75</v>
      </c>
    </row>
    <row r="4716" spans="1:4" ht="9" customHeight="1" x14ac:dyDescent="0.25">
      <c r="A4716" s="1059">
        <v>4816012</v>
      </c>
      <c r="B4716" s="1060" t="s">
        <v>26376</v>
      </c>
      <c r="C4716" s="1059" t="s">
        <v>38</v>
      </c>
      <c r="D4716" s="1061">
        <v>53.26</v>
      </c>
    </row>
    <row r="4717" spans="1:4" ht="9" customHeight="1" x14ac:dyDescent="0.25">
      <c r="A4717" s="1059">
        <v>4815805</v>
      </c>
      <c r="B4717" s="1060" t="s">
        <v>26377</v>
      </c>
      <c r="C4717" s="1059" t="s">
        <v>39</v>
      </c>
      <c r="D4717" s="1061">
        <v>10.52</v>
      </c>
    </row>
    <row r="4718" spans="1:4" ht="9" customHeight="1" x14ac:dyDescent="0.25">
      <c r="A4718" s="1059">
        <v>4815802</v>
      </c>
      <c r="B4718" s="1060" t="s">
        <v>26378</v>
      </c>
      <c r="C4718" s="1059" t="s">
        <v>39</v>
      </c>
      <c r="D4718" s="1061">
        <v>15.49</v>
      </c>
    </row>
    <row r="4719" spans="1:4" ht="9" customHeight="1" x14ac:dyDescent="0.25">
      <c r="A4719" s="1059">
        <v>4805754</v>
      </c>
      <c r="B4719" s="1060" t="s">
        <v>26379</v>
      </c>
      <c r="C4719" s="1059" t="s">
        <v>38</v>
      </c>
      <c r="D4719" s="1061">
        <v>6.83</v>
      </c>
    </row>
    <row r="4720" spans="1:4" ht="9" customHeight="1" x14ac:dyDescent="0.25">
      <c r="A4720" s="1059">
        <v>4816145</v>
      </c>
      <c r="B4720" s="1060" t="s">
        <v>26380</v>
      </c>
      <c r="C4720" s="1059" t="s">
        <v>2</v>
      </c>
      <c r="D4720" s="1061">
        <v>23.27</v>
      </c>
    </row>
    <row r="4721" spans="1:4" ht="9" customHeight="1" x14ac:dyDescent="0.25">
      <c r="A4721" s="1059">
        <v>4816144</v>
      </c>
      <c r="B4721" s="1060" t="s">
        <v>26381</v>
      </c>
      <c r="C4721" s="1059" t="s">
        <v>2</v>
      </c>
      <c r="D4721" s="1061">
        <v>21.14</v>
      </c>
    </row>
    <row r="4722" spans="1:4" ht="9" customHeight="1" x14ac:dyDescent="0.25">
      <c r="A4722" s="1059">
        <v>4816147</v>
      </c>
      <c r="B4722" s="1060" t="s">
        <v>26382</v>
      </c>
      <c r="C4722" s="1059" t="s">
        <v>2</v>
      </c>
      <c r="D4722" s="1061">
        <v>33.770000000000003</v>
      </c>
    </row>
    <row r="4723" spans="1:4" ht="9" customHeight="1" x14ac:dyDescent="0.25">
      <c r="A4723" s="1059">
        <v>4816146</v>
      </c>
      <c r="B4723" s="1060" t="s">
        <v>26383</v>
      </c>
      <c r="C4723" s="1059" t="s">
        <v>2</v>
      </c>
      <c r="D4723" s="1061">
        <v>29.92</v>
      </c>
    </row>
    <row r="4724" spans="1:4" ht="9" customHeight="1" x14ac:dyDescent="0.25">
      <c r="A4724" s="1059">
        <v>4816121</v>
      </c>
      <c r="B4724" s="1060" t="s">
        <v>26384</v>
      </c>
      <c r="C4724" s="1059" t="s">
        <v>2</v>
      </c>
      <c r="D4724" s="1061">
        <v>26.79</v>
      </c>
    </row>
    <row r="4725" spans="1:4" ht="9" customHeight="1" x14ac:dyDescent="0.25">
      <c r="A4725" s="1059">
        <v>4816120</v>
      </c>
      <c r="B4725" s="1060" t="s">
        <v>26385</v>
      </c>
      <c r="C4725" s="1059" t="s">
        <v>2</v>
      </c>
      <c r="D4725" s="1061">
        <v>23.79</v>
      </c>
    </row>
    <row r="4726" spans="1:4" ht="9" customHeight="1" x14ac:dyDescent="0.25">
      <c r="A4726" s="1059">
        <v>4816123</v>
      </c>
      <c r="B4726" s="1060" t="s">
        <v>26386</v>
      </c>
      <c r="C4726" s="1059" t="s">
        <v>2</v>
      </c>
      <c r="D4726" s="1061">
        <v>36.81</v>
      </c>
    </row>
    <row r="4727" spans="1:4" ht="9" customHeight="1" x14ac:dyDescent="0.25">
      <c r="A4727" s="1059">
        <v>4816122</v>
      </c>
      <c r="B4727" s="1060" t="s">
        <v>26387</v>
      </c>
      <c r="C4727" s="1059" t="s">
        <v>2</v>
      </c>
      <c r="D4727" s="1061">
        <v>32.54</v>
      </c>
    </row>
    <row r="4728" spans="1:4" ht="9" customHeight="1" x14ac:dyDescent="0.25">
      <c r="A4728" s="1059">
        <v>4816125</v>
      </c>
      <c r="B4728" s="1060" t="s">
        <v>26388</v>
      </c>
      <c r="C4728" s="1059" t="s">
        <v>2</v>
      </c>
      <c r="D4728" s="1061">
        <v>54.34</v>
      </c>
    </row>
    <row r="4729" spans="1:4" ht="9" customHeight="1" x14ac:dyDescent="0.25">
      <c r="A4729" s="1059">
        <v>4816124</v>
      </c>
      <c r="B4729" s="1060" t="s">
        <v>26389</v>
      </c>
      <c r="C4729" s="1059" t="s">
        <v>2</v>
      </c>
      <c r="D4729" s="1061">
        <v>46.65</v>
      </c>
    </row>
    <row r="4730" spans="1:4" ht="9" customHeight="1" x14ac:dyDescent="0.25">
      <c r="A4730" s="1059">
        <v>4816022</v>
      </c>
      <c r="B4730" s="1060" t="s">
        <v>26390</v>
      </c>
      <c r="C4730" s="1059" t="s">
        <v>2</v>
      </c>
      <c r="D4730" s="1061">
        <v>73.95</v>
      </c>
    </row>
    <row r="4731" spans="1:4" ht="9" customHeight="1" x14ac:dyDescent="0.25">
      <c r="A4731" s="1059">
        <v>4816021</v>
      </c>
      <c r="B4731" s="1060" t="s">
        <v>26391</v>
      </c>
      <c r="C4731" s="1059" t="s">
        <v>2</v>
      </c>
      <c r="D4731" s="1061">
        <v>62.06</v>
      </c>
    </row>
    <row r="4732" spans="1:4" ht="9" customHeight="1" x14ac:dyDescent="0.25">
      <c r="A4732" s="1059">
        <v>4816106</v>
      </c>
      <c r="B4732" s="1060" t="s">
        <v>26392</v>
      </c>
      <c r="C4732" s="1059" t="s">
        <v>2</v>
      </c>
      <c r="D4732" s="1061">
        <v>27.94</v>
      </c>
    </row>
    <row r="4733" spans="1:4" ht="9" customHeight="1" x14ac:dyDescent="0.25">
      <c r="A4733" s="1059">
        <v>4816105</v>
      </c>
      <c r="B4733" s="1060" t="s">
        <v>26393</v>
      </c>
      <c r="C4733" s="1059" t="s">
        <v>2</v>
      </c>
      <c r="D4733" s="1061">
        <v>24.94</v>
      </c>
    </row>
    <row r="4734" spans="1:4" ht="9" customHeight="1" x14ac:dyDescent="0.25">
      <c r="A4734" s="1059">
        <v>4816108</v>
      </c>
      <c r="B4734" s="1060" t="s">
        <v>26394</v>
      </c>
      <c r="C4734" s="1059" t="s">
        <v>2</v>
      </c>
      <c r="D4734" s="1061">
        <v>37.97</v>
      </c>
    </row>
    <row r="4735" spans="1:4" ht="9" customHeight="1" x14ac:dyDescent="0.25">
      <c r="A4735" s="1059">
        <v>4816107</v>
      </c>
      <c r="B4735" s="1060" t="s">
        <v>26395</v>
      </c>
      <c r="C4735" s="1059" t="s">
        <v>2</v>
      </c>
      <c r="D4735" s="1061">
        <v>33.69</v>
      </c>
    </row>
    <row r="4736" spans="1:4" ht="9" customHeight="1" x14ac:dyDescent="0.25">
      <c r="A4736" s="1059">
        <v>4816110</v>
      </c>
      <c r="B4736" s="1060" t="s">
        <v>26396</v>
      </c>
      <c r="C4736" s="1059" t="s">
        <v>2</v>
      </c>
      <c r="D4736" s="1061">
        <v>55.49</v>
      </c>
    </row>
    <row r="4737" spans="1:4" ht="9" customHeight="1" x14ac:dyDescent="0.25">
      <c r="A4737" s="1059">
        <v>4816109</v>
      </c>
      <c r="B4737" s="1060" t="s">
        <v>26397</v>
      </c>
      <c r="C4737" s="1059" t="s">
        <v>2</v>
      </c>
      <c r="D4737" s="1061">
        <v>47.8</v>
      </c>
    </row>
    <row r="4738" spans="1:4" ht="9" customHeight="1" x14ac:dyDescent="0.25">
      <c r="A4738" s="1059">
        <v>4816100</v>
      </c>
      <c r="B4738" s="1060" t="s">
        <v>26398</v>
      </c>
      <c r="C4738" s="1059" t="s">
        <v>2</v>
      </c>
      <c r="D4738" s="1061">
        <v>27.65</v>
      </c>
    </row>
    <row r="4739" spans="1:4" ht="9" customHeight="1" x14ac:dyDescent="0.25">
      <c r="A4739" s="1059">
        <v>4816099</v>
      </c>
      <c r="B4739" s="1060" t="s">
        <v>26399</v>
      </c>
      <c r="C4739" s="1059" t="s">
        <v>2</v>
      </c>
      <c r="D4739" s="1061">
        <v>25.68</v>
      </c>
    </row>
    <row r="4740" spans="1:4" ht="9" customHeight="1" x14ac:dyDescent="0.25">
      <c r="A4740" s="1059">
        <v>4816102</v>
      </c>
      <c r="B4740" s="1060" t="s">
        <v>26400</v>
      </c>
      <c r="C4740" s="1059" t="s">
        <v>2</v>
      </c>
      <c r="D4740" s="1061">
        <v>36.72</v>
      </c>
    </row>
    <row r="4741" spans="1:4" ht="9" customHeight="1" x14ac:dyDescent="0.25">
      <c r="A4741" s="1059">
        <v>4816101</v>
      </c>
      <c r="B4741" s="1060" t="s">
        <v>26401</v>
      </c>
      <c r="C4741" s="1059" t="s">
        <v>2</v>
      </c>
      <c r="D4741" s="1061">
        <v>34.74</v>
      </c>
    </row>
    <row r="4742" spans="1:4" ht="9" customHeight="1" x14ac:dyDescent="0.25">
      <c r="A4742" s="1059">
        <v>4816104</v>
      </c>
      <c r="B4742" s="1060" t="s">
        <v>26402</v>
      </c>
      <c r="C4742" s="1059" t="s">
        <v>2</v>
      </c>
      <c r="D4742" s="1061">
        <v>53.59</v>
      </c>
    </row>
    <row r="4743" spans="1:4" ht="9" customHeight="1" x14ac:dyDescent="0.25">
      <c r="A4743" s="1059">
        <v>4816103</v>
      </c>
      <c r="B4743" s="1060" t="s">
        <v>26403</v>
      </c>
      <c r="C4743" s="1059" t="s">
        <v>2</v>
      </c>
      <c r="D4743" s="1061">
        <v>48.51</v>
      </c>
    </row>
    <row r="4744" spans="1:4" ht="9" customHeight="1" x14ac:dyDescent="0.25">
      <c r="A4744" s="1059">
        <v>4815804</v>
      </c>
      <c r="B4744" s="1060" t="s">
        <v>26404</v>
      </c>
      <c r="C4744" s="1059" t="s">
        <v>3</v>
      </c>
      <c r="D4744" s="1061">
        <v>0.56999999999999995</v>
      </c>
    </row>
    <row r="4745" spans="1:4" ht="9" customHeight="1" x14ac:dyDescent="0.25">
      <c r="A4745" s="1059">
        <v>4816002</v>
      </c>
      <c r="B4745" s="1060" t="s">
        <v>26405</v>
      </c>
      <c r="C4745" s="1059" t="s">
        <v>38</v>
      </c>
      <c r="D4745" s="1061">
        <v>1302.96</v>
      </c>
    </row>
    <row r="4746" spans="1:4" ht="9" customHeight="1" x14ac:dyDescent="0.25">
      <c r="A4746" s="1059">
        <v>4805765</v>
      </c>
      <c r="B4746" s="1060" t="s">
        <v>26406</v>
      </c>
      <c r="C4746" s="1059" t="s">
        <v>38</v>
      </c>
      <c r="D4746" s="1061">
        <v>181.17</v>
      </c>
    </row>
    <row r="4747" spans="1:4" ht="9" customHeight="1" x14ac:dyDescent="0.25">
      <c r="A4747" s="1059">
        <v>4816000</v>
      </c>
      <c r="B4747" s="1060" t="s">
        <v>26407</v>
      </c>
      <c r="C4747" s="1059" t="s">
        <v>38</v>
      </c>
      <c r="D4747" s="1061">
        <v>493.86</v>
      </c>
    </row>
    <row r="4748" spans="1:4" ht="9" customHeight="1" x14ac:dyDescent="0.25">
      <c r="A4748" s="1059">
        <v>4816001</v>
      </c>
      <c r="B4748" s="1060" t="s">
        <v>26408</v>
      </c>
      <c r="C4748" s="1059" t="s">
        <v>38</v>
      </c>
      <c r="D4748" s="1061">
        <v>766.71</v>
      </c>
    </row>
    <row r="4749" spans="1:4" ht="9" customHeight="1" x14ac:dyDescent="0.25">
      <c r="A4749" s="1059">
        <v>4805749</v>
      </c>
      <c r="B4749" s="1060" t="s">
        <v>26409</v>
      </c>
      <c r="C4749" s="1059" t="s">
        <v>38</v>
      </c>
      <c r="D4749" s="1061">
        <v>78.760000000000005</v>
      </c>
    </row>
    <row r="4750" spans="1:4" ht="9" customHeight="1" x14ac:dyDescent="0.25">
      <c r="A4750" s="1059">
        <v>4805751</v>
      </c>
      <c r="B4750" s="1060" t="s">
        <v>26410</v>
      </c>
      <c r="C4750" s="1059" t="s">
        <v>38</v>
      </c>
      <c r="D4750" s="1061">
        <v>59.07</v>
      </c>
    </row>
    <row r="4751" spans="1:4" ht="9" customHeight="1" x14ac:dyDescent="0.25">
      <c r="A4751" s="1059">
        <v>4805752</v>
      </c>
      <c r="B4751" s="1060" t="s">
        <v>26411</v>
      </c>
      <c r="C4751" s="1059" t="s">
        <v>38</v>
      </c>
      <c r="D4751" s="1061">
        <v>70.88</v>
      </c>
    </row>
    <row r="4752" spans="1:4" ht="9" customHeight="1" x14ac:dyDescent="0.25">
      <c r="A4752" s="1059">
        <v>4805753</v>
      </c>
      <c r="B4752" s="1060" t="s">
        <v>26412</v>
      </c>
      <c r="C4752" s="1059" t="s">
        <v>38</v>
      </c>
      <c r="D4752" s="1061">
        <v>82.7</v>
      </c>
    </row>
    <row r="4753" spans="1:4" ht="9" customHeight="1" x14ac:dyDescent="0.25">
      <c r="A4753" s="1059">
        <v>4805750</v>
      </c>
      <c r="B4753" s="1060" t="s">
        <v>26413</v>
      </c>
      <c r="C4753" s="1059" t="s">
        <v>38</v>
      </c>
      <c r="D4753" s="1061">
        <v>47.25</v>
      </c>
    </row>
    <row r="4754" spans="1:4" ht="9" customHeight="1" x14ac:dyDescent="0.25">
      <c r="A4754" s="1059">
        <v>4805767</v>
      </c>
      <c r="B4754" s="1060" t="s">
        <v>26414</v>
      </c>
      <c r="C4754" s="1059" t="s">
        <v>38</v>
      </c>
      <c r="D4754" s="1061">
        <v>81.239999999999995</v>
      </c>
    </row>
    <row r="4755" spans="1:4" ht="9" customHeight="1" x14ac:dyDescent="0.25">
      <c r="A4755" s="1059">
        <v>4805769</v>
      </c>
      <c r="B4755" s="1060" t="s">
        <v>26415</v>
      </c>
      <c r="C4755" s="1059" t="s">
        <v>38</v>
      </c>
      <c r="D4755" s="1061">
        <v>96.71</v>
      </c>
    </row>
    <row r="4756" spans="1:4" ht="9" customHeight="1" x14ac:dyDescent="0.25">
      <c r="A4756" s="1059">
        <v>4805770</v>
      </c>
      <c r="B4756" s="1060" t="s">
        <v>26416</v>
      </c>
      <c r="C4756" s="1059" t="s">
        <v>38</v>
      </c>
      <c r="D4756" s="1061">
        <v>112.18</v>
      </c>
    </row>
    <row r="4757" spans="1:4" ht="9" customHeight="1" x14ac:dyDescent="0.25">
      <c r="A4757" s="1059">
        <v>4805760</v>
      </c>
      <c r="B4757" s="1060" t="s">
        <v>26417</v>
      </c>
      <c r="C4757" s="1059" t="s">
        <v>38</v>
      </c>
      <c r="D4757" s="1061">
        <v>65.760000000000005</v>
      </c>
    </row>
    <row r="4758" spans="1:4" ht="9" customHeight="1" x14ac:dyDescent="0.25">
      <c r="A4758" s="1059">
        <v>4805757</v>
      </c>
      <c r="B4758" s="1060" t="s">
        <v>26418</v>
      </c>
      <c r="C4758" s="1059" t="s">
        <v>38</v>
      </c>
      <c r="D4758" s="1061">
        <v>7.07</v>
      </c>
    </row>
    <row r="4759" spans="1:4" ht="9" customHeight="1" x14ac:dyDescent="0.25">
      <c r="A4759" s="1059">
        <v>4805762</v>
      </c>
      <c r="B4759" s="1060" t="s">
        <v>26419</v>
      </c>
      <c r="C4759" s="1059" t="s">
        <v>38</v>
      </c>
      <c r="D4759" s="1061">
        <v>8.68</v>
      </c>
    </row>
    <row r="4760" spans="1:4" ht="9" customHeight="1" x14ac:dyDescent="0.25">
      <c r="A4760" s="1059">
        <v>4806395</v>
      </c>
      <c r="B4760" s="1060" t="s">
        <v>26420</v>
      </c>
      <c r="C4760" s="1059" t="s">
        <v>3</v>
      </c>
      <c r="D4760" s="1061">
        <v>5.8</v>
      </c>
    </row>
    <row r="4761" spans="1:4" ht="9" customHeight="1" x14ac:dyDescent="0.25">
      <c r="A4761" s="1059">
        <v>4816003</v>
      </c>
      <c r="B4761" s="1060" t="s">
        <v>26421</v>
      </c>
      <c r="C4761" s="1059" t="s">
        <v>2</v>
      </c>
      <c r="D4761" s="1061">
        <v>42.25</v>
      </c>
    </row>
    <row r="4762" spans="1:4" ht="9" customHeight="1" x14ac:dyDescent="0.25">
      <c r="A4762" s="1059">
        <v>4816017</v>
      </c>
      <c r="B4762" s="1060" t="s">
        <v>26422</v>
      </c>
      <c r="C4762" s="1059" t="s">
        <v>38</v>
      </c>
      <c r="D4762" s="1061">
        <v>21.41</v>
      </c>
    </row>
    <row r="4763" spans="1:4" ht="9" customHeight="1" x14ac:dyDescent="0.25">
      <c r="A4763" s="1059">
        <v>4816023</v>
      </c>
      <c r="B4763" s="1060" t="s">
        <v>26423</v>
      </c>
      <c r="C4763" s="1059" t="s">
        <v>24766</v>
      </c>
      <c r="D4763" s="1061">
        <v>231.72</v>
      </c>
    </row>
    <row r="4764" spans="1:4" ht="9" customHeight="1" x14ac:dyDescent="0.25">
      <c r="A4764" s="1059">
        <v>4816025</v>
      </c>
      <c r="B4764" s="1060" t="s">
        <v>26424</v>
      </c>
      <c r="C4764" s="1059" t="s">
        <v>24766</v>
      </c>
      <c r="D4764" s="1061">
        <v>392.48</v>
      </c>
    </row>
    <row r="4765" spans="1:4" ht="9" customHeight="1" x14ac:dyDescent="0.25">
      <c r="A4765" s="1059">
        <v>4816024</v>
      </c>
      <c r="B4765" s="1060" t="s">
        <v>26425</v>
      </c>
      <c r="C4765" s="1059" t="s">
        <v>24766</v>
      </c>
      <c r="D4765" s="1061">
        <v>270.39999999999998</v>
      </c>
    </row>
    <row r="4766" spans="1:4" ht="9" customHeight="1" x14ac:dyDescent="0.25">
      <c r="A4766" s="1059">
        <v>4816005</v>
      </c>
      <c r="B4766" s="1060" t="s">
        <v>26426</v>
      </c>
      <c r="C4766" s="1059" t="s">
        <v>38</v>
      </c>
      <c r="D4766" s="1061">
        <v>89.2</v>
      </c>
    </row>
    <row r="4767" spans="1:4" ht="9" customHeight="1" x14ac:dyDescent="0.25">
      <c r="A4767" s="1059">
        <v>4816016</v>
      </c>
      <c r="B4767" s="1060" t="s">
        <v>26427</v>
      </c>
      <c r="C4767" s="1059" t="s">
        <v>38</v>
      </c>
      <c r="D4767" s="1061">
        <v>38.130000000000003</v>
      </c>
    </row>
    <row r="4768" spans="1:4" ht="9" customHeight="1" x14ac:dyDescent="0.25">
      <c r="A4768" s="1059">
        <v>4815671</v>
      </c>
      <c r="B4768" s="1060" t="s">
        <v>26428</v>
      </c>
      <c r="C4768" s="1059" t="s">
        <v>38</v>
      </c>
      <c r="D4768" s="1061">
        <v>17.36</v>
      </c>
    </row>
    <row r="4769" spans="1:4" ht="9" customHeight="1" x14ac:dyDescent="0.25">
      <c r="A4769" s="1059">
        <v>4815803</v>
      </c>
      <c r="B4769" s="1060" t="s">
        <v>26429</v>
      </c>
      <c r="C4769" s="1059" t="s">
        <v>2</v>
      </c>
      <c r="D4769" s="1061">
        <v>11.62</v>
      </c>
    </row>
    <row r="4770" spans="1:4" ht="9" customHeight="1" x14ac:dyDescent="0.25">
      <c r="A4770" s="1059">
        <v>4816011</v>
      </c>
      <c r="B4770" s="1060" t="s">
        <v>26430</v>
      </c>
      <c r="C4770" s="1059" t="s">
        <v>38</v>
      </c>
      <c r="D4770" s="1061">
        <v>1756.81</v>
      </c>
    </row>
    <row r="4771" spans="1:4" ht="9" customHeight="1" x14ac:dyDescent="0.25">
      <c r="A4771" s="1059">
        <v>4816014</v>
      </c>
      <c r="B4771" s="1060" t="s">
        <v>26431</v>
      </c>
      <c r="C4771" s="1059" t="s">
        <v>38</v>
      </c>
      <c r="D4771" s="1061">
        <v>48.15</v>
      </c>
    </row>
    <row r="4772" spans="1:4" ht="9" customHeight="1" x14ac:dyDescent="0.25">
      <c r="A4772" s="1059">
        <v>4816010</v>
      </c>
      <c r="B4772" s="1060" t="s">
        <v>26432</v>
      </c>
      <c r="C4772" s="1059" t="s">
        <v>38</v>
      </c>
      <c r="D4772" s="1061">
        <v>34.869999999999997</v>
      </c>
    </row>
    <row r="4773" spans="1:4" ht="9" customHeight="1" x14ac:dyDescent="0.25">
      <c r="A4773" s="1059">
        <v>4816015</v>
      </c>
      <c r="B4773" s="1060" t="s">
        <v>26433</v>
      </c>
      <c r="C4773" s="1059" t="s">
        <v>38</v>
      </c>
      <c r="D4773" s="1061">
        <v>20.46</v>
      </c>
    </row>
    <row r="4774" spans="1:4" ht="9" customHeight="1" x14ac:dyDescent="0.25">
      <c r="A4774" s="1059">
        <v>4816119</v>
      </c>
      <c r="B4774" s="1060" t="s">
        <v>26434</v>
      </c>
      <c r="C4774" s="1059" t="s">
        <v>38</v>
      </c>
      <c r="D4774" s="1061">
        <v>39.1</v>
      </c>
    </row>
    <row r="4775" spans="1:4" ht="9" customHeight="1" x14ac:dyDescent="0.25">
      <c r="A4775" s="1059">
        <v>4816004</v>
      </c>
      <c r="B4775" s="1060" t="s">
        <v>26435</v>
      </c>
      <c r="C4775" s="1059" t="s">
        <v>2</v>
      </c>
      <c r="D4775" s="1061">
        <v>43.19</v>
      </c>
    </row>
    <row r="4776" spans="1:4" ht="9" customHeight="1" x14ac:dyDescent="0.25">
      <c r="A4776" s="1059">
        <v>4915652</v>
      </c>
      <c r="B4776" s="1060" t="s">
        <v>26436</v>
      </c>
      <c r="C4776" s="1059" t="s">
        <v>3</v>
      </c>
      <c r="D4776" s="1061">
        <v>6.96</v>
      </c>
    </row>
    <row r="4777" spans="1:4" ht="9" customHeight="1" x14ac:dyDescent="0.25">
      <c r="A4777" s="1059">
        <v>4915651</v>
      </c>
      <c r="B4777" s="1060" t="s">
        <v>26437</v>
      </c>
      <c r="C4777" s="1059" t="s">
        <v>3</v>
      </c>
      <c r="D4777" s="1061">
        <v>8.2899999999999991</v>
      </c>
    </row>
    <row r="4778" spans="1:4" ht="9" customHeight="1" x14ac:dyDescent="0.25">
      <c r="A4778" s="1059">
        <v>4915723</v>
      </c>
      <c r="B4778" s="1060" t="s">
        <v>26438</v>
      </c>
      <c r="C4778" s="1059" t="s">
        <v>39</v>
      </c>
      <c r="D4778" s="1061">
        <v>3.29</v>
      </c>
    </row>
    <row r="4779" spans="1:4" ht="9" customHeight="1" x14ac:dyDescent="0.25">
      <c r="A4779" s="1059">
        <v>4915724</v>
      </c>
      <c r="B4779" s="1060" t="s">
        <v>26439</v>
      </c>
      <c r="C4779" s="1059" t="s">
        <v>39</v>
      </c>
      <c r="D4779" s="1061">
        <v>1.72</v>
      </c>
    </row>
    <row r="4780" spans="1:4" ht="9" customHeight="1" x14ac:dyDescent="0.25">
      <c r="A4780" s="1059">
        <v>4915637</v>
      </c>
      <c r="B4780" s="1060" t="s">
        <v>26440</v>
      </c>
      <c r="C4780" s="1059" t="s">
        <v>39</v>
      </c>
      <c r="D4780" s="1061">
        <v>1.03</v>
      </c>
    </row>
    <row r="4781" spans="1:4" ht="9" customHeight="1" x14ac:dyDescent="0.25">
      <c r="A4781" s="1059">
        <v>4915779</v>
      </c>
      <c r="B4781" s="1060" t="s">
        <v>26441</v>
      </c>
      <c r="C4781" s="1059" t="s">
        <v>39</v>
      </c>
      <c r="D4781" s="1061">
        <v>0.64</v>
      </c>
    </row>
    <row r="4782" spans="1:4" ht="9" customHeight="1" x14ac:dyDescent="0.25">
      <c r="A4782" s="1059">
        <v>4915638</v>
      </c>
      <c r="B4782" s="1060" t="s">
        <v>26442</v>
      </c>
      <c r="C4782" s="1059" t="s">
        <v>39</v>
      </c>
      <c r="D4782" s="1061">
        <v>0.76</v>
      </c>
    </row>
    <row r="4783" spans="1:4" ht="9" customHeight="1" x14ac:dyDescent="0.25">
      <c r="A4783" s="1059">
        <v>4915636</v>
      </c>
      <c r="B4783" s="1060" t="s">
        <v>26443</v>
      </c>
      <c r="C4783" s="1059" t="s">
        <v>39</v>
      </c>
      <c r="D4783" s="1061">
        <v>1.02</v>
      </c>
    </row>
    <row r="4784" spans="1:4" ht="9" customHeight="1" x14ac:dyDescent="0.25">
      <c r="A4784" s="1059">
        <v>4915744</v>
      </c>
      <c r="B4784" s="1060" t="s">
        <v>26444</v>
      </c>
      <c r="C4784" s="1059" t="s">
        <v>39</v>
      </c>
      <c r="D4784" s="1061">
        <v>0.79</v>
      </c>
    </row>
    <row r="4785" spans="1:4" ht="9" customHeight="1" x14ac:dyDescent="0.25">
      <c r="A4785" s="1059">
        <v>4915700</v>
      </c>
      <c r="B4785" s="1060" t="s">
        <v>26445</v>
      </c>
      <c r="C4785" s="1059" t="s">
        <v>39</v>
      </c>
      <c r="D4785" s="1061">
        <v>1.17</v>
      </c>
    </row>
    <row r="4786" spans="1:4" ht="9" customHeight="1" x14ac:dyDescent="0.25">
      <c r="A4786" s="1059">
        <v>4915590</v>
      </c>
      <c r="B4786" s="1060" t="s">
        <v>26446</v>
      </c>
      <c r="C4786" s="1059" t="s">
        <v>39</v>
      </c>
      <c r="D4786" s="1061">
        <v>0.76</v>
      </c>
    </row>
    <row r="4787" spans="1:4" ht="9" customHeight="1" x14ac:dyDescent="0.25">
      <c r="A4787" s="1059">
        <v>4915591</v>
      </c>
      <c r="B4787" s="1060" t="s">
        <v>26447</v>
      </c>
      <c r="C4787" s="1059" t="s">
        <v>39</v>
      </c>
      <c r="D4787" s="1061">
        <v>0.89</v>
      </c>
    </row>
    <row r="4788" spans="1:4" ht="9" customHeight="1" x14ac:dyDescent="0.25">
      <c r="A4788" s="1059">
        <v>4915701</v>
      </c>
      <c r="B4788" s="1060" t="s">
        <v>26448</v>
      </c>
      <c r="C4788" s="1059" t="s">
        <v>39</v>
      </c>
      <c r="D4788" s="1061">
        <v>1.1599999999999999</v>
      </c>
    </row>
    <row r="4789" spans="1:4" ht="9" customHeight="1" x14ac:dyDescent="0.25">
      <c r="A4789" s="1059">
        <v>4915703</v>
      </c>
      <c r="B4789" s="1060" t="s">
        <v>26449</v>
      </c>
      <c r="C4789" s="1059" t="s">
        <v>38</v>
      </c>
      <c r="D4789" s="1061">
        <v>108.76</v>
      </c>
    </row>
    <row r="4790" spans="1:4" ht="9" customHeight="1" x14ac:dyDescent="0.25">
      <c r="A4790" s="1059">
        <v>4915705</v>
      </c>
      <c r="B4790" s="1060" t="s">
        <v>26450</v>
      </c>
      <c r="C4790" s="1059" t="s">
        <v>38</v>
      </c>
      <c r="D4790" s="1061">
        <v>107.98</v>
      </c>
    </row>
    <row r="4791" spans="1:4" ht="9" customHeight="1" x14ac:dyDescent="0.25">
      <c r="A4791" s="1059">
        <v>4915743</v>
      </c>
      <c r="B4791" s="1060" t="s">
        <v>26451</v>
      </c>
      <c r="C4791" s="1059" t="s">
        <v>39</v>
      </c>
      <c r="D4791" s="1061">
        <v>0.08</v>
      </c>
    </row>
    <row r="4792" spans="1:4" ht="9" customHeight="1" x14ac:dyDescent="0.25">
      <c r="A4792" s="1059">
        <v>4915768</v>
      </c>
      <c r="B4792" s="1060" t="s">
        <v>26452</v>
      </c>
      <c r="C4792" s="1059" t="s">
        <v>38</v>
      </c>
      <c r="D4792" s="1061">
        <v>13.59</v>
      </c>
    </row>
    <row r="4793" spans="1:4" ht="9" customHeight="1" x14ac:dyDescent="0.25">
      <c r="A4793" s="1059">
        <v>4915713</v>
      </c>
      <c r="B4793" s="1060" t="s">
        <v>26453</v>
      </c>
      <c r="C4793" s="1059" t="s">
        <v>38</v>
      </c>
      <c r="D4793" s="1061">
        <v>69.010000000000005</v>
      </c>
    </row>
    <row r="4794" spans="1:4" ht="18" customHeight="1" x14ac:dyDescent="0.25">
      <c r="A4794" s="1059">
        <v>4915650</v>
      </c>
      <c r="B4794" s="1060" t="s">
        <v>26454</v>
      </c>
      <c r="C4794" s="1059" t="s">
        <v>6</v>
      </c>
      <c r="D4794" s="1061">
        <v>349.35</v>
      </c>
    </row>
    <row r="4795" spans="1:4" ht="18" customHeight="1" x14ac:dyDescent="0.25">
      <c r="A4795" s="1059">
        <v>4915645</v>
      </c>
      <c r="B4795" s="1060" t="s">
        <v>26455</v>
      </c>
      <c r="C4795" s="1059" t="s">
        <v>6</v>
      </c>
      <c r="D4795" s="1061">
        <v>268.66000000000003</v>
      </c>
    </row>
    <row r="4796" spans="1:4" ht="9" customHeight="1" x14ac:dyDescent="0.25">
      <c r="A4796" s="1059">
        <v>4915712</v>
      </c>
      <c r="B4796" s="1060" t="s">
        <v>26456</v>
      </c>
      <c r="C4796" s="1059" t="s">
        <v>38</v>
      </c>
      <c r="D4796" s="1061">
        <v>23</v>
      </c>
    </row>
    <row r="4797" spans="1:4" ht="9" customHeight="1" x14ac:dyDescent="0.25">
      <c r="A4797" s="1059">
        <v>4915791</v>
      </c>
      <c r="B4797" s="1060" t="s">
        <v>26457</v>
      </c>
      <c r="C4797" s="1059" t="s">
        <v>38</v>
      </c>
      <c r="D4797" s="1061">
        <v>72.150000000000006</v>
      </c>
    </row>
    <row r="4798" spans="1:4" ht="9" customHeight="1" x14ac:dyDescent="0.25">
      <c r="A4798" s="1059">
        <v>4915711</v>
      </c>
      <c r="B4798" s="1060" t="s">
        <v>26458</v>
      </c>
      <c r="C4798" s="1059" t="s">
        <v>2</v>
      </c>
      <c r="D4798" s="1061">
        <v>1.53</v>
      </c>
    </row>
    <row r="4799" spans="1:4" ht="18" customHeight="1" x14ac:dyDescent="0.25">
      <c r="A4799" s="1059">
        <v>4915790</v>
      </c>
      <c r="B4799" s="1060" t="s">
        <v>26459</v>
      </c>
      <c r="C4799" s="1059" t="s">
        <v>25896</v>
      </c>
      <c r="D4799" s="1061">
        <v>248.43</v>
      </c>
    </row>
    <row r="4800" spans="1:4" ht="9" customHeight="1" x14ac:dyDescent="0.25">
      <c r="A4800" s="1059">
        <v>4915793</v>
      </c>
      <c r="B4800" s="1060" t="s">
        <v>26460</v>
      </c>
      <c r="C4800" s="1059" t="s">
        <v>25896</v>
      </c>
      <c r="D4800" s="1061">
        <v>194.58</v>
      </c>
    </row>
    <row r="4801" spans="1:4" ht="9" customHeight="1" x14ac:dyDescent="0.25">
      <c r="A4801" s="1059">
        <v>4915792</v>
      </c>
      <c r="B4801" s="1060" t="s">
        <v>26461</v>
      </c>
      <c r="C4801" s="1059" t="s">
        <v>25896</v>
      </c>
      <c r="D4801" s="1061">
        <v>85.69</v>
      </c>
    </row>
    <row r="4802" spans="1:4" ht="9" customHeight="1" x14ac:dyDescent="0.25">
      <c r="A4802" s="1059">
        <v>4915718</v>
      </c>
      <c r="B4802" s="1060" t="s">
        <v>26462</v>
      </c>
      <c r="C4802" s="1059" t="s">
        <v>39</v>
      </c>
      <c r="D4802" s="1061">
        <v>9.14</v>
      </c>
    </row>
    <row r="4803" spans="1:4" ht="9" customHeight="1" x14ac:dyDescent="0.25">
      <c r="A4803" s="1059">
        <v>4915672</v>
      </c>
      <c r="B4803" s="1060" t="s">
        <v>26463</v>
      </c>
      <c r="C4803" s="1059" t="s">
        <v>2</v>
      </c>
      <c r="D4803" s="1061">
        <v>4.5999999999999996</v>
      </c>
    </row>
    <row r="4804" spans="1:4" ht="9" customHeight="1" x14ac:dyDescent="0.25">
      <c r="A4804" s="1059">
        <v>4915708</v>
      </c>
      <c r="B4804" s="1060" t="s">
        <v>26464</v>
      </c>
      <c r="C4804" s="1059" t="s">
        <v>2</v>
      </c>
      <c r="D4804" s="1061">
        <v>0.77</v>
      </c>
    </row>
    <row r="4805" spans="1:4" ht="9" customHeight="1" x14ac:dyDescent="0.25">
      <c r="A4805" s="1059">
        <v>4915710</v>
      </c>
      <c r="B4805" s="1060" t="s">
        <v>26465</v>
      </c>
      <c r="C4805" s="1059" t="s">
        <v>2</v>
      </c>
      <c r="D4805" s="1061">
        <v>4.5999999999999996</v>
      </c>
    </row>
    <row r="4806" spans="1:4" ht="9" customHeight="1" x14ac:dyDescent="0.25">
      <c r="A4806" s="1059">
        <v>4915709</v>
      </c>
      <c r="B4806" s="1060" t="s">
        <v>26466</v>
      </c>
      <c r="C4806" s="1059" t="s">
        <v>2</v>
      </c>
      <c r="D4806" s="1061">
        <v>1.1499999999999999</v>
      </c>
    </row>
    <row r="4807" spans="1:4" ht="9" customHeight="1" x14ac:dyDescent="0.25">
      <c r="A4807" s="1059">
        <v>4915686</v>
      </c>
      <c r="B4807" s="1060" t="s">
        <v>26467</v>
      </c>
      <c r="C4807" s="1059" t="s">
        <v>3</v>
      </c>
      <c r="D4807" s="1061">
        <v>4.5999999999999996</v>
      </c>
    </row>
    <row r="4808" spans="1:4" ht="9" customHeight="1" x14ac:dyDescent="0.25">
      <c r="A4808" s="1059">
        <v>4915687</v>
      </c>
      <c r="B4808" s="1060" t="s">
        <v>26468</v>
      </c>
      <c r="C4808" s="1059" t="s">
        <v>3</v>
      </c>
      <c r="D4808" s="1061">
        <v>2.88</v>
      </c>
    </row>
    <row r="4809" spans="1:4" ht="9" customHeight="1" x14ac:dyDescent="0.25">
      <c r="A4809" s="1059">
        <v>4915634</v>
      </c>
      <c r="B4809" s="1060" t="s">
        <v>26469</v>
      </c>
      <c r="C4809" s="1059" t="s">
        <v>2</v>
      </c>
      <c r="D4809" s="1061">
        <v>64.290000000000006</v>
      </c>
    </row>
    <row r="4810" spans="1:4" ht="9" customHeight="1" x14ac:dyDescent="0.25">
      <c r="A4810" s="1059">
        <v>4915633</v>
      </c>
      <c r="B4810" s="1060" t="s">
        <v>26470</v>
      </c>
      <c r="C4810" s="1059" t="s">
        <v>2</v>
      </c>
      <c r="D4810" s="1061">
        <v>21.21</v>
      </c>
    </row>
    <row r="4811" spans="1:4" ht="18" customHeight="1" x14ac:dyDescent="0.25">
      <c r="A4811" s="1059">
        <v>4915714</v>
      </c>
      <c r="B4811" s="1060" t="s">
        <v>26471</v>
      </c>
      <c r="C4811" s="1059" t="s">
        <v>2</v>
      </c>
      <c r="D4811" s="1061">
        <v>3.6</v>
      </c>
    </row>
    <row r="4812" spans="1:4" ht="9" customHeight="1" x14ac:dyDescent="0.25">
      <c r="A4812" s="1059">
        <v>4915759</v>
      </c>
      <c r="B4812" s="1060" t="s">
        <v>26472</v>
      </c>
      <c r="C4812" s="1059" t="s">
        <v>3</v>
      </c>
      <c r="D4812" s="1061">
        <v>7.76</v>
      </c>
    </row>
    <row r="4813" spans="1:4" ht="9" customHeight="1" x14ac:dyDescent="0.25">
      <c r="A4813" s="1059">
        <v>4915758</v>
      </c>
      <c r="B4813" s="1060" t="s">
        <v>26473</v>
      </c>
      <c r="C4813" s="1059" t="s">
        <v>2</v>
      </c>
      <c r="D4813" s="1061">
        <v>4.63</v>
      </c>
    </row>
    <row r="4814" spans="1:4" ht="9" customHeight="1" x14ac:dyDescent="0.25">
      <c r="A4814" s="1059">
        <v>4915640</v>
      </c>
      <c r="B4814" s="1060" t="s">
        <v>26474</v>
      </c>
      <c r="C4814" s="1059" t="s">
        <v>38</v>
      </c>
      <c r="D4814" s="1061">
        <v>23</v>
      </c>
    </row>
    <row r="4815" spans="1:4" ht="9" customHeight="1" x14ac:dyDescent="0.25">
      <c r="A4815" s="1059">
        <v>4915639</v>
      </c>
      <c r="B4815" s="1060" t="s">
        <v>26475</v>
      </c>
      <c r="C4815" s="1059" t="s">
        <v>39</v>
      </c>
      <c r="D4815" s="1061">
        <v>4.5999999999999996</v>
      </c>
    </row>
    <row r="4816" spans="1:4" ht="18" customHeight="1" x14ac:dyDescent="0.25">
      <c r="A4816" s="1059">
        <v>4915695</v>
      </c>
      <c r="B4816" s="1060" t="s">
        <v>26476</v>
      </c>
      <c r="C4816" s="1059" t="s">
        <v>2</v>
      </c>
      <c r="D4816" s="1061">
        <v>6.38</v>
      </c>
    </row>
    <row r="4817" spans="1:4" ht="18" customHeight="1" x14ac:dyDescent="0.25">
      <c r="A4817" s="1059">
        <v>4915696</v>
      </c>
      <c r="B4817" s="1060" t="s">
        <v>26477</v>
      </c>
      <c r="C4817" s="1059" t="s">
        <v>2</v>
      </c>
      <c r="D4817" s="1061">
        <v>6.38</v>
      </c>
    </row>
    <row r="4818" spans="1:4" ht="18" customHeight="1" x14ac:dyDescent="0.25">
      <c r="A4818" s="1059">
        <v>4915694</v>
      </c>
      <c r="B4818" s="1060" t="s">
        <v>26478</v>
      </c>
      <c r="C4818" s="1059" t="s">
        <v>2</v>
      </c>
      <c r="D4818" s="1061">
        <v>25.2</v>
      </c>
    </row>
    <row r="4819" spans="1:4" ht="9" customHeight="1" x14ac:dyDescent="0.25">
      <c r="A4819" s="1059">
        <v>4915654</v>
      </c>
      <c r="B4819" s="1060" t="s">
        <v>26479</v>
      </c>
      <c r="C4819" s="1059" t="s">
        <v>39</v>
      </c>
      <c r="D4819" s="1061">
        <v>11.52</v>
      </c>
    </row>
    <row r="4820" spans="1:4" ht="9" customHeight="1" x14ac:dyDescent="0.25">
      <c r="A4820" s="1059">
        <v>4900001</v>
      </c>
      <c r="B4820" s="1060" t="s">
        <v>26480</v>
      </c>
      <c r="C4820" s="1059" t="s">
        <v>38</v>
      </c>
      <c r="D4820" s="1061">
        <v>0</v>
      </c>
    </row>
    <row r="4821" spans="1:4" ht="9" customHeight="1" x14ac:dyDescent="0.25">
      <c r="A4821" s="1059">
        <v>4915801</v>
      </c>
      <c r="B4821" s="1060" t="s">
        <v>26481</v>
      </c>
      <c r="C4821" s="1059" t="s">
        <v>38</v>
      </c>
      <c r="D4821" s="1061">
        <v>0</v>
      </c>
    </row>
    <row r="4822" spans="1:4" ht="9" customHeight="1" x14ac:dyDescent="0.25">
      <c r="A4822" s="1059">
        <v>4916290</v>
      </c>
      <c r="B4822" s="1060" t="s">
        <v>26482</v>
      </c>
      <c r="C4822" s="1059" t="s">
        <v>38</v>
      </c>
      <c r="D4822" s="1061">
        <v>348.82</v>
      </c>
    </row>
    <row r="4823" spans="1:4" ht="9" customHeight="1" x14ac:dyDescent="0.25">
      <c r="A4823" s="1059">
        <v>4915765</v>
      </c>
      <c r="B4823" s="1060" t="s">
        <v>26483</v>
      </c>
      <c r="C4823" s="1059" t="s">
        <v>38</v>
      </c>
      <c r="D4823" s="1061">
        <v>203.4</v>
      </c>
    </row>
    <row r="4824" spans="1:4" ht="9" customHeight="1" x14ac:dyDescent="0.25">
      <c r="A4824" s="1059">
        <v>4915766</v>
      </c>
      <c r="B4824" s="1060" t="s">
        <v>26484</v>
      </c>
      <c r="C4824" s="1059" t="s">
        <v>38</v>
      </c>
      <c r="D4824" s="1061">
        <v>119.39</v>
      </c>
    </row>
    <row r="4825" spans="1:4" ht="9" customHeight="1" x14ac:dyDescent="0.25">
      <c r="A4825" s="1059">
        <v>4915764</v>
      </c>
      <c r="B4825" s="1060" t="s">
        <v>26485</v>
      </c>
      <c r="C4825" s="1059" t="s">
        <v>38</v>
      </c>
      <c r="D4825" s="1061">
        <v>366.13</v>
      </c>
    </row>
    <row r="4826" spans="1:4" ht="9" customHeight="1" x14ac:dyDescent="0.25">
      <c r="A4826" s="1059">
        <v>4915767</v>
      </c>
      <c r="B4826" s="1060" t="s">
        <v>26486</v>
      </c>
      <c r="C4826" s="1059" t="s">
        <v>38</v>
      </c>
      <c r="D4826" s="1061">
        <v>78.459999999999994</v>
      </c>
    </row>
    <row r="4827" spans="1:4" ht="9" customHeight="1" x14ac:dyDescent="0.25">
      <c r="A4827" s="1059">
        <v>4915777</v>
      </c>
      <c r="B4827" s="1060" t="s">
        <v>26487</v>
      </c>
      <c r="C4827" s="1059" t="s">
        <v>2</v>
      </c>
      <c r="D4827" s="1061">
        <v>14.33</v>
      </c>
    </row>
    <row r="4828" spans="1:4" ht="9" customHeight="1" x14ac:dyDescent="0.25">
      <c r="A4828" s="1059">
        <v>4915618</v>
      </c>
      <c r="B4828" s="1060" t="s">
        <v>26488</v>
      </c>
      <c r="C4828" s="1059" t="s">
        <v>39</v>
      </c>
      <c r="D4828" s="1061">
        <v>3.02</v>
      </c>
    </row>
    <row r="4829" spans="1:4" ht="9" customHeight="1" x14ac:dyDescent="0.25">
      <c r="A4829" s="1059">
        <v>4915774</v>
      </c>
      <c r="B4829" s="1060" t="s">
        <v>26489</v>
      </c>
      <c r="C4829" s="1059" t="s">
        <v>38</v>
      </c>
      <c r="D4829" s="1061">
        <v>24.6</v>
      </c>
    </row>
    <row r="4830" spans="1:4" ht="9" customHeight="1" x14ac:dyDescent="0.25">
      <c r="A4830" s="1059">
        <v>4915719</v>
      </c>
      <c r="B4830" s="1060" t="s">
        <v>26490</v>
      </c>
      <c r="C4830" s="1059" t="s">
        <v>39</v>
      </c>
      <c r="D4830" s="1061">
        <v>34.54</v>
      </c>
    </row>
    <row r="4831" spans="1:4" ht="9" customHeight="1" x14ac:dyDescent="0.25">
      <c r="A4831" s="1059">
        <v>4915611</v>
      </c>
      <c r="B4831" s="1060" t="s">
        <v>26491</v>
      </c>
      <c r="C4831" s="1059" t="s">
        <v>38</v>
      </c>
      <c r="D4831" s="1061">
        <v>10.76</v>
      </c>
    </row>
    <row r="4832" spans="1:4" ht="9" customHeight="1" x14ac:dyDescent="0.25">
      <c r="A4832" s="1059">
        <v>4915733</v>
      </c>
      <c r="B4832" s="1060" t="s">
        <v>26492</v>
      </c>
      <c r="C4832" s="1059" t="s">
        <v>38</v>
      </c>
      <c r="D4832" s="1061">
        <v>41.43</v>
      </c>
    </row>
    <row r="4833" spans="1:4" ht="9" customHeight="1" x14ac:dyDescent="0.25">
      <c r="A4833" s="1059">
        <v>4915734</v>
      </c>
      <c r="B4833" s="1060" t="s">
        <v>26493</v>
      </c>
      <c r="C4833" s="1059" t="s">
        <v>38</v>
      </c>
      <c r="D4833" s="1061">
        <v>11.62</v>
      </c>
    </row>
    <row r="4834" spans="1:4" ht="9" customHeight="1" x14ac:dyDescent="0.25">
      <c r="A4834" s="1059">
        <v>4915727</v>
      </c>
      <c r="B4834" s="1060" t="s">
        <v>26494</v>
      </c>
      <c r="C4834" s="1059" t="s">
        <v>2</v>
      </c>
      <c r="D4834" s="1061">
        <v>11.06</v>
      </c>
    </row>
    <row r="4835" spans="1:4" ht="9" customHeight="1" x14ac:dyDescent="0.25">
      <c r="A4835" s="1059">
        <v>4915726</v>
      </c>
      <c r="B4835" s="1060" t="s">
        <v>26495</v>
      </c>
      <c r="C4835" s="1059" t="s">
        <v>2</v>
      </c>
      <c r="D4835" s="1061">
        <v>24.65</v>
      </c>
    </row>
    <row r="4836" spans="1:4" ht="9" customHeight="1" x14ac:dyDescent="0.25">
      <c r="A4836" s="1059">
        <v>4915594</v>
      </c>
      <c r="B4836" s="1060" t="s">
        <v>26496</v>
      </c>
      <c r="C4836" s="1059" t="s">
        <v>2</v>
      </c>
      <c r="D4836" s="1061">
        <v>23.23</v>
      </c>
    </row>
    <row r="4837" spans="1:4" ht="9" customHeight="1" x14ac:dyDescent="0.25">
      <c r="A4837" s="1059">
        <v>4915729</v>
      </c>
      <c r="B4837" s="1060" t="s">
        <v>26497</v>
      </c>
      <c r="C4837" s="1059" t="s">
        <v>2</v>
      </c>
      <c r="D4837" s="1061">
        <v>19.18</v>
      </c>
    </row>
    <row r="4838" spans="1:4" ht="9" customHeight="1" x14ac:dyDescent="0.25">
      <c r="A4838" s="1059">
        <v>4915596</v>
      </c>
      <c r="B4838" s="1060" t="s">
        <v>26498</v>
      </c>
      <c r="C4838" s="1059" t="s">
        <v>2</v>
      </c>
      <c r="D4838" s="1061">
        <v>18.559999999999999</v>
      </c>
    </row>
    <row r="4839" spans="1:4" ht="9" customHeight="1" x14ac:dyDescent="0.25">
      <c r="A4839" s="1059">
        <v>4915732</v>
      </c>
      <c r="B4839" s="1060" t="s">
        <v>26499</v>
      </c>
      <c r="C4839" s="1059" t="s">
        <v>2</v>
      </c>
      <c r="D4839" s="1061">
        <v>8.48</v>
      </c>
    </row>
    <row r="4840" spans="1:4" ht="9" customHeight="1" x14ac:dyDescent="0.25">
      <c r="A4840" s="1059">
        <v>4915731</v>
      </c>
      <c r="B4840" s="1060" t="s">
        <v>26500</v>
      </c>
      <c r="C4840" s="1059" t="s">
        <v>2</v>
      </c>
      <c r="D4840" s="1061">
        <v>19.149999999999999</v>
      </c>
    </row>
    <row r="4841" spans="1:4" ht="9" customHeight="1" x14ac:dyDescent="0.25">
      <c r="A4841" s="1059">
        <v>4915725</v>
      </c>
      <c r="B4841" s="1060" t="s">
        <v>26501</v>
      </c>
      <c r="C4841" s="1059" t="s">
        <v>2</v>
      </c>
      <c r="D4841" s="1061">
        <v>29.93</v>
      </c>
    </row>
    <row r="4842" spans="1:4" ht="9" customHeight="1" x14ac:dyDescent="0.25">
      <c r="A4842" s="1059">
        <v>4915593</v>
      </c>
      <c r="B4842" s="1060" t="s">
        <v>26502</v>
      </c>
      <c r="C4842" s="1059" t="s">
        <v>2</v>
      </c>
      <c r="D4842" s="1061">
        <v>28.51</v>
      </c>
    </row>
    <row r="4843" spans="1:4" ht="9" customHeight="1" x14ac:dyDescent="0.25">
      <c r="A4843" s="1059">
        <v>4915728</v>
      </c>
      <c r="B4843" s="1060" t="s">
        <v>26503</v>
      </c>
      <c r="C4843" s="1059" t="s">
        <v>2</v>
      </c>
      <c r="D4843" s="1061">
        <v>29.81</v>
      </c>
    </row>
    <row r="4844" spans="1:4" ht="9" customHeight="1" x14ac:dyDescent="0.25">
      <c r="A4844" s="1059">
        <v>4915595</v>
      </c>
      <c r="B4844" s="1060" t="s">
        <v>26504</v>
      </c>
      <c r="C4844" s="1059" t="s">
        <v>2</v>
      </c>
      <c r="D4844" s="1061">
        <v>29.19</v>
      </c>
    </row>
    <row r="4845" spans="1:4" ht="9" customHeight="1" x14ac:dyDescent="0.25">
      <c r="A4845" s="1059">
        <v>4915730</v>
      </c>
      <c r="B4845" s="1060" t="s">
        <v>26505</v>
      </c>
      <c r="C4845" s="1059" t="s">
        <v>2</v>
      </c>
      <c r="D4845" s="1061">
        <v>26.79</v>
      </c>
    </row>
    <row r="4846" spans="1:4" ht="9" customHeight="1" x14ac:dyDescent="0.25">
      <c r="A4846" s="1059">
        <v>4915598</v>
      </c>
      <c r="B4846" s="1060" t="s">
        <v>26506</v>
      </c>
      <c r="C4846" s="1059" t="s">
        <v>39</v>
      </c>
      <c r="D4846" s="1061">
        <v>0.09</v>
      </c>
    </row>
    <row r="4847" spans="1:4" ht="9" customHeight="1" x14ac:dyDescent="0.25">
      <c r="A4847" s="1059">
        <v>4915748</v>
      </c>
      <c r="B4847" s="1060" t="s">
        <v>26507</v>
      </c>
      <c r="C4847" s="1059" t="s">
        <v>39</v>
      </c>
      <c r="D4847" s="1061">
        <v>198.83</v>
      </c>
    </row>
    <row r="4848" spans="1:4" ht="9" customHeight="1" x14ac:dyDescent="0.25">
      <c r="A4848" s="1059">
        <v>4915608</v>
      </c>
      <c r="B4848" s="1060" t="s">
        <v>26508</v>
      </c>
      <c r="C4848" s="1059" t="s">
        <v>39</v>
      </c>
      <c r="D4848" s="1061">
        <v>2.67</v>
      </c>
    </row>
    <row r="4849" spans="1:4" ht="9" customHeight="1" x14ac:dyDescent="0.25">
      <c r="A4849" s="1059">
        <v>4915613</v>
      </c>
      <c r="B4849" s="1060" t="s">
        <v>26509</v>
      </c>
      <c r="C4849" s="1059" t="s">
        <v>39</v>
      </c>
      <c r="D4849" s="1061">
        <v>0.15</v>
      </c>
    </row>
    <row r="4850" spans="1:4" ht="9" customHeight="1" x14ac:dyDescent="0.25">
      <c r="A4850" s="1059">
        <v>4915692</v>
      </c>
      <c r="B4850" s="1060" t="s">
        <v>26510</v>
      </c>
      <c r="C4850" s="1059" t="s">
        <v>38</v>
      </c>
      <c r="D4850" s="1061">
        <v>382.85</v>
      </c>
    </row>
    <row r="4851" spans="1:4" ht="9" customHeight="1" x14ac:dyDescent="0.25">
      <c r="A4851" s="1059">
        <v>4915746</v>
      </c>
      <c r="B4851" s="1060" t="s">
        <v>26511</v>
      </c>
      <c r="C4851" s="1059" t="s">
        <v>38</v>
      </c>
      <c r="D4851" s="1061">
        <v>283.04000000000002</v>
      </c>
    </row>
    <row r="4852" spans="1:4" ht="9" customHeight="1" x14ac:dyDescent="0.25">
      <c r="A4852" s="1059">
        <v>4915630</v>
      </c>
      <c r="B4852" s="1060" t="s">
        <v>26512</v>
      </c>
      <c r="C4852" s="1059" t="s">
        <v>38</v>
      </c>
      <c r="D4852" s="1061">
        <v>382.85</v>
      </c>
    </row>
    <row r="4853" spans="1:4" ht="9" customHeight="1" x14ac:dyDescent="0.25">
      <c r="A4853" s="1059">
        <v>4915631</v>
      </c>
      <c r="B4853" s="1060" t="s">
        <v>26513</v>
      </c>
      <c r="C4853" s="1059" t="s">
        <v>38</v>
      </c>
      <c r="D4853" s="1061">
        <v>283.04000000000002</v>
      </c>
    </row>
    <row r="4854" spans="1:4" ht="9" customHeight="1" x14ac:dyDescent="0.25">
      <c r="A4854" s="1059">
        <v>4915785</v>
      </c>
      <c r="B4854" s="1060" t="s">
        <v>26514</v>
      </c>
      <c r="C4854" s="1059" t="s">
        <v>25896</v>
      </c>
      <c r="D4854" s="1061">
        <v>402.15</v>
      </c>
    </row>
    <row r="4855" spans="1:4" ht="9" customHeight="1" x14ac:dyDescent="0.25">
      <c r="A4855" s="1059">
        <v>4915786</v>
      </c>
      <c r="B4855" s="1060" t="s">
        <v>26515</v>
      </c>
      <c r="C4855" s="1059" t="s">
        <v>25896</v>
      </c>
      <c r="D4855" s="1061">
        <v>176.67</v>
      </c>
    </row>
    <row r="4856" spans="1:4" ht="9" customHeight="1" x14ac:dyDescent="0.25">
      <c r="A4856" s="1059">
        <v>4915795</v>
      </c>
      <c r="B4856" s="1060" t="s">
        <v>26516</v>
      </c>
      <c r="C4856" s="1059" t="s">
        <v>25896</v>
      </c>
      <c r="D4856" s="1061">
        <v>345.38</v>
      </c>
    </row>
    <row r="4857" spans="1:4" ht="9" customHeight="1" x14ac:dyDescent="0.25">
      <c r="A4857" s="1059">
        <v>4915800</v>
      </c>
      <c r="B4857" s="1060" t="s">
        <v>26517</v>
      </c>
      <c r="C4857" s="1059" t="s">
        <v>25896</v>
      </c>
      <c r="D4857" s="1061">
        <v>54.48</v>
      </c>
    </row>
    <row r="4858" spans="1:4" ht="9" customHeight="1" x14ac:dyDescent="0.25">
      <c r="A4858" s="1059">
        <v>4915799</v>
      </c>
      <c r="B4858" s="1060" t="s">
        <v>26518</v>
      </c>
      <c r="C4858" s="1059" t="s">
        <v>25896</v>
      </c>
      <c r="D4858" s="1061">
        <v>42.74</v>
      </c>
    </row>
    <row r="4859" spans="1:4" ht="9" customHeight="1" x14ac:dyDescent="0.25">
      <c r="A4859" s="1059">
        <v>4915698</v>
      </c>
      <c r="B4859" s="1060" t="s">
        <v>26519</v>
      </c>
      <c r="C4859" s="1059" t="s">
        <v>25896</v>
      </c>
      <c r="D4859" s="1061">
        <v>18.46</v>
      </c>
    </row>
    <row r="4860" spans="1:4" ht="9" customHeight="1" x14ac:dyDescent="0.25">
      <c r="A4860" s="1059">
        <v>4915794</v>
      </c>
      <c r="B4860" s="1060" t="s">
        <v>26520</v>
      </c>
      <c r="C4860" s="1059" t="s">
        <v>25896</v>
      </c>
      <c r="D4860" s="1061">
        <v>612.64</v>
      </c>
    </row>
    <row r="4861" spans="1:4" ht="18" customHeight="1" x14ac:dyDescent="0.25">
      <c r="A4861" s="1059">
        <v>4915789</v>
      </c>
      <c r="B4861" s="1060" t="s">
        <v>26521</v>
      </c>
      <c r="C4861" s="1059" t="s">
        <v>3</v>
      </c>
      <c r="D4861" s="1061">
        <v>1765.08</v>
      </c>
    </row>
    <row r="4862" spans="1:4" ht="9" customHeight="1" x14ac:dyDescent="0.25">
      <c r="A4862" s="1059">
        <v>4915798</v>
      </c>
      <c r="B4862" s="1060" t="s">
        <v>26522</v>
      </c>
      <c r="C4862" s="1059" t="s">
        <v>3</v>
      </c>
      <c r="D4862" s="1061">
        <v>1594.46</v>
      </c>
    </row>
    <row r="4863" spans="1:4" ht="18" customHeight="1" x14ac:dyDescent="0.25">
      <c r="A4863" s="1059">
        <v>4915788</v>
      </c>
      <c r="B4863" s="1060" t="s">
        <v>26523</v>
      </c>
      <c r="C4863" s="1059" t="s">
        <v>3</v>
      </c>
      <c r="D4863" s="1061">
        <v>1600.54</v>
      </c>
    </row>
    <row r="4864" spans="1:4" ht="9" customHeight="1" x14ac:dyDescent="0.25">
      <c r="A4864" s="1059">
        <v>4915797</v>
      </c>
      <c r="B4864" s="1060" t="s">
        <v>26524</v>
      </c>
      <c r="C4864" s="1059" t="s">
        <v>3</v>
      </c>
      <c r="D4864" s="1061">
        <v>788.81</v>
      </c>
    </row>
    <row r="4865" spans="1:4" ht="18" customHeight="1" x14ac:dyDescent="0.25">
      <c r="A4865" s="1059">
        <v>4915787</v>
      </c>
      <c r="B4865" s="1060" t="s">
        <v>26525</v>
      </c>
      <c r="C4865" s="1059" t="s">
        <v>3</v>
      </c>
      <c r="D4865" s="1061">
        <v>912.31</v>
      </c>
    </row>
    <row r="4866" spans="1:4" ht="9" customHeight="1" x14ac:dyDescent="0.25">
      <c r="A4866" s="1059">
        <v>4915796</v>
      </c>
      <c r="B4866" s="1060" t="s">
        <v>26526</v>
      </c>
      <c r="C4866" s="1059" t="s">
        <v>3</v>
      </c>
      <c r="D4866" s="1061">
        <v>323.36</v>
      </c>
    </row>
    <row r="4867" spans="1:4" ht="9" customHeight="1" x14ac:dyDescent="0.25">
      <c r="A4867" s="1059">
        <v>4915760</v>
      </c>
      <c r="B4867" s="1060" t="s">
        <v>26527</v>
      </c>
      <c r="C4867" s="1059" t="s">
        <v>39</v>
      </c>
      <c r="D4867" s="1061">
        <v>56.63</v>
      </c>
    </row>
    <row r="4868" spans="1:4" ht="9" customHeight="1" x14ac:dyDescent="0.25">
      <c r="A4868" s="1059">
        <v>4915699</v>
      </c>
      <c r="B4868" s="1060" t="s">
        <v>26528</v>
      </c>
      <c r="C4868" s="1059" t="s">
        <v>25896</v>
      </c>
      <c r="D4868" s="1061">
        <v>28.58</v>
      </c>
    </row>
    <row r="4869" spans="1:4" ht="9" customHeight="1" x14ac:dyDescent="0.25">
      <c r="A4869" s="1059">
        <v>4915736</v>
      </c>
      <c r="B4869" s="1060" t="s">
        <v>26529</v>
      </c>
      <c r="C4869" s="1059" t="s">
        <v>38</v>
      </c>
      <c r="D4869" s="1061">
        <v>17.329999999999998</v>
      </c>
    </row>
    <row r="4870" spans="1:4" ht="9" customHeight="1" x14ac:dyDescent="0.25">
      <c r="A4870" s="1059">
        <v>4915735</v>
      </c>
      <c r="B4870" s="1060" t="s">
        <v>26530</v>
      </c>
      <c r="C4870" s="1059" t="s">
        <v>38</v>
      </c>
      <c r="D4870" s="1061">
        <v>14.18</v>
      </c>
    </row>
    <row r="4871" spans="1:4" ht="9" customHeight="1" x14ac:dyDescent="0.25">
      <c r="A4871" s="1059">
        <v>4915670</v>
      </c>
      <c r="B4871" s="1060" t="s">
        <v>26531</v>
      </c>
      <c r="C4871" s="1059" t="s">
        <v>38</v>
      </c>
      <c r="D4871" s="1061">
        <v>202.64</v>
      </c>
    </row>
    <row r="4872" spans="1:4" ht="9" customHeight="1" x14ac:dyDescent="0.25">
      <c r="A4872" s="1059">
        <v>4915668</v>
      </c>
      <c r="B4872" s="1060" t="s">
        <v>26532</v>
      </c>
      <c r="C4872" s="1059" t="s">
        <v>38</v>
      </c>
      <c r="D4872" s="1061">
        <v>315.64999999999998</v>
      </c>
    </row>
    <row r="4873" spans="1:4" ht="9" customHeight="1" x14ac:dyDescent="0.25">
      <c r="A4873" s="1059">
        <v>4915761</v>
      </c>
      <c r="B4873" s="1060" t="s">
        <v>26533</v>
      </c>
      <c r="C4873" s="1059" t="s">
        <v>39</v>
      </c>
      <c r="D4873" s="1061">
        <v>4.5999999999999996</v>
      </c>
    </row>
    <row r="4874" spans="1:4" ht="9" customHeight="1" x14ac:dyDescent="0.25">
      <c r="A4874" s="1059">
        <v>4915762</v>
      </c>
      <c r="B4874" s="1060" t="s">
        <v>26534</v>
      </c>
      <c r="C4874" s="1059" t="s">
        <v>2</v>
      </c>
      <c r="D4874" s="1061">
        <v>2.2999999999999998</v>
      </c>
    </row>
    <row r="4875" spans="1:4" ht="9" customHeight="1" x14ac:dyDescent="0.25">
      <c r="A4875" s="1059">
        <v>4915738</v>
      </c>
      <c r="B4875" s="1060" t="s">
        <v>26535</v>
      </c>
      <c r="C4875" s="1059" t="s">
        <v>38</v>
      </c>
      <c r="D4875" s="1061">
        <v>5.72</v>
      </c>
    </row>
    <row r="4876" spans="1:4" ht="9" customHeight="1" x14ac:dyDescent="0.25">
      <c r="A4876" s="1059">
        <v>4915737</v>
      </c>
      <c r="B4876" s="1060" t="s">
        <v>26536</v>
      </c>
      <c r="C4876" s="1059" t="s">
        <v>38</v>
      </c>
      <c r="D4876" s="1061">
        <v>4.8</v>
      </c>
    </row>
    <row r="4877" spans="1:4" ht="9" customHeight="1" x14ac:dyDescent="0.25">
      <c r="A4877" s="1059">
        <v>4915669</v>
      </c>
      <c r="B4877" s="1060" t="s">
        <v>26537</v>
      </c>
      <c r="C4877" s="1059" t="s">
        <v>38</v>
      </c>
      <c r="D4877" s="1061">
        <v>7.45</v>
      </c>
    </row>
    <row r="4878" spans="1:4" ht="9" customHeight="1" x14ac:dyDescent="0.25">
      <c r="A4878" s="1059">
        <v>4915667</v>
      </c>
      <c r="B4878" s="1060" t="s">
        <v>26538</v>
      </c>
      <c r="C4878" s="1059" t="s">
        <v>38</v>
      </c>
      <c r="D4878" s="1061">
        <v>11.83</v>
      </c>
    </row>
    <row r="4879" spans="1:4" ht="9" customHeight="1" x14ac:dyDescent="0.25">
      <c r="A4879" s="1059">
        <v>4915632</v>
      </c>
      <c r="B4879" s="1060" t="s">
        <v>26539</v>
      </c>
      <c r="C4879" s="1059" t="s">
        <v>38</v>
      </c>
      <c r="D4879" s="1061">
        <v>398.01</v>
      </c>
    </row>
    <row r="4880" spans="1:4" ht="9" customHeight="1" x14ac:dyDescent="0.25">
      <c r="A4880" s="1059">
        <v>4915753</v>
      </c>
      <c r="B4880" s="1060" t="s">
        <v>26540</v>
      </c>
      <c r="C4880" s="1059" t="s">
        <v>38</v>
      </c>
      <c r="D4880" s="1061">
        <v>1244.44</v>
      </c>
    </row>
    <row r="4881" spans="1:4" ht="9" customHeight="1" x14ac:dyDescent="0.25">
      <c r="A4881" s="1059">
        <v>4915776</v>
      </c>
      <c r="B4881" s="1060" t="s">
        <v>26541</v>
      </c>
      <c r="C4881" s="1059" t="s">
        <v>368</v>
      </c>
      <c r="D4881" s="1061">
        <v>784.32</v>
      </c>
    </row>
    <row r="4882" spans="1:4" ht="9" customHeight="1" x14ac:dyDescent="0.25">
      <c r="A4882" s="1059">
        <v>4915740</v>
      </c>
      <c r="B4882" s="1060" t="s">
        <v>26542</v>
      </c>
      <c r="C4882" s="1059" t="s">
        <v>368</v>
      </c>
      <c r="D4882" s="1061">
        <v>1968.95</v>
      </c>
    </row>
    <row r="4883" spans="1:4" ht="9" customHeight="1" x14ac:dyDescent="0.25">
      <c r="A4883" s="1059">
        <v>4915741</v>
      </c>
      <c r="B4883" s="1060" t="s">
        <v>26543</v>
      </c>
      <c r="C4883" s="1059" t="s">
        <v>368</v>
      </c>
      <c r="D4883" s="1061">
        <v>4725.4799999999996</v>
      </c>
    </row>
    <row r="4884" spans="1:4" ht="9" customHeight="1" x14ac:dyDescent="0.25">
      <c r="A4884" s="1059">
        <v>4915775</v>
      </c>
      <c r="B4884" s="1060" t="s">
        <v>26544</v>
      </c>
      <c r="C4884" s="1059" t="s">
        <v>368</v>
      </c>
      <c r="D4884" s="1061">
        <v>659.22</v>
      </c>
    </row>
    <row r="4885" spans="1:4" ht="9" customHeight="1" x14ac:dyDescent="0.25">
      <c r="A4885" s="1059">
        <v>4915742</v>
      </c>
      <c r="B4885" s="1060" t="s">
        <v>26545</v>
      </c>
      <c r="C4885" s="1059" t="s">
        <v>368</v>
      </c>
      <c r="D4885" s="1061">
        <v>412.35</v>
      </c>
    </row>
    <row r="4886" spans="1:4" ht="9" customHeight="1" x14ac:dyDescent="0.25">
      <c r="A4886" s="1059">
        <v>4915626</v>
      </c>
      <c r="B4886" s="1060" t="s">
        <v>26546</v>
      </c>
      <c r="C4886" s="1059" t="s">
        <v>2</v>
      </c>
      <c r="D4886" s="1061">
        <v>2.0699999999999998</v>
      </c>
    </row>
    <row r="4887" spans="1:4" ht="18" customHeight="1" x14ac:dyDescent="0.25">
      <c r="A4887" s="1059">
        <v>4915653</v>
      </c>
      <c r="B4887" s="1060" t="s">
        <v>26547</v>
      </c>
      <c r="C4887" s="1059" t="s">
        <v>6</v>
      </c>
      <c r="D4887" s="1061">
        <v>72.09</v>
      </c>
    </row>
    <row r="4888" spans="1:4" ht="9" customHeight="1" x14ac:dyDescent="0.25">
      <c r="A4888" s="1059">
        <v>4915623</v>
      </c>
      <c r="B4888" s="1060" t="s">
        <v>26548</v>
      </c>
      <c r="C4888" s="1059" t="s">
        <v>38</v>
      </c>
      <c r="D4888" s="1061">
        <v>56.33</v>
      </c>
    </row>
    <row r="4889" spans="1:4" ht="9" customHeight="1" x14ac:dyDescent="0.25">
      <c r="A4889" s="1059">
        <v>4915625</v>
      </c>
      <c r="B4889" s="1060" t="s">
        <v>26549</v>
      </c>
      <c r="C4889" s="1059" t="s">
        <v>38</v>
      </c>
      <c r="D4889" s="1061">
        <v>43.73</v>
      </c>
    </row>
    <row r="4890" spans="1:4" ht="9" customHeight="1" x14ac:dyDescent="0.25">
      <c r="A4890" s="1059">
        <v>4915621</v>
      </c>
      <c r="B4890" s="1060" t="s">
        <v>26550</v>
      </c>
      <c r="C4890" s="1059" t="s">
        <v>38</v>
      </c>
      <c r="D4890" s="1061">
        <v>4.8600000000000003</v>
      </c>
    </row>
    <row r="4891" spans="1:4" ht="9" customHeight="1" x14ac:dyDescent="0.25">
      <c r="A4891" s="1059">
        <v>4915720</v>
      </c>
      <c r="B4891" s="1060" t="s">
        <v>26551</v>
      </c>
      <c r="C4891" s="1059" t="s">
        <v>3</v>
      </c>
      <c r="D4891" s="1061">
        <v>29.66</v>
      </c>
    </row>
    <row r="4892" spans="1:4" ht="9" customHeight="1" x14ac:dyDescent="0.25">
      <c r="A4892" s="1059">
        <v>4915592</v>
      </c>
      <c r="B4892" s="1060" t="s">
        <v>26552</v>
      </c>
      <c r="C4892" s="1059" t="s">
        <v>3</v>
      </c>
      <c r="D4892" s="1061">
        <v>28.99</v>
      </c>
    </row>
    <row r="4893" spans="1:4" ht="18" customHeight="1" x14ac:dyDescent="0.25">
      <c r="A4893" s="1059">
        <v>4913703</v>
      </c>
      <c r="B4893" s="1060" t="s">
        <v>26553</v>
      </c>
      <c r="C4893" s="1059" t="s">
        <v>3</v>
      </c>
      <c r="D4893" s="1061">
        <v>4913.6099999999997</v>
      </c>
    </row>
    <row r="4894" spans="1:4" ht="9" customHeight="1" x14ac:dyDescent="0.25">
      <c r="A4894" s="1059">
        <v>4913704</v>
      </c>
      <c r="B4894" s="1060" t="s">
        <v>26554</v>
      </c>
      <c r="C4894" s="1059" t="s">
        <v>3</v>
      </c>
      <c r="D4894" s="1061">
        <v>4774.3999999999996</v>
      </c>
    </row>
    <row r="4895" spans="1:4" ht="9" customHeight="1" x14ac:dyDescent="0.25">
      <c r="A4895" s="1059">
        <v>4915757</v>
      </c>
      <c r="B4895" s="1060" t="s">
        <v>26555</v>
      </c>
      <c r="C4895" s="1059" t="s">
        <v>38</v>
      </c>
      <c r="D4895" s="1061">
        <v>432.31</v>
      </c>
    </row>
    <row r="4896" spans="1:4" ht="9" customHeight="1" x14ac:dyDescent="0.25">
      <c r="A4896" s="1059">
        <v>4915678</v>
      </c>
      <c r="B4896" s="1060" t="s">
        <v>26556</v>
      </c>
      <c r="C4896" s="1059" t="s">
        <v>38</v>
      </c>
      <c r="D4896" s="1061">
        <v>388.09</v>
      </c>
    </row>
    <row r="4897" spans="1:4" ht="9" customHeight="1" x14ac:dyDescent="0.25">
      <c r="A4897" s="1059">
        <v>4919547</v>
      </c>
      <c r="B4897" s="1060" t="s">
        <v>26557</v>
      </c>
      <c r="C4897" s="1059" t="s">
        <v>3</v>
      </c>
      <c r="D4897" s="1061">
        <v>564.07000000000005</v>
      </c>
    </row>
    <row r="4898" spans="1:4" ht="9" customHeight="1" x14ac:dyDescent="0.25">
      <c r="A4898" s="1059">
        <v>4915716</v>
      </c>
      <c r="B4898" s="1060" t="s">
        <v>26558</v>
      </c>
      <c r="C4898" s="1059" t="s">
        <v>39</v>
      </c>
      <c r="D4898" s="1061">
        <v>10.31</v>
      </c>
    </row>
    <row r="4899" spans="1:4" ht="9" customHeight="1" x14ac:dyDescent="0.25">
      <c r="A4899" s="1059">
        <v>4915750</v>
      </c>
      <c r="B4899" s="1060" t="s">
        <v>26559</v>
      </c>
      <c r="C4899" s="1059" t="s">
        <v>2</v>
      </c>
      <c r="D4899" s="1061">
        <v>186.76</v>
      </c>
    </row>
    <row r="4900" spans="1:4" ht="9" customHeight="1" x14ac:dyDescent="0.25">
      <c r="A4900" s="1059">
        <v>4915769</v>
      </c>
      <c r="B4900" s="1060" t="s">
        <v>26560</v>
      </c>
      <c r="C4900" s="1059" t="s">
        <v>38</v>
      </c>
      <c r="D4900" s="1061">
        <v>30.81</v>
      </c>
    </row>
    <row r="4901" spans="1:4" ht="18" customHeight="1" x14ac:dyDescent="0.25">
      <c r="A4901" s="1059">
        <v>5213836</v>
      </c>
      <c r="B4901" s="1060" t="s">
        <v>26561</v>
      </c>
      <c r="C4901" s="1059" t="s">
        <v>26562</v>
      </c>
      <c r="D4901" s="1061">
        <v>1.1299999999999999</v>
      </c>
    </row>
    <row r="4902" spans="1:4" ht="9" customHeight="1" x14ac:dyDescent="0.25">
      <c r="A4902" s="1059">
        <v>5213368</v>
      </c>
      <c r="B4902" s="1060" t="s">
        <v>26563</v>
      </c>
      <c r="C4902" s="1059" t="s">
        <v>3</v>
      </c>
      <c r="D4902" s="1061">
        <v>18.260000000000002</v>
      </c>
    </row>
    <row r="4903" spans="1:4" ht="9" customHeight="1" x14ac:dyDescent="0.25">
      <c r="A4903" s="1059">
        <v>5213367</v>
      </c>
      <c r="B4903" s="1060" t="s">
        <v>26564</v>
      </c>
      <c r="C4903" s="1059" t="s">
        <v>3</v>
      </c>
      <c r="D4903" s="1061">
        <v>17.04</v>
      </c>
    </row>
    <row r="4904" spans="1:4" ht="9" customHeight="1" x14ac:dyDescent="0.25">
      <c r="A4904" s="1059">
        <v>5213385</v>
      </c>
      <c r="B4904" s="1060" t="s">
        <v>26565</v>
      </c>
      <c r="C4904" s="1059" t="s">
        <v>3</v>
      </c>
      <c r="D4904" s="1061">
        <v>285.43</v>
      </c>
    </row>
    <row r="4905" spans="1:4" ht="18" customHeight="1" x14ac:dyDescent="0.25">
      <c r="A4905" s="1059">
        <v>5213343</v>
      </c>
      <c r="B4905" s="1060" t="s">
        <v>26566</v>
      </c>
      <c r="C4905" s="1059" t="s">
        <v>26562</v>
      </c>
      <c r="D4905" s="1061">
        <v>3.49</v>
      </c>
    </row>
    <row r="4906" spans="1:4" ht="9" customHeight="1" x14ac:dyDescent="0.25">
      <c r="A4906" s="1059">
        <v>5213390</v>
      </c>
      <c r="B4906" s="1060" t="s">
        <v>26567</v>
      </c>
      <c r="C4906" s="1059" t="s">
        <v>2</v>
      </c>
      <c r="D4906" s="1061">
        <v>246</v>
      </c>
    </row>
    <row r="4907" spans="1:4" ht="18" customHeight="1" x14ac:dyDescent="0.25">
      <c r="A4907" s="1059">
        <v>5213344</v>
      </c>
      <c r="B4907" s="1060" t="s">
        <v>26568</v>
      </c>
      <c r="C4907" s="1059" t="s">
        <v>26569</v>
      </c>
      <c r="D4907" s="1061">
        <v>3.06</v>
      </c>
    </row>
    <row r="4908" spans="1:4" ht="9" customHeight="1" x14ac:dyDescent="0.25">
      <c r="A4908" s="1059">
        <v>5213386</v>
      </c>
      <c r="B4908" s="1060" t="s">
        <v>26570</v>
      </c>
      <c r="C4908" s="1059" t="s">
        <v>3</v>
      </c>
      <c r="D4908" s="1061">
        <v>453.47</v>
      </c>
    </row>
    <row r="4909" spans="1:4" ht="18" customHeight="1" x14ac:dyDescent="0.25">
      <c r="A4909" s="1059">
        <v>5213345</v>
      </c>
      <c r="B4909" s="1060" t="s">
        <v>26571</v>
      </c>
      <c r="C4909" s="1059" t="s">
        <v>26562</v>
      </c>
      <c r="D4909" s="1061">
        <v>4.97</v>
      </c>
    </row>
    <row r="4910" spans="1:4" ht="9" customHeight="1" x14ac:dyDescent="0.25">
      <c r="A4910" s="1059">
        <v>5213387</v>
      </c>
      <c r="B4910" s="1060" t="s">
        <v>26572</v>
      </c>
      <c r="C4910" s="1059" t="s">
        <v>3</v>
      </c>
      <c r="D4910" s="1061">
        <v>644.58000000000004</v>
      </c>
    </row>
    <row r="4911" spans="1:4" ht="18" customHeight="1" x14ac:dyDescent="0.25">
      <c r="A4911" s="1059">
        <v>5213346</v>
      </c>
      <c r="B4911" s="1060" t="s">
        <v>26573</v>
      </c>
      <c r="C4911" s="1059" t="s">
        <v>26562</v>
      </c>
      <c r="D4911" s="1061">
        <v>6.89</v>
      </c>
    </row>
    <row r="4912" spans="1:4" ht="18" customHeight="1" x14ac:dyDescent="0.25">
      <c r="A4912" s="1059">
        <v>5213843</v>
      </c>
      <c r="B4912" s="1060" t="s">
        <v>26574</v>
      </c>
      <c r="C4912" s="1059" t="s">
        <v>26569</v>
      </c>
      <c r="D4912" s="1061">
        <v>1.08</v>
      </c>
    </row>
    <row r="4913" spans="1:4" ht="18" customHeight="1" x14ac:dyDescent="0.25">
      <c r="A4913" s="1059">
        <v>5213833</v>
      </c>
      <c r="B4913" s="1060" t="s">
        <v>26575</v>
      </c>
      <c r="C4913" s="1059" t="s">
        <v>26562</v>
      </c>
      <c r="D4913" s="1061">
        <v>10.92</v>
      </c>
    </row>
    <row r="4914" spans="1:4" ht="18" customHeight="1" x14ac:dyDescent="0.25">
      <c r="A4914" s="1059">
        <v>5213834</v>
      </c>
      <c r="B4914" s="1060" t="s">
        <v>26576</v>
      </c>
      <c r="C4914" s="1059" t="s">
        <v>26562</v>
      </c>
      <c r="D4914" s="1061">
        <v>6.96</v>
      </c>
    </row>
    <row r="4915" spans="1:4" ht="9" customHeight="1" x14ac:dyDescent="0.25">
      <c r="A4915" s="1059">
        <v>5219544</v>
      </c>
      <c r="B4915" s="1060" t="s">
        <v>26577</v>
      </c>
      <c r="C4915" s="1059" t="s">
        <v>3</v>
      </c>
      <c r="D4915" s="1061">
        <v>250.66</v>
      </c>
    </row>
    <row r="4916" spans="1:4" ht="18" customHeight="1" x14ac:dyDescent="0.25">
      <c r="A4916" s="1059">
        <v>5213383</v>
      </c>
      <c r="B4916" s="1060" t="s">
        <v>26578</v>
      </c>
      <c r="C4916" s="1059" t="s">
        <v>26562</v>
      </c>
      <c r="D4916" s="1061">
        <v>0.87</v>
      </c>
    </row>
    <row r="4917" spans="1:4" ht="18" customHeight="1" x14ac:dyDescent="0.25">
      <c r="A4917" s="1059">
        <v>5213380</v>
      </c>
      <c r="B4917" s="1060" t="s">
        <v>26579</v>
      </c>
      <c r="C4917" s="1059" t="s">
        <v>26562</v>
      </c>
      <c r="D4917" s="1061">
        <v>1.81</v>
      </c>
    </row>
    <row r="4918" spans="1:4" ht="18" customHeight="1" x14ac:dyDescent="0.25">
      <c r="A4918" s="1059">
        <v>5213838</v>
      </c>
      <c r="B4918" s="1060" t="s">
        <v>26580</v>
      </c>
      <c r="C4918" s="1059" t="s">
        <v>26562</v>
      </c>
      <c r="D4918" s="1061">
        <v>4.79</v>
      </c>
    </row>
    <row r="4919" spans="1:4" ht="9" customHeight="1" x14ac:dyDescent="0.25">
      <c r="A4919" s="1059">
        <v>5213837</v>
      </c>
      <c r="B4919" s="1060" t="s">
        <v>26581</v>
      </c>
      <c r="C4919" s="1059" t="s">
        <v>3</v>
      </c>
      <c r="D4919" s="1061">
        <v>189.36</v>
      </c>
    </row>
    <row r="4920" spans="1:4" ht="9" customHeight="1" x14ac:dyDescent="0.25">
      <c r="A4920" s="1059">
        <v>5213835</v>
      </c>
      <c r="B4920" s="1060" t="s">
        <v>26582</v>
      </c>
      <c r="C4920" s="1059" t="s">
        <v>26562</v>
      </c>
      <c r="D4920" s="1061">
        <v>0.87</v>
      </c>
    </row>
    <row r="4921" spans="1:4" ht="9" customHeight="1" x14ac:dyDescent="0.25">
      <c r="A4921" s="1059">
        <v>5213839</v>
      </c>
      <c r="B4921" s="1060" t="s">
        <v>26583</v>
      </c>
      <c r="C4921" s="1059" t="s">
        <v>39</v>
      </c>
      <c r="D4921" s="1061">
        <v>261.94</v>
      </c>
    </row>
    <row r="4922" spans="1:4" ht="18" customHeight="1" x14ac:dyDescent="0.25">
      <c r="A4922" s="1059">
        <v>5213347</v>
      </c>
      <c r="B4922" s="1060" t="s">
        <v>26584</v>
      </c>
      <c r="C4922" s="1059" t="s">
        <v>26585</v>
      </c>
      <c r="D4922" s="1061">
        <v>7.15</v>
      </c>
    </row>
    <row r="4923" spans="1:4" ht="9" customHeight="1" x14ac:dyDescent="0.25">
      <c r="A4923" s="1059">
        <v>5213840</v>
      </c>
      <c r="B4923" s="1060" t="s">
        <v>26586</v>
      </c>
      <c r="C4923" s="1059" t="s">
        <v>39</v>
      </c>
      <c r="D4923" s="1061">
        <v>36.619999999999997</v>
      </c>
    </row>
    <row r="4924" spans="1:4" ht="18" customHeight="1" x14ac:dyDescent="0.25">
      <c r="A4924" s="1059">
        <v>5213349</v>
      </c>
      <c r="B4924" s="1060" t="s">
        <v>26587</v>
      </c>
      <c r="C4924" s="1059" t="s">
        <v>26585</v>
      </c>
      <c r="D4924" s="1061">
        <v>0.7</v>
      </c>
    </row>
    <row r="4925" spans="1:4" ht="9" customHeight="1" x14ac:dyDescent="0.25">
      <c r="A4925" s="1059">
        <v>5213841</v>
      </c>
      <c r="B4925" s="1060" t="s">
        <v>26588</v>
      </c>
      <c r="C4925" s="1059" t="s">
        <v>39</v>
      </c>
      <c r="D4925" s="1061">
        <v>64.459999999999994</v>
      </c>
    </row>
    <row r="4926" spans="1:4" ht="18" customHeight="1" x14ac:dyDescent="0.25">
      <c r="A4926" s="1059">
        <v>5213348</v>
      </c>
      <c r="B4926" s="1060" t="s">
        <v>26589</v>
      </c>
      <c r="C4926" s="1059" t="s">
        <v>26585</v>
      </c>
      <c r="D4926" s="1061">
        <v>0.79</v>
      </c>
    </row>
    <row r="4927" spans="1:4" ht="9" customHeight="1" x14ac:dyDescent="0.25">
      <c r="A4927" s="1059">
        <v>5216116</v>
      </c>
      <c r="B4927" s="1060" t="s">
        <v>26590</v>
      </c>
      <c r="C4927" s="1059" t="s">
        <v>3</v>
      </c>
      <c r="D4927" s="1061">
        <v>15.33</v>
      </c>
    </row>
    <row r="4928" spans="1:4" ht="9" customHeight="1" x14ac:dyDescent="0.25">
      <c r="A4928" s="1059">
        <v>5216115</v>
      </c>
      <c r="B4928" s="1060" t="s">
        <v>26591</v>
      </c>
      <c r="C4928" s="1059" t="s">
        <v>3</v>
      </c>
      <c r="D4928" s="1061">
        <v>14.66</v>
      </c>
    </row>
    <row r="4929" spans="1:4" ht="9" customHeight="1" x14ac:dyDescent="0.25">
      <c r="A4929" s="1059">
        <v>5213842</v>
      </c>
      <c r="B4929" s="1060" t="s">
        <v>26592</v>
      </c>
      <c r="C4929" s="1059" t="s">
        <v>2</v>
      </c>
      <c r="D4929" s="1061">
        <v>0.11</v>
      </c>
    </row>
    <row r="4930" spans="1:4" ht="9" customHeight="1" x14ac:dyDescent="0.25">
      <c r="A4930" s="1059">
        <v>5213358</v>
      </c>
      <c r="B4930" s="1060" t="s">
        <v>26593</v>
      </c>
      <c r="C4930" s="1059" t="s">
        <v>39</v>
      </c>
      <c r="D4930" s="1061">
        <v>293.18</v>
      </c>
    </row>
    <row r="4931" spans="1:4" ht="18" customHeight="1" x14ac:dyDescent="0.25">
      <c r="A4931" s="1059">
        <v>5213848</v>
      </c>
      <c r="B4931" s="1060" t="s">
        <v>26594</v>
      </c>
      <c r="C4931" s="1059" t="s">
        <v>26562</v>
      </c>
      <c r="D4931" s="1061">
        <v>0.94</v>
      </c>
    </row>
    <row r="4932" spans="1:4" ht="9" customHeight="1" x14ac:dyDescent="0.25">
      <c r="A4932" s="1059">
        <v>5214012</v>
      </c>
      <c r="B4932" s="1060" t="s">
        <v>26595</v>
      </c>
      <c r="C4932" s="1059" t="s">
        <v>39</v>
      </c>
      <c r="D4932" s="1061">
        <v>27.37</v>
      </c>
    </row>
    <row r="4933" spans="1:4" ht="9" customHeight="1" x14ac:dyDescent="0.25">
      <c r="A4933" s="1059">
        <v>5213356</v>
      </c>
      <c r="B4933" s="1060" t="s">
        <v>26596</v>
      </c>
      <c r="C4933" s="1059" t="s">
        <v>39</v>
      </c>
      <c r="D4933" s="1061">
        <v>38.64</v>
      </c>
    </row>
    <row r="4934" spans="1:4" ht="9" customHeight="1" x14ac:dyDescent="0.25">
      <c r="A4934" s="1059">
        <v>5214011</v>
      </c>
      <c r="B4934" s="1060" t="s">
        <v>26597</v>
      </c>
      <c r="C4934" s="1059" t="s">
        <v>39</v>
      </c>
      <c r="D4934" s="1061">
        <v>12.45</v>
      </c>
    </row>
    <row r="4935" spans="1:4" ht="9" customHeight="1" x14ac:dyDescent="0.25">
      <c r="A4935" s="1059">
        <v>5213354</v>
      </c>
      <c r="B4935" s="1060" t="s">
        <v>26598</v>
      </c>
      <c r="C4935" s="1059" t="s">
        <v>39</v>
      </c>
      <c r="D4935" s="1061">
        <v>14.92</v>
      </c>
    </row>
    <row r="4936" spans="1:4" ht="9" customHeight="1" x14ac:dyDescent="0.25">
      <c r="A4936" s="1059">
        <v>5213355</v>
      </c>
      <c r="B4936" s="1060" t="s">
        <v>26599</v>
      </c>
      <c r="C4936" s="1059" t="s">
        <v>39</v>
      </c>
      <c r="D4936" s="1061">
        <v>17.43</v>
      </c>
    </row>
    <row r="4937" spans="1:4" ht="9" customHeight="1" x14ac:dyDescent="0.25">
      <c r="A4937" s="1059">
        <v>5213850</v>
      </c>
      <c r="B4937" s="1060" t="s">
        <v>26600</v>
      </c>
      <c r="C4937" s="1059" t="s">
        <v>24766</v>
      </c>
      <c r="D4937" s="1061">
        <v>23</v>
      </c>
    </row>
    <row r="4938" spans="1:4" ht="9" customHeight="1" x14ac:dyDescent="0.25">
      <c r="A4938" s="1059">
        <v>5213846</v>
      </c>
      <c r="B4938" s="1060" t="s">
        <v>26601</v>
      </c>
      <c r="C4938" s="1059" t="s">
        <v>24766</v>
      </c>
      <c r="D4938" s="1061">
        <v>5.3</v>
      </c>
    </row>
    <row r="4939" spans="1:4" ht="9" customHeight="1" x14ac:dyDescent="0.25">
      <c r="A4939" s="1059">
        <v>5213847</v>
      </c>
      <c r="B4939" s="1060" t="s">
        <v>26602</v>
      </c>
      <c r="C4939" s="1059" t="s">
        <v>24766</v>
      </c>
      <c r="D4939" s="1061">
        <v>60.42</v>
      </c>
    </row>
    <row r="4940" spans="1:4" ht="9" customHeight="1" x14ac:dyDescent="0.25">
      <c r="A4940" s="1059">
        <v>5213845</v>
      </c>
      <c r="B4940" s="1060" t="s">
        <v>26603</v>
      </c>
      <c r="C4940" s="1059" t="s">
        <v>24766</v>
      </c>
      <c r="D4940" s="1061">
        <v>22.26</v>
      </c>
    </row>
    <row r="4941" spans="1:4" ht="9" customHeight="1" x14ac:dyDescent="0.25">
      <c r="A4941" s="1059">
        <v>5213412</v>
      </c>
      <c r="B4941" s="1060" t="s">
        <v>26604</v>
      </c>
      <c r="C4941" s="1059" t="s">
        <v>39</v>
      </c>
      <c r="D4941" s="1061">
        <v>149.37</v>
      </c>
    </row>
    <row r="4942" spans="1:4" ht="9" customHeight="1" x14ac:dyDescent="0.25">
      <c r="A4942" s="1059">
        <v>5213411</v>
      </c>
      <c r="B4942" s="1060" t="s">
        <v>26605</v>
      </c>
      <c r="C4942" s="1059" t="s">
        <v>39</v>
      </c>
      <c r="D4942" s="1061">
        <v>269.64</v>
      </c>
    </row>
    <row r="4943" spans="1:4" ht="9" customHeight="1" x14ac:dyDescent="0.25">
      <c r="A4943" s="1059">
        <v>5214009</v>
      </c>
      <c r="B4943" s="1060" t="s">
        <v>26606</v>
      </c>
      <c r="C4943" s="1059" t="s">
        <v>39</v>
      </c>
      <c r="D4943" s="1061">
        <v>149.37</v>
      </c>
    </row>
    <row r="4944" spans="1:4" ht="9" customHeight="1" x14ac:dyDescent="0.25">
      <c r="A4944" s="1059">
        <v>5214010</v>
      </c>
      <c r="B4944" s="1060" t="s">
        <v>26607</v>
      </c>
      <c r="C4944" s="1059" t="s">
        <v>39</v>
      </c>
      <c r="D4944" s="1061">
        <v>280.42</v>
      </c>
    </row>
    <row r="4945" spans="1:4" ht="9" customHeight="1" x14ac:dyDescent="0.25">
      <c r="A4945" s="1059">
        <v>5213413</v>
      </c>
      <c r="B4945" s="1060" t="s">
        <v>26608</v>
      </c>
      <c r="C4945" s="1059" t="s">
        <v>39</v>
      </c>
      <c r="D4945" s="1061">
        <v>63.83</v>
      </c>
    </row>
    <row r="4946" spans="1:4" ht="9" customHeight="1" x14ac:dyDescent="0.25">
      <c r="A4946" s="1059">
        <v>5213410</v>
      </c>
      <c r="B4946" s="1060" t="s">
        <v>26609</v>
      </c>
      <c r="C4946" s="1059" t="s">
        <v>39</v>
      </c>
      <c r="D4946" s="1061">
        <v>128.09</v>
      </c>
    </row>
    <row r="4947" spans="1:4" ht="9" customHeight="1" x14ac:dyDescent="0.25">
      <c r="A4947" s="1059">
        <v>5214004</v>
      </c>
      <c r="B4947" s="1060" t="s">
        <v>26610</v>
      </c>
      <c r="C4947" s="1059" t="s">
        <v>39</v>
      </c>
      <c r="D4947" s="1061">
        <v>152.47</v>
      </c>
    </row>
    <row r="4948" spans="1:4" ht="9" customHeight="1" x14ac:dyDescent="0.25">
      <c r="A4948" s="1059">
        <v>5214005</v>
      </c>
      <c r="B4948" s="1060" t="s">
        <v>26611</v>
      </c>
      <c r="C4948" s="1059" t="s">
        <v>39</v>
      </c>
      <c r="D4948" s="1061">
        <v>137.38999999999999</v>
      </c>
    </row>
    <row r="4949" spans="1:4" ht="9" customHeight="1" x14ac:dyDescent="0.25">
      <c r="A4949" s="1059">
        <v>5214006</v>
      </c>
      <c r="B4949" s="1060" t="s">
        <v>26612</v>
      </c>
      <c r="C4949" s="1059" t="s">
        <v>39</v>
      </c>
      <c r="D4949" s="1061">
        <v>90.6</v>
      </c>
    </row>
    <row r="4950" spans="1:4" ht="9" customHeight="1" x14ac:dyDescent="0.25">
      <c r="A4950" s="1059">
        <v>5214007</v>
      </c>
      <c r="B4950" s="1060" t="s">
        <v>26613</v>
      </c>
      <c r="C4950" s="1059" t="s">
        <v>39</v>
      </c>
      <c r="D4950" s="1061">
        <v>78.27</v>
      </c>
    </row>
    <row r="4951" spans="1:4" ht="9" customHeight="1" x14ac:dyDescent="0.25">
      <c r="A4951" s="1059">
        <v>5214008</v>
      </c>
      <c r="B4951" s="1060" t="s">
        <v>26614</v>
      </c>
      <c r="C4951" s="1059" t="s">
        <v>39</v>
      </c>
      <c r="D4951" s="1061">
        <v>76.97</v>
      </c>
    </row>
    <row r="4952" spans="1:4" ht="9" customHeight="1" x14ac:dyDescent="0.25">
      <c r="A4952" s="1059">
        <v>5213408</v>
      </c>
      <c r="B4952" s="1060" t="s">
        <v>26615</v>
      </c>
      <c r="C4952" s="1059" t="s">
        <v>39</v>
      </c>
      <c r="D4952" s="1061">
        <v>44.21</v>
      </c>
    </row>
    <row r="4953" spans="1:4" ht="9" customHeight="1" x14ac:dyDescent="0.25">
      <c r="A4953" s="1059">
        <v>5213400</v>
      </c>
      <c r="B4953" s="1060" t="s">
        <v>26616</v>
      </c>
      <c r="C4953" s="1059" t="s">
        <v>39</v>
      </c>
      <c r="D4953" s="1061">
        <v>27.65</v>
      </c>
    </row>
    <row r="4954" spans="1:4" ht="9" customHeight="1" x14ac:dyDescent="0.25">
      <c r="A4954" s="1059">
        <v>5213401</v>
      </c>
      <c r="B4954" s="1060" t="s">
        <v>26617</v>
      </c>
      <c r="C4954" s="1059" t="s">
        <v>39</v>
      </c>
      <c r="D4954" s="1061">
        <v>38.97</v>
      </c>
    </row>
    <row r="4955" spans="1:4" ht="9" customHeight="1" x14ac:dyDescent="0.25">
      <c r="A4955" s="1059">
        <v>5214001</v>
      </c>
      <c r="B4955" s="1060" t="s">
        <v>26618</v>
      </c>
      <c r="C4955" s="1059" t="s">
        <v>39</v>
      </c>
      <c r="D4955" s="1061">
        <v>12.72</v>
      </c>
    </row>
    <row r="4956" spans="1:4" ht="9" customHeight="1" x14ac:dyDescent="0.25">
      <c r="A4956" s="1059">
        <v>5213402</v>
      </c>
      <c r="B4956" s="1060" t="s">
        <v>26619</v>
      </c>
      <c r="C4956" s="1059" t="s">
        <v>39</v>
      </c>
      <c r="D4956" s="1061">
        <v>15.21</v>
      </c>
    </row>
    <row r="4957" spans="1:4" ht="9" customHeight="1" x14ac:dyDescent="0.25">
      <c r="A4957" s="1059">
        <v>5213403</v>
      </c>
      <c r="B4957" s="1060" t="s">
        <v>26620</v>
      </c>
      <c r="C4957" s="1059" t="s">
        <v>39</v>
      </c>
      <c r="D4957" s="1061">
        <v>17.73</v>
      </c>
    </row>
    <row r="4958" spans="1:4" ht="9" customHeight="1" x14ac:dyDescent="0.25">
      <c r="A4958" s="1059">
        <v>5214003</v>
      </c>
      <c r="B4958" s="1060" t="s">
        <v>26621</v>
      </c>
      <c r="C4958" s="1059" t="s">
        <v>39</v>
      </c>
      <c r="D4958" s="1061">
        <v>54.09</v>
      </c>
    </row>
    <row r="4959" spans="1:4" ht="9" customHeight="1" x14ac:dyDescent="0.25">
      <c r="A4959" s="1059">
        <v>5213409</v>
      </c>
      <c r="B4959" s="1060" t="s">
        <v>26622</v>
      </c>
      <c r="C4959" s="1059" t="s">
        <v>39</v>
      </c>
      <c r="D4959" s="1061">
        <v>86.28</v>
      </c>
    </row>
    <row r="4960" spans="1:4" ht="9" customHeight="1" x14ac:dyDescent="0.25">
      <c r="A4960" s="1059">
        <v>5213404</v>
      </c>
      <c r="B4960" s="1060" t="s">
        <v>26623</v>
      </c>
      <c r="C4960" s="1059" t="s">
        <v>39</v>
      </c>
      <c r="D4960" s="1061">
        <v>41.3</v>
      </c>
    </row>
    <row r="4961" spans="1:4" ht="9" customHeight="1" x14ac:dyDescent="0.25">
      <c r="A4961" s="1059">
        <v>5213405</v>
      </c>
      <c r="B4961" s="1060" t="s">
        <v>26624</v>
      </c>
      <c r="C4961" s="1059" t="s">
        <v>39</v>
      </c>
      <c r="D4961" s="1061">
        <v>52.1</v>
      </c>
    </row>
    <row r="4962" spans="1:4" ht="9" customHeight="1" x14ac:dyDescent="0.25">
      <c r="A4962" s="1059">
        <v>5214002</v>
      </c>
      <c r="B4962" s="1060" t="s">
        <v>26625</v>
      </c>
      <c r="C4962" s="1059" t="s">
        <v>39</v>
      </c>
      <c r="D4962" s="1061">
        <v>26.57</v>
      </c>
    </row>
    <row r="4963" spans="1:4" ht="9" customHeight="1" x14ac:dyDescent="0.25">
      <c r="A4963" s="1059">
        <v>5213406</v>
      </c>
      <c r="B4963" s="1060" t="s">
        <v>26626</v>
      </c>
      <c r="C4963" s="1059" t="s">
        <v>39</v>
      </c>
      <c r="D4963" s="1061">
        <v>28.86</v>
      </c>
    </row>
    <row r="4964" spans="1:4" ht="9" customHeight="1" x14ac:dyDescent="0.25">
      <c r="A4964" s="1059">
        <v>5213407</v>
      </c>
      <c r="B4964" s="1060" t="s">
        <v>26627</v>
      </c>
      <c r="C4964" s="1059" t="s">
        <v>39</v>
      </c>
      <c r="D4964" s="1061">
        <v>31.14</v>
      </c>
    </row>
    <row r="4965" spans="1:4" ht="9" customHeight="1" x14ac:dyDescent="0.25">
      <c r="A4965" s="1059">
        <v>5212552</v>
      </c>
      <c r="B4965" s="1060" t="s">
        <v>26628</v>
      </c>
      <c r="C4965" s="1059" t="s">
        <v>39</v>
      </c>
      <c r="D4965" s="1061">
        <v>14.13</v>
      </c>
    </row>
    <row r="4966" spans="1:4" ht="9" customHeight="1" x14ac:dyDescent="0.25">
      <c r="A4966" s="1059">
        <v>5213464</v>
      </c>
      <c r="B4966" s="1060" t="s">
        <v>26629</v>
      </c>
      <c r="C4966" s="1059" t="s">
        <v>3</v>
      </c>
      <c r="D4966" s="1061">
        <v>222.75</v>
      </c>
    </row>
    <row r="4967" spans="1:4" ht="9" customHeight="1" x14ac:dyDescent="0.25">
      <c r="A4967" s="1059">
        <v>5213465</v>
      </c>
      <c r="B4967" s="1060" t="s">
        <v>26630</v>
      </c>
      <c r="C4967" s="1059" t="s">
        <v>3</v>
      </c>
      <c r="D4967" s="1061">
        <v>375.23</v>
      </c>
    </row>
    <row r="4968" spans="1:4" ht="9" customHeight="1" x14ac:dyDescent="0.25">
      <c r="A4968" s="1059">
        <v>5213466</v>
      </c>
      <c r="B4968" s="1060" t="s">
        <v>26631</v>
      </c>
      <c r="C4968" s="1059" t="s">
        <v>3</v>
      </c>
      <c r="D4968" s="1061">
        <v>522.33000000000004</v>
      </c>
    </row>
    <row r="4969" spans="1:4" ht="9" customHeight="1" x14ac:dyDescent="0.25">
      <c r="A4969" s="1059">
        <v>5213467</v>
      </c>
      <c r="B4969" s="1060" t="s">
        <v>26632</v>
      </c>
      <c r="C4969" s="1059" t="s">
        <v>3</v>
      </c>
      <c r="D4969" s="1061">
        <v>971.72</v>
      </c>
    </row>
    <row r="4970" spans="1:4" ht="9" customHeight="1" x14ac:dyDescent="0.25">
      <c r="A4970" s="1059">
        <v>5213468</v>
      </c>
      <c r="B4970" s="1060" t="s">
        <v>26633</v>
      </c>
      <c r="C4970" s="1059" t="s">
        <v>3</v>
      </c>
      <c r="D4970" s="1061">
        <v>202.58</v>
      </c>
    </row>
    <row r="4971" spans="1:4" ht="9" customHeight="1" x14ac:dyDescent="0.25">
      <c r="A4971" s="1059">
        <v>5213469</v>
      </c>
      <c r="B4971" s="1060" t="s">
        <v>26634</v>
      </c>
      <c r="C4971" s="1059" t="s">
        <v>3</v>
      </c>
      <c r="D4971" s="1061">
        <v>336.81</v>
      </c>
    </row>
    <row r="4972" spans="1:4" ht="9" customHeight="1" x14ac:dyDescent="0.25">
      <c r="A4972" s="1059">
        <v>5213470</v>
      </c>
      <c r="B4972" s="1060" t="s">
        <v>26635</v>
      </c>
      <c r="C4972" s="1059" t="s">
        <v>3</v>
      </c>
      <c r="D4972" s="1061">
        <v>466.31</v>
      </c>
    </row>
    <row r="4973" spans="1:4" ht="9" customHeight="1" x14ac:dyDescent="0.25">
      <c r="A4973" s="1059">
        <v>5213471</v>
      </c>
      <c r="B4973" s="1060" t="s">
        <v>26636</v>
      </c>
      <c r="C4973" s="1059" t="s">
        <v>3</v>
      </c>
      <c r="D4973" s="1061">
        <v>891.07</v>
      </c>
    </row>
    <row r="4974" spans="1:4" ht="18" customHeight="1" x14ac:dyDescent="0.25">
      <c r="A4974" s="1059">
        <v>5212560</v>
      </c>
      <c r="B4974" s="1060" t="s">
        <v>26637</v>
      </c>
      <c r="C4974" s="1059" t="s">
        <v>26562</v>
      </c>
      <c r="D4974" s="1061">
        <v>4.09</v>
      </c>
    </row>
    <row r="4975" spans="1:4" ht="9" customHeight="1" x14ac:dyDescent="0.25">
      <c r="A4975" s="1059">
        <v>5213472</v>
      </c>
      <c r="B4975" s="1060" t="s">
        <v>26638</v>
      </c>
      <c r="C4975" s="1059" t="s">
        <v>3</v>
      </c>
      <c r="D4975" s="1061">
        <v>305.27</v>
      </c>
    </row>
    <row r="4976" spans="1:4" ht="9" customHeight="1" x14ac:dyDescent="0.25">
      <c r="A4976" s="1059">
        <v>5213473</v>
      </c>
      <c r="B4976" s="1060" t="s">
        <v>26639</v>
      </c>
      <c r="C4976" s="1059" t="s">
        <v>3</v>
      </c>
      <c r="D4976" s="1061">
        <v>395.37</v>
      </c>
    </row>
    <row r="4977" spans="1:4" ht="9" customHeight="1" x14ac:dyDescent="0.25">
      <c r="A4977" s="1059">
        <v>5213474</v>
      </c>
      <c r="B4977" s="1060" t="s">
        <v>26640</v>
      </c>
      <c r="C4977" s="1059" t="s">
        <v>3</v>
      </c>
      <c r="D4977" s="1061">
        <v>271.67</v>
      </c>
    </row>
    <row r="4978" spans="1:4" ht="9" customHeight="1" x14ac:dyDescent="0.25">
      <c r="A4978" s="1059">
        <v>5213475</v>
      </c>
      <c r="B4978" s="1060" t="s">
        <v>26641</v>
      </c>
      <c r="C4978" s="1059" t="s">
        <v>3</v>
      </c>
      <c r="D4978" s="1061">
        <v>353.36</v>
      </c>
    </row>
    <row r="4979" spans="1:4" ht="9" customHeight="1" x14ac:dyDescent="0.25">
      <c r="A4979" s="1059">
        <v>5213440</v>
      </c>
      <c r="B4979" s="1060" t="s">
        <v>26642</v>
      </c>
      <c r="C4979" s="1059" t="s">
        <v>3</v>
      </c>
      <c r="D4979" s="1061">
        <v>222.75</v>
      </c>
    </row>
    <row r="4980" spans="1:4" ht="9" customHeight="1" x14ac:dyDescent="0.25">
      <c r="A4980" s="1059">
        <v>5213441</v>
      </c>
      <c r="B4980" s="1060" t="s">
        <v>26643</v>
      </c>
      <c r="C4980" s="1059" t="s">
        <v>3</v>
      </c>
      <c r="D4980" s="1061">
        <v>375.23</v>
      </c>
    </row>
    <row r="4981" spans="1:4" ht="9" customHeight="1" x14ac:dyDescent="0.25">
      <c r="A4981" s="1059">
        <v>5213442</v>
      </c>
      <c r="B4981" s="1060" t="s">
        <v>26644</v>
      </c>
      <c r="C4981" s="1059" t="s">
        <v>3</v>
      </c>
      <c r="D4981" s="1061">
        <v>522.33000000000004</v>
      </c>
    </row>
    <row r="4982" spans="1:4" ht="9" customHeight="1" x14ac:dyDescent="0.25">
      <c r="A4982" s="1059">
        <v>5213443</v>
      </c>
      <c r="B4982" s="1060" t="s">
        <v>26645</v>
      </c>
      <c r="C4982" s="1059" t="s">
        <v>3</v>
      </c>
      <c r="D4982" s="1061">
        <v>971.72</v>
      </c>
    </row>
    <row r="4983" spans="1:4" ht="9" customHeight="1" x14ac:dyDescent="0.25">
      <c r="A4983" s="1059">
        <v>5213444</v>
      </c>
      <c r="B4983" s="1060" t="s">
        <v>26646</v>
      </c>
      <c r="C4983" s="1059" t="s">
        <v>3</v>
      </c>
      <c r="D4983" s="1061">
        <v>222.75</v>
      </c>
    </row>
    <row r="4984" spans="1:4" ht="9" customHeight="1" x14ac:dyDescent="0.25">
      <c r="A4984" s="1059">
        <v>5213445</v>
      </c>
      <c r="B4984" s="1060" t="s">
        <v>26647</v>
      </c>
      <c r="C4984" s="1059" t="s">
        <v>3</v>
      </c>
      <c r="D4984" s="1061">
        <v>375.2</v>
      </c>
    </row>
    <row r="4985" spans="1:4" ht="9" customHeight="1" x14ac:dyDescent="0.25">
      <c r="A4985" s="1059">
        <v>5213446</v>
      </c>
      <c r="B4985" s="1060" t="s">
        <v>26648</v>
      </c>
      <c r="C4985" s="1059" t="s">
        <v>3</v>
      </c>
      <c r="D4985" s="1061">
        <v>522.30999999999995</v>
      </c>
    </row>
    <row r="4986" spans="1:4" ht="9" customHeight="1" x14ac:dyDescent="0.25">
      <c r="A4986" s="1059">
        <v>5213447</v>
      </c>
      <c r="B4986" s="1060" t="s">
        <v>26649</v>
      </c>
      <c r="C4986" s="1059" t="s">
        <v>3</v>
      </c>
      <c r="D4986" s="1061">
        <v>971.76</v>
      </c>
    </row>
    <row r="4987" spans="1:4" ht="9" customHeight="1" x14ac:dyDescent="0.25">
      <c r="A4987" s="1059">
        <v>5213448</v>
      </c>
      <c r="B4987" s="1060" t="s">
        <v>26650</v>
      </c>
      <c r="C4987" s="1059" t="s">
        <v>3</v>
      </c>
      <c r="D4987" s="1061">
        <v>156.36000000000001</v>
      </c>
    </row>
    <row r="4988" spans="1:4" ht="9" customHeight="1" x14ac:dyDescent="0.25">
      <c r="A4988" s="1059">
        <v>5213449</v>
      </c>
      <c r="B4988" s="1060" t="s">
        <v>26651</v>
      </c>
      <c r="C4988" s="1059" t="s">
        <v>3</v>
      </c>
      <c r="D4988" s="1061">
        <v>241.48</v>
      </c>
    </row>
    <row r="4989" spans="1:4" ht="9" customHeight="1" x14ac:dyDescent="0.25">
      <c r="A4989" s="1059">
        <v>5213450</v>
      </c>
      <c r="B4989" s="1060" t="s">
        <v>26652</v>
      </c>
      <c r="C4989" s="1059" t="s">
        <v>3</v>
      </c>
      <c r="D4989" s="1061">
        <v>335.09</v>
      </c>
    </row>
    <row r="4990" spans="1:4" ht="9" customHeight="1" x14ac:dyDescent="0.25">
      <c r="A4990" s="1059">
        <v>5213451</v>
      </c>
      <c r="B4990" s="1060" t="s">
        <v>26653</v>
      </c>
      <c r="C4990" s="1059" t="s">
        <v>3</v>
      </c>
      <c r="D4990" s="1061">
        <v>563.96</v>
      </c>
    </row>
    <row r="4991" spans="1:4" ht="9" customHeight="1" x14ac:dyDescent="0.25">
      <c r="A4991" s="1059">
        <v>5213452</v>
      </c>
      <c r="B4991" s="1060" t="s">
        <v>26654</v>
      </c>
      <c r="C4991" s="1059" t="s">
        <v>3</v>
      </c>
      <c r="D4991" s="1061">
        <v>202.58</v>
      </c>
    </row>
    <row r="4992" spans="1:4" ht="9" customHeight="1" x14ac:dyDescent="0.25">
      <c r="A4992" s="1059">
        <v>5213453</v>
      </c>
      <c r="B4992" s="1060" t="s">
        <v>26655</v>
      </c>
      <c r="C4992" s="1059" t="s">
        <v>3</v>
      </c>
      <c r="D4992" s="1061">
        <v>336.82</v>
      </c>
    </row>
    <row r="4993" spans="1:4" ht="9" customHeight="1" x14ac:dyDescent="0.25">
      <c r="A4993" s="1059">
        <v>5213454</v>
      </c>
      <c r="B4993" s="1060" t="s">
        <v>26656</v>
      </c>
      <c r="C4993" s="1059" t="s">
        <v>3</v>
      </c>
      <c r="D4993" s="1061">
        <v>466.31</v>
      </c>
    </row>
    <row r="4994" spans="1:4" ht="9" customHeight="1" x14ac:dyDescent="0.25">
      <c r="A4994" s="1059">
        <v>5213455</v>
      </c>
      <c r="B4994" s="1060" t="s">
        <v>26657</v>
      </c>
      <c r="C4994" s="1059" t="s">
        <v>3</v>
      </c>
      <c r="D4994" s="1061">
        <v>891.07</v>
      </c>
    </row>
    <row r="4995" spans="1:4" ht="9" customHeight="1" x14ac:dyDescent="0.25">
      <c r="A4995" s="1059">
        <v>5213456</v>
      </c>
      <c r="B4995" s="1060" t="s">
        <v>26658</v>
      </c>
      <c r="C4995" s="1059" t="s">
        <v>3</v>
      </c>
      <c r="D4995" s="1061">
        <v>202.58</v>
      </c>
    </row>
    <row r="4996" spans="1:4" ht="9" customHeight="1" x14ac:dyDescent="0.25">
      <c r="A4996" s="1059">
        <v>5213457</v>
      </c>
      <c r="B4996" s="1060" t="s">
        <v>26659</v>
      </c>
      <c r="C4996" s="1059" t="s">
        <v>3</v>
      </c>
      <c r="D4996" s="1061">
        <v>336.79</v>
      </c>
    </row>
    <row r="4997" spans="1:4" ht="9" customHeight="1" x14ac:dyDescent="0.25">
      <c r="A4997" s="1059">
        <v>5213458</v>
      </c>
      <c r="B4997" s="1060" t="s">
        <v>26660</v>
      </c>
      <c r="C4997" s="1059" t="s">
        <v>3</v>
      </c>
      <c r="D4997" s="1061">
        <v>466.3</v>
      </c>
    </row>
    <row r="4998" spans="1:4" ht="9" customHeight="1" x14ac:dyDescent="0.25">
      <c r="A4998" s="1059">
        <v>5213459</v>
      </c>
      <c r="B4998" s="1060" t="s">
        <v>26661</v>
      </c>
      <c r="C4998" s="1059" t="s">
        <v>3</v>
      </c>
      <c r="D4998" s="1061">
        <v>891.11</v>
      </c>
    </row>
    <row r="4999" spans="1:4" ht="9" customHeight="1" x14ac:dyDescent="0.25">
      <c r="A4999" s="1059">
        <v>5213460</v>
      </c>
      <c r="B4999" s="1060" t="s">
        <v>26662</v>
      </c>
      <c r="C4999" s="1059" t="s">
        <v>3</v>
      </c>
      <c r="D4999" s="1061">
        <v>144.13999999999999</v>
      </c>
    </row>
    <row r="5000" spans="1:4" ht="9" customHeight="1" x14ac:dyDescent="0.25">
      <c r="A5000" s="1059">
        <v>5213461</v>
      </c>
      <c r="B5000" s="1060" t="s">
        <v>26663</v>
      </c>
      <c r="C5000" s="1059" t="s">
        <v>3</v>
      </c>
      <c r="D5000" s="1061">
        <v>219.07</v>
      </c>
    </row>
    <row r="5001" spans="1:4" ht="9" customHeight="1" x14ac:dyDescent="0.25">
      <c r="A5001" s="1059">
        <v>5213462</v>
      </c>
      <c r="B5001" s="1060" t="s">
        <v>26664</v>
      </c>
      <c r="C5001" s="1059" t="s">
        <v>3</v>
      </c>
      <c r="D5001" s="1061">
        <v>301.48</v>
      </c>
    </row>
    <row r="5002" spans="1:4" ht="9" customHeight="1" x14ac:dyDescent="0.25">
      <c r="A5002" s="1059">
        <v>5213463</v>
      </c>
      <c r="B5002" s="1060" t="s">
        <v>26665</v>
      </c>
      <c r="C5002" s="1059" t="s">
        <v>3</v>
      </c>
      <c r="D5002" s="1061">
        <v>383.9</v>
      </c>
    </row>
    <row r="5003" spans="1:4" ht="18" customHeight="1" x14ac:dyDescent="0.25">
      <c r="A5003" s="1059">
        <v>5212557</v>
      </c>
      <c r="B5003" s="1060" t="s">
        <v>26666</v>
      </c>
      <c r="C5003" s="1059" t="s">
        <v>26562</v>
      </c>
      <c r="D5003" s="1061">
        <v>3.85</v>
      </c>
    </row>
    <row r="5004" spans="1:4" ht="18" customHeight="1" x14ac:dyDescent="0.25">
      <c r="A5004" s="1059">
        <v>5212558</v>
      </c>
      <c r="B5004" s="1060" t="s">
        <v>26667</v>
      </c>
      <c r="C5004" s="1059" t="s">
        <v>26562</v>
      </c>
      <c r="D5004" s="1061">
        <v>3.9</v>
      </c>
    </row>
    <row r="5005" spans="1:4" ht="18" customHeight="1" x14ac:dyDescent="0.25">
      <c r="A5005" s="1059">
        <v>5212559</v>
      </c>
      <c r="B5005" s="1060" t="s">
        <v>26668</v>
      </c>
      <c r="C5005" s="1059" t="s">
        <v>26562</v>
      </c>
      <c r="D5005" s="1061">
        <v>3.45</v>
      </c>
    </row>
    <row r="5006" spans="1:4" ht="9" customHeight="1" x14ac:dyDescent="0.25">
      <c r="A5006" s="1059">
        <v>5213477</v>
      </c>
      <c r="B5006" s="1060" t="s">
        <v>26669</v>
      </c>
      <c r="C5006" s="1059" t="s">
        <v>3</v>
      </c>
      <c r="D5006" s="1061">
        <v>165</v>
      </c>
    </row>
    <row r="5007" spans="1:4" ht="9" customHeight="1" x14ac:dyDescent="0.25">
      <c r="A5007" s="1059">
        <v>5213476</v>
      </c>
      <c r="B5007" s="1060" t="s">
        <v>26670</v>
      </c>
      <c r="C5007" s="1059" t="s">
        <v>3</v>
      </c>
      <c r="D5007" s="1061">
        <v>177.31</v>
      </c>
    </row>
    <row r="5008" spans="1:4" ht="9" customHeight="1" x14ac:dyDescent="0.25">
      <c r="A5008" s="1059">
        <v>5213479</v>
      </c>
      <c r="B5008" s="1060" t="s">
        <v>26671</v>
      </c>
      <c r="C5008" s="1059" t="s">
        <v>3</v>
      </c>
      <c r="D5008" s="1061">
        <v>149.87</v>
      </c>
    </row>
    <row r="5009" spans="1:4" ht="9" customHeight="1" x14ac:dyDescent="0.25">
      <c r="A5009" s="1059">
        <v>5213478</v>
      </c>
      <c r="B5009" s="1060" t="s">
        <v>26672</v>
      </c>
      <c r="C5009" s="1059" t="s">
        <v>3</v>
      </c>
      <c r="D5009" s="1061">
        <v>160.5</v>
      </c>
    </row>
    <row r="5010" spans="1:4" ht="9" customHeight="1" x14ac:dyDescent="0.25">
      <c r="A5010" s="1059">
        <v>5213489</v>
      </c>
      <c r="B5010" s="1060" t="s">
        <v>26673</v>
      </c>
      <c r="C5010" s="1059" t="s">
        <v>3</v>
      </c>
      <c r="D5010" s="1061">
        <v>918.14</v>
      </c>
    </row>
    <row r="5011" spans="1:4" ht="9" customHeight="1" x14ac:dyDescent="0.25">
      <c r="A5011" s="1059">
        <v>5213498</v>
      </c>
      <c r="B5011" s="1060" t="s">
        <v>26674</v>
      </c>
      <c r="C5011" s="1059" t="s">
        <v>3</v>
      </c>
      <c r="D5011" s="1061">
        <v>991.02</v>
      </c>
    </row>
    <row r="5012" spans="1:4" ht="9" customHeight="1" x14ac:dyDescent="0.25">
      <c r="A5012" s="1059">
        <v>5213365</v>
      </c>
      <c r="B5012" s="1060" t="s">
        <v>26675</v>
      </c>
      <c r="C5012" s="1059" t="s">
        <v>3</v>
      </c>
      <c r="D5012" s="1061">
        <v>1138.1600000000001</v>
      </c>
    </row>
    <row r="5013" spans="1:4" ht="9" customHeight="1" x14ac:dyDescent="0.25">
      <c r="A5013" s="1059">
        <v>5213507</v>
      </c>
      <c r="B5013" s="1060" t="s">
        <v>26676</v>
      </c>
      <c r="C5013" s="1059" t="s">
        <v>3</v>
      </c>
      <c r="D5013" s="1061">
        <v>1173.18</v>
      </c>
    </row>
    <row r="5014" spans="1:4" ht="9" customHeight="1" x14ac:dyDescent="0.25">
      <c r="A5014" s="1059">
        <v>5213372</v>
      </c>
      <c r="B5014" s="1060" t="s">
        <v>26677</v>
      </c>
      <c r="C5014" s="1059" t="s">
        <v>3</v>
      </c>
      <c r="D5014" s="1061">
        <v>1320.34</v>
      </c>
    </row>
    <row r="5015" spans="1:4" ht="9" customHeight="1" x14ac:dyDescent="0.25">
      <c r="A5015" s="1059">
        <v>5213490</v>
      </c>
      <c r="B5015" s="1060" t="s">
        <v>26678</v>
      </c>
      <c r="C5015" s="1059" t="s">
        <v>3</v>
      </c>
      <c r="D5015" s="1061">
        <v>1964.11</v>
      </c>
    </row>
    <row r="5016" spans="1:4" ht="9" customHeight="1" x14ac:dyDescent="0.25">
      <c r="A5016" s="1059">
        <v>5213499</v>
      </c>
      <c r="B5016" s="1060" t="s">
        <v>26679</v>
      </c>
      <c r="C5016" s="1059" t="s">
        <v>3</v>
      </c>
      <c r="D5016" s="1061">
        <v>2128.09</v>
      </c>
    </row>
    <row r="5017" spans="1:4" ht="9" customHeight="1" x14ac:dyDescent="0.25">
      <c r="A5017" s="1059">
        <v>5213366</v>
      </c>
      <c r="B5017" s="1060" t="s">
        <v>26680</v>
      </c>
      <c r="C5017" s="1059" t="s">
        <v>3</v>
      </c>
      <c r="D5017" s="1061">
        <v>2459.16</v>
      </c>
    </row>
    <row r="5018" spans="1:4" ht="9" customHeight="1" x14ac:dyDescent="0.25">
      <c r="A5018" s="1059">
        <v>5213508</v>
      </c>
      <c r="B5018" s="1060" t="s">
        <v>26681</v>
      </c>
      <c r="C5018" s="1059" t="s">
        <v>3</v>
      </c>
      <c r="D5018" s="1061">
        <v>2537.9499999999998</v>
      </c>
    </row>
    <row r="5019" spans="1:4" ht="9" customHeight="1" x14ac:dyDescent="0.25">
      <c r="A5019" s="1059">
        <v>5213373</v>
      </c>
      <c r="B5019" s="1060" t="s">
        <v>26682</v>
      </c>
      <c r="C5019" s="1059" t="s">
        <v>3</v>
      </c>
      <c r="D5019" s="1061">
        <v>2869.06</v>
      </c>
    </row>
    <row r="5020" spans="1:4" ht="9" customHeight="1" x14ac:dyDescent="0.25">
      <c r="A5020" s="1059">
        <v>5213491</v>
      </c>
      <c r="B5020" s="1060" t="s">
        <v>26683</v>
      </c>
      <c r="C5020" s="1059" t="s">
        <v>3</v>
      </c>
      <c r="D5020" s="1061">
        <v>2591.6999999999998</v>
      </c>
    </row>
    <row r="5021" spans="1:4" ht="9" customHeight="1" x14ac:dyDescent="0.25">
      <c r="A5021" s="1059">
        <v>5213500</v>
      </c>
      <c r="B5021" s="1060" t="s">
        <v>26684</v>
      </c>
      <c r="C5021" s="1059" t="s">
        <v>3</v>
      </c>
      <c r="D5021" s="1061">
        <v>2810.34</v>
      </c>
    </row>
    <row r="5022" spans="1:4" ht="9" customHeight="1" x14ac:dyDescent="0.25">
      <c r="A5022" s="1059">
        <v>5213369</v>
      </c>
      <c r="B5022" s="1060" t="s">
        <v>26685</v>
      </c>
      <c r="C5022" s="1059" t="s">
        <v>3</v>
      </c>
      <c r="D5022" s="1061">
        <v>3251.76</v>
      </c>
    </row>
    <row r="5023" spans="1:4" ht="9" customHeight="1" x14ac:dyDescent="0.25">
      <c r="A5023" s="1059">
        <v>5213509</v>
      </c>
      <c r="B5023" s="1060" t="s">
        <v>26686</v>
      </c>
      <c r="C5023" s="1059" t="s">
        <v>3</v>
      </c>
      <c r="D5023" s="1061">
        <v>3356.82</v>
      </c>
    </row>
    <row r="5024" spans="1:4" ht="9" customHeight="1" x14ac:dyDescent="0.25">
      <c r="A5024" s="1059">
        <v>5213374</v>
      </c>
      <c r="B5024" s="1060" t="s">
        <v>26687</v>
      </c>
      <c r="C5024" s="1059" t="s">
        <v>3</v>
      </c>
      <c r="D5024" s="1061">
        <v>3798.3</v>
      </c>
    </row>
    <row r="5025" spans="1:4" ht="9" customHeight="1" x14ac:dyDescent="0.25">
      <c r="A5025" s="1059">
        <v>5213492</v>
      </c>
      <c r="B5025" s="1060" t="s">
        <v>26688</v>
      </c>
      <c r="C5025" s="1059" t="s">
        <v>3</v>
      </c>
      <c r="D5025" s="1061">
        <v>3509.83</v>
      </c>
    </row>
    <row r="5026" spans="1:4" ht="9" customHeight="1" x14ac:dyDescent="0.25">
      <c r="A5026" s="1059">
        <v>5213501</v>
      </c>
      <c r="B5026" s="1060" t="s">
        <v>26689</v>
      </c>
      <c r="C5026" s="1059" t="s">
        <v>3</v>
      </c>
      <c r="D5026" s="1061">
        <v>3801.35</v>
      </c>
    </row>
    <row r="5027" spans="1:4" ht="9" customHeight="1" x14ac:dyDescent="0.25">
      <c r="A5027" s="1059">
        <v>5213370</v>
      </c>
      <c r="B5027" s="1060" t="s">
        <v>26690</v>
      </c>
      <c r="C5027" s="1059" t="s">
        <v>3</v>
      </c>
      <c r="D5027" s="1061">
        <v>4389.91</v>
      </c>
    </row>
    <row r="5028" spans="1:4" ht="9" customHeight="1" x14ac:dyDescent="0.25">
      <c r="A5028" s="1059">
        <v>5213510</v>
      </c>
      <c r="B5028" s="1060" t="s">
        <v>26691</v>
      </c>
      <c r="C5028" s="1059" t="s">
        <v>3</v>
      </c>
      <c r="D5028" s="1061">
        <v>4529.99</v>
      </c>
    </row>
    <row r="5029" spans="1:4" ht="9" customHeight="1" x14ac:dyDescent="0.25">
      <c r="A5029" s="1059">
        <v>5213375</v>
      </c>
      <c r="B5029" s="1060" t="s">
        <v>26692</v>
      </c>
      <c r="C5029" s="1059" t="s">
        <v>3</v>
      </c>
      <c r="D5029" s="1061">
        <v>5118.63</v>
      </c>
    </row>
    <row r="5030" spans="1:4" ht="9" customHeight="1" x14ac:dyDescent="0.25">
      <c r="A5030" s="1059">
        <v>5213494</v>
      </c>
      <c r="B5030" s="1060" t="s">
        <v>26693</v>
      </c>
      <c r="C5030" s="1059" t="s">
        <v>3</v>
      </c>
      <c r="D5030" s="1061">
        <v>5183.3900000000003</v>
      </c>
    </row>
    <row r="5031" spans="1:4" ht="9" customHeight="1" x14ac:dyDescent="0.25">
      <c r="A5031" s="1059">
        <v>5213503</v>
      </c>
      <c r="B5031" s="1060" t="s">
        <v>26694</v>
      </c>
      <c r="C5031" s="1059" t="s">
        <v>3</v>
      </c>
      <c r="D5031" s="1061">
        <v>5620.67</v>
      </c>
    </row>
    <row r="5032" spans="1:4" ht="9" customHeight="1" x14ac:dyDescent="0.25">
      <c r="A5032" s="1059">
        <v>5213371</v>
      </c>
      <c r="B5032" s="1060" t="s">
        <v>26695</v>
      </c>
      <c r="C5032" s="1059" t="s">
        <v>3</v>
      </c>
      <c r="D5032" s="1061">
        <v>6503.51</v>
      </c>
    </row>
    <row r="5033" spans="1:4" ht="9" customHeight="1" x14ac:dyDescent="0.25">
      <c r="A5033" s="1059">
        <v>5213512</v>
      </c>
      <c r="B5033" s="1060" t="s">
        <v>26696</v>
      </c>
      <c r="C5033" s="1059" t="s">
        <v>3</v>
      </c>
      <c r="D5033" s="1061">
        <v>6713.63</v>
      </c>
    </row>
    <row r="5034" spans="1:4" ht="9" customHeight="1" x14ac:dyDescent="0.25">
      <c r="A5034" s="1059">
        <v>5213376</v>
      </c>
      <c r="B5034" s="1060" t="s">
        <v>26697</v>
      </c>
      <c r="C5034" s="1059" t="s">
        <v>3</v>
      </c>
      <c r="D5034" s="1061">
        <v>7596.59</v>
      </c>
    </row>
    <row r="5035" spans="1:4" ht="9" customHeight="1" x14ac:dyDescent="0.25">
      <c r="A5035" s="1059">
        <v>5213377</v>
      </c>
      <c r="B5035" s="1060" t="s">
        <v>26698</v>
      </c>
      <c r="C5035" s="1059" t="s">
        <v>39</v>
      </c>
      <c r="D5035" s="1061">
        <v>310.89</v>
      </c>
    </row>
    <row r="5036" spans="1:4" ht="9" customHeight="1" x14ac:dyDescent="0.25">
      <c r="A5036" s="1059">
        <v>5213570</v>
      </c>
      <c r="B5036" s="1060" t="s">
        <v>26699</v>
      </c>
      <c r="C5036" s="1059" t="s">
        <v>39</v>
      </c>
      <c r="D5036" s="1061">
        <v>472.63</v>
      </c>
    </row>
    <row r="5037" spans="1:4" ht="9" customHeight="1" x14ac:dyDescent="0.25">
      <c r="A5037" s="1059">
        <v>5213378</v>
      </c>
      <c r="B5037" s="1060" t="s">
        <v>26700</v>
      </c>
      <c r="C5037" s="1059" t="s">
        <v>39</v>
      </c>
      <c r="D5037" s="1061">
        <v>347.32</v>
      </c>
    </row>
    <row r="5038" spans="1:4" ht="9" customHeight="1" x14ac:dyDescent="0.25">
      <c r="A5038" s="1059">
        <v>5213571</v>
      </c>
      <c r="B5038" s="1060" t="s">
        <v>26701</v>
      </c>
      <c r="C5038" s="1059" t="s">
        <v>39</v>
      </c>
      <c r="D5038" s="1061">
        <v>509.07</v>
      </c>
    </row>
    <row r="5039" spans="1:4" ht="9" customHeight="1" x14ac:dyDescent="0.25">
      <c r="A5039" s="1059">
        <v>5213379</v>
      </c>
      <c r="B5039" s="1060" t="s">
        <v>26702</v>
      </c>
      <c r="C5039" s="1059" t="s">
        <v>39</v>
      </c>
      <c r="D5039" s="1061">
        <v>438.4</v>
      </c>
    </row>
    <row r="5040" spans="1:4" ht="9" customHeight="1" x14ac:dyDescent="0.25">
      <c r="A5040" s="1059">
        <v>5213572</v>
      </c>
      <c r="B5040" s="1060" t="s">
        <v>26703</v>
      </c>
      <c r="C5040" s="1059" t="s">
        <v>39</v>
      </c>
      <c r="D5040" s="1061">
        <v>600.15</v>
      </c>
    </row>
    <row r="5041" spans="1:4" ht="9" customHeight="1" x14ac:dyDescent="0.25">
      <c r="A5041" s="1059">
        <v>5212553</v>
      </c>
      <c r="B5041" s="1060" t="s">
        <v>26704</v>
      </c>
      <c r="C5041" s="1059" t="s">
        <v>39</v>
      </c>
      <c r="D5041" s="1061">
        <v>256.64999999999998</v>
      </c>
    </row>
    <row r="5042" spans="1:4" ht="9" customHeight="1" x14ac:dyDescent="0.25">
      <c r="A5042" s="1059">
        <v>5213416</v>
      </c>
      <c r="B5042" s="1060" t="s">
        <v>26705</v>
      </c>
      <c r="C5042" s="1059" t="s">
        <v>39</v>
      </c>
      <c r="D5042" s="1061">
        <v>418.39</v>
      </c>
    </row>
    <row r="5043" spans="1:4" ht="9" customHeight="1" x14ac:dyDescent="0.25">
      <c r="A5043" s="1059">
        <v>5212554</v>
      </c>
      <c r="B5043" s="1060" t="s">
        <v>26706</v>
      </c>
      <c r="C5043" s="1059" t="s">
        <v>39</v>
      </c>
      <c r="D5043" s="1061">
        <v>293.08</v>
      </c>
    </row>
    <row r="5044" spans="1:4" ht="9" customHeight="1" x14ac:dyDescent="0.25">
      <c r="A5044" s="1059">
        <v>5213417</v>
      </c>
      <c r="B5044" s="1060" t="s">
        <v>26707</v>
      </c>
      <c r="C5044" s="1059" t="s">
        <v>39</v>
      </c>
      <c r="D5044" s="1061">
        <v>454.83</v>
      </c>
    </row>
    <row r="5045" spans="1:4" ht="9" customHeight="1" x14ac:dyDescent="0.25">
      <c r="A5045" s="1059">
        <v>5213421</v>
      </c>
      <c r="B5045" s="1060" t="s">
        <v>26708</v>
      </c>
      <c r="C5045" s="1059" t="s">
        <v>39</v>
      </c>
      <c r="D5045" s="1061">
        <v>410.23</v>
      </c>
    </row>
    <row r="5046" spans="1:4" ht="9" customHeight="1" x14ac:dyDescent="0.25">
      <c r="A5046" s="1059">
        <v>5213414</v>
      </c>
      <c r="B5046" s="1060" t="s">
        <v>26709</v>
      </c>
      <c r="C5046" s="1059" t="s">
        <v>39</v>
      </c>
      <c r="D5046" s="1061">
        <v>468.09</v>
      </c>
    </row>
    <row r="5047" spans="1:4" ht="9" customHeight="1" x14ac:dyDescent="0.25">
      <c r="A5047" s="1059">
        <v>5213419</v>
      </c>
      <c r="B5047" s="1060" t="s">
        <v>26710</v>
      </c>
      <c r="C5047" s="1059" t="s">
        <v>39</v>
      </c>
      <c r="D5047" s="1061">
        <v>528.4</v>
      </c>
    </row>
    <row r="5048" spans="1:4" ht="9" customHeight="1" x14ac:dyDescent="0.25">
      <c r="A5048" s="1059">
        <v>5212555</v>
      </c>
      <c r="B5048" s="1060" t="s">
        <v>26711</v>
      </c>
      <c r="C5048" s="1059" t="s">
        <v>39</v>
      </c>
      <c r="D5048" s="1061">
        <v>384.16</v>
      </c>
    </row>
    <row r="5049" spans="1:4" ht="9" customHeight="1" x14ac:dyDescent="0.25">
      <c r="A5049" s="1059">
        <v>5213418</v>
      </c>
      <c r="B5049" s="1060" t="s">
        <v>26712</v>
      </c>
      <c r="C5049" s="1059" t="s">
        <v>39</v>
      </c>
      <c r="D5049" s="1061">
        <v>545.91</v>
      </c>
    </row>
    <row r="5050" spans="1:4" ht="9" customHeight="1" x14ac:dyDescent="0.25">
      <c r="A5050" s="1059">
        <v>5213415</v>
      </c>
      <c r="B5050" s="1060" t="s">
        <v>26713</v>
      </c>
      <c r="C5050" s="1059" t="s">
        <v>39</v>
      </c>
      <c r="D5050" s="1061">
        <v>637.14</v>
      </c>
    </row>
    <row r="5051" spans="1:4" ht="9" customHeight="1" x14ac:dyDescent="0.25">
      <c r="A5051" s="1059">
        <v>5213420</v>
      </c>
      <c r="B5051" s="1060" t="s">
        <v>26714</v>
      </c>
      <c r="C5051" s="1059" t="s">
        <v>39</v>
      </c>
      <c r="D5051" s="1061">
        <v>619.49</v>
      </c>
    </row>
    <row r="5052" spans="1:4" ht="9" customHeight="1" x14ac:dyDescent="0.25">
      <c r="A5052" s="1059">
        <v>5213543</v>
      </c>
      <c r="B5052" s="1060" t="s">
        <v>26715</v>
      </c>
      <c r="C5052" s="1059" t="s">
        <v>3</v>
      </c>
      <c r="D5052" s="1061">
        <v>1169.78</v>
      </c>
    </row>
    <row r="5053" spans="1:4" ht="9" customHeight="1" x14ac:dyDescent="0.25">
      <c r="A5053" s="1059">
        <v>5213552</v>
      </c>
      <c r="B5053" s="1060" t="s">
        <v>26716</v>
      </c>
      <c r="C5053" s="1059" t="s">
        <v>3</v>
      </c>
      <c r="D5053" s="1061">
        <v>1242.6400000000001</v>
      </c>
    </row>
    <row r="5054" spans="1:4" ht="9" customHeight="1" x14ac:dyDescent="0.25">
      <c r="A5054" s="1059">
        <v>5213561</v>
      </c>
      <c r="B5054" s="1060" t="s">
        <v>26717</v>
      </c>
      <c r="C5054" s="1059" t="s">
        <v>3</v>
      </c>
      <c r="D5054" s="1061">
        <v>1424.82</v>
      </c>
    </row>
    <row r="5055" spans="1:4" ht="9" customHeight="1" x14ac:dyDescent="0.25">
      <c r="A5055" s="1059">
        <v>5213544</v>
      </c>
      <c r="B5055" s="1060" t="s">
        <v>26718</v>
      </c>
      <c r="C5055" s="1059" t="s">
        <v>3</v>
      </c>
      <c r="D5055" s="1061">
        <v>2530.3000000000002</v>
      </c>
    </row>
    <row r="5056" spans="1:4" ht="9" customHeight="1" x14ac:dyDescent="0.25">
      <c r="A5056" s="1059">
        <v>5213553</v>
      </c>
      <c r="B5056" s="1060" t="s">
        <v>26719</v>
      </c>
      <c r="C5056" s="1059" t="s">
        <v>3</v>
      </c>
      <c r="D5056" s="1061">
        <v>2694.24</v>
      </c>
    </row>
    <row r="5057" spans="1:4" ht="9" customHeight="1" x14ac:dyDescent="0.25">
      <c r="A5057" s="1059">
        <v>5213562</v>
      </c>
      <c r="B5057" s="1060" t="s">
        <v>26720</v>
      </c>
      <c r="C5057" s="1059" t="s">
        <v>3</v>
      </c>
      <c r="D5057" s="1061">
        <v>3104.14</v>
      </c>
    </row>
    <row r="5058" spans="1:4" ht="9" customHeight="1" x14ac:dyDescent="0.25">
      <c r="A5058" s="1059">
        <v>5213545</v>
      </c>
      <c r="B5058" s="1060" t="s">
        <v>26721</v>
      </c>
      <c r="C5058" s="1059" t="s">
        <v>3</v>
      </c>
      <c r="D5058" s="1061">
        <v>3346.62</v>
      </c>
    </row>
    <row r="5059" spans="1:4" ht="9" customHeight="1" x14ac:dyDescent="0.25">
      <c r="A5059" s="1059">
        <v>5213554</v>
      </c>
      <c r="B5059" s="1060" t="s">
        <v>26722</v>
      </c>
      <c r="C5059" s="1059" t="s">
        <v>3</v>
      </c>
      <c r="D5059" s="1061">
        <v>3565.2</v>
      </c>
    </row>
    <row r="5060" spans="1:4" ht="9" customHeight="1" x14ac:dyDescent="0.25">
      <c r="A5060" s="1059">
        <v>5213563</v>
      </c>
      <c r="B5060" s="1060" t="s">
        <v>26723</v>
      </c>
      <c r="C5060" s="1059" t="s">
        <v>3</v>
      </c>
      <c r="D5060" s="1061">
        <v>4111.74</v>
      </c>
    </row>
    <row r="5061" spans="1:4" ht="9" customHeight="1" x14ac:dyDescent="0.25">
      <c r="A5061" s="1059">
        <v>5213546</v>
      </c>
      <c r="B5061" s="1060" t="s">
        <v>26724</v>
      </c>
      <c r="C5061" s="1059" t="s">
        <v>3</v>
      </c>
      <c r="D5061" s="1061">
        <v>4516.3900000000003</v>
      </c>
    </row>
    <row r="5062" spans="1:4" ht="9" customHeight="1" x14ac:dyDescent="0.25">
      <c r="A5062" s="1059">
        <v>5213555</v>
      </c>
      <c r="B5062" s="1060" t="s">
        <v>26725</v>
      </c>
      <c r="C5062" s="1059" t="s">
        <v>3</v>
      </c>
      <c r="D5062" s="1061">
        <v>4807.83</v>
      </c>
    </row>
    <row r="5063" spans="1:4" ht="9" customHeight="1" x14ac:dyDescent="0.25">
      <c r="A5063" s="1059">
        <v>5213564</v>
      </c>
      <c r="B5063" s="1060" t="s">
        <v>26726</v>
      </c>
      <c r="C5063" s="1059" t="s">
        <v>3</v>
      </c>
      <c r="D5063" s="1061">
        <v>5536.55</v>
      </c>
    </row>
    <row r="5064" spans="1:4" ht="9" customHeight="1" x14ac:dyDescent="0.25">
      <c r="A5064" s="1059">
        <v>5213548</v>
      </c>
      <c r="B5064" s="1060" t="s">
        <v>26727</v>
      </c>
      <c r="C5064" s="1059" t="s">
        <v>3</v>
      </c>
      <c r="D5064" s="1061">
        <v>6693.23</v>
      </c>
    </row>
    <row r="5065" spans="1:4" ht="9" customHeight="1" x14ac:dyDescent="0.25">
      <c r="A5065" s="1059">
        <v>5213557</v>
      </c>
      <c r="B5065" s="1060" t="s">
        <v>26728</v>
      </c>
      <c r="C5065" s="1059" t="s">
        <v>3</v>
      </c>
      <c r="D5065" s="1061">
        <v>7130.39</v>
      </c>
    </row>
    <row r="5066" spans="1:4" ht="9" customHeight="1" x14ac:dyDescent="0.25">
      <c r="A5066" s="1059">
        <v>5213566</v>
      </c>
      <c r="B5066" s="1060" t="s">
        <v>26729</v>
      </c>
      <c r="C5066" s="1059" t="s">
        <v>3</v>
      </c>
      <c r="D5066" s="1061">
        <v>8223.4699999999993</v>
      </c>
    </row>
    <row r="5067" spans="1:4" ht="9" customHeight="1" x14ac:dyDescent="0.25">
      <c r="A5067" s="1059">
        <v>5213576</v>
      </c>
      <c r="B5067" s="1060" t="s">
        <v>26730</v>
      </c>
      <c r="C5067" s="1059" t="s">
        <v>39</v>
      </c>
      <c r="D5067" s="1061">
        <v>598.45000000000005</v>
      </c>
    </row>
    <row r="5068" spans="1:4" ht="9" customHeight="1" x14ac:dyDescent="0.25">
      <c r="A5068" s="1059">
        <v>5213577</v>
      </c>
      <c r="B5068" s="1060" t="s">
        <v>26731</v>
      </c>
      <c r="C5068" s="1059" t="s">
        <v>39</v>
      </c>
      <c r="D5068" s="1061">
        <v>634.88</v>
      </c>
    </row>
    <row r="5069" spans="1:4" ht="9" customHeight="1" x14ac:dyDescent="0.25">
      <c r="A5069" s="1059">
        <v>5213578</v>
      </c>
      <c r="B5069" s="1060" t="s">
        <v>26732</v>
      </c>
      <c r="C5069" s="1059" t="s">
        <v>39</v>
      </c>
      <c r="D5069" s="1061">
        <v>725.97</v>
      </c>
    </row>
    <row r="5070" spans="1:4" ht="9" customHeight="1" x14ac:dyDescent="0.25">
      <c r="A5070" s="1059">
        <v>5213425</v>
      </c>
      <c r="B5070" s="1060" t="s">
        <v>26733</v>
      </c>
      <c r="C5070" s="1059" t="s">
        <v>39</v>
      </c>
      <c r="D5070" s="1061">
        <v>572.09</v>
      </c>
    </row>
    <row r="5071" spans="1:4" ht="9" customHeight="1" x14ac:dyDescent="0.25">
      <c r="A5071" s="1059">
        <v>5213426</v>
      </c>
      <c r="B5071" s="1060" t="s">
        <v>26734</v>
      </c>
      <c r="C5071" s="1059" t="s">
        <v>39</v>
      </c>
      <c r="D5071" s="1061">
        <v>663.18</v>
      </c>
    </row>
    <row r="5072" spans="1:4" ht="9" customHeight="1" x14ac:dyDescent="0.25">
      <c r="A5072" s="1059">
        <v>5213427</v>
      </c>
      <c r="B5072" s="1060" t="s">
        <v>26735</v>
      </c>
      <c r="C5072" s="1059" t="s">
        <v>39</v>
      </c>
      <c r="D5072" s="1061">
        <v>736.75</v>
      </c>
    </row>
    <row r="5073" spans="1:4" ht="9" customHeight="1" x14ac:dyDescent="0.25">
      <c r="A5073" s="1059">
        <v>5213567</v>
      </c>
      <c r="B5073" s="1060" t="s">
        <v>26736</v>
      </c>
      <c r="C5073" s="1059" t="s">
        <v>39</v>
      </c>
      <c r="D5073" s="1061">
        <v>847.85</v>
      </c>
    </row>
    <row r="5074" spans="1:4" ht="18" customHeight="1" x14ac:dyDescent="0.25">
      <c r="A5074" s="1059">
        <v>5213486</v>
      </c>
      <c r="B5074" s="1060" t="s">
        <v>26737</v>
      </c>
      <c r="C5074" s="1059" t="s">
        <v>39</v>
      </c>
      <c r="D5074" s="1061">
        <v>937.67</v>
      </c>
    </row>
    <row r="5075" spans="1:4" ht="18" customHeight="1" x14ac:dyDescent="0.25">
      <c r="A5075" s="1059">
        <v>5213487</v>
      </c>
      <c r="B5075" s="1060" t="s">
        <v>26738</v>
      </c>
      <c r="C5075" s="1059" t="s">
        <v>39</v>
      </c>
      <c r="D5075" s="1061">
        <v>1028.76</v>
      </c>
    </row>
    <row r="5076" spans="1:4" ht="18" customHeight="1" x14ac:dyDescent="0.25">
      <c r="A5076" s="1059">
        <v>5213488</v>
      </c>
      <c r="B5076" s="1060" t="s">
        <v>26739</v>
      </c>
      <c r="C5076" s="1059" t="s">
        <v>39</v>
      </c>
      <c r="D5076" s="1061">
        <v>1102.33</v>
      </c>
    </row>
    <row r="5077" spans="1:4" ht="18" customHeight="1" x14ac:dyDescent="0.25">
      <c r="A5077" s="1059">
        <v>5213568</v>
      </c>
      <c r="B5077" s="1060" t="s">
        <v>26740</v>
      </c>
      <c r="C5077" s="1059" t="s">
        <v>39</v>
      </c>
      <c r="D5077" s="1061">
        <v>1213.43</v>
      </c>
    </row>
    <row r="5078" spans="1:4" ht="9" customHeight="1" x14ac:dyDescent="0.25">
      <c r="A5078" s="1059">
        <v>5213483</v>
      </c>
      <c r="B5078" s="1060" t="s">
        <v>26741</v>
      </c>
      <c r="C5078" s="1059" t="s">
        <v>39</v>
      </c>
      <c r="D5078" s="1061">
        <v>994.46</v>
      </c>
    </row>
    <row r="5079" spans="1:4" ht="18" customHeight="1" x14ac:dyDescent="0.25">
      <c r="A5079" s="1059">
        <v>5213484</v>
      </c>
      <c r="B5079" s="1060" t="s">
        <v>26742</v>
      </c>
      <c r="C5079" s="1059" t="s">
        <v>39</v>
      </c>
      <c r="D5079" s="1061">
        <v>1085.54</v>
      </c>
    </row>
    <row r="5080" spans="1:4" ht="9" customHeight="1" x14ac:dyDescent="0.25">
      <c r="A5080" s="1059">
        <v>5213485</v>
      </c>
      <c r="B5080" s="1060" t="s">
        <v>26743</v>
      </c>
      <c r="C5080" s="1059" t="s">
        <v>39</v>
      </c>
      <c r="D5080" s="1061">
        <v>1159.1199999999999</v>
      </c>
    </row>
    <row r="5081" spans="1:4" ht="9" customHeight="1" x14ac:dyDescent="0.25">
      <c r="A5081" s="1059">
        <v>5213434</v>
      </c>
      <c r="B5081" s="1060" t="s">
        <v>26744</v>
      </c>
      <c r="C5081" s="1059" t="s">
        <v>39</v>
      </c>
      <c r="D5081" s="1061">
        <v>628.88</v>
      </c>
    </row>
    <row r="5082" spans="1:4" ht="9" customHeight="1" x14ac:dyDescent="0.25">
      <c r="A5082" s="1059">
        <v>5213435</v>
      </c>
      <c r="B5082" s="1060" t="s">
        <v>26745</v>
      </c>
      <c r="C5082" s="1059" t="s">
        <v>39</v>
      </c>
      <c r="D5082" s="1061">
        <v>719.96</v>
      </c>
    </row>
    <row r="5083" spans="1:4" ht="9" customHeight="1" x14ac:dyDescent="0.25">
      <c r="A5083" s="1059">
        <v>5213436</v>
      </c>
      <c r="B5083" s="1060" t="s">
        <v>26746</v>
      </c>
      <c r="C5083" s="1059" t="s">
        <v>39</v>
      </c>
      <c r="D5083" s="1061">
        <v>793.54</v>
      </c>
    </row>
    <row r="5084" spans="1:4" ht="9" customHeight="1" x14ac:dyDescent="0.25">
      <c r="A5084" s="1059">
        <v>5213430</v>
      </c>
      <c r="B5084" s="1060" t="s">
        <v>26747</v>
      </c>
      <c r="C5084" s="1059" t="s">
        <v>39</v>
      </c>
      <c r="D5084" s="1061">
        <v>362.38</v>
      </c>
    </row>
    <row r="5085" spans="1:4" ht="9" customHeight="1" x14ac:dyDescent="0.25">
      <c r="A5085" s="1059">
        <v>5213431</v>
      </c>
      <c r="B5085" s="1060" t="s">
        <v>26748</v>
      </c>
      <c r="C5085" s="1059" t="s">
        <v>39</v>
      </c>
      <c r="D5085" s="1061">
        <v>398.81</v>
      </c>
    </row>
    <row r="5086" spans="1:4" ht="9" customHeight="1" x14ac:dyDescent="0.25">
      <c r="A5086" s="1059">
        <v>5213433</v>
      </c>
      <c r="B5086" s="1060" t="s">
        <v>26749</v>
      </c>
      <c r="C5086" s="1059" t="s">
        <v>39</v>
      </c>
      <c r="D5086" s="1061">
        <v>354.21</v>
      </c>
    </row>
    <row r="5087" spans="1:4" ht="9" customHeight="1" x14ac:dyDescent="0.25">
      <c r="A5087" s="1059">
        <v>5213428</v>
      </c>
      <c r="B5087" s="1060" t="s">
        <v>26750</v>
      </c>
      <c r="C5087" s="1059" t="s">
        <v>39</v>
      </c>
      <c r="D5087" s="1061">
        <v>412.07</v>
      </c>
    </row>
    <row r="5088" spans="1:4" ht="9" customHeight="1" x14ac:dyDescent="0.25">
      <c r="A5088" s="1059">
        <v>5213432</v>
      </c>
      <c r="B5088" s="1060" t="s">
        <v>26751</v>
      </c>
      <c r="C5088" s="1059" t="s">
        <v>39</v>
      </c>
      <c r="D5088" s="1061">
        <v>489.89</v>
      </c>
    </row>
    <row r="5089" spans="1:4" ht="9" customHeight="1" x14ac:dyDescent="0.25">
      <c r="A5089" s="1059">
        <v>5213429</v>
      </c>
      <c r="B5089" s="1060" t="s">
        <v>26752</v>
      </c>
      <c r="C5089" s="1059" t="s">
        <v>39</v>
      </c>
      <c r="D5089" s="1061">
        <v>581.13</v>
      </c>
    </row>
    <row r="5090" spans="1:4" ht="9" customHeight="1" x14ac:dyDescent="0.25">
      <c r="A5090" s="1059">
        <v>5213516</v>
      </c>
      <c r="B5090" s="1060" t="s">
        <v>26753</v>
      </c>
      <c r="C5090" s="1059" t="s">
        <v>3</v>
      </c>
      <c r="D5090" s="1061">
        <v>806.12</v>
      </c>
    </row>
    <row r="5091" spans="1:4" ht="9" customHeight="1" x14ac:dyDescent="0.25">
      <c r="A5091" s="1059">
        <v>5213525</v>
      </c>
      <c r="B5091" s="1060" t="s">
        <v>26754</v>
      </c>
      <c r="C5091" s="1059" t="s">
        <v>3</v>
      </c>
      <c r="D5091" s="1061">
        <v>878.98</v>
      </c>
    </row>
    <row r="5092" spans="1:4" ht="9" customHeight="1" x14ac:dyDescent="0.25">
      <c r="A5092" s="1059">
        <v>5213534</v>
      </c>
      <c r="B5092" s="1060" t="s">
        <v>26755</v>
      </c>
      <c r="C5092" s="1059" t="s">
        <v>3</v>
      </c>
      <c r="D5092" s="1061">
        <v>1061.1400000000001</v>
      </c>
    </row>
    <row r="5093" spans="1:4" ht="9" customHeight="1" x14ac:dyDescent="0.25">
      <c r="A5093" s="1059">
        <v>5213517</v>
      </c>
      <c r="B5093" s="1060" t="s">
        <v>26756</v>
      </c>
      <c r="C5093" s="1059" t="s">
        <v>3</v>
      </c>
      <c r="D5093" s="1061">
        <v>1712.07</v>
      </c>
    </row>
    <row r="5094" spans="1:4" ht="9" customHeight="1" x14ac:dyDescent="0.25">
      <c r="A5094" s="1059">
        <v>5213526</v>
      </c>
      <c r="B5094" s="1060" t="s">
        <v>26757</v>
      </c>
      <c r="C5094" s="1059" t="s">
        <v>3</v>
      </c>
      <c r="D5094" s="1061">
        <v>1876</v>
      </c>
    </row>
    <row r="5095" spans="1:4" ht="9" customHeight="1" x14ac:dyDescent="0.25">
      <c r="A5095" s="1059">
        <v>5213535</v>
      </c>
      <c r="B5095" s="1060" t="s">
        <v>26758</v>
      </c>
      <c r="C5095" s="1059" t="s">
        <v>3</v>
      </c>
      <c r="D5095" s="1061">
        <v>2285.86</v>
      </c>
    </row>
    <row r="5096" spans="1:4" ht="9" customHeight="1" x14ac:dyDescent="0.25">
      <c r="A5096" s="1059">
        <v>5213518</v>
      </c>
      <c r="B5096" s="1060" t="s">
        <v>26759</v>
      </c>
      <c r="C5096" s="1059" t="s">
        <v>3</v>
      </c>
      <c r="D5096" s="1061">
        <v>2255.64</v>
      </c>
    </row>
    <row r="5097" spans="1:4" ht="9" customHeight="1" x14ac:dyDescent="0.25">
      <c r="A5097" s="1059">
        <v>5213527</v>
      </c>
      <c r="B5097" s="1060" t="s">
        <v>26760</v>
      </c>
      <c r="C5097" s="1059" t="s">
        <v>3</v>
      </c>
      <c r="D5097" s="1061">
        <v>2474.2199999999998</v>
      </c>
    </row>
    <row r="5098" spans="1:4" ht="9" customHeight="1" x14ac:dyDescent="0.25">
      <c r="A5098" s="1059">
        <v>5213536</v>
      </c>
      <c r="B5098" s="1060" t="s">
        <v>26761</v>
      </c>
      <c r="C5098" s="1059" t="s">
        <v>3</v>
      </c>
      <c r="D5098" s="1061">
        <v>3020.7</v>
      </c>
    </row>
    <row r="5099" spans="1:4" ht="9" customHeight="1" x14ac:dyDescent="0.25">
      <c r="A5099" s="1059">
        <v>5213519</v>
      </c>
      <c r="B5099" s="1060" t="s">
        <v>26762</v>
      </c>
      <c r="C5099" s="1059" t="s">
        <v>3</v>
      </c>
      <c r="D5099" s="1061">
        <v>3061.75</v>
      </c>
    </row>
    <row r="5100" spans="1:4" ht="9" customHeight="1" x14ac:dyDescent="0.25">
      <c r="A5100" s="1059">
        <v>5213528</v>
      </c>
      <c r="B5100" s="1060" t="s">
        <v>26763</v>
      </c>
      <c r="C5100" s="1059" t="s">
        <v>3</v>
      </c>
      <c r="D5100" s="1061">
        <v>3353.19</v>
      </c>
    </row>
    <row r="5101" spans="1:4" ht="9" customHeight="1" x14ac:dyDescent="0.25">
      <c r="A5101" s="1059">
        <v>5213537</v>
      </c>
      <c r="B5101" s="1060" t="s">
        <v>26764</v>
      </c>
      <c r="C5101" s="1059" t="s">
        <v>3</v>
      </c>
      <c r="D5101" s="1061">
        <v>4081.83</v>
      </c>
    </row>
    <row r="5102" spans="1:4" ht="9" customHeight="1" x14ac:dyDescent="0.25">
      <c r="A5102" s="1059">
        <v>5213521</v>
      </c>
      <c r="B5102" s="1060" t="s">
        <v>26765</v>
      </c>
      <c r="C5102" s="1059" t="s">
        <v>3</v>
      </c>
      <c r="D5102" s="1061">
        <v>4511.2700000000004</v>
      </c>
    </row>
    <row r="5103" spans="1:4" ht="9" customHeight="1" x14ac:dyDescent="0.25">
      <c r="A5103" s="1059">
        <v>5213530</v>
      </c>
      <c r="B5103" s="1060" t="s">
        <v>26766</v>
      </c>
      <c r="C5103" s="1059" t="s">
        <v>3</v>
      </c>
      <c r="D5103" s="1061">
        <v>4948.43</v>
      </c>
    </row>
    <row r="5104" spans="1:4" ht="9" customHeight="1" x14ac:dyDescent="0.25">
      <c r="A5104" s="1059">
        <v>5213539</v>
      </c>
      <c r="B5104" s="1060" t="s">
        <v>26767</v>
      </c>
      <c r="C5104" s="1059" t="s">
        <v>3</v>
      </c>
      <c r="D5104" s="1061">
        <v>6041.39</v>
      </c>
    </row>
    <row r="5105" spans="1:4" ht="9" customHeight="1" x14ac:dyDescent="0.25">
      <c r="A5105" s="1059">
        <v>5213573</v>
      </c>
      <c r="B5105" s="1060" t="s">
        <v>26768</v>
      </c>
      <c r="C5105" s="1059" t="s">
        <v>39</v>
      </c>
      <c r="D5105" s="1061">
        <v>416.62</v>
      </c>
    </row>
    <row r="5106" spans="1:4" ht="9" customHeight="1" x14ac:dyDescent="0.25">
      <c r="A5106" s="1059">
        <v>5213574</v>
      </c>
      <c r="B5106" s="1060" t="s">
        <v>26769</v>
      </c>
      <c r="C5106" s="1059" t="s">
        <v>39</v>
      </c>
      <c r="D5106" s="1061">
        <v>453.05</v>
      </c>
    </row>
    <row r="5107" spans="1:4" ht="9" customHeight="1" x14ac:dyDescent="0.25">
      <c r="A5107" s="1059">
        <v>5213575</v>
      </c>
      <c r="B5107" s="1060" t="s">
        <v>26770</v>
      </c>
      <c r="C5107" s="1059" t="s">
        <v>39</v>
      </c>
      <c r="D5107" s="1061">
        <v>544.13</v>
      </c>
    </row>
    <row r="5108" spans="1:4" ht="9" customHeight="1" x14ac:dyDescent="0.25">
      <c r="A5108" s="1059">
        <v>5213480</v>
      </c>
      <c r="B5108" s="1060" t="s">
        <v>26771</v>
      </c>
      <c r="C5108" s="1059" t="s">
        <v>39</v>
      </c>
      <c r="D5108" s="1061">
        <v>892.45</v>
      </c>
    </row>
    <row r="5109" spans="1:4" ht="9" customHeight="1" x14ac:dyDescent="0.25">
      <c r="A5109" s="1059">
        <v>5213481</v>
      </c>
      <c r="B5109" s="1060" t="s">
        <v>26772</v>
      </c>
      <c r="C5109" s="1059" t="s">
        <v>39</v>
      </c>
      <c r="D5109" s="1061">
        <v>983.53</v>
      </c>
    </row>
    <row r="5110" spans="1:4" ht="9" customHeight="1" x14ac:dyDescent="0.25">
      <c r="A5110" s="1059">
        <v>5213482</v>
      </c>
      <c r="B5110" s="1060" t="s">
        <v>26773</v>
      </c>
      <c r="C5110" s="1059" t="s">
        <v>39</v>
      </c>
      <c r="D5110" s="1061">
        <v>1057.1099999999999</v>
      </c>
    </row>
    <row r="5111" spans="1:4" ht="9" customHeight="1" x14ac:dyDescent="0.25">
      <c r="A5111" s="1059">
        <v>5213422</v>
      </c>
      <c r="B5111" s="1060" t="s">
        <v>26774</v>
      </c>
      <c r="C5111" s="1059" t="s">
        <v>39</v>
      </c>
      <c r="D5111" s="1061">
        <v>544.21</v>
      </c>
    </row>
    <row r="5112" spans="1:4" ht="9" customHeight="1" x14ac:dyDescent="0.25">
      <c r="A5112" s="1059">
        <v>5213423</v>
      </c>
      <c r="B5112" s="1060" t="s">
        <v>26775</v>
      </c>
      <c r="C5112" s="1059" t="s">
        <v>39</v>
      </c>
      <c r="D5112" s="1061">
        <v>580.64</v>
      </c>
    </row>
    <row r="5113" spans="1:4" ht="9" customHeight="1" x14ac:dyDescent="0.25">
      <c r="A5113" s="1059">
        <v>5213424</v>
      </c>
      <c r="B5113" s="1060" t="s">
        <v>26776</v>
      </c>
      <c r="C5113" s="1059" t="s">
        <v>39</v>
      </c>
      <c r="D5113" s="1061">
        <v>671.73</v>
      </c>
    </row>
    <row r="5114" spans="1:4" ht="18" customHeight="1" x14ac:dyDescent="0.25">
      <c r="A5114" s="1059">
        <v>5213437</v>
      </c>
      <c r="B5114" s="1060" t="s">
        <v>26777</v>
      </c>
      <c r="C5114" s="1059" t="s">
        <v>39</v>
      </c>
      <c r="D5114" s="1061">
        <v>526.87</v>
      </c>
    </row>
    <row r="5115" spans="1:4" ht="18" customHeight="1" x14ac:dyDescent="0.25">
      <c r="A5115" s="1059">
        <v>5213438</v>
      </c>
      <c r="B5115" s="1060" t="s">
        <v>26778</v>
      </c>
      <c r="C5115" s="1059" t="s">
        <v>39</v>
      </c>
      <c r="D5115" s="1061">
        <v>617.95000000000005</v>
      </c>
    </row>
    <row r="5116" spans="1:4" ht="18" customHeight="1" x14ac:dyDescent="0.25">
      <c r="A5116" s="1059">
        <v>5213439</v>
      </c>
      <c r="B5116" s="1060" t="s">
        <v>26779</v>
      </c>
      <c r="C5116" s="1059" t="s">
        <v>39</v>
      </c>
      <c r="D5116" s="1061">
        <v>691.53</v>
      </c>
    </row>
    <row r="5117" spans="1:4" ht="18" customHeight="1" x14ac:dyDescent="0.25">
      <c r="A5117" s="1059">
        <v>5212556</v>
      </c>
      <c r="B5117" s="1060" t="s">
        <v>26780</v>
      </c>
      <c r="C5117" s="1059" t="s">
        <v>26562</v>
      </c>
      <c r="D5117" s="1061">
        <v>2.09</v>
      </c>
    </row>
    <row r="5118" spans="1:4" ht="18" customHeight="1" x14ac:dyDescent="0.25">
      <c r="A5118" s="1059">
        <v>5213649</v>
      </c>
      <c r="B5118" s="1060" t="s">
        <v>26781</v>
      </c>
      <c r="C5118" s="1059" t="s">
        <v>3</v>
      </c>
      <c r="D5118" s="1061">
        <v>91913.69</v>
      </c>
    </row>
    <row r="5119" spans="1:4" ht="18" customHeight="1" x14ac:dyDescent="0.25">
      <c r="A5119" s="1059">
        <v>5213591</v>
      </c>
      <c r="B5119" s="1060" t="s">
        <v>26782</v>
      </c>
      <c r="C5119" s="1059" t="s">
        <v>3</v>
      </c>
      <c r="D5119" s="1061">
        <v>91913.69</v>
      </c>
    </row>
    <row r="5120" spans="1:4" ht="18" customHeight="1" x14ac:dyDescent="0.25">
      <c r="A5120" s="1059">
        <v>5213718</v>
      </c>
      <c r="B5120" s="1060" t="s">
        <v>26783</v>
      </c>
      <c r="C5120" s="1059" t="s">
        <v>3</v>
      </c>
      <c r="D5120" s="1061">
        <v>101757.61</v>
      </c>
    </row>
    <row r="5121" spans="1:4" ht="18" customHeight="1" x14ac:dyDescent="0.25">
      <c r="A5121" s="1059">
        <v>5213741</v>
      </c>
      <c r="B5121" s="1060" t="s">
        <v>26784</v>
      </c>
      <c r="C5121" s="1059" t="s">
        <v>3</v>
      </c>
      <c r="D5121" s="1061">
        <v>101757.61</v>
      </c>
    </row>
    <row r="5122" spans="1:4" ht="18" customHeight="1" x14ac:dyDescent="0.25">
      <c r="A5122" s="1059">
        <v>5213776</v>
      </c>
      <c r="B5122" s="1060" t="s">
        <v>26785</v>
      </c>
      <c r="C5122" s="1059" t="s">
        <v>3</v>
      </c>
      <c r="D5122" s="1061">
        <v>111601.53</v>
      </c>
    </row>
    <row r="5123" spans="1:4" ht="18" customHeight="1" x14ac:dyDescent="0.25">
      <c r="A5123" s="1059">
        <v>5213799</v>
      </c>
      <c r="B5123" s="1060" t="s">
        <v>26786</v>
      </c>
      <c r="C5123" s="1059" t="s">
        <v>3</v>
      </c>
      <c r="D5123" s="1061">
        <v>111601.53</v>
      </c>
    </row>
    <row r="5124" spans="1:4" ht="9" customHeight="1" x14ac:dyDescent="0.25">
      <c r="A5124" s="1059">
        <v>5213363</v>
      </c>
      <c r="B5124" s="1060" t="s">
        <v>26787</v>
      </c>
      <c r="C5124" s="1059" t="s">
        <v>39</v>
      </c>
      <c r="D5124" s="1061">
        <v>37.31</v>
      </c>
    </row>
    <row r="5125" spans="1:4" ht="9" customHeight="1" x14ac:dyDescent="0.25">
      <c r="A5125" s="1059">
        <v>5213616</v>
      </c>
      <c r="B5125" s="1060" t="s">
        <v>26788</v>
      </c>
      <c r="C5125" s="1059" t="s">
        <v>38</v>
      </c>
      <c r="D5125" s="1061">
        <v>823.14</v>
      </c>
    </row>
    <row r="5126" spans="1:4" ht="9" customHeight="1" x14ac:dyDescent="0.25">
      <c r="A5126" s="1059">
        <v>5213667</v>
      </c>
      <c r="B5126" s="1060" t="s">
        <v>26789</v>
      </c>
      <c r="C5126" s="1059" t="s">
        <v>3</v>
      </c>
      <c r="D5126" s="1061">
        <v>352.15</v>
      </c>
    </row>
    <row r="5127" spans="1:4" ht="9" customHeight="1" x14ac:dyDescent="0.25">
      <c r="A5127" s="1059">
        <v>5213683</v>
      </c>
      <c r="B5127" s="1060" t="s">
        <v>26790</v>
      </c>
      <c r="C5127" s="1059" t="s">
        <v>3</v>
      </c>
      <c r="D5127" s="1061">
        <v>250.31</v>
      </c>
    </row>
    <row r="5128" spans="1:4" ht="9" customHeight="1" x14ac:dyDescent="0.25">
      <c r="A5128" s="1059">
        <v>5213660</v>
      </c>
      <c r="B5128" s="1060" t="s">
        <v>26791</v>
      </c>
      <c r="C5128" s="1059" t="s">
        <v>3</v>
      </c>
      <c r="D5128" s="1061">
        <v>208.59</v>
      </c>
    </row>
    <row r="5129" spans="1:4" ht="9" customHeight="1" x14ac:dyDescent="0.25">
      <c r="A5129" s="1059">
        <v>5213364</v>
      </c>
      <c r="B5129" s="1060" t="s">
        <v>26792</v>
      </c>
      <c r="C5129" s="1059" t="s">
        <v>39</v>
      </c>
      <c r="D5129" s="1061">
        <v>20.58</v>
      </c>
    </row>
    <row r="5130" spans="1:4" ht="9" customHeight="1" x14ac:dyDescent="0.25">
      <c r="A5130" s="1059">
        <v>5213832</v>
      </c>
      <c r="B5130" s="1060" t="s">
        <v>26793</v>
      </c>
      <c r="C5130" s="1059" t="s">
        <v>39</v>
      </c>
      <c r="D5130" s="1061">
        <v>3.67</v>
      </c>
    </row>
    <row r="5131" spans="1:4" ht="9" customHeight="1" x14ac:dyDescent="0.25">
      <c r="A5131" s="1059">
        <v>5213830</v>
      </c>
      <c r="B5131" s="1060" t="s">
        <v>26794</v>
      </c>
      <c r="C5131" s="1059" t="s">
        <v>39</v>
      </c>
      <c r="D5131" s="1061">
        <v>3.67</v>
      </c>
    </row>
    <row r="5132" spans="1:4" ht="9" customHeight="1" x14ac:dyDescent="0.25">
      <c r="A5132" s="1059">
        <v>5213831</v>
      </c>
      <c r="B5132" s="1060" t="s">
        <v>26795</v>
      </c>
      <c r="C5132" s="1059" t="s">
        <v>39</v>
      </c>
      <c r="D5132" s="1061">
        <v>53.18</v>
      </c>
    </row>
    <row r="5133" spans="1:4" ht="9" customHeight="1" x14ac:dyDescent="0.25">
      <c r="A5133" s="1059">
        <v>5213849</v>
      </c>
      <c r="B5133" s="1060" t="s">
        <v>26796</v>
      </c>
      <c r="C5133" s="1059" t="s">
        <v>24766</v>
      </c>
      <c r="D5133" s="1061">
        <v>3.41</v>
      </c>
    </row>
    <row r="5134" spans="1:4" ht="18" customHeight="1" x14ac:dyDescent="0.25">
      <c r="A5134" s="1059">
        <v>5213636</v>
      </c>
      <c r="B5134" s="1060" t="s">
        <v>26797</v>
      </c>
      <c r="C5134" s="1059" t="s">
        <v>3</v>
      </c>
      <c r="D5134" s="1061">
        <v>77716.36</v>
      </c>
    </row>
    <row r="5135" spans="1:4" ht="18" customHeight="1" x14ac:dyDescent="0.25">
      <c r="A5135" s="1059">
        <v>5213642</v>
      </c>
      <c r="B5135" s="1060" t="s">
        <v>26798</v>
      </c>
      <c r="C5135" s="1059" t="s">
        <v>3</v>
      </c>
      <c r="D5135" s="1061">
        <v>77716.36</v>
      </c>
    </row>
    <row r="5136" spans="1:4" ht="18" customHeight="1" x14ac:dyDescent="0.25">
      <c r="A5136" s="1059">
        <v>5213757</v>
      </c>
      <c r="B5136" s="1060" t="s">
        <v>26799</v>
      </c>
      <c r="C5136" s="1059" t="s">
        <v>3</v>
      </c>
      <c r="D5136" s="1061">
        <v>86158.19</v>
      </c>
    </row>
    <row r="5137" spans="1:4" ht="18" customHeight="1" x14ac:dyDescent="0.25">
      <c r="A5137" s="1059">
        <v>5213763</v>
      </c>
      <c r="B5137" s="1060" t="s">
        <v>26800</v>
      </c>
      <c r="C5137" s="1059" t="s">
        <v>3</v>
      </c>
      <c r="D5137" s="1061">
        <v>86158.19</v>
      </c>
    </row>
    <row r="5138" spans="1:4" ht="18" customHeight="1" x14ac:dyDescent="0.25">
      <c r="A5138" s="1059">
        <v>5213815</v>
      </c>
      <c r="B5138" s="1060" t="s">
        <v>26801</v>
      </c>
      <c r="C5138" s="1059" t="s">
        <v>3</v>
      </c>
      <c r="D5138" s="1061">
        <v>94600.01</v>
      </c>
    </row>
    <row r="5139" spans="1:4" ht="18" customHeight="1" x14ac:dyDescent="0.25">
      <c r="A5139" s="1059">
        <v>5213821</v>
      </c>
      <c r="B5139" s="1060" t="s">
        <v>26802</v>
      </c>
      <c r="C5139" s="1059" t="s">
        <v>3</v>
      </c>
      <c r="D5139" s="1061">
        <v>94600.01</v>
      </c>
    </row>
    <row r="5140" spans="1:4" ht="18" customHeight="1" x14ac:dyDescent="0.25">
      <c r="A5140" s="1059">
        <v>5213630</v>
      </c>
      <c r="B5140" s="1060" t="s">
        <v>26803</v>
      </c>
      <c r="C5140" s="1059" t="s">
        <v>3</v>
      </c>
      <c r="D5140" s="1061">
        <v>46696.4</v>
      </c>
    </row>
    <row r="5141" spans="1:4" ht="18" customHeight="1" x14ac:dyDescent="0.25">
      <c r="A5141" s="1059">
        <v>5213584</v>
      </c>
      <c r="B5141" s="1060" t="s">
        <v>26804</v>
      </c>
      <c r="C5141" s="1059" t="s">
        <v>3</v>
      </c>
      <c r="D5141" s="1061">
        <v>46696.4</v>
      </c>
    </row>
    <row r="5142" spans="1:4" ht="18" customHeight="1" x14ac:dyDescent="0.25">
      <c r="A5142" s="1059">
        <v>5213711</v>
      </c>
      <c r="B5142" s="1060" t="s">
        <v>26805</v>
      </c>
      <c r="C5142" s="1059" t="s">
        <v>3</v>
      </c>
      <c r="D5142" s="1061">
        <v>51905.29</v>
      </c>
    </row>
    <row r="5143" spans="1:4" ht="18" customHeight="1" x14ac:dyDescent="0.25">
      <c r="A5143" s="1059">
        <v>5213734</v>
      </c>
      <c r="B5143" s="1060" t="s">
        <v>26806</v>
      </c>
      <c r="C5143" s="1059" t="s">
        <v>3</v>
      </c>
      <c r="D5143" s="1061">
        <v>51905.29</v>
      </c>
    </row>
    <row r="5144" spans="1:4" ht="18" customHeight="1" x14ac:dyDescent="0.25">
      <c r="A5144" s="1059">
        <v>5213769</v>
      </c>
      <c r="B5144" s="1060" t="s">
        <v>26807</v>
      </c>
      <c r="C5144" s="1059" t="s">
        <v>3</v>
      </c>
      <c r="D5144" s="1061">
        <v>56686.720000000001</v>
      </c>
    </row>
    <row r="5145" spans="1:4" ht="18" customHeight="1" x14ac:dyDescent="0.25">
      <c r="A5145" s="1059">
        <v>5213792</v>
      </c>
      <c r="B5145" s="1060" t="s">
        <v>26808</v>
      </c>
      <c r="C5145" s="1059" t="s">
        <v>3</v>
      </c>
      <c r="D5145" s="1061">
        <v>56686.720000000001</v>
      </c>
    </row>
    <row r="5146" spans="1:4" ht="9" customHeight="1" x14ac:dyDescent="0.25">
      <c r="A5146" s="1059">
        <v>5213844</v>
      </c>
      <c r="B5146" s="1060" t="s">
        <v>26809</v>
      </c>
      <c r="C5146" s="1059" t="s">
        <v>24766</v>
      </c>
      <c r="D5146" s="1061">
        <v>3.34</v>
      </c>
    </row>
    <row r="5147" spans="1:4" ht="9" customHeight="1" x14ac:dyDescent="0.25">
      <c r="A5147" s="1059">
        <v>5213869</v>
      </c>
      <c r="B5147" s="1060" t="s">
        <v>26810</v>
      </c>
      <c r="C5147" s="1059" t="s">
        <v>3</v>
      </c>
      <c r="D5147" s="1061">
        <v>2417.4499999999998</v>
      </c>
    </row>
    <row r="5148" spans="1:4" ht="9" customHeight="1" x14ac:dyDescent="0.25">
      <c r="A5148" s="1059">
        <v>5213870</v>
      </c>
      <c r="B5148" s="1060" t="s">
        <v>26811</v>
      </c>
      <c r="C5148" s="1059" t="s">
        <v>3</v>
      </c>
      <c r="D5148" s="1061">
        <v>3241.96</v>
      </c>
    </row>
    <row r="5149" spans="1:4" ht="9" customHeight="1" x14ac:dyDescent="0.25">
      <c r="A5149" s="1059">
        <v>5213871</v>
      </c>
      <c r="B5149" s="1060" t="s">
        <v>26812</v>
      </c>
      <c r="C5149" s="1059" t="s">
        <v>3</v>
      </c>
      <c r="D5149" s="1061">
        <v>3337.7</v>
      </c>
    </row>
    <row r="5150" spans="1:4" ht="9" customHeight="1" x14ac:dyDescent="0.25">
      <c r="A5150" s="1059">
        <v>5213872</v>
      </c>
      <c r="B5150" s="1060" t="s">
        <v>26813</v>
      </c>
      <c r="C5150" s="1059" t="s">
        <v>3</v>
      </c>
      <c r="D5150" s="1061">
        <v>5324.55</v>
      </c>
    </row>
    <row r="5151" spans="1:4" ht="9" customHeight="1" x14ac:dyDescent="0.25">
      <c r="A5151" s="1059">
        <v>5213867</v>
      </c>
      <c r="B5151" s="1060" t="s">
        <v>26814</v>
      </c>
      <c r="C5151" s="1059" t="s">
        <v>3</v>
      </c>
      <c r="D5151" s="1061">
        <v>564.66999999999996</v>
      </c>
    </row>
    <row r="5152" spans="1:4" ht="18" customHeight="1" x14ac:dyDescent="0.25">
      <c r="A5152" s="1059">
        <v>5213863</v>
      </c>
      <c r="B5152" s="1060" t="s">
        <v>26815</v>
      </c>
      <c r="C5152" s="1059" t="s">
        <v>3</v>
      </c>
      <c r="D5152" s="1061">
        <v>455.09</v>
      </c>
    </row>
    <row r="5153" spans="1:4" ht="18" customHeight="1" x14ac:dyDescent="0.25">
      <c r="A5153" s="1059">
        <v>5213864</v>
      </c>
      <c r="B5153" s="1060" t="s">
        <v>26816</v>
      </c>
      <c r="C5153" s="1059" t="s">
        <v>3</v>
      </c>
      <c r="D5153" s="1061">
        <v>484.97</v>
      </c>
    </row>
    <row r="5154" spans="1:4" ht="18" customHeight="1" x14ac:dyDescent="0.25">
      <c r="A5154" s="1059">
        <v>5213865</v>
      </c>
      <c r="B5154" s="1060" t="s">
        <v>26817</v>
      </c>
      <c r="C5154" s="1059" t="s">
        <v>3</v>
      </c>
      <c r="D5154" s="1061">
        <v>515.04</v>
      </c>
    </row>
    <row r="5155" spans="1:4" ht="18" customHeight="1" x14ac:dyDescent="0.25">
      <c r="A5155" s="1059">
        <v>5213866</v>
      </c>
      <c r="B5155" s="1060" t="s">
        <v>26818</v>
      </c>
      <c r="C5155" s="1059" t="s">
        <v>3</v>
      </c>
      <c r="D5155" s="1061">
        <v>581.66999999999996</v>
      </c>
    </row>
    <row r="5156" spans="1:4" ht="9" customHeight="1" x14ac:dyDescent="0.25">
      <c r="A5156" s="1059">
        <v>5213855</v>
      </c>
      <c r="B5156" s="1060" t="s">
        <v>26819</v>
      </c>
      <c r="C5156" s="1059" t="s">
        <v>3</v>
      </c>
      <c r="D5156" s="1061">
        <v>408.54</v>
      </c>
    </row>
    <row r="5157" spans="1:4" ht="9" customHeight="1" x14ac:dyDescent="0.25">
      <c r="A5157" s="1059">
        <v>5213856</v>
      </c>
      <c r="B5157" s="1060" t="s">
        <v>26820</v>
      </c>
      <c r="C5157" s="1059" t="s">
        <v>3</v>
      </c>
      <c r="D5157" s="1061">
        <v>423.93</v>
      </c>
    </row>
    <row r="5158" spans="1:4" ht="9" customHeight="1" x14ac:dyDescent="0.25">
      <c r="A5158" s="1059">
        <v>5213857</v>
      </c>
      <c r="B5158" s="1060" t="s">
        <v>26821</v>
      </c>
      <c r="C5158" s="1059" t="s">
        <v>3</v>
      </c>
      <c r="D5158" s="1061">
        <v>438.7</v>
      </c>
    </row>
    <row r="5159" spans="1:4" ht="9" customHeight="1" x14ac:dyDescent="0.25">
      <c r="A5159" s="1059">
        <v>5213858</v>
      </c>
      <c r="B5159" s="1060" t="s">
        <v>26822</v>
      </c>
      <c r="C5159" s="1059" t="s">
        <v>3</v>
      </c>
      <c r="D5159" s="1061">
        <v>454.28</v>
      </c>
    </row>
    <row r="5160" spans="1:4" ht="9" customHeight="1" x14ac:dyDescent="0.25">
      <c r="A5160" s="1059">
        <v>5213859</v>
      </c>
      <c r="B5160" s="1060" t="s">
        <v>26823</v>
      </c>
      <c r="C5160" s="1059" t="s">
        <v>3</v>
      </c>
      <c r="D5160" s="1061">
        <v>450.12</v>
      </c>
    </row>
    <row r="5161" spans="1:4" ht="9" customHeight="1" x14ac:dyDescent="0.25">
      <c r="A5161" s="1059">
        <v>5213860</v>
      </c>
      <c r="B5161" s="1060" t="s">
        <v>26824</v>
      </c>
      <c r="C5161" s="1059" t="s">
        <v>3</v>
      </c>
      <c r="D5161" s="1061">
        <v>465.45</v>
      </c>
    </row>
    <row r="5162" spans="1:4" ht="9" customHeight="1" x14ac:dyDescent="0.25">
      <c r="A5162" s="1059">
        <v>5213861</v>
      </c>
      <c r="B5162" s="1060" t="s">
        <v>26825</v>
      </c>
      <c r="C5162" s="1059" t="s">
        <v>3</v>
      </c>
      <c r="D5162" s="1061">
        <v>494.26</v>
      </c>
    </row>
    <row r="5163" spans="1:4" ht="9" customHeight="1" x14ac:dyDescent="0.25">
      <c r="A5163" s="1059">
        <v>5213862</v>
      </c>
      <c r="B5163" s="1060" t="s">
        <v>26826</v>
      </c>
      <c r="C5163" s="1059" t="s">
        <v>3</v>
      </c>
      <c r="D5163" s="1061">
        <v>560.54999999999995</v>
      </c>
    </row>
    <row r="5164" spans="1:4" ht="9" customHeight="1" x14ac:dyDescent="0.25">
      <c r="A5164" s="1059">
        <v>5213868</v>
      </c>
      <c r="B5164" s="1060" t="s">
        <v>26827</v>
      </c>
      <c r="C5164" s="1059" t="s">
        <v>3</v>
      </c>
      <c r="D5164" s="1061">
        <v>1117.45</v>
      </c>
    </row>
    <row r="5165" spans="1:4" ht="9" customHeight="1" x14ac:dyDescent="0.25">
      <c r="A5165" s="1059">
        <v>5219546</v>
      </c>
      <c r="B5165" s="1060" t="s">
        <v>26828</v>
      </c>
      <c r="C5165" s="1059" t="s">
        <v>3</v>
      </c>
      <c r="D5165" s="1061">
        <v>339.42</v>
      </c>
    </row>
    <row r="5166" spans="1:4" ht="9" customHeight="1" x14ac:dyDescent="0.25">
      <c r="A5166" s="1059">
        <v>5216111</v>
      </c>
      <c r="B5166" s="1060" t="s">
        <v>26829</v>
      </c>
      <c r="C5166" s="1059" t="s">
        <v>3</v>
      </c>
      <c r="D5166" s="1061">
        <v>117.09</v>
      </c>
    </row>
    <row r="5167" spans="1:4" ht="9" customHeight="1" x14ac:dyDescent="0.25">
      <c r="A5167" s="1059">
        <v>5213351</v>
      </c>
      <c r="B5167" s="1060" t="s">
        <v>26830</v>
      </c>
      <c r="C5167" s="1059" t="s">
        <v>3</v>
      </c>
      <c r="D5167" s="1061">
        <v>653.39</v>
      </c>
    </row>
    <row r="5168" spans="1:4" ht="9" customHeight="1" x14ac:dyDescent="0.25">
      <c r="A5168" s="1059">
        <v>5213350</v>
      </c>
      <c r="B5168" s="1060" t="s">
        <v>26831</v>
      </c>
      <c r="C5168" s="1059" t="s">
        <v>3</v>
      </c>
      <c r="D5168" s="1061">
        <v>1688.14</v>
      </c>
    </row>
    <row r="5169" spans="1:4" ht="9" customHeight="1" x14ac:dyDescent="0.25">
      <c r="A5169" s="1059">
        <v>5213352</v>
      </c>
      <c r="B5169" s="1060" t="s">
        <v>26832</v>
      </c>
      <c r="C5169" s="1059" t="s">
        <v>3</v>
      </c>
      <c r="D5169" s="1061">
        <v>888.43</v>
      </c>
    </row>
    <row r="5170" spans="1:4" ht="18" customHeight="1" x14ac:dyDescent="0.25">
      <c r="A5170" s="1059">
        <v>5213353</v>
      </c>
      <c r="B5170" s="1060" t="s">
        <v>26833</v>
      </c>
      <c r="C5170" s="1059" t="s">
        <v>3</v>
      </c>
      <c r="D5170" s="1061">
        <v>2450.56</v>
      </c>
    </row>
    <row r="5171" spans="1:4" ht="9" customHeight="1" x14ac:dyDescent="0.25">
      <c r="A5171" s="1059">
        <v>5213360</v>
      </c>
      <c r="B5171" s="1060" t="s">
        <v>26834</v>
      </c>
      <c r="C5171" s="1059" t="s">
        <v>3</v>
      </c>
      <c r="D5171" s="1061">
        <v>25.89</v>
      </c>
    </row>
    <row r="5172" spans="1:4" ht="9" customHeight="1" x14ac:dyDescent="0.25">
      <c r="A5172" s="1059">
        <v>5219605</v>
      </c>
      <c r="B5172" s="1060" t="s">
        <v>26835</v>
      </c>
      <c r="C5172" s="1059" t="s">
        <v>3</v>
      </c>
      <c r="D5172" s="1061">
        <v>24.89</v>
      </c>
    </row>
    <row r="5173" spans="1:4" ht="9" customHeight="1" x14ac:dyDescent="0.25">
      <c r="A5173" s="1059">
        <v>5219606</v>
      </c>
      <c r="B5173" s="1060" t="s">
        <v>26836</v>
      </c>
      <c r="C5173" s="1059" t="s">
        <v>3</v>
      </c>
      <c r="D5173" s="1061">
        <v>36.5</v>
      </c>
    </row>
    <row r="5174" spans="1:4" ht="9" customHeight="1" x14ac:dyDescent="0.25">
      <c r="A5174" s="1059">
        <v>5219607</v>
      </c>
      <c r="B5174" s="1060" t="s">
        <v>26837</v>
      </c>
      <c r="C5174" s="1059" t="s">
        <v>3</v>
      </c>
      <c r="D5174" s="1061">
        <v>30.84</v>
      </c>
    </row>
    <row r="5175" spans="1:4" ht="9" customHeight="1" x14ac:dyDescent="0.25">
      <c r="A5175" s="1059">
        <v>5219608</v>
      </c>
      <c r="B5175" s="1060" t="s">
        <v>26838</v>
      </c>
      <c r="C5175" s="1059" t="s">
        <v>3</v>
      </c>
      <c r="D5175" s="1061">
        <v>36.880000000000003</v>
      </c>
    </row>
    <row r="5176" spans="1:4" ht="9" customHeight="1" x14ac:dyDescent="0.25">
      <c r="A5176" s="1059">
        <v>5219609</v>
      </c>
      <c r="B5176" s="1060" t="s">
        <v>26839</v>
      </c>
      <c r="C5176" s="1059" t="s">
        <v>3</v>
      </c>
      <c r="D5176" s="1061">
        <v>30.69</v>
      </c>
    </row>
    <row r="5177" spans="1:4" ht="9" customHeight="1" x14ac:dyDescent="0.25">
      <c r="A5177" s="1059">
        <v>5219610</v>
      </c>
      <c r="B5177" s="1060" t="s">
        <v>26840</v>
      </c>
      <c r="C5177" s="1059" t="s">
        <v>3</v>
      </c>
      <c r="D5177" s="1061">
        <v>35.18</v>
      </c>
    </row>
    <row r="5178" spans="1:4" ht="9" customHeight="1" x14ac:dyDescent="0.25">
      <c r="A5178" s="1059">
        <v>5219611</v>
      </c>
      <c r="B5178" s="1060" t="s">
        <v>26841</v>
      </c>
      <c r="C5178" s="1059" t="s">
        <v>3</v>
      </c>
      <c r="D5178" s="1061">
        <v>34.78</v>
      </c>
    </row>
    <row r="5179" spans="1:4" ht="9" customHeight="1" x14ac:dyDescent="0.25">
      <c r="A5179" s="1059">
        <v>5213359</v>
      </c>
      <c r="B5179" s="1060" t="s">
        <v>26842</v>
      </c>
      <c r="C5179" s="1059" t="s">
        <v>3</v>
      </c>
      <c r="D5179" s="1061">
        <v>23.15</v>
      </c>
    </row>
    <row r="5180" spans="1:4" ht="9" customHeight="1" x14ac:dyDescent="0.25">
      <c r="A5180" s="1059">
        <v>5219612</v>
      </c>
      <c r="B5180" s="1060" t="s">
        <v>26843</v>
      </c>
      <c r="C5180" s="1059" t="s">
        <v>3</v>
      </c>
      <c r="D5180" s="1061">
        <v>21.06</v>
      </c>
    </row>
    <row r="5181" spans="1:4" ht="9" customHeight="1" x14ac:dyDescent="0.25">
      <c r="A5181" s="1059">
        <v>5219613</v>
      </c>
      <c r="B5181" s="1060" t="s">
        <v>26844</v>
      </c>
      <c r="C5181" s="1059" t="s">
        <v>3</v>
      </c>
      <c r="D5181" s="1061">
        <v>30.5</v>
      </c>
    </row>
    <row r="5182" spans="1:4" ht="9" customHeight="1" x14ac:dyDescent="0.25">
      <c r="A5182" s="1059">
        <v>5219614</v>
      </c>
      <c r="B5182" s="1060" t="s">
        <v>26845</v>
      </c>
      <c r="C5182" s="1059" t="s">
        <v>3</v>
      </c>
      <c r="D5182" s="1061">
        <v>27.91</v>
      </c>
    </row>
    <row r="5183" spans="1:4" ht="9" customHeight="1" x14ac:dyDescent="0.25">
      <c r="A5183" s="1059">
        <v>5219615</v>
      </c>
      <c r="B5183" s="1060" t="s">
        <v>26846</v>
      </c>
      <c r="C5183" s="1059" t="s">
        <v>3</v>
      </c>
      <c r="D5183" s="1061">
        <v>31.56</v>
      </c>
    </row>
    <row r="5184" spans="1:4" ht="9" customHeight="1" x14ac:dyDescent="0.25">
      <c r="A5184" s="1059">
        <v>5219616</v>
      </c>
      <c r="B5184" s="1060" t="s">
        <v>26847</v>
      </c>
      <c r="C5184" s="1059" t="s">
        <v>3</v>
      </c>
      <c r="D5184" s="1061">
        <v>28.42</v>
      </c>
    </row>
    <row r="5185" spans="1:4" ht="9" customHeight="1" x14ac:dyDescent="0.25">
      <c r="A5185" s="1059">
        <v>5219617</v>
      </c>
      <c r="B5185" s="1060" t="s">
        <v>26848</v>
      </c>
      <c r="C5185" s="1059" t="s">
        <v>3</v>
      </c>
      <c r="D5185" s="1061">
        <v>39.89</v>
      </c>
    </row>
    <row r="5186" spans="1:4" ht="9" customHeight="1" x14ac:dyDescent="0.25">
      <c r="A5186" s="1059">
        <v>5219618</v>
      </c>
      <c r="B5186" s="1060" t="s">
        <v>26849</v>
      </c>
      <c r="C5186" s="1059" t="s">
        <v>3</v>
      </c>
      <c r="D5186" s="1061">
        <v>30.25</v>
      </c>
    </row>
    <row r="5187" spans="1:4" ht="9" customHeight="1" x14ac:dyDescent="0.25">
      <c r="A5187" s="1059">
        <v>5219619</v>
      </c>
      <c r="B5187" s="1060" t="s">
        <v>26850</v>
      </c>
      <c r="C5187" s="1059" t="s">
        <v>3</v>
      </c>
      <c r="D5187" s="1061">
        <v>41.36</v>
      </c>
    </row>
    <row r="5188" spans="1:4" ht="9" customHeight="1" x14ac:dyDescent="0.25">
      <c r="A5188" s="1059">
        <v>5219620</v>
      </c>
      <c r="B5188" s="1060" t="s">
        <v>26851</v>
      </c>
      <c r="C5188" s="1059" t="s">
        <v>3</v>
      </c>
      <c r="D5188" s="1061">
        <v>39.06</v>
      </c>
    </row>
    <row r="5189" spans="1:4" ht="9" customHeight="1" x14ac:dyDescent="0.25">
      <c r="A5189" s="1059">
        <v>5219621</v>
      </c>
      <c r="B5189" s="1060" t="s">
        <v>26852</v>
      </c>
      <c r="C5189" s="1059" t="s">
        <v>3</v>
      </c>
      <c r="D5189" s="1061">
        <v>48.47</v>
      </c>
    </row>
    <row r="5190" spans="1:4" ht="9" customHeight="1" x14ac:dyDescent="0.25">
      <c r="A5190" s="1059">
        <v>5219622</v>
      </c>
      <c r="B5190" s="1060" t="s">
        <v>26853</v>
      </c>
      <c r="C5190" s="1059" t="s">
        <v>3</v>
      </c>
      <c r="D5190" s="1061">
        <v>46.08</v>
      </c>
    </row>
    <row r="5191" spans="1:4" ht="9" customHeight="1" x14ac:dyDescent="0.25">
      <c r="A5191" s="1059">
        <v>5219623</v>
      </c>
      <c r="B5191" s="1060" t="s">
        <v>26854</v>
      </c>
      <c r="C5191" s="1059" t="s">
        <v>3</v>
      </c>
      <c r="D5191" s="1061">
        <v>52.73</v>
      </c>
    </row>
    <row r="5192" spans="1:4" ht="9" customHeight="1" x14ac:dyDescent="0.25">
      <c r="A5192" s="1059">
        <v>5219624</v>
      </c>
      <c r="B5192" s="1060" t="s">
        <v>26855</v>
      </c>
      <c r="C5192" s="1059" t="s">
        <v>3</v>
      </c>
      <c r="D5192" s="1061">
        <v>50.19</v>
      </c>
    </row>
    <row r="5193" spans="1:4" ht="9" customHeight="1" x14ac:dyDescent="0.25">
      <c r="A5193" s="1059">
        <v>5219625</v>
      </c>
      <c r="B5193" s="1060" t="s">
        <v>26856</v>
      </c>
      <c r="C5193" s="1059" t="s">
        <v>3</v>
      </c>
      <c r="D5193" s="1061">
        <v>43.58</v>
      </c>
    </row>
    <row r="5194" spans="1:4" ht="9" customHeight="1" x14ac:dyDescent="0.25">
      <c r="A5194" s="1059">
        <v>5219626</v>
      </c>
      <c r="B5194" s="1060" t="s">
        <v>26857</v>
      </c>
      <c r="C5194" s="1059" t="s">
        <v>3</v>
      </c>
      <c r="D5194" s="1061">
        <v>68.739999999999995</v>
      </c>
    </row>
    <row r="5195" spans="1:4" ht="9" customHeight="1" x14ac:dyDescent="0.25">
      <c r="A5195" s="1059">
        <v>5219627</v>
      </c>
      <c r="B5195" s="1060" t="s">
        <v>26858</v>
      </c>
      <c r="C5195" s="1059" t="s">
        <v>3</v>
      </c>
      <c r="D5195" s="1061">
        <v>41.36</v>
      </c>
    </row>
    <row r="5196" spans="1:4" ht="9" customHeight="1" x14ac:dyDescent="0.25">
      <c r="A5196" s="1059">
        <v>5219628</v>
      </c>
      <c r="B5196" s="1060" t="s">
        <v>26859</v>
      </c>
      <c r="C5196" s="1059" t="s">
        <v>3</v>
      </c>
      <c r="D5196" s="1061">
        <v>38.92</v>
      </c>
    </row>
    <row r="5197" spans="1:4" ht="9" customHeight="1" x14ac:dyDescent="0.25">
      <c r="A5197" s="1059">
        <v>5219629</v>
      </c>
      <c r="B5197" s="1060" t="s">
        <v>26860</v>
      </c>
      <c r="C5197" s="1059" t="s">
        <v>3</v>
      </c>
      <c r="D5197" s="1061">
        <v>48.47</v>
      </c>
    </row>
    <row r="5198" spans="1:4" ht="9" customHeight="1" x14ac:dyDescent="0.25">
      <c r="A5198" s="1059">
        <v>5219630</v>
      </c>
      <c r="B5198" s="1060" t="s">
        <v>26861</v>
      </c>
      <c r="C5198" s="1059" t="s">
        <v>3</v>
      </c>
      <c r="D5198" s="1061">
        <v>46.02</v>
      </c>
    </row>
    <row r="5199" spans="1:4" ht="9" customHeight="1" x14ac:dyDescent="0.25">
      <c r="A5199" s="1059">
        <v>5219631</v>
      </c>
      <c r="B5199" s="1060" t="s">
        <v>26862</v>
      </c>
      <c r="C5199" s="1059" t="s">
        <v>3</v>
      </c>
      <c r="D5199" s="1061">
        <v>52.73</v>
      </c>
    </row>
    <row r="5200" spans="1:4" ht="9" customHeight="1" x14ac:dyDescent="0.25">
      <c r="A5200" s="1059">
        <v>5219632</v>
      </c>
      <c r="B5200" s="1060" t="s">
        <v>26863</v>
      </c>
      <c r="C5200" s="1059" t="s">
        <v>3</v>
      </c>
      <c r="D5200" s="1061">
        <v>50.19</v>
      </c>
    </row>
    <row r="5201" spans="1:4" ht="9" customHeight="1" x14ac:dyDescent="0.25">
      <c r="A5201" s="1059">
        <v>5219633</v>
      </c>
      <c r="B5201" s="1060" t="s">
        <v>26864</v>
      </c>
      <c r="C5201" s="1059" t="s">
        <v>3</v>
      </c>
      <c r="D5201" s="1061">
        <v>42.78</v>
      </c>
    </row>
    <row r="5202" spans="1:4" ht="9" customHeight="1" x14ac:dyDescent="0.25">
      <c r="A5202" s="1059">
        <v>5219634</v>
      </c>
      <c r="B5202" s="1060" t="s">
        <v>26865</v>
      </c>
      <c r="C5202" s="1059" t="s">
        <v>3</v>
      </c>
      <c r="D5202" s="1061">
        <v>68.739999999999995</v>
      </c>
    </row>
    <row r="5203" spans="1:4" ht="9" customHeight="1" x14ac:dyDescent="0.25">
      <c r="A5203" s="1059">
        <v>5213395</v>
      </c>
      <c r="B5203" s="1060" t="s">
        <v>26866</v>
      </c>
      <c r="C5203" s="1059" t="s">
        <v>3</v>
      </c>
      <c r="D5203" s="1061">
        <v>38.71</v>
      </c>
    </row>
    <row r="5204" spans="1:4" ht="9" customHeight="1" x14ac:dyDescent="0.25">
      <c r="A5204" s="1059">
        <v>5213394</v>
      </c>
      <c r="B5204" s="1060" t="s">
        <v>26867</v>
      </c>
      <c r="C5204" s="1059" t="s">
        <v>3</v>
      </c>
      <c r="D5204" s="1061">
        <v>34.119999999999997</v>
      </c>
    </row>
    <row r="5205" spans="1:4" ht="9" customHeight="1" x14ac:dyDescent="0.25">
      <c r="A5205" s="1059">
        <v>5219635</v>
      </c>
      <c r="B5205" s="1060" t="s">
        <v>26868</v>
      </c>
      <c r="C5205" s="1059" t="s">
        <v>3</v>
      </c>
      <c r="D5205" s="1061">
        <v>33.729999999999997</v>
      </c>
    </row>
    <row r="5206" spans="1:4" ht="9" customHeight="1" x14ac:dyDescent="0.25">
      <c r="A5206" s="1059">
        <v>5219636</v>
      </c>
      <c r="B5206" s="1060" t="s">
        <v>26869</v>
      </c>
      <c r="C5206" s="1059" t="s">
        <v>3</v>
      </c>
      <c r="D5206" s="1061">
        <v>28.29</v>
      </c>
    </row>
    <row r="5207" spans="1:4" ht="9" customHeight="1" x14ac:dyDescent="0.25">
      <c r="A5207" s="1059">
        <v>5219637</v>
      </c>
      <c r="B5207" s="1060" t="s">
        <v>26870</v>
      </c>
      <c r="C5207" s="1059" t="s">
        <v>3</v>
      </c>
      <c r="D5207" s="1061">
        <v>49.99</v>
      </c>
    </row>
    <row r="5208" spans="1:4" ht="9" customHeight="1" x14ac:dyDescent="0.25">
      <c r="A5208" s="1059">
        <v>5219638</v>
      </c>
      <c r="B5208" s="1060" t="s">
        <v>26871</v>
      </c>
      <c r="C5208" s="1059" t="s">
        <v>3</v>
      </c>
      <c r="D5208" s="1061">
        <v>70.5</v>
      </c>
    </row>
    <row r="5209" spans="1:4" ht="9" customHeight="1" x14ac:dyDescent="0.25">
      <c r="A5209" s="1059">
        <v>5213393</v>
      </c>
      <c r="B5209" s="1060" t="s">
        <v>26872</v>
      </c>
      <c r="C5209" s="1059" t="s">
        <v>3</v>
      </c>
      <c r="D5209" s="1061">
        <v>33.549999999999997</v>
      </c>
    </row>
    <row r="5210" spans="1:4" ht="9" customHeight="1" x14ac:dyDescent="0.25">
      <c r="A5210" s="1059">
        <v>5213392</v>
      </c>
      <c r="B5210" s="1060" t="s">
        <v>26873</v>
      </c>
      <c r="C5210" s="1059" t="s">
        <v>3</v>
      </c>
      <c r="D5210" s="1061">
        <v>28.01</v>
      </c>
    </row>
    <row r="5211" spans="1:4" ht="9" customHeight="1" x14ac:dyDescent="0.25">
      <c r="A5211" s="1059">
        <v>5219639</v>
      </c>
      <c r="B5211" s="1060" t="s">
        <v>26874</v>
      </c>
      <c r="C5211" s="1059" t="s">
        <v>3</v>
      </c>
      <c r="D5211" s="1061">
        <v>30.33</v>
      </c>
    </row>
    <row r="5212" spans="1:4" ht="9" customHeight="1" x14ac:dyDescent="0.25">
      <c r="A5212" s="1059">
        <v>5219640</v>
      </c>
      <c r="B5212" s="1060" t="s">
        <v>26875</v>
      </c>
      <c r="C5212" s="1059" t="s">
        <v>3</v>
      </c>
      <c r="D5212" s="1061">
        <v>25.37</v>
      </c>
    </row>
    <row r="5213" spans="1:4" ht="9" customHeight="1" x14ac:dyDescent="0.25">
      <c r="A5213" s="1059">
        <v>5219641</v>
      </c>
      <c r="B5213" s="1060" t="s">
        <v>26876</v>
      </c>
      <c r="C5213" s="1059" t="s">
        <v>3</v>
      </c>
      <c r="D5213" s="1061">
        <v>45.79</v>
      </c>
    </row>
    <row r="5214" spans="1:4" ht="9" customHeight="1" x14ac:dyDescent="0.25">
      <c r="A5214" s="1059">
        <v>5219642</v>
      </c>
      <c r="B5214" s="1060" t="s">
        <v>26877</v>
      </c>
      <c r="C5214" s="1059" t="s">
        <v>3</v>
      </c>
      <c r="D5214" s="1061">
        <v>61.77</v>
      </c>
    </row>
    <row r="5215" spans="1:4" ht="9" customHeight="1" x14ac:dyDescent="0.25">
      <c r="A5215" s="1059">
        <v>5213362</v>
      </c>
      <c r="B5215" s="1060" t="s">
        <v>26878</v>
      </c>
      <c r="C5215" s="1059" t="s">
        <v>3</v>
      </c>
      <c r="D5215" s="1061">
        <v>91.19</v>
      </c>
    </row>
    <row r="5216" spans="1:4" ht="9" customHeight="1" x14ac:dyDescent="0.25">
      <c r="A5216" s="1059">
        <v>5213361</v>
      </c>
      <c r="B5216" s="1060" t="s">
        <v>26879</v>
      </c>
      <c r="C5216" s="1059" t="s">
        <v>3</v>
      </c>
      <c r="D5216" s="1061">
        <v>89.73</v>
      </c>
    </row>
    <row r="5217" spans="1:4" ht="9" customHeight="1" x14ac:dyDescent="0.25">
      <c r="A5217" s="1059">
        <v>5219643</v>
      </c>
      <c r="B5217" s="1060" t="s">
        <v>26880</v>
      </c>
      <c r="C5217" s="1059" t="s">
        <v>3</v>
      </c>
      <c r="D5217" s="1061">
        <v>74.260000000000005</v>
      </c>
    </row>
    <row r="5218" spans="1:4" ht="9" customHeight="1" x14ac:dyDescent="0.25">
      <c r="A5218" s="1059">
        <v>5219644</v>
      </c>
      <c r="B5218" s="1060" t="s">
        <v>26881</v>
      </c>
      <c r="C5218" s="1059" t="s">
        <v>3</v>
      </c>
      <c r="D5218" s="1061">
        <v>72.3</v>
      </c>
    </row>
    <row r="5219" spans="1:4" ht="9" customHeight="1" x14ac:dyDescent="0.25">
      <c r="A5219" s="1059">
        <v>5214000</v>
      </c>
      <c r="B5219" s="1060" t="s">
        <v>26882</v>
      </c>
      <c r="C5219" s="1059" t="s">
        <v>39</v>
      </c>
      <c r="D5219" s="1061">
        <v>335.71</v>
      </c>
    </row>
    <row r="5220" spans="1:4" ht="9" customHeight="1" x14ac:dyDescent="0.25">
      <c r="A5220" s="1059">
        <v>5301014</v>
      </c>
      <c r="B5220" s="1060" t="s">
        <v>26883</v>
      </c>
      <c r="C5220" s="1059" t="s">
        <v>361</v>
      </c>
      <c r="D5220" s="1061">
        <v>149.08000000000001</v>
      </c>
    </row>
    <row r="5221" spans="1:4" ht="9" customHeight="1" x14ac:dyDescent="0.25">
      <c r="A5221" s="1059">
        <v>5300995</v>
      </c>
      <c r="B5221" s="1060" t="s">
        <v>26884</v>
      </c>
      <c r="C5221" s="1059" t="s">
        <v>3</v>
      </c>
      <c r="D5221" s="1061">
        <v>3010.16</v>
      </c>
    </row>
    <row r="5222" spans="1:4" ht="9" customHeight="1" x14ac:dyDescent="0.25">
      <c r="A5222" s="1059">
        <v>5300996</v>
      </c>
      <c r="B5222" s="1060" t="s">
        <v>26885</v>
      </c>
      <c r="C5222" s="1059" t="s">
        <v>3</v>
      </c>
      <c r="D5222" s="1061">
        <v>3899.32</v>
      </c>
    </row>
    <row r="5223" spans="1:4" ht="9" customHeight="1" x14ac:dyDescent="0.25">
      <c r="A5223" s="1059">
        <v>5300998</v>
      </c>
      <c r="B5223" s="1060" t="s">
        <v>26886</v>
      </c>
      <c r="C5223" s="1059" t="s">
        <v>3</v>
      </c>
      <c r="D5223" s="1061">
        <v>7703.42</v>
      </c>
    </row>
    <row r="5224" spans="1:4" ht="9" customHeight="1" x14ac:dyDescent="0.25">
      <c r="A5224" s="1059">
        <v>5300997</v>
      </c>
      <c r="B5224" s="1060" t="s">
        <v>26887</v>
      </c>
      <c r="C5224" s="1059" t="s">
        <v>3</v>
      </c>
      <c r="D5224" s="1061">
        <v>6418</v>
      </c>
    </row>
    <row r="5225" spans="1:4" ht="9" customHeight="1" x14ac:dyDescent="0.25">
      <c r="A5225" s="1059">
        <v>5300999</v>
      </c>
      <c r="B5225" s="1060" t="s">
        <v>26888</v>
      </c>
      <c r="C5225" s="1059" t="s">
        <v>3</v>
      </c>
      <c r="D5225" s="1061">
        <v>899.52</v>
      </c>
    </row>
    <row r="5226" spans="1:4" ht="9" customHeight="1" x14ac:dyDescent="0.25">
      <c r="A5226" s="1059">
        <v>5301000</v>
      </c>
      <c r="B5226" s="1060" t="s">
        <v>26889</v>
      </c>
      <c r="C5226" s="1059" t="s">
        <v>3</v>
      </c>
      <c r="D5226" s="1061">
        <v>1351.76</v>
      </c>
    </row>
    <row r="5227" spans="1:4" ht="9" customHeight="1" x14ac:dyDescent="0.25">
      <c r="A5227" s="1059">
        <v>5301001</v>
      </c>
      <c r="B5227" s="1060" t="s">
        <v>26890</v>
      </c>
      <c r="C5227" s="1059" t="s">
        <v>3</v>
      </c>
      <c r="D5227" s="1061">
        <v>610.73</v>
      </c>
    </row>
    <row r="5228" spans="1:4" ht="9" customHeight="1" x14ac:dyDescent="0.25">
      <c r="A5228" s="1059">
        <v>5301002</v>
      </c>
      <c r="B5228" s="1060" t="s">
        <v>26891</v>
      </c>
      <c r="C5228" s="1059" t="s">
        <v>3</v>
      </c>
      <c r="D5228" s="1061">
        <v>385.4</v>
      </c>
    </row>
    <row r="5229" spans="1:4" ht="9" customHeight="1" x14ac:dyDescent="0.25">
      <c r="A5229" s="1059">
        <v>5301003</v>
      </c>
      <c r="B5229" s="1060" t="s">
        <v>26892</v>
      </c>
      <c r="C5229" s="1059" t="s">
        <v>3</v>
      </c>
      <c r="D5229" s="1061">
        <v>376.23</v>
      </c>
    </row>
    <row r="5230" spans="1:4" ht="18" customHeight="1" x14ac:dyDescent="0.25">
      <c r="A5230" s="1059">
        <v>5301064</v>
      </c>
      <c r="B5230" s="1060" t="s">
        <v>26893</v>
      </c>
      <c r="C5230" s="1059" t="s">
        <v>3</v>
      </c>
      <c r="D5230" s="1061">
        <v>601.85</v>
      </c>
    </row>
    <row r="5231" spans="1:4" ht="18" customHeight="1" x14ac:dyDescent="0.25">
      <c r="A5231" s="1059">
        <v>5301046</v>
      </c>
      <c r="B5231" s="1060" t="s">
        <v>26894</v>
      </c>
      <c r="C5231" s="1059" t="s">
        <v>3</v>
      </c>
      <c r="D5231" s="1061">
        <v>1256.96</v>
      </c>
    </row>
    <row r="5232" spans="1:4" ht="18" customHeight="1" x14ac:dyDescent="0.25">
      <c r="A5232" s="1059">
        <v>5301065</v>
      </c>
      <c r="B5232" s="1060" t="s">
        <v>26895</v>
      </c>
      <c r="C5232" s="1059" t="s">
        <v>3</v>
      </c>
      <c r="D5232" s="1061">
        <v>1068.3599999999999</v>
      </c>
    </row>
    <row r="5233" spans="1:4" ht="18" customHeight="1" x14ac:dyDescent="0.25">
      <c r="A5233" s="1059">
        <v>5301047</v>
      </c>
      <c r="B5233" s="1060" t="s">
        <v>26896</v>
      </c>
      <c r="C5233" s="1059" t="s">
        <v>3</v>
      </c>
      <c r="D5233" s="1061">
        <v>2127.54</v>
      </c>
    </row>
    <row r="5234" spans="1:4" ht="18" customHeight="1" x14ac:dyDescent="0.25">
      <c r="A5234" s="1059">
        <v>5301066</v>
      </c>
      <c r="B5234" s="1060" t="s">
        <v>26897</v>
      </c>
      <c r="C5234" s="1059" t="s">
        <v>3</v>
      </c>
      <c r="D5234" s="1061">
        <v>1198.18</v>
      </c>
    </row>
    <row r="5235" spans="1:4" ht="18" customHeight="1" x14ac:dyDescent="0.25">
      <c r="A5235" s="1059">
        <v>5301048</v>
      </c>
      <c r="B5235" s="1060" t="s">
        <v>26898</v>
      </c>
      <c r="C5235" s="1059" t="s">
        <v>3</v>
      </c>
      <c r="D5235" s="1061">
        <v>2315.65</v>
      </c>
    </row>
    <row r="5236" spans="1:4" ht="18" customHeight="1" x14ac:dyDescent="0.25">
      <c r="A5236" s="1059">
        <v>5301040</v>
      </c>
      <c r="B5236" s="1060" t="s">
        <v>26899</v>
      </c>
      <c r="C5236" s="1059" t="s">
        <v>3</v>
      </c>
      <c r="D5236" s="1061">
        <v>2267.6</v>
      </c>
    </row>
    <row r="5237" spans="1:4" ht="18" customHeight="1" x14ac:dyDescent="0.25">
      <c r="A5237" s="1059">
        <v>5301058</v>
      </c>
      <c r="B5237" s="1060" t="s">
        <v>26900</v>
      </c>
      <c r="C5237" s="1059" t="s">
        <v>3</v>
      </c>
      <c r="D5237" s="1061">
        <v>1607.15</v>
      </c>
    </row>
    <row r="5238" spans="1:4" ht="18" customHeight="1" x14ac:dyDescent="0.25">
      <c r="A5238" s="1059">
        <v>5301041</v>
      </c>
      <c r="B5238" s="1060" t="s">
        <v>26901</v>
      </c>
      <c r="C5238" s="1059" t="s">
        <v>3</v>
      </c>
      <c r="D5238" s="1061">
        <v>4991.71</v>
      </c>
    </row>
    <row r="5239" spans="1:4" ht="18" customHeight="1" x14ac:dyDescent="0.25">
      <c r="A5239" s="1059">
        <v>5301059</v>
      </c>
      <c r="B5239" s="1060" t="s">
        <v>26902</v>
      </c>
      <c r="C5239" s="1059" t="s">
        <v>3</v>
      </c>
      <c r="D5239" s="1061">
        <v>3916.24</v>
      </c>
    </row>
    <row r="5240" spans="1:4" ht="18" customHeight="1" x14ac:dyDescent="0.25">
      <c r="A5240" s="1059">
        <v>5301060</v>
      </c>
      <c r="B5240" s="1060" t="s">
        <v>26903</v>
      </c>
      <c r="C5240" s="1059" t="s">
        <v>3</v>
      </c>
      <c r="D5240" s="1061">
        <v>4336.38</v>
      </c>
    </row>
    <row r="5241" spans="1:4" ht="18" customHeight="1" x14ac:dyDescent="0.25">
      <c r="A5241" s="1059">
        <v>5301042</v>
      </c>
      <c r="B5241" s="1060" t="s">
        <v>26904</v>
      </c>
      <c r="C5241" s="1059" t="s">
        <v>3</v>
      </c>
      <c r="D5241" s="1061">
        <v>5471.52</v>
      </c>
    </row>
    <row r="5242" spans="1:4" ht="18" customHeight="1" x14ac:dyDescent="0.25">
      <c r="A5242" s="1059">
        <v>5301072</v>
      </c>
      <c r="B5242" s="1060" t="s">
        <v>26905</v>
      </c>
      <c r="C5242" s="1059" t="s">
        <v>3</v>
      </c>
      <c r="D5242" s="1061">
        <v>4798.54</v>
      </c>
    </row>
    <row r="5243" spans="1:4" ht="18" customHeight="1" x14ac:dyDescent="0.25">
      <c r="A5243" s="1059">
        <v>5301054</v>
      </c>
      <c r="B5243" s="1060" t="s">
        <v>26906</v>
      </c>
      <c r="C5243" s="1059" t="s">
        <v>3</v>
      </c>
      <c r="D5243" s="1061">
        <v>5351.25</v>
      </c>
    </row>
    <row r="5244" spans="1:4" ht="18" customHeight="1" x14ac:dyDescent="0.25">
      <c r="A5244" s="1059">
        <v>5301070</v>
      </c>
      <c r="B5244" s="1060" t="s">
        <v>26907</v>
      </c>
      <c r="C5244" s="1059" t="s">
        <v>3</v>
      </c>
      <c r="D5244" s="1061">
        <v>2089.38</v>
      </c>
    </row>
    <row r="5245" spans="1:4" ht="18" customHeight="1" x14ac:dyDescent="0.25">
      <c r="A5245" s="1059">
        <v>5301052</v>
      </c>
      <c r="B5245" s="1060" t="s">
        <v>26908</v>
      </c>
      <c r="C5245" s="1059" t="s">
        <v>3</v>
      </c>
      <c r="D5245" s="1061">
        <v>2618.94</v>
      </c>
    </row>
    <row r="5246" spans="1:4" ht="18" customHeight="1" x14ac:dyDescent="0.25">
      <c r="A5246" s="1059">
        <v>5301071</v>
      </c>
      <c r="B5246" s="1060" t="s">
        <v>26909</v>
      </c>
      <c r="C5246" s="1059" t="s">
        <v>3</v>
      </c>
      <c r="D5246" s="1061">
        <v>2802.69</v>
      </c>
    </row>
    <row r="5247" spans="1:4" ht="18" customHeight="1" x14ac:dyDescent="0.25">
      <c r="A5247" s="1059">
        <v>5301053</v>
      </c>
      <c r="B5247" s="1060" t="s">
        <v>26910</v>
      </c>
      <c r="C5247" s="1059" t="s">
        <v>3</v>
      </c>
      <c r="D5247" s="1061">
        <v>3332.64</v>
      </c>
    </row>
    <row r="5248" spans="1:4" ht="18" customHeight="1" x14ac:dyDescent="0.25">
      <c r="A5248" s="1059">
        <v>5301061</v>
      </c>
      <c r="B5248" s="1060" t="s">
        <v>26911</v>
      </c>
      <c r="C5248" s="1059" t="s">
        <v>3</v>
      </c>
      <c r="D5248" s="1061">
        <v>188.67</v>
      </c>
    </row>
    <row r="5249" spans="1:4" ht="18" customHeight="1" x14ac:dyDescent="0.25">
      <c r="A5249" s="1059">
        <v>5301043</v>
      </c>
      <c r="B5249" s="1060" t="s">
        <v>26912</v>
      </c>
      <c r="C5249" s="1059" t="s">
        <v>3</v>
      </c>
      <c r="D5249" s="1061">
        <v>714.61</v>
      </c>
    </row>
    <row r="5250" spans="1:4" ht="18" customHeight="1" x14ac:dyDescent="0.25">
      <c r="A5250" s="1059">
        <v>5301062</v>
      </c>
      <c r="B5250" s="1060" t="s">
        <v>26913</v>
      </c>
      <c r="C5250" s="1059" t="s">
        <v>3</v>
      </c>
      <c r="D5250" s="1061">
        <v>318.64999999999998</v>
      </c>
    </row>
    <row r="5251" spans="1:4" ht="18" customHeight="1" x14ac:dyDescent="0.25">
      <c r="A5251" s="1059">
        <v>5301044</v>
      </c>
      <c r="B5251" s="1060" t="s">
        <v>26914</v>
      </c>
      <c r="C5251" s="1059" t="s">
        <v>3</v>
      </c>
      <c r="D5251" s="1061">
        <v>1056.43</v>
      </c>
    </row>
    <row r="5252" spans="1:4" ht="18" customHeight="1" x14ac:dyDescent="0.25">
      <c r="A5252" s="1059">
        <v>5301063</v>
      </c>
      <c r="B5252" s="1060" t="s">
        <v>26915</v>
      </c>
      <c r="C5252" s="1059" t="s">
        <v>3</v>
      </c>
      <c r="D5252" s="1061">
        <v>363.63</v>
      </c>
    </row>
    <row r="5253" spans="1:4" ht="18" customHeight="1" x14ac:dyDescent="0.25">
      <c r="A5253" s="1059">
        <v>5301045</v>
      </c>
      <c r="B5253" s="1060" t="s">
        <v>26916</v>
      </c>
      <c r="C5253" s="1059" t="s">
        <v>3</v>
      </c>
      <c r="D5253" s="1061">
        <v>1137.81</v>
      </c>
    </row>
    <row r="5254" spans="1:4" ht="18" customHeight="1" x14ac:dyDescent="0.25">
      <c r="A5254" s="1059">
        <v>5301037</v>
      </c>
      <c r="B5254" s="1060" t="s">
        <v>26917</v>
      </c>
      <c r="C5254" s="1059" t="s">
        <v>3</v>
      </c>
      <c r="D5254" s="1061">
        <v>1206.83</v>
      </c>
    </row>
    <row r="5255" spans="1:4" ht="18" customHeight="1" x14ac:dyDescent="0.25">
      <c r="A5255" s="1059">
        <v>5301055</v>
      </c>
      <c r="B5255" s="1060" t="s">
        <v>26918</v>
      </c>
      <c r="C5255" s="1059" t="s">
        <v>3</v>
      </c>
      <c r="D5255" s="1061">
        <v>678.12</v>
      </c>
    </row>
    <row r="5256" spans="1:4" ht="18" customHeight="1" x14ac:dyDescent="0.25">
      <c r="A5256" s="1059">
        <v>5301038</v>
      </c>
      <c r="B5256" s="1060" t="s">
        <v>26919</v>
      </c>
      <c r="C5256" s="1059" t="s">
        <v>3</v>
      </c>
      <c r="D5256" s="1061">
        <v>2461.61</v>
      </c>
    </row>
    <row r="5257" spans="1:4" ht="18" customHeight="1" x14ac:dyDescent="0.25">
      <c r="A5257" s="1059">
        <v>5301056</v>
      </c>
      <c r="B5257" s="1060" t="s">
        <v>26920</v>
      </c>
      <c r="C5257" s="1059" t="s">
        <v>3</v>
      </c>
      <c r="D5257" s="1061">
        <v>1715.38</v>
      </c>
    </row>
    <row r="5258" spans="1:4" ht="18" customHeight="1" x14ac:dyDescent="0.25">
      <c r="A5258" s="1059">
        <v>5301057</v>
      </c>
      <c r="B5258" s="1060" t="s">
        <v>26921</v>
      </c>
      <c r="C5258" s="1059" t="s">
        <v>3</v>
      </c>
      <c r="D5258" s="1061">
        <v>1902.76</v>
      </c>
    </row>
    <row r="5259" spans="1:4" ht="18" customHeight="1" x14ac:dyDescent="0.25">
      <c r="A5259" s="1059">
        <v>5301039</v>
      </c>
      <c r="B5259" s="1060" t="s">
        <v>26922</v>
      </c>
      <c r="C5259" s="1059" t="s">
        <v>3</v>
      </c>
      <c r="D5259" s="1061">
        <v>2686.15</v>
      </c>
    </row>
    <row r="5260" spans="1:4" ht="18" customHeight="1" x14ac:dyDescent="0.25">
      <c r="A5260" s="1059">
        <v>5301069</v>
      </c>
      <c r="B5260" s="1060" t="s">
        <v>26923</v>
      </c>
      <c r="C5260" s="1059" t="s">
        <v>3</v>
      </c>
      <c r="D5260" s="1061">
        <v>2158.48</v>
      </c>
    </row>
    <row r="5261" spans="1:4" ht="18" customHeight="1" x14ac:dyDescent="0.25">
      <c r="A5261" s="1059">
        <v>5301051</v>
      </c>
      <c r="B5261" s="1060" t="s">
        <v>26924</v>
      </c>
      <c r="C5261" s="1059" t="s">
        <v>3</v>
      </c>
      <c r="D5261" s="1061">
        <v>2617.77</v>
      </c>
    </row>
    <row r="5262" spans="1:4" ht="18" customHeight="1" x14ac:dyDescent="0.25">
      <c r="A5262" s="1059">
        <v>5301067</v>
      </c>
      <c r="B5262" s="1060" t="s">
        <v>26925</v>
      </c>
      <c r="C5262" s="1059" t="s">
        <v>3</v>
      </c>
      <c r="D5262" s="1061">
        <v>931.04</v>
      </c>
    </row>
    <row r="5263" spans="1:4" ht="18" customHeight="1" x14ac:dyDescent="0.25">
      <c r="A5263" s="1059">
        <v>5301049</v>
      </c>
      <c r="B5263" s="1060" t="s">
        <v>26926</v>
      </c>
      <c r="C5263" s="1059" t="s">
        <v>3</v>
      </c>
      <c r="D5263" s="1061">
        <v>1389.45</v>
      </c>
    </row>
    <row r="5264" spans="1:4" ht="18" customHeight="1" x14ac:dyDescent="0.25">
      <c r="A5264" s="1059">
        <v>5301068</v>
      </c>
      <c r="B5264" s="1060" t="s">
        <v>26927</v>
      </c>
      <c r="C5264" s="1059" t="s">
        <v>3</v>
      </c>
      <c r="D5264" s="1061">
        <v>1181.3</v>
      </c>
    </row>
    <row r="5265" spans="1:4" ht="18" customHeight="1" x14ac:dyDescent="0.25">
      <c r="A5265" s="1059">
        <v>5301050</v>
      </c>
      <c r="B5265" s="1060" t="s">
        <v>26928</v>
      </c>
      <c r="C5265" s="1059" t="s">
        <v>3</v>
      </c>
      <c r="D5265" s="1061">
        <v>1639.9</v>
      </c>
    </row>
    <row r="5266" spans="1:4" ht="9" customHeight="1" x14ac:dyDescent="0.25">
      <c r="A5266" s="1059">
        <v>5301022</v>
      </c>
      <c r="B5266" s="1060" t="s">
        <v>26929</v>
      </c>
      <c r="C5266" s="1059" t="s">
        <v>3</v>
      </c>
      <c r="D5266" s="1061">
        <v>777.41</v>
      </c>
    </row>
    <row r="5267" spans="1:4" ht="9" customHeight="1" x14ac:dyDescent="0.25">
      <c r="A5267" s="1059">
        <v>5301021</v>
      </c>
      <c r="B5267" s="1060" t="s">
        <v>26930</v>
      </c>
      <c r="C5267" s="1059" t="s">
        <v>3</v>
      </c>
      <c r="D5267" s="1061">
        <v>547.44000000000005</v>
      </c>
    </row>
    <row r="5268" spans="1:4" ht="9" customHeight="1" x14ac:dyDescent="0.25">
      <c r="A5268" s="1059">
        <v>5301020</v>
      </c>
      <c r="B5268" s="1060" t="s">
        <v>26931</v>
      </c>
      <c r="C5268" s="1059" t="s">
        <v>2</v>
      </c>
      <c r="D5268" s="1061">
        <v>408.58</v>
      </c>
    </row>
    <row r="5269" spans="1:4" ht="9" customHeight="1" x14ac:dyDescent="0.25">
      <c r="A5269" s="1059">
        <v>5301018</v>
      </c>
      <c r="B5269" s="1060" t="s">
        <v>26932</v>
      </c>
      <c r="C5269" s="1059" t="s">
        <v>2</v>
      </c>
      <c r="D5269" s="1061">
        <v>71.260000000000005</v>
      </c>
    </row>
    <row r="5270" spans="1:4" ht="9" customHeight="1" x14ac:dyDescent="0.25">
      <c r="A5270" s="1059">
        <v>5301019</v>
      </c>
      <c r="B5270" s="1060" t="s">
        <v>26933</v>
      </c>
      <c r="C5270" s="1059" t="s">
        <v>2</v>
      </c>
      <c r="D5270" s="1061">
        <v>197.42</v>
      </c>
    </row>
    <row r="5271" spans="1:4" ht="18" customHeight="1" x14ac:dyDescent="0.25">
      <c r="A5271" s="1059">
        <v>5301077</v>
      </c>
      <c r="B5271" s="1060" t="s">
        <v>26934</v>
      </c>
      <c r="C5271" s="1059" t="s">
        <v>3</v>
      </c>
      <c r="D5271" s="1061">
        <v>4539.3</v>
      </c>
    </row>
    <row r="5272" spans="1:4" ht="18" customHeight="1" x14ac:dyDescent="0.25">
      <c r="A5272" s="1059">
        <v>5301078</v>
      </c>
      <c r="B5272" s="1060" t="s">
        <v>26935</v>
      </c>
      <c r="C5272" s="1059" t="s">
        <v>3</v>
      </c>
      <c r="D5272" s="1061">
        <v>4968.09</v>
      </c>
    </row>
    <row r="5273" spans="1:4" ht="18" customHeight="1" x14ac:dyDescent="0.25">
      <c r="A5273" s="1059">
        <v>5301079</v>
      </c>
      <c r="B5273" s="1060" t="s">
        <v>26936</v>
      </c>
      <c r="C5273" s="1059" t="s">
        <v>3</v>
      </c>
      <c r="D5273" s="1061">
        <v>7319.46</v>
      </c>
    </row>
    <row r="5274" spans="1:4" ht="18" customHeight="1" x14ac:dyDescent="0.25">
      <c r="A5274" s="1059">
        <v>5301080</v>
      </c>
      <c r="B5274" s="1060" t="s">
        <v>26937</v>
      </c>
      <c r="C5274" s="1059" t="s">
        <v>3</v>
      </c>
      <c r="D5274" s="1061">
        <v>8634.94</v>
      </c>
    </row>
    <row r="5275" spans="1:4" ht="18" customHeight="1" x14ac:dyDescent="0.25">
      <c r="A5275" s="1059">
        <v>5301081</v>
      </c>
      <c r="B5275" s="1060" t="s">
        <v>26938</v>
      </c>
      <c r="C5275" s="1059" t="s">
        <v>3</v>
      </c>
      <c r="D5275" s="1061">
        <v>9394.2800000000007</v>
      </c>
    </row>
    <row r="5276" spans="1:4" ht="9" customHeight="1" x14ac:dyDescent="0.25">
      <c r="A5276" s="1059">
        <v>5301023</v>
      </c>
      <c r="B5276" s="1060" t="s">
        <v>26939</v>
      </c>
      <c r="C5276" s="1059" t="s">
        <v>3</v>
      </c>
      <c r="D5276" s="1061">
        <v>3360.65</v>
      </c>
    </row>
    <row r="5277" spans="1:4" ht="9" customHeight="1" x14ac:dyDescent="0.25">
      <c r="A5277" s="1059">
        <v>5301024</v>
      </c>
      <c r="B5277" s="1060" t="s">
        <v>26940</v>
      </c>
      <c r="C5277" s="1059" t="s">
        <v>3</v>
      </c>
      <c r="D5277" s="1061">
        <v>3789.45</v>
      </c>
    </row>
    <row r="5278" spans="1:4" ht="9" customHeight="1" x14ac:dyDescent="0.25">
      <c r="A5278" s="1059">
        <v>5301025</v>
      </c>
      <c r="B5278" s="1060" t="s">
        <v>26941</v>
      </c>
      <c r="C5278" s="1059" t="s">
        <v>3</v>
      </c>
      <c r="D5278" s="1061">
        <v>6140.82</v>
      </c>
    </row>
    <row r="5279" spans="1:4" ht="9" customHeight="1" x14ac:dyDescent="0.25">
      <c r="A5279" s="1059">
        <v>5301026</v>
      </c>
      <c r="B5279" s="1060" t="s">
        <v>26942</v>
      </c>
      <c r="C5279" s="1059" t="s">
        <v>3</v>
      </c>
      <c r="D5279" s="1061">
        <v>7456.3</v>
      </c>
    </row>
    <row r="5280" spans="1:4" ht="9" customHeight="1" x14ac:dyDescent="0.25">
      <c r="A5280" s="1059">
        <v>5301027</v>
      </c>
      <c r="B5280" s="1060" t="s">
        <v>26943</v>
      </c>
      <c r="C5280" s="1059" t="s">
        <v>3</v>
      </c>
      <c r="D5280" s="1061">
        <v>8215.64</v>
      </c>
    </row>
    <row r="5281" spans="1:4" ht="9" customHeight="1" x14ac:dyDescent="0.25">
      <c r="A5281" s="1059">
        <v>5301028</v>
      </c>
      <c r="B5281" s="1060" t="s">
        <v>26944</v>
      </c>
      <c r="C5281" s="1059" t="s">
        <v>3</v>
      </c>
      <c r="D5281" s="1061">
        <v>3293.55</v>
      </c>
    </row>
    <row r="5282" spans="1:4" ht="18" customHeight="1" x14ac:dyDescent="0.25">
      <c r="A5282" s="1059">
        <v>5301082</v>
      </c>
      <c r="B5282" s="1060" t="s">
        <v>26945</v>
      </c>
      <c r="C5282" s="1059" t="s">
        <v>3</v>
      </c>
      <c r="D5282" s="1061">
        <v>4394.3</v>
      </c>
    </row>
    <row r="5283" spans="1:4" ht="9" customHeight="1" x14ac:dyDescent="0.25">
      <c r="A5283" s="1059">
        <v>5301029</v>
      </c>
      <c r="B5283" s="1060" t="s">
        <v>26946</v>
      </c>
      <c r="C5283" s="1059" t="s">
        <v>3</v>
      </c>
      <c r="D5283" s="1061">
        <v>3722.35</v>
      </c>
    </row>
    <row r="5284" spans="1:4" ht="18" customHeight="1" x14ac:dyDescent="0.25">
      <c r="A5284" s="1059">
        <v>5301083</v>
      </c>
      <c r="B5284" s="1060" t="s">
        <v>26947</v>
      </c>
      <c r="C5284" s="1059" t="s">
        <v>3</v>
      </c>
      <c r="D5284" s="1061">
        <v>4823.1000000000004</v>
      </c>
    </row>
    <row r="5285" spans="1:4" ht="9" customHeight="1" x14ac:dyDescent="0.25">
      <c r="A5285" s="1059">
        <v>5301030</v>
      </c>
      <c r="B5285" s="1060" t="s">
        <v>26948</v>
      </c>
      <c r="C5285" s="1059" t="s">
        <v>3</v>
      </c>
      <c r="D5285" s="1061">
        <v>6073.72</v>
      </c>
    </row>
    <row r="5286" spans="1:4" ht="18" customHeight="1" x14ac:dyDescent="0.25">
      <c r="A5286" s="1059">
        <v>5301084</v>
      </c>
      <c r="B5286" s="1060" t="s">
        <v>26949</v>
      </c>
      <c r="C5286" s="1059" t="s">
        <v>3</v>
      </c>
      <c r="D5286" s="1061">
        <v>7174.47</v>
      </c>
    </row>
    <row r="5287" spans="1:4" ht="9" customHeight="1" x14ac:dyDescent="0.25">
      <c r="A5287" s="1059">
        <v>5301031</v>
      </c>
      <c r="B5287" s="1060" t="s">
        <v>26950</v>
      </c>
      <c r="C5287" s="1059" t="s">
        <v>3</v>
      </c>
      <c r="D5287" s="1061">
        <v>7389.2</v>
      </c>
    </row>
    <row r="5288" spans="1:4" ht="18" customHeight="1" x14ac:dyDescent="0.25">
      <c r="A5288" s="1059">
        <v>5301085</v>
      </c>
      <c r="B5288" s="1060" t="s">
        <v>26951</v>
      </c>
      <c r="C5288" s="1059" t="s">
        <v>3</v>
      </c>
      <c r="D5288" s="1061">
        <v>8489.9500000000007</v>
      </c>
    </row>
    <row r="5289" spans="1:4" ht="9" customHeight="1" x14ac:dyDescent="0.25">
      <c r="A5289" s="1059">
        <v>5301032</v>
      </c>
      <c r="B5289" s="1060" t="s">
        <v>26952</v>
      </c>
      <c r="C5289" s="1059" t="s">
        <v>3</v>
      </c>
      <c r="D5289" s="1061">
        <v>8148.54</v>
      </c>
    </row>
    <row r="5290" spans="1:4" ht="18" customHeight="1" x14ac:dyDescent="0.25">
      <c r="A5290" s="1059">
        <v>5301086</v>
      </c>
      <c r="B5290" s="1060" t="s">
        <v>26953</v>
      </c>
      <c r="C5290" s="1059" t="s">
        <v>3</v>
      </c>
      <c r="D5290" s="1061">
        <v>9249.2800000000007</v>
      </c>
    </row>
    <row r="5291" spans="1:4" ht="9" customHeight="1" x14ac:dyDescent="0.25">
      <c r="A5291" s="1059">
        <v>5301033</v>
      </c>
      <c r="B5291" s="1060" t="s">
        <v>26954</v>
      </c>
      <c r="C5291" s="1059" t="s">
        <v>3</v>
      </c>
      <c r="D5291" s="1061">
        <v>76.11</v>
      </c>
    </row>
    <row r="5292" spans="1:4" ht="9" customHeight="1" x14ac:dyDescent="0.25">
      <c r="A5292" s="1059">
        <v>5301034</v>
      </c>
      <c r="B5292" s="1060" t="s">
        <v>26955</v>
      </c>
      <c r="C5292" s="1059" t="s">
        <v>3</v>
      </c>
      <c r="D5292" s="1061">
        <v>582.16999999999996</v>
      </c>
    </row>
    <row r="5293" spans="1:4" ht="9" customHeight="1" x14ac:dyDescent="0.25">
      <c r="A5293" s="1059">
        <v>5301073</v>
      </c>
      <c r="B5293" s="1060" t="s">
        <v>26956</v>
      </c>
      <c r="C5293" s="1059" t="s">
        <v>3</v>
      </c>
      <c r="D5293" s="1061">
        <v>470.22</v>
      </c>
    </row>
    <row r="5294" spans="1:4" ht="9" customHeight="1" x14ac:dyDescent="0.25">
      <c r="A5294" s="1059">
        <v>5301074</v>
      </c>
      <c r="B5294" s="1060" t="s">
        <v>26957</v>
      </c>
      <c r="C5294" s="1059" t="s">
        <v>3</v>
      </c>
      <c r="D5294" s="1061">
        <v>1654.58</v>
      </c>
    </row>
    <row r="5295" spans="1:4" ht="9" customHeight="1" x14ac:dyDescent="0.25">
      <c r="A5295" s="1059">
        <v>5301015</v>
      </c>
      <c r="B5295" s="1060" t="s">
        <v>26958</v>
      </c>
      <c r="C5295" s="1059" t="s">
        <v>3</v>
      </c>
      <c r="D5295" s="1061">
        <v>1090.52</v>
      </c>
    </row>
    <row r="5296" spans="1:4" ht="9" customHeight="1" x14ac:dyDescent="0.25">
      <c r="A5296" s="1059">
        <v>5300992</v>
      </c>
      <c r="B5296" s="1060" t="s">
        <v>26959</v>
      </c>
      <c r="C5296" s="1059" t="s">
        <v>39</v>
      </c>
      <c r="D5296" s="1061">
        <v>13.48</v>
      </c>
    </row>
    <row r="5297" spans="1:4" ht="18" customHeight="1" x14ac:dyDescent="0.25">
      <c r="A5297" s="1059">
        <v>5300994</v>
      </c>
      <c r="B5297" s="1060" t="s">
        <v>26960</v>
      </c>
      <c r="C5297" s="1059" t="s">
        <v>39</v>
      </c>
      <c r="D5297" s="1061">
        <v>13.51</v>
      </c>
    </row>
    <row r="5298" spans="1:4" ht="9" customHeight="1" x14ac:dyDescent="0.25">
      <c r="A5298" s="1059">
        <v>5300993</v>
      </c>
      <c r="B5298" s="1060" t="s">
        <v>26961</v>
      </c>
      <c r="C5298" s="1059" t="s">
        <v>39</v>
      </c>
      <c r="D5298" s="1061">
        <v>8.76</v>
      </c>
    </row>
    <row r="5299" spans="1:4" ht="9" customHeight="1" x14ac:dyDescent="0.25">
      <c r="A5299" s="1059">
        <v>5301088</v>
      </c>
      <c r="B5299" s="1060" t="s">
        <v>26962</v>
      </c>
      <c r="C5299" s="1059" t="s">
        <v>3</v>
      </c>
      <c r="D5299" s="1061">
        <v>338.64</v>
      </c>
    </row>
    <row r="5300" spans="1:4" ht="9" customHeight="1" x14ac:dyDescent="0.25">
      <c r="A5300" s="1059">
        <v>5301004</v>
      </c>
      <c r="B5300" s="1060" t="s">
        <v>26963</v>
      </c>
      <c r="C5300" s="1059" t="s">
        <v>3</v>
      </c>
      <c r="D5300" s="1061">
        <v>482.13</v>
      </c>
    </row>
    <row r="5301" spans="1:4" ht="9" customHeight="1" x14ac:dyDescent="0.25">
      <c r="A5301" s="1059">
        <v>5301087</v>
      </c>
      <c r="B5301" s="1060" t="s">
        <v>26964</v>
      </c>
      <c r="C5301" s="1059" t="s">
        <v>3</v>
      </c>
      <c r="D5301" s="1061">
        <v>198.76</v>
      </c>
    </row>
    <row r="5302" spans="1:4" ht="9" customHeight="1" x14ac:dyDescent="0.25">
      <c r="A5302" s="1059">
        <v>5301005</v>
      </c>
      <c r="B5302" s="1060" t="s">
        <v>26965</v>
      </c>
      <c r="C5302" s="1059" t="s">
        <v>3</v>
      </c>
      <c r="D5302" s="1061">
        <v>386.01</v>
      </c>
    </row>
    <row r="5303" spans="1:4" ht="9" customHeight="1" x14ac:dyDescent="0.25">
      <c r="A5303" s="1059">
        <v>5301006</v>
      </c>
      <c r="B5303" s="1060" t="s">
        <v>26966</v>
      </c>
      <c r="C5303" s="1059" t="s">
        <v>3</v>
      </c>
      <c r="D5303" s="1061">
        <v>475.6</v>
      </c>
    </row>
    <row r="5304" spans="1:4" ht="9" customHeight="1" x14ac:dyDescent="0.25">
      <c r="A5304" s="1059">
        <v>5301008</v>
      </c>
      <c r="B5304" s="1060" t="s">
        <v>26967</v>
      </c>
      <c r="C5304" s="1059" t="s">
        <v>3</v>
      </c>
      <c r="D5304" s="1061">
        <v>858.15</v>
      </c>
    </row>
    <row r="5305" spans="1:4" ht="9" customHeight="1" x14ac:dyDescent="0.25">
      <c r="A5305" s="1059">
        <v>5301007</v>
      </c>
      <c r="B5305" s="1060" t="s">
        <v>26968</v>
      </c>
      <c r="C5305" s="1059" t="s">
        <v>3</v>
      </c>
      <c r="D5305" s="1061">
        <v>807.74</v>
      </c>
    </row>
    <row r="5306" spans="1:4" ht="9" customHeight="1" x14ac:dyDescent="0.25">
      <c r="A5306" s="1059">
        <v>5301009</v>
      </c>
      <c r="B5306" s="1060" t="s">
        <v>26969</v>
      </c>
      <c r="C5306" s="1059" t="s">
        <v>3</v>
      </c>
      <c r="D5306" s="1061">
        <v>238.08</v>
      </c>
    </row>
    <row r="5307" spans="1:4" ht="9" customHeight="1" x14ac:dyDescent="0.25">
      <c r="A5307" s="1059">
        <v>5301010</v>
      </c>
      <c r="B5307" s="1060" t="s">
        <v>26970</v>
      </c>
      <c r="C5307" s="1059" t="s">
        <v>3</v>
      </c>
      <c r="D5307" s="1061">
        <v>362.62</v>
      </c>
    </row>
    <row r="5308" spans="1:4" ht="9" customHeight="1" x14ac:dyDescent="0.25">
      <c r="A5308" s="1059">
        <v>5301011</v>
      </c>
      <c r="B5308" s="1060" t="s">
        <v>26971</v>
      </c>
      <c r="C5308" s="1059" t="s">
        <v>3</v>
      </c>
      <c r="D5308" s="1061">
        <v>291.85000000000002</v>
      </c>
    </row>
    <row r="5309" spans="1:4" ht="9" customHeight="1" x14ac:dyDescent="0.25">
      <c r="A5309" s="1059">
        <v>5301012</v>
      </c>
      <c r="B5309" s="1060" t="s">
        <v>26972</v>
      </c>
      <c r="C5309" s="1059" t="s">
        <v>3</v>
      </c>
      <c r="D5309" s="1061">
        <v>206.56</v>
      </c>
    </row>
    <row r="5310" spans="1:4" ht="9" customHeight="1" x14ac:dyDescent="0.25">
      <c r="A5310" s="1059">
        <v>5301013</v>
      </c>
      <c r="B5310" s="1060" t="s">
        <v>26973</v>
      </c>
      <c r="C5310" s="1059" t="s">
        <v>3</v>
      </c>
      <c r="D5310" s="1061">
        <v>176.61</v>
      </c>
    </row>
    <row r="5311" spans="1:4" ht="9" customHeight="1" x14ac:dyDescent="0.25">
      <c r="A5311" s="1059">
        <v>5301016</v>
      </c>
      <c r="B5311" s="1060" t="s">
        <v>26974</v>
      </c>
      <c r="C5311" s="1059" t="s">
        <v>3</v>
      </c>
      <c r="D5311" s="1061">
        <v>1805.04</v>
      </c>
    </row>
    <row r="5312" spans="1:4" ht="9" customHeight="1" x14ac:dyDescent="0.25">
      <c r="A5312" s="1059">
        <v>5301017</v>
      </c>
      <c r="B5312" s="1060" t="s">
        <v>26975</v>
      </c>
      <c r="C5312" s="1059" t="s">
        <v>3</v>
      </c>
      <c r="D5312" s="1061">
        <v>1325.6</v>
      </c>
    </row>
    <row r="5313" spans="1:4" ht="9" customHeight="1" x14ac:dyDescent="0.25">
      <c r="A5313" s="1059">
        <v>5301035</v>
      </c>
      <c r="B5313" s="1060" t="s">
        <v>26976</v>
      </c>
      <c r="C5313" s="1059" t="s">
        <v>3</v>
      </c>
      <c r="D5313" s="1061">
        <v>108.48</v>
      </c>
    </row>
    <row r="5314" spans="1:4" ht="9" customHeight="1" x14ac:dyDescent="0.25">
      <c r="A5314" s="1059">
        <v>5301036</v>
      </c>
      <c r="B5314" s="1060" t="s">
        <v>26977</v>
      </c>
      <c r="C5314" s="1059" t="s">
        <v>3</v>
      </c>
      <c r="D5314" s="1061">
        <v>1164.3399999999999</v>
      </c>
    </row>
    <row r="5315" spans="1:4" ht="9" customHeight="1" x14ac:dyDescent="0.25">
      <c r="A5315" s="1059">
        <v>5301075</v>
      </c>
      <c r="B5315" s="1060" t="s">
        <v>26978</v>
      </c>
      <c r="C5315" s="1059" t="s">
        <v>3</v>
      </c>
      <c r="D5315" s="1061">
        <v>538.08000000000004</v>
      </c>
    </row>
    <row r="5316" spans="1:4" ht="9" customHeight="1" x14ac:dyDescent="0.25">
      <c r="A5316" s="1059">
        <v>5301076</v>
      </c>
      <c r="B5316" s="1060" t="s">
        <v>26979</v>
      </c>
      <c r="C5316" s="1059" t="s">
        <v>3</v>
      </c>
      <c r="D5316" s="1061">
        <v>1821.36</v>
      </c>
    </row>
    <row r="5317" spans="1:4" ht="9" customHeight="1" x14ac:dyDescent="0.25">
      <c r="A5317" s="1059">
        <v>5405977</v>
      </c>
      <c r="B5317" s="1060" t="s">
        <v>26980</v>
      </c>
      <c r="C5317" s="1059" t="s">
        <v>38</v>
      </c>
      <c r="D5317" s="1061">
        <v>37.46</v>
      </c>
    </row>
    <row r="5318" spans="1:4" ht="9" customHeight="1" x14ac:dyDescent="0.25">
      <c r="A5318" s="1059">
        <v>5406044</v>
      </c>
      <c r="B5318" s="1060" t="s">
        <v>26981</v>
      </c>
      <c r="C5318" s="1059" t="s">
        <v>38</v>
      </c>
      <c r="D5318" s="1061">
        <v>212.99</v>
      </c>
    </row>
    <row r="5319" spans="1:4" ht="9" customHeight="1" x14ac:dyDescent="0.25">
      <c r="A5319" s="1059">
        <v>5406045</v>
      </c>
      <c r="B5319" s="1060" t="s">
        <v>26982</v>
      </c>
      <c r="C5319" s="1059" t="s">
        <v>38</v>
      </c>
      <c r="D5319" s="1061">
        <v>226.54</v>
      </c>
    </row>
    <row r="5320" spans="1:4" ht="9" customHeight="1" x14ac:dyDescent="0.25">
      <c r="A5320" s="1059">
        <v>5406046</v>
      </c>
      <c r="B5320" s="1060" t="s">
        <v>26983</v>
      </c>
      <c r="C5320" s="1059" t="s">
        <v>38</v>
      </c>
      <c r="D5320" s="1061">
        <v>253.48</v>
      </c>
    </row>
    <row r="5321" spans="1:4" ht="9" customHeight="1" x14ac:dyDescent="0.25">
      <c r="A5321" s="1059">
        <v>5406047</v>
      </c>
      <c r="B5321" s="1060" t="s">
        <v>26984</v>
      </c>
      <c r="C5321" s="1059" t="s">
        <v>38</v>
      </c>
      <c r="D5321" s="1061">
        <v>334.47</v>
      </c>
    </row>
    <row r="5322" spans="1:4" ht="9" customHeight="1" x14ac:dyDescent="0.25">
      <c r="A5322" s="1059">
        <v>5405978</v>
      </c>
      <c r="B5322" s="1060" t="s">
        <v>26985</v>
      </c>
      <c r="C5322" s="1059" t="s">
        <v>38</v>
      </c>
      <c r="D5322" s="1061">
        <v>64.569999999999993</v>
      </c>
    </row>
    <row r="5323" spans="1:4" ht="9" customHeight="1" x14ac:dyDescent="0.25">
      <c r="A5323" s="1059">
        <v>5405982</v>
      </c>
      <c r="B5323" s="1060" t="s">
        <v>26986</v>
      </c>
      <c r="C5323" s="1059" t="s">
        <v>38</v>
      </c>
      <c r="D5323" s="1061">
        <v>77.959999999999994</v>
      </c>
    </row>
    <row r="5324" spans="1:4" ht="9" customHeight="1" x14ac:dyDescent="0.25">
      <c r="A5324" s="1059">
        <v>5405983</v>
      </c>
      <c r="B5324" s="1060" t="s">
        <v>26987</v>
      </c>
      <c r="C5324" s="1059" t="s">
        <v>38</v>
      </c>
      <c r="D5324" s="1061">
        <v>91.51</v>
      </c>
    </row>
    <row r="5325" spans="1:4" ht="9" customHeight="1" x14ac:dyDescent="0.25">
      <c r="A5325" s="1059">
        <v>5405984</v>
      </c>
      <c r="B5325" s="1060" t="s">
        <v>26988</v>
      </c>
      <c r="C5325" s="1059" t="s">
        <v>38</v>
      </c>
      <c r="D5325" s="1061">
        <v>118.45</v>
      </c>
    </row>
    <row r="5326" spans="1:4" ht="9" customHeight="1" x14ac:dyDescent="0.25">
      <c r="A5326" s="1059">
        <v>5405985</v>
      </c>
      <c r="B5326" s="1060" t="s">
        <v>26989</v>
      </c>
      <c r="C5326" s="1059" t="s">
        <v>38</v>
      </c>
      <c r="D5326" s="1061">
        <v>145.55000000000001</v>
      </c>
    </row>
    <row r="5327" spans="1:4" ht="9" customHeight="1" x14ac:dyDescent="0.25">
      <c r="A5327" s="1059">
        <v>5406043</v>
      </c>
      <c r="B5327" s="1060" t="s">
        <v>26990</v>
      </c>
      <c r="C5327" s="1059" t="s">
        <v>38</v>
      </c>
      <c r="D5327" s="1061">
        <v>172.5</v>
      </c>
    </row>
    <row r="5328" spans="1:4" ht="18" customHeight="1" x14ac:dyDescent="0.25">
      <c r="A5328" s="1059">
        <v>5405975</v>
      </c>
      <c r="B5328" s="1060" t="s">
        <v>26991</v>
      </c>
      <c r="C5328" s="1059" t="s">
        <v>39</v>
      </c>
      <c r="D5328" s="1061">
        <v>36.47</v>
      </c>
    </row>
    <row r="5329" spans="1:4" ht="9" customHeight="1" x14ac:dyDescent="0.25">
      <c r="A5329" s="1059">
        <v>5405970</v>
      </c>
      <c r="B5329" s="1060" t="s">
        <v>26992</v>
      </c>
      <c r="C5329" s="1059" t="s">
        <v>38</v>
      </c>
      <c r="D5329" s="1061">
        <v>1400.06</v>
      </c>
    </row>
    <row r="5330" spans="1:4" ht="18" customHeight="1" x14ac:dyDescent="0.25">
      <c r="A5330" s="1059">
        <v>5405972</v>
      </c>
      <c r="B5330" s="1060" t="s">
        <v>26993</v>
      </c>
      <c r="C5330" s="1059" t="s">
        <v>38</v>
      </c>
      <c r="D5330" s="1061">
        <v>1270.99</v>
      </c>
    </row>
    <row r="5331" spans="1:4" ht="9" customHeight="1" x14ac:dyDescent="0.25">
      <c r="A5331" s="1059">
        <v>5405971</v>
      </c>
      <c r="B5331" s="1060" t="s">
        <v>26994</v>
      </c>
      <c r="C5331" s="1059" t="s">
        <v>38</v>
      </c>
      <c r="D5331" s="1061">
        <v>1562.08</v>
      </c>
    </row>
    <row r="5332" spans="1:4" ht="18" customHeight="1" x14ac:dyDescent="0.25">
      <c r="A5332" s="1059">
        <v>5405973</v>
      </c>
      <c r="B5332" s="1060" t="s">
        <v>26995</v>
      </c>
      <c r="C5332" s="1059" t="s">
        <v>38</v>
      </c>
      <c r="D5332" s="1061">
        <v>1433.01</v>
      </c>
    </row>
    <row r="5333" spans="1:4" ht="18" customHeight="1" x14ac:dyDescent="0.25">
      <c r="A5333" s="1059">
        <v>5405986</v>
      </c>
      <c r="B5333" s="1060" t="s">
        <v>26996</v>
      </c>
      <c r="C5333" s="1059" t="s">
        <v>39</v>
      </c>
      <c r="D5333" s="1061">
        <v>10.84</v>
      </c>
    </row>
    <row r="5334" spans="1:4" ht="9" customHeight="1" x14ac:dyDescent="0.25">
      <c r="A5334" s="1059">
        <v>5405976</v>
      </c>
      <c r="B5334" s="1060" t="s">
        <v>26997</v>
      </c>
      <c r="C5334" s="1059" t="s">
        <v>39</v>
      </c>
      <c r="D5334" s="1061">
        <v>129.33000000000001</v>
      </c>
    </row>
    <row r="5335" spans="1:4" ht="9" customHeight="1" x14ac:dyDescent="0.25">
      <c r="A5335" s="1059">
        <v>5406023</v>
      </c>
      <c r="B5335" s="1060" t="s">
        <v>26998</v>
      </c>
      <c r="C5335" s="1059" t="s">
        <v>39</v>
      </c>
      <c r="D5335" s="1061">
        <v>345.85</v>
      </c>
    </row>
    <row r="5336" spans="1:4" ht="18" customHeight="1" x14ac:dyDescent="0.25">
      <c r="A5336" s="1059">
        <v>5406033</v>
      </c>
      <c r="B5336" s="1060" t="s">
        <v>26999</v>
      </c>
      <c r="C5336" s="1059" t="s">
        <v>39</v>
      </c>
      <c r="D5336" s="1061">
        <v>327.78</v>
      </c>
    </row>
    <row r="5337" spans="1:4" ht="9" customHeight="1" x14ac:dyDescent="0.25">
      <c r="A5337" s="1059">
        <v>5406024</v>
      </c>
      <c r="B5337" s="1060" t="s">
        <v>27000</v>
      </c>
      <c r="C5337" s="1059" t="s">
        <v>39</v>
      </c>
      <c r="D5337" s="1061">
        <v>368.54</v>
      </c>
    </row>
    <row r="5338" spans="1:4" ht="18" customHeight="1" x14ac:dyDescent="0.25">
      <c r="A5338" s="1059">
        <v>5406034</v>
      </c>
      <c r="B5338" s="1060" t="s">
        <v>27001</v>
      </c>
      <c r="C5338" s="1059" t="s">
        <v>39</v>
      </c>
      <c r="D5338" s="1061">
        <v>350.47</v>
      </c>
    </row>
    <row r="5339" spans="1:4" ht="18" customHeight="1" x14ac:dyDescent="0.25">
      <c r="A5339" s="1059">
        <v>5406031</v>
      </c>
      <c r="B5339" s="1060" t="s">
        <v>27002</v>
      </c>
      <c r="C5339" s="1059" t="s">
        <v>39</v>
      </c>
      <c r="D5339" s="1061">
        <v>329.07</v>
      </c>
    </row>
    <row r="5340" spans="1:4" ht="18" customHeight="1" x14ac:dyDescent="0.25">
      <c r="A5340" s="1059">
        <v>5406041</v>
      </c>
      <c r="B5340" s="1060" t="s">
        <v>27003</v>
      </c>
      <c r="C5340" s="1059" t="s">
        <v>39</v>
      </c>
      <c r="D5340" s="1061">
        <v>311</v>
      </c>
    </row>
    <row r="5341" spans="1:4" ht="18" customHeight="1" x14ac:dyDescent="0.25">
      <c r="A5341" s="1059">
        <v>5406032</v>
      </c>
      <c r="B5341" s="1060" t="s">
        <v>27004</v>
      </c>
      <c r="C5341" s="1059" t="s">
        <v>39</v>
      </c>
      <c r="D5341" s="1061">
        <v>351.75</v>
      </c>
    </row>
    <row r="5342" spans="1:4" ht="18" customHeight="1" x14ac:dyDescent="0.25">
      <c r="A5342" s="1059">
        <v>5406042</v>
      </c>
      <c r="B5342" s="1060" t="s">
        <v>27005</v>
      </c>
      <c r="C5342" s="1059" t="s">
        <v>39</v>
      </c>
      <c r="D5342" s="1061">
        <v>333.68</v>
      </c>
    </row>
    <row r="5343" spans="1:4" ht="18" customHeight="1" x14ac:dyDescent="0.25">
      <c r="A5343" s="1059">
        <v>5406025</v>
      </c>
      <c r="B5343" s="1060" t="s">
        <v>27006</v>
      </c>
      <c r="C5343" s="1059" t="s">
        <v>39</v>
      </c>
      <c r="D5343" s="1061">
        <v>333.54</v>
      </c>
    </row>
    <row r="5344" spans="1:4" ht="18" customHeight="1" x14ac:dyDescent="0.25">
      <c r="A5344" s="1059">
        <v>5406035</v>
      </c>
      <c r="B5344" s="1060" t="s">
        <v>27007</v>
      </c>
      <c r="C5344" s="1059" t="s">
        <v>39</v>
      </c>
      <c r="D5344" s="1061">
        <v>315.47000000000003</v>
      </c>
    </row>
    <row r="5345" spans="1:4" ht="18" customHeight="1" x14ac:dyDescent="0.25">
      <c r="A5345" s="1059">
        <v>5406026</v>
      </c>
      <c r="B5345" s="1060" t="s">
        <v>27008</v>
      </c>
      <c r="C5345" s="1059" t="s">
        <v>39</v>
      </c>
      <c r="D5345" s="1061">
        <v>356.23</v>
      </c>
    </row>
    <row r="5346" spans="1:4" ht="18" customHeight="1" x14ac:dyDescent="0.25">
      <c r="A5346" s="1059">
        <v>5406036</v>
      </c>
      <c r="B5346" s="1060" t="s">
        <v>27009</v>
      </c>
      <c r="C5346" s="1059" t="s">
        <v>39</v>
      </c>
      <c r="D5346" s="1061">
        <v>338.16</v>
      </c>
    </row>
    <row r="5347" spans="1:4" ht="18" customHeight="1" x14ac:dyDescent="0.25">
      <c r="A5347" s="1059">
        <v>5406027</v>
      </c>
      <c r="B5347" s="1060" t="s">
        <v>27010</v>
      </c>
      <c r="C5347" s="1059" t="s">
        <v>39</v>
      </c>
      <c r="D5347" s="1061">
        <v>331.2</v>
      </c>
    </row>
    <row r="5348" spans="1:4" ht="18" customHeight="1" x14ac:dyDescent="0.25">
      <c r="A5348" s="1059">
        <v>5406037</v>
      </c>
      <c r="B5348" s="1060" t="s">
        <v>27011</v>
      </c>
      <c r="C5348" s="1059" t="s">
        <v>39</v>
      </c>
      <c r="D5348" s="1061">
        <v>313.13</v>
      </c>
    </row>
    <row r="5349" spans="1:4" ht="18" customHeight="1" x14ac:dyDescent="0.25">
      <c r="A5349" s="1059">
        <v>5406028</v>
      </c>
      <c r="B5349" s="1060" t="s">
        <v>27012</v>
      </c>
      <c r="C5349" s="1059" t="s">
        <v>39</v>
      </c>
      <c r="D5349" s="1061">
        <v>353.88</v>
      </c>
    </row>
    <row r="5350" spans="1:4" ht="18" customHeight="1" x14ac:dyDescent="0.25">
      <c r="A5350" s="1059">
        <v>5406038</v>
      </c>
      <c r="B5350" s="1060" t="s">
        <v>27013</v>
      </c>
      <c r="C5350" s="1059" t="s">
        <v>39</v>
      </c>
      <c r="D5350" s="1061">
        <v>335.81</v>
      </c>
    </row>
    <row r="5351" spans="1:4" ht="18" customHeight="1" x14ac:dyDescent="0.25">
      <c r="A5351" s="1059">
        <v>5406029</v>
      </c>
      <c r="B5351" s="1060" t="s">
        <v>27014</v>
      </c>
      <c r="C5351" s="1059" t="s">
        <v>39</v>
      </c>
      <c r="D5351" s="1061">
        <v>329.9</v>
      </c>
    </row>
    <row r="5352" spans="1:4" ht="18" customHeight="1" x14ac:dyDescent="0.25">
      <c r="A5352" s="1059">
        <v>5406039</v>
      </c>
      <c r="B5352" s="1060" t="s">
        <v>27015</v>
      </c>
      <c r="C5352" s="1059" t="s">
        <v>39</v>
      </c>
      <c r="D5352" s="1061">
        <v>311.83</v>
      </c>
    </row>
    <row r="5353" spans="1:4" ht="18" customHeight="1" x14ac:dyDescent="0.25">
      <c r="A5353" s="1059">
        <v>5406030</v>
      </c>
      <c r="B5353" s="1060" t="s">
        <v>27016</v>
      </c>
      <c r="C5353" s="1059" t="s">
        <v>39</v>
      </c>
      <c r="D5353" s="1061">
        <v>352.58</v>
      </c>
    </row>
    <row r="5354" spans="1:4" ht="18" customHeight="1" x14ac:dyDescent="0.25">
      <c r="A5354" s="1059">
        <v>5406040</v>
      </c>
      <c r="B5354" s="1060" t="s">
        <v>27017</v>
      </c>
      <c r="C5354" s="1059" t="s">
        <v>39</v>
      </c>
      <c r="D5354" s="1061">
        <v>334.51</v>
      </c>
    </row>
    <row r="5355" spans="1:4" ht="9" customHeight="1" x14ac:dyDescent="0.25">
      <c r="A5355" s="1059">
        <v>5405987</v>
      </c>
      <c r="B5355" s="1060" t="s">
        <v>27018</v>
      </c>
      <c r="C5355" s="1059" t="s">
        <v>3</v>
      </c>
      <c r="D5355" s="1061">
        <v>8.56</v>
      </c>
    </row>
    <row r="5356" spans="1:4" ht="9" customHeight="1" x14ac:dyDescent="0.25">
      <c r="A5356" s="1059">
        <v>5405979</v>
      </c>
      <c r="B5356" s="1060" t="s">
        <v>27019</v>
      </c>
      <c r="C5356" s="1059" t="s">
        <v>39</v>
      </c>
      <c r="D5356" s="1061">
        <v>15.62</v>
      </c>
    </row>
    <row r="5357" spans="1:4" ht="9" customHeight="1" x14ac:dyDescent="0.25">
      <c r="A5357" s="1059">
        <v>5502806</v>
      </c>
      <c r="B5357" s="1060" t="s">
        <v>27020</v>
      </c>
      <c r="C5357" s="1059" t="s">
        <v>38</v>
      </c>
      <c r="D5357" s="1061">
        <v>159.24</v>
      </c>
    </row>
    <row r="5358" spans="1:4" ht="9" customHeight="1" x14ac:dyDescent="0.25">
      <c r="A5358" s="1059">
        <v>5502807</v>
      </c>
      <c r="B5358" s="1060" t="s">
        <v>27021</v>
      </c>
      <c r="C5358" s="1059" t="s">
        <v>38</v>
      </c>
      <c r="D5358" s="1061">
        <v>14.7</v>
      </c>
    </row>
    <row r="5359" spans="1:4" ht="9" customHeight="1" x14ac:dyDescent="0.25">
      <c r="A5359" s="1059">
        <v>5503041</v>
      </c>
      <c r="B5359" s="1060" t="s">
        <v>27022</v>
      </c>
      <c r="C5359" s="1059" t="s">
        <v>38</v>
      </c>
      <c r="D5359" s="1061">
        <v>7.77</v>
      </c>
    </row>
    <row r="5360" spans="1:4" ht="9" customHeight="1" x14ac:dyDescent="0.25">
      <c r="A5360" s="1059">
        <v>5502978</v>
      </c>
      <c r="B5360" s="1060" t="s">
        <v>27023</v>
      </c>
      <c r="C5360" s="1059" t="s">
        <v>38</v>
      </c>
      <c r="D5360" s="1061">
        <v>4.6399999999999997</v>
      </c>
    </row>
    <row r="5361" spans="1:4" ht="9" customHeight="1" x14ac:dyDescent="0.25">
      <c r="A5361" s="1059">
        <v>5502822</v>
      </c>
      <c r="B5361" s="1060" t="s">
        <v>27024</v>
      </c>
      <c r="C5361" s="1059" t="s">
        <v>38</v>
      </c>
      <c r="D5361" s="1061">
        <v>38.659999999999997</v>
      </c>
    </row>
    <row r="5362" spans="1:4" ht="9" customHeight="1" x14ac:dyDescent="0.25">
      <c r="A5362" s="1059">
        <v>5502979</v>
      </c>
      <c r="B5362" s="1060" t="s">
        <v>27025</v>
      </c>
      <c r="C5362" s="1059" t="s">
        <v>38</v>
      </c>
      <c r="D5362" s="1061">
        <v>17.07</v>
      </c>
    </row>
    <row r="5363" spans="1:4" ht="9" customHeight="1" x14ac:dyDescent="0.25">
      <c r="A5363" s="1059">
        <v>5501700</v>
      </c>
      <c r="B5363" s="1060" t="s">
        <v>27026</v>
      </c>
      <c r="C5363" s="1059" t="s">
        <v>39</v>
      </c>
      <c r="D5363" s="1061">
        <v>0.54</v>
      </c>
    </row>
    <row r="5364" spans="1:4" ht="9" customHeight="1" x14ac:dyDescent="0.25">
      <c r="A5364" s="1059">
        <v>5500991</v>
      </c>
      <c r="B5364" s="1060" t="s">
        <v>27027</v>
      </c>
      <c r="C5364" s="1059" t="s">
        <v>38</v>
      </c>
      <c r="D5364" s="1061">
        <v>152.15</v>
      </c>
    </row>
    <row r="5365" spans="1:4" ht="9" customHeight="1" x14ac:dyDescent="0.25">
      <c r="A5365" s="1059">
        <v>5515739</v>
      </c>
      <c r="B5365" s="1060" t="s">
        <v>27028</v>
      </c>
      <c r="C5365" s="1059" t="s">
        <v>38</v>
      </c>
      <c r="D5365" s="1061">
        <v>39.08</v>
      </c>
    </row>
    <row r="5366" spans="1:4" ht="9" customHeight="1" x14ac:dyDescent="0.25">
      <c r="A5366" s="1059">
        <v>5505766</v>
      </c>
      <c r="B5366" s="1060" t="s">
        <v>27029</v>
      </c>
      <c r="C5366" s="1059" t="s">
        <v>38</v>
      </c>
      <c r="D5366" s="1061">
        <v>312.89</v>
      </c>
    </row>
    <row r="5367" spans="1:4" ht="9" customHeight="1" x14ac:dyDescent="0.25">
      <c r="A5367" s="1059">
        <v>5501701</v>
      </c>
      <c r="B5367" s="1060" t="s">
        <v>27030</v>
      </c>
      <c r="C5367" s="1059" t="s">
        <v>3</v>
      </c>
      <c r="D5367" s="1061">
        <v>40.1</v>
      </c>
    </row>
    <row r="5368" spans="1:4" ht="9" customHeight="1" x14ac:dyDescent="0.25">
      <c r="A5368" s="1059">
        <v>5501702</v>
      </c>
      <c r="B5368" s="1060" t="s">
        <v>27031</v>
      </c>
      <c r="C5368" s="1059" t="s">
        <v>3</v>
      </c>
      <c r="D5368" s="1061">
        <v>100.25</v>
      </c>
    </row>
    <row r="5369" spans="1:4" ht="18" customHeight="1" x14ac:dyDescent="0.25">
      <c r="A5369" s="1059">
        <v>5502972</v>
      </c>
      <c r="B5369" s="1060" t="s">
        <v>27032</v>
      </c>
      <c r="C5369" s="1059" t="s">
        <v>38</v>
      </c>
      <c r="D5369" s="1061">
        <v>211.86</v>
      </c>
    </row>
    <row r="5370" spans="1:4" ht="18" customHeight="1" x14ac:dyDescent="0.25">
      <c r="A5370" s="1059">
        <v>5502968</v>
      </c>
      <c r="B5370" s="1060" t="s">
        <v>27033</v>
      </c>
      <c r="C5370" s="1059" t="s">
        <v>38</v>
      </c>
      <c r="D5370" s="1061">
        <v>24</v>
      </c>
    </row>
    <row r="5371" spans="1:4" ht="18" customHeight="1" x14ac:dyDescent="0.25">
      <c r="A5371" s="1059">
        <v>5502969</v>
      </c>
      <c r="B5371" s="1060" t="s">
        <v>27034</v>
      </c>
      <c r="C5371" s="1059" t="s">
        <v>38</v>
      </c>
      <c r="D5371" s="1061">
        <v>30.25</v>
      </c>
    </row>
    <row r="5372" spans="1:4" ht="18" customHeight="1" x14ac:dyDescent="0.25">
      <c r="A5372" s="1059">
        <v>5502970</v>
      </c>
      <c r="B5372" s="1060" t="s">
        <v>27035</v>
      </c>
      <c r="C5372" s="1059" t="s">
        <v>38</v>
      </c>
      <c r="D5372" s="1061">
        <v>55.38</v>
      </c>
    </row>
    <row r="5373" spans="1:4" ht="18" customHeight="1" x14ac:dyDescent="0.25">
      <c r="A5373" s="1059">
        <v>5502971</v>
      </c>
      <c r="B5373" s="1060" t="s">
        <v>27036</v>
      </c>
      <c r="C5373" s="1059" t="s">
        <v>38</v>
      </c>
      <c r="D5373" s="1061">
        <v>102.97</v>
      </c>
    </row>
    <row r="5374" spans="1:4" ht="9" customHeight="1" x14ac:dyDescent="0.25">
      <c r="A5374" s="1059">
        <v>5502663</v>
      </c>
      <c r="B5374" s="1060" t="s">
        <v>27037</v>
      </c>
      <c r="C5374" s="1059" t="s">
        <v>38</v>
      </c>
      <c r="D5374" s="1061">
        <v>32.46</v>
      </c>
    </row>
    <row r="5375" spans="1:4" ht="9" customHeight="1" x14ac:dyDescent="0.25">
      <c r="A5375" s="1059">
        <v>5502993</v>
      </c>
      <c r="B5375" s="1060" t="s">
        <v>27038</v>
      </c>
      <c r="C5375" s="1059" t="s">
        <v>38</v>
      </c>
      <c r="D5375" s="1061">
        <v>23.85</v>
      </c>
    </row>
    <row r="5376" spans="1:4" ht="18" customHeight="1" x14ac:dyDescent="0.25">
      <c r="A5376" s="1059">
        <v>5502967</v>
      </c>
      <c r="B5376" s="1060" t="s">
        <v>27039</v>
      </c>
      <c r="C5376" s="1059" t="s">
        <v>38</v>
      </c>
      <c r="D5376" s="1061">
        <v>117.23</v>
      </c>
    </row>
    <row r="5377" spans="1:4" ht="9" customHeight="1" x14ac:dyDescent="0.25">
      <c r="A5377" s="1059">
        <v>5502963</v>
      </c>
      <c r="B5377" s="1060" t="s">
        <v>27040</v>
      </c>
      <c r="C5377" s="1059" t="s">
        <v>38</v>
      </c>
      <c r="D5377" s="1061">
        <v>14.37</v>
      </c>
    </row>
    <row r="5378" spans="1:4" ht="18" customHeight="1" x14ac:dyDescent="0.25">
      <c r="A5378" s="1059">
        <v>5502964</v>
      </c>
      <c r="B5378" s="1060" t="s">
        <v>27041</v>
      </c>
      <c r="C5378" s="1059" t="s">
        <v>38</v>
      </c>
      <c r="D5378" s="1061">
        <v>17.98</v>
      </c>
    </row>
    <row r="5379" spans="1:4" ht="18" customHeight="1" x14ac:dyDescent="0.25">
      <c r="A5379" s="1059">
        <v>5502965</v>
      </c>
      <c r="B5379" s="1060" t="s">
        <v>27042</v>
      </c>
      <c r="C5379" s="1059" t="s">
        <v>38</v>
      </c>
      <c r="D5379" s="1061">
        <v>32.340000000000003</v>
      </c>
    </row>
    <row r="5380" spans="1:4" ht="18" customHeight="1" x14ac:dyDescent="0.25">
      <c r="A5380" s="1059">
        <v>5502966</v>
      </c>
      <c r="B5380" s="1060" t="s">
        <v>27043</v>
      </c>
      <c r="C5380" s="1059" t="s">
        <v>38</v>
      </c>
      <c r="D5380" s="1061">
        <v>59.24</v>
      </c>
    </row>
    <row r="5381" spans="1:4" ht="9" customHeight="1" x14ac:dyDescent="0.25">
      <c r="A5381" s="1059">
        <v>5501706</v>
      </c>
      <c r="B5381" s="1060" t="s">
        <v>27044</v>
      </c>
      <c r="C5381" s="1059" t="s">
        <v>38</v>
      </c>
      <c r="D5381" s="1061">
        <v>7.07</v>
      </c>
    </row>
    <row r="5382" spans="1:4" ht="18" customHeight="1" x14ac:dyDescent="0.25">
      <c r="A5382" s="1059">
        <v>5501880</v>
      </c>
      <c r="B5382" s="1060" t="s">
        <v>27045</v>
      </c>
      <c r="C5382" s="1059" t="s">
        <v>38</v>
      </c>
      <c r="D5382" s="1061">
        <v>11.71</v>
      </c>
    </row>
    <row r="5383" spans="1:4" ht="18" customHeight="1" x14ac:dyDescent="0.25">
      <c r="A5383" s="1059">
        <v>5502114</v>
      </c>
      <c r="B5383" s="1060" t="s">
        <v>27046</v>
      </c>
      <c r="C5383" s="1059" t="s">
        <v>38</v>
      </c>
      <c r="D5383" s="1061">
        <v>7.98</v>
      </c>
    </row>
    <row r="5384" spans="1:4" ht="18" customHeight="1" x14ac:dyDescent="0.25">
      <c r="A5384" s="1059">
        <v>5501906</v>
      </c>
      <c r="B5384" s="1060" t="s">
        <v>27047</v>
      </c>
      <c r="C5384" s="1059" t="s">
        <v>38</v>
      </c>
      <c r="D5384" s="1061">
        <v>10.48</v>
      </c>
    </row>
    <row r="5385" spans="1:4" ht="18" customHeight="1" x14ac:dyDescent="0.25">
      <c r="A5385" s="1059">
        <v>5502140</v>
      </c>
      <c r="B5385" s="1060" t="s">
        <v>27048</v>
      </c>
      <c r="C5385" s="1059" t="s">
        <v>38</v>
      </c>
      <c r="D5385" s="1061">
        <v>6.74</v>
      </c>
    </row>
    <row r="5386" spans="1:4" ht="18" customHeight="1" x14ac:dyDescent="0.25">
      <c r="A5386" s="1059">
        <v>5501932</v>
      </c>
      <c r="B5386" s="1060" t="s">
        <v>27049</v>
      </c>
      <c r="C5386" s="1059" t="s">
        <v>38</v>
      </c>
      <c r="D5386" s="1061">
        <v>9.86</v>
      </c>
    </row>
    <row r="5387" spans="1:4" ht="18" customHeight="1" x14ac:dyDescent="0.25">
      <c r="A5387" s="1059">
        <v>5502166</v>
      </c>
      <c r="B5387" s="1060" t="s">
        <v>27050</v>
      </c>
      <c r="C5387" s="1059" t="s">
        <v>38</v>
      </c>
      <c r="D5387" s="1061">
        <v>6.48</v>
      </c>
    </row>
    <row r="5388" spans="1:4" ht="18" customHeight="1" x14ac:dyDescent="0.25">
      <c r="A5388" s="1059">
        <v>5501881</v>
      </c>
      <c r="B5388" s="1060" t="s">
        <v>27051</v>
      </c>
      <c r="C5388" s="1059" t="s">
        <v>38</v>
      </c>
      <c r="D5388" s="1061">
        <v>11.98</v>
      </c>
    </row>
    <row r="5389" spans="1:4" ht="18" customHeight="1" x14ac:dyDescent="0.25">
      <c r="A5389" s="1059">
        <v>5502115</v>
      </c>
      <c r="B5389" s="1060" t="s">
        <v>27052</v>
      </c>
      <c r="C5389" s="1059" t="s">
        <v>38</v>
      </c>
      <c r="D5389" s="1061">
        <v>8.65</v>
      </c>
    </row>
    <row r="5390" spans="1:4" ht="18" customHeight="1" x14ac:dyDescent="0.25">
      <c r="A5390" s="1059">
        <v>5501907</v>
      </c>
      <c r="B5390" s="1060" t="s">
        <v>27053</v>
      </c>
      <c r="C5390" s="1059" t="s">
        <v>38</v>
      </c>
      <c r="D5390" s="1061">
        <v>10.66</v>
      </c>
    </row>
    <row r="5391" spans="1:4" ht="18" customHeight="1" x14ac:dyDescent="0.25">
      <c r="A5391" s="1059">
        <v>5502141</v>
      </c>
      <c r="B5391" s="1060" t="s">
        <v>27054</v>
      </c>
      <c r="C5391" s="1059" t="s">
        <v>38</v>
      </c>
      <c r="D5391" s="1061">
        <v>7.29</v>
      </c>
    </row>
    <row r="5392" spans="1:4" ht="18" customHeight="1" x14ac:dyDescent="0.25">
      <c r="A5392" s="1059">
        <v>5501933</v>
      </c>
      <c r="B5392" s="1060" t="s">
        <v>27055</v>
      </c>
      <c r="C5392" s="1059" t="s">
        <v>38</v>
      </c>
      <c r="D5392" s="1061">
        <v>10</v>
      </c>
    </row>
    <row r="5393" spans="1:4" ht="18" customHeight="1" x14ac:dyDescent="0.25">
      <c r="A5393" s="1059">
        <v>5502167</v>
      </c>
      <c r="B5393" s="1060" t="s">
        <v>27056</v>
      </c>
      <c r="C5393" s="1059" t="s">
        <v>38</v>
      </c>
      <c r="D5393" s="1061">
        <v>6.63</v>
      </c>
    </row>
    <row r="5394" spans="1:4" ht="18" customHeight="1" x14ac:dyDescent="0.25">
      <c r="A5394" s="1059">
        <v>5501882</v>
      </c>
      <c r="B5394" s="1060" t="s">
        <v>27057</v>
      </c>
      <c r="C5394" s="1059" t="s">
        <v>38</v>
      </c>
      <c r="D5394" s="1061">
        <v>12.24</v>
      </c>
    </row>
    <row r="5395" spans="1:4" ht="18" customHeight="1" x14ac:dyDescent="0.25">
      <c r="A5395" s="1059">
        <v>5502116</v>
      </c>
      <c r="B5395" s="1060" t="s">
        <v>27058</v>
      </c>
      <c r="C5395" s="1059" t="s">
        <v>38</v>
      </c>
      <c r="D5395" s="1061">
        <v>8.8699999999999992</v>
      </c>
    </row>
    <row r="5396" spans="1:4" ht="18" customHeight="1" x14ac:dyDescent="0.25">
      <c r="A5396" s="1059">
        <v>5501908</v>
      </c>
      <c r="B5396" s="1060" t="s">
        <v>27059</v>
      </c>
      <c r="C5396" s="1059" t="s">
        <v>38</v>
      </c>
      <c r="D5396" s="1061">
        <v>10.83</v>
      </c>
    </row>
    <row r="5397" spans="1:4" ht="18" customHeight="1" x14ac:dyDescent="0.25">
      <c r="A5397" s="1059">
        <v>5502142</v>
      </c>
      <c r="B5397" s="1060" t="s">
        <v>27060</v>
      </c>
      <c r="C5397" s="1059" t="s">
        <v>38</v>
      </c>
      <c r="D5397" s="1061">
        <v>7.47</v>
      </c>
    </row>
    <row r="5398" spans="1:4" ht="18" customHeight="1" x14ac:dyDescent="0.25">
      <c r="A5398" s="1059">
        <v>5501934</v>
      </c>
      <c r="B5398" s="1060" t="s">
        <v>27061</v>
      </c>
      <c r="C5398" s="1059" t="s">
        <v>38</v>
      </c>
      <c r="D5398" s="1061">
        <v>10.48</v>
      </c>
    </row>
    <row r="5399" spans="1:4" ht="18" customHeight="1" x14ac:dyDescent="0.25">
      <c r="A5399" s="1059">
        <v>5502168</v>
      </c>
      <c r="B5399" s="1060" t="s">
        <v>27062</v>
      </c>
      <c r="C5399" s="1059" t="s">
        <v>38</v>
      </c>
      <c r="D5399" s="1061">
        <v>6.74</v>
      </c>
    </row>
    <row r="5400" spans="1:4" ht="18" customHeight="1" x14ac:dyDescent="0.25">
      <c r="A5400" s="1059">
        <v>5501883</v>
      </c>
      <c r="B5400" s="1060" t="s">
        <v>27063</v>
      </c>
      <c r="C5400" s="1059" t="s">
        <v>38</v>
      </c>
      <c r="D5400" s="1061">
        <v>12.5</v>
      </c>
    </row>
    <row r="5401" spans="1:4" ht="18" customHeight="1" x14ac:dyDescent="0.25">
      <c r="A5401" s="1059">
        <v>5502117</v>
      </c>
      <c r="B5401" s="1060" t="s">
        <v>27064</v>
      </c>
      <c r="C5401" s="1059" t="s">
        <v>38</v>
      </c>
      <c r="D5401" s="1061">
        <v>9.15</v>
      </c>
    </row>
    <row r="5402" spans="1:4" ht="18" customHeight="1" x14ac:dyDescent="0.25">
      <c r="A5402" s="1059">
        <v>5501909</v>
      </c>
      <c r="B5402" s="1060" t="s">
        <v>27065</v>
      </c>
      <c r="C5402" s="1059" t="s">
        <v>38</v>
      </c>
      <c r="D5402" s="1061">
        <v>11.01</v>
      </c>
    </row>
    <row r="5403" spans="1:4" ht="18" customHeight="1" x14ac:dyDescent="0.25">
      <c r="A5403" s="1059">
        <v>5502143</v>
      </c>
      <c r="B5403" s="1060" t="s">
        <v>27066</v>
      </c>
      <c r="C5403" s="1059" t="s">
        <v>38</v>
      </c>
      <c r="D5403" s="1061">
        <v>7.66</v>
      </c>
    </row>
    <row r="5404" spans="1:4" ht="18" customHeight="1" x14ac:dyDescent="0.25">
      <c r="A5404" s="1059">
        <v>5501935</v>
      </c>
      <c r="B5404" s="1060" t="s">
        <v>27067</v>
      </c>
      <c r="C5404" s="1059" t="s">
        <v>38</v>
      </c>
      <c r="D5404" s="1061">
        <v>10.66</v>
      </c>
    </row>
    <row r="5405" spans="1:4" ht="18" customHeight="1" x14ac:dyDescent="0.25">
      <c r="A5405" s="1059">
        <v>5502169</v>
      </c>
      <c r="B5405" s="1060" t="s">
        <v>27068</v>
      </c>
      <c r="C5405" s="1059" t="s">
        <v>38</v>
      </c>
      <c r="D5405" s="1061">
        <v>7.29</v>
      </c>
    </row>
    <row r="5406" spans="1:4" ht="18" customHeight="1" x14ac:dyDescent="0.25">
      <c r="A5406" s="1059">
        <v>5501884</v>
      </c>
      <c r="B5406" s="1060" t="s">
        <v>27069</v>
      </c>
      <c r="C5406" s="1059" t="s">
        <v>38</v>
      </c>
      <c r="D5406" s="1061">
        <v>13.12</v>
      </c>
    </row>
    <row r="5407" spans="1:4" ht="18" customHeight="1" x14ac:dyDescent="0.25">
      <c r="A5407" s="1059">
        <v>5502118</v>
      </c>
      <c r="B5407" s="1060" t="s">
        <v>27070</v>
      </c>
      <c r="C5407" s="1059" t="s">
        <v>38</v>
      </c>
      <c r="D5407" s="1061">
        <v>9.43</v>
      </c>
    </row>
    <row r="5408" spans="1:4" ht="18" customHeight="1" x14ac:dyDescent="0.25">
      <c r="A5408" s="1059">
        <v>5501910</v>
      </c>
      <c r="B5408" s="1060" t="s">
        <v>27071</v>
      </c>
      <c r="C5408" s="1059" t="s">
        <v>38</v>
      </c>
      <c r="D5408" s="1061">
        <v>11.18</v>
      </c>
    </row>
    <row r="5409" spans="1:4" ht="18" customHeight="1" x14ac:dyDescent="0.25">
      <c r="A5409" s="1059">
        <v>5502144</v>
      </c>
      <c r="B5409" s="1060" t="s">
        <v>27072</v>
      </c>
      <c r="C5409" s="1059" t="s">
        <v>38</v>
      </c>
      <c r="D5409" s="1061">
        <v>7.8</v>
      </c>
    </row>
    <row r="5410" spans="1:4" ht="18" customHeight="1" x14ac:dyDescent="0.25">
      <c r="A5410" s="1059">
        <v>5501936</v>
      </c>
      <c r="B5410" s="1060" t="s">
        <v>27073</v>
      </c>
      <c r="C5410" s="1059" t="s">
        <v>38</v>
      </c>
      <c r="D5410" s="1061">
        <v>10.79</v>
      </c>
    </row>
    <row r="5411" spans="1:4" ht="18" customHeight="1" x14ac:dyDescent="0.25">
      <c r="A5411" s="1059">
        <v>5502170</v>
      </c>
      <c r="B5411" s="1060" t="s">
        <v>27074</v>
      </c>
      <c r="C5411" s="1059" t="s">
        <v>38</v>
      </c>
      <c r="D5411" s="1061">
        <v>7.43</v>
      </c>
    </row>
    <row r="5412" spans="1:4" ht="18" customHeight="1" x14ac:dyDescent="0.25">
      <c r="A5412" s="1059">
        <v>5501885</v>
      </c>
      <c r="B5412" s="1060" t="s">
        <v>27075</v>
      </c>
      <c r="C5412" s="1059" t="s">
        <v>38</v>
      </c>
      <c r="D5412" s="1061">
        <v>13.61</v>
      </c>
    </row>
    <row r="5413" spans="1:4" ht="18" customHeight="1" x14ac:dyDescent="0.25">
      <c r="A5413" s="1059">
        <v>5502119</v>
      </c>
      <c r="B5413" s="1060" t="s">
        <v>27076</v>
      </c>
      <c r="C5413" s="1059" t="s">
        <v>38</v>
      </c>
      <c r="D5413" s="1061">
        <v>10.28</v>
      </c>
    </row>
    <row r="5414" spans="1:4" ht="18" customHeight="1" x14ac:dyDescent="0.25">
      <c r="A5414" s="1059">
        <v>5501911</v>
      </c>
      <c r="B5414" s="1060" t="s">
        <v>27077</v>
      </c>
      <c r="C5414" s="1059" t="s">
        <v>38</v>
      </c>
      <c r="D5414" s="1061">
        <v>11.82</v>
      </c>
    </row>
    <row r="5415" spans="1:4" ht="18" customHeight="1" x14ac:dyDescent="0.25">
      <c r="A5415" s="1059">
        <v>5502145</v>
      </c>
      <c r="B5415" s="1060" t="s">
        <v>27078</v>
      </c>
      <c r="C5415" s="1059" t="s">
        <v>38</v>
      </c>
      <c r="D5415" s="1061">
        <v>8.1199999999999992</v>
      </c>
    </row>
    <row r="5416" spans="1:4" ht="18" customHeight="1" x14ac:dyDescent="0.25">
      <c r="A5416" s="1059">
        <v>5501937</v>
      </c>
      <c r="B5416" s="1060" t="s">
        <v>27079</v>
      </c>
      <c r="C5416" s="1059" t="s">
        <v>38</v>
      </c>
      <c r="D5416" s="1061">
        <v>11.01</v>
      </c>
    </row>
    <row r="5417" spans="1:4" ht="18" customHeight="1" x14ac:dyDescent="0.25">
      <c r="A5417" s="1059">
        <v>5502171</v>
      </c>
      <c r="B5417" s="1060" t="s">
        <v>27080</v>
      </c>
      <c r="C5417" s="1059" t="s">
        <v>38</v>
      </c>
      <c r="D5417" s="1061">
        <v>7.66</v>
      </c>
    </row>
    <row r="5418" spans="1:4" ht="18" customHeight="1" x14ac:dyDescent="0.25">
      <c r="A5418" s="1059">
        <v>5501886</v>
      </c>
      <c r="B5418" s="1060" t="s">
        <v>27081</v>
      </c>
      <c r="C5418" s="1059" t="s">
        <v>38</v>
      </c>
      <c r="D5418" s="1061">
        <v>14.69</v>
      </c>
    </row>
    <row r="5419" spans="1:4" ht="18" customHeight="1" x14ac:dyDescent="0.25">
      <c r="A5419" s="1059">
        <v>5502120</v>
      </c>
      <c r="B5419" s="1060" t="s">
        <v>27082</v>
      </c>
      <c r="C5419" s="1059" t="s">
        <v>38</v>
      </c>
      <c r="D5419" s="1061">
        <v>11.37</v>
      </c>
    </row>
    <row r="5420" spans="1:4" ht="18" customHeight="1" x14ac:dyDescent="0.25">
      <c r="A5420" s="1059">
        <v>5501912</v>
      </c>
      <c r="B5420" s="1060" t="s">
        <v>27083</v>
      </c>
      <c r="C5420" s="1059" t="s">
        <v>38</v>
      </c>
      <c r="D5420" s="1061">
        <v>12.29</v>
      </c>
    </row>
    <row r="5421" spans="1:4" ht="18" customHeight="1" x14ac:dyDescent="0.25">
      <c r="A5421" s="1059">
        <v>5502146</v>
      </c>
      <c r="B5421" s="1060" t="s">
        <v>27084</v>
      </c>
      <c r="C5421" s="1059" t="s">
        <v>38</v>
      </c>
      <c r="D5421" s="1061">
        <v>8.98</v>
      </c>
    </row>
    <row r="5422" spans="1:4" ht="18" customHeight="1" x14ac:dyDescent="0.25">
      <c r="A5422" s="1059">
        <v>5501938</v>
      </c>
      <c r="B5422" s="1060" t="s">
        <v>27085</v>
      </c>
      <c r="C5422" s="1059" t="s">
        <v>38</v>
      </c>
      <c r="D5422" s="1061">
        <v>11.77</v>
      </c>
    </row>
    <row r="5423" spans="1:4" ht="18" customHeight="1" x14ac:dyDescent="0.25">
      <c r="A5423" s="1059">
        <v>5502172</v>
      </c>
      <c r="B5423" s="1060" t="s">
        <v>27086</v>
      </c>
      <c r="C5423" s="1059" t="s">
        <v>38</v>
      </c>
      <c r="D5423" s="1061">
        <v>8.07</v>
      </c>
    </row>
    <row r="5424" spans="1:4" ht="18" customHeight="1" x14ac:dyDescent="0.25">
      <c r="A5424" s="1059">
        <v>5501876</v>
      </c>
      <c r="B5424" s="1060" t="s">
        <v>27087</v>
      </c>
      <c r="C5424" s="1059" t="s">
        <v>38</v>
      </c>
      <c r="D5424" s="1061">
        <v>9.75</v>
      </c>
    </row>
    <row r="5425" spans="1:4" ht="18" customHeight="1" x14ac:dyDescent="0.25">
      <c r="A5425" s="1125">
        <v>5502110</v>
      </c>
      <c r="B5425" s="1126" t="s">
        <v>27088</v>
      </c>
      <c r="C5425" s="1125" t="s">
        <v>38</v>
      </c>
      <c r="D5425" s="1127">
        <v>6.37</v>
      </c>
    </row>
    <row r="5426" spans="1:4" ht="18" customHeight="1" x14ac:dyDescent="0.25">
      <c r="A5426" s="1059">
        <v>5501902</v>
      </c>
      <c r="B5426" s="1060" t="s">
        <v>27089</v>
      </c>
      <c r="C5426" s="1059" t="s">
        <v>38</v>
      </c>
      <c r="D5426" s="1061">
        <v>9.33</v>
      </c>
    </row>
    <row r="5427" spans="1:4" ht="18" customHeight="1" x14ac:dyDescent="0.25">
      <c r="A5427" s="1059">
        <v>5502136</v>
      </c>
      <c r="B5427" s="1060" t="s">
        <v>27090</v>
      </c>
      <c r="C5427" s="1059" t="s">
        <v>38</v>
      </c>
      <c r="D5427" s="1061">
        <v>5.96</v>
      </c>
    </row>
    <row r="5428" spans="1:4" ht="18" customHeight="1" x14ac:dyDescent="0.25">
      <c r="A5428" s="1059">
        <v>5501928</v>
      </c>
      <c r="B5428" s="1060" t="s">
        <v>27091</v>
      </c>
      <c r="C5428" s="1059" t="s">
        <v>38</v>
      </c>
      <c r="D5428" s="1061">
        <v>8.83</v>
      </c>
    </row>
    <row r="5429" spans="1:4" ht="18" customHeight="1" x14ac:dyDescent="0.25">
      <c r="A5429" s="1059">
        <v>5502162</v>
      </c>
      <c r="B5429" s="1060" t="s">
        <v>27092</v>
      </c>
      <c r="C5429" s="1059" t="s">
        <v>38</v>
      </c>
      <c r="D5429" s="1061">
        <v>5.42</v>
      </c>
    </row>
    <row r="5430" spans="1:4" ht="18" customHeight="1" x14ac:dyDescent="0.25">
      <c r="A5430" s="1059">
        <v>5501877</v>
      </c>
      <c r="B5430" s="1060" t="s">
        <v>27093</v>
      </c>
      <c r="C5430" s="1059" t="s">
        <v>38</v>
      </c>
      <c r="D5430" s="1061">
        <v>10.48</v>
      </c>
    </row>
    <row r="5431" spans="1:4" ht="18" customHeight="1" x14ac:dyDescent="0.25">
      <c r="A5431" s="1059">
        <v>5502111</v>
      </c>
      <c r="B5431" s="1060" t="s">
        <v>27094</v>
      </c>
      <c r="C5431" s="1059" t="s">
        <v>38</v>
      </c>
      <c r="D5431" s="1061">
        <v>6.74</v>
      </c>
    </row>
    <row r="5432" spans="1:4" ht="18" customHeight="1" x14ac:dyDescent="0.25">
      <c r="A5432" s="1059">
        <v>5501903</v>
      </c>
      <c r="B5432" s="1060" t="s">
        <v>27095</v>
      </c>
      <c r="C5432" s="1059" t="s">
        <v>38</v>
      </c>
      <c r="D5432" s="1061">
        <v>9.58</v>
      </c>
    </row>
    <row r="5433" spans="1:4" ht="18" customHeight="1" x14ac:dyDescent="0.25">
      <c r="A5433" s="1059">
        <v>5502137</v>
      </c>
      <c r="B5433" s="1060" t="s">
        <v>27096</v>
      </c>
      <c r="C5433" s="1059" t="s">
        <v>38</v>
      </c>
      <c r="D5433" s="1061">
        <v>6.18</v>
      </c>
    </row>
    <row r="5434" spans="1:4" ht="18" customHeight="1" x14ac:dyDescent="0.25">
      <c r="A5434" s="1059">
        <v>5501929</v>
      </c>
      <c r="B5434" s="1060" t="s">
        <v>27097</v>
      </c>
      <c r="C5434" s="1059" t="s">
        <v>38</v>
      </c>
      <c r="D5434" s="1061">
        <v>9.4</v>
      </c>
    </row>
    <row r="5435" spans="1:4" ht="18" customHeight="1" x14ac:dyDescent="0.25">
      <c r="A5435" s="1059">
        <v>5502163</v>
      </c>
      <c r="B5435" s="1060" t="s">
        <v>27098</v>
      </c>
      <c r="C5435" s="1059" t="s">
        <v>38</v>
      </c>
      <c r="D5435" s="1061">
        <v>6</v>
      </c>
    </row>
    <row r="5436" spans="1:4" ht="18" customHeight="1" x14ac:dyDescent="0.25">
      <c r="A5436" s="1059">
        <v>5501875</v>
      </c>
      <c r="B5436" s="1060" t="s">
        <v>27099</v>
      </c>
      <c r="C5436" s="1059" t="s">
        <v>38</v>
      </c>
      <c r="D5436" s="1061">
        <v>9.33</v>
      </c>
    </row>
    <row r="5437" spans="1:4" ht="18" customHeight="1" x14ac:dyDescent="0.25">
      <c r="A5437" s="1059">
        <v>5502109</v>
      </c>
      <c r="B5437" s="1060" t="s">
        <v>27100</v>
      </c>
      <c r="C5437" s="1059" t="s">
        <v>38</v>
      </c>
      <c r="D5437" s="1061">
        <v>5.96</v>
      </c>
    </row>
    <row r="5438" spans="1:4" ht="18" customHeight="1" x14ac:dyDescent="0.25">
      <c r="A5438" s="1059">
        <v>5501901</v>
      </c>
      <c r="B5438" s="1060" t="s">
        <v>27101</v>
      </c>
      <c r="C5438" s="1059" t="s">
        <v>38</v>
      </c>
      <c r="D5438" s="1061">
        <v>8.6999999999999993</v>
      </c>
    </row>
    <row r="5439" spans="1:4" ht="18" customHeight="1" x14ac:dyDescent="0.25">
      <c r="A5439" s="1059">
        <v>5502135</v>
      </c>
      <c r="B5439" s="1060" t="s">
        <v>27102</v>
      </c>
      <c r="C5439" s="1059" t="s">
        <v>38</v>
      </c>
      <c r="D5439" s="1061">
        <v>5.29</v>
      </c>
    </row>
    <row r="5440" spans="1:4" ht="18" customHeight="1" x14ac:dyDescent="0.25">
      <c r="A5440" s="1059">
        <v>5501927</v>
      </c>
      <c r="B5440" s="1060" t="s">
        <v>27103</v>
      </c>
      <c r="C5440" s="1059" t="s">
        <v>38</v>
      </c>
      <c r="D5440" s="1061">
        <v>8.6199999999999992</v>
      </c>
    </row>
    <row r="5441" spans="1:4" ht="18" customHeight="1" x14ac:dyDescent="0.25">
      <c r="A5441" s="1059">
        <v>5502161</v>
      </c>
      <c r="B5441" s="1060" t="s">
        <v>27104</v>
      </c>
      <c r="C5441" s="1059" t="s">
        <v>38</v>
      </c>
      <c r="D5441" s="1061">
        <v>5.2</v>
      </c>
    </row>
    <row r="5442" spans="1:4" ht="18" customHeight="1" x14ac:dyDescent="0.25">
      <c r="A5442" s="1059">
        <v>5501878</v>
      </c>
      <c r="B5442" s="1060" t="s">
        <v>27105</v>
      </c>
      <c r="C5442" s="1059" t="s">
        <v>38</v>
      </c>
      <c r="D5442" s="1061">
        <v>10.79</v>
      </c>
    </row>
    <row r="5443" spans="1:4" ht="18" customHeight="1" x14ac:dyDescent="0.25">
      <c r="A5443" s="1059">
        <v>5502112</v>
      </c>
      <c r="B5443" s="1060" t="s">
        <v>27106</v>
      </c>
      <c r="C5443" s="1059" t="s">
        <v>38</v>
      </c>
      <c r="D5443" s="1061">
        <v>7.43</v>
      </c>
    </row>
    <row r="5444" spans="1:4" ht="18" customHeight="1" x14ac:dyDescent="0.25">
      <c r="A5444" s="1059">
        <v>5501904</v>
      </c>
      <c r="B5444" s="1060" t="s">
        <v>27107</v>
      </c>
      <c r="C5444" s="1059" t="s">
        <v>38</v>
      </c>
      <c r="D5444" s="1061">
        <v>9.75</v>
      </c>
    </row>
    <row r="5445" spans="1:4" ht="18" customHeight="1" x14ac:dyDescent="0.25">
      <c r="A5445" s="1059">
        <v>5502138</v>
      </c>
      <c r="B5445" s="1060" t="s">
        <v>27108</v>
      </c>
      <c r="C5445" s="1059" t="s">
        <v>38</v>
      </c>
      <c r="D5445" s="1061">
        <v>6.41</v>
      </c>
    </row>
    <row r="5446" spans="1:4" ht="18" customHeight="1" x14ac:dyDescent="0.25">
      <c r="A5446" s="1059">
        <v>5501930</v>
      </c>
      <c r="B5446" s="1060" t="s">
        <v>27109</v>
      </c>
      <c r="C5446" s="1059" t="s">
        <v>38</v>
      </c>
      <c r="D5446" s="1061">
        <v>9.5399999999999991</v>
      </c>
    </row>
    <row r="5447" spans="1:4" ht="18" customHeight="1" x14ac:dyDescent="0.25">
      <c r="A5447" s="1059">
        <v>5502164</v>
      </c>
      <c r="B5447" s="1060" t="s">
        <v>27110</v>
      </c>
      <c r="C5447" s="1059" t="s">
        <v>38</v>
      </c>
      <c r="D5447" s="1061">
        <v>6.18</v>
      </c>
    </row>
    <row r="5448" spans="1:4" ht="18" customHeight="1" x14ac:dyDescent="0.25">
      <c r="A5448" s="1059">
        <v>5501879</v>
      </c>
      <c r="B5448" s="1060" t="s">
        <v>27111</v>
      </c>
      <c r="C5448" s="1059" t="s">
        <v>38</v>
      </c>
      <c r="D5448" s="1061">
        <v>11.09</v>
      </c>
    </row>
    <row r="5449" spans="1:4" ht="18" customHeight="1" x14ac:dyDescent="0.25">
      <c r="A5449" s="1059">
        <v>5502113</v>
      </c>
      <c r="B5449" s="1060" t="s">
        <v>27112</v>
      </c>
      <c r="C5449" s="1059" t="s">
        <v>38</v>
      </c>
      <c r="D5449" s="1061">
        <v>7.7</v>
      </c>
    </row>
    <row r="5450" spans="1:4" ht="18" customHeight="1" x14ac:dyDescent="0.25">
      <c r="A5450" s="1059">
        <v>5501905</v>
      </c>
      <c r="B5450" s="1060" t="s">
        <v>27113</v>
      </c>
      <c r="C5450" s="1059" t="s">
        <v>38</v>
      </c>
      <c r="D5450" s="1061">
        <v>9.9600000000000009</v>
      </c>
    </row>
    <row r="5451" spans="1:4" ht="18" customHeight="1" x14ac:dyDescent="0.25">
      <c r="A5451" s="1059">
        <v>5502139</v>
      </c>
      <c r="B5451" s="1060" t="s">
        <v>27114</v>
      </c>
      <c r="C5451" s="1059" t="s">
        <v>38</v>
      </c>
      <c r="D5451" s="1061">
        <v>6.59</v>
      </c>
    </row>
    <row r="5452" spans="1:4" ht="18" customHeight="1" x14ac:dyDescent="0.25">
      <c r="A5452" s="1059">
        <v>5501931</v>
      </c>
      <c r="B5452" s="1060" t="s">
        <v>27115</v>
      </c>
      <c r="C5452" s="1059" t="s">
        <v>38</v>
      </c>
      <c r="D5452" s="1061">
        <v>9.7200000000000006</v>
      </c>
    </row>
    <row r="5453" spans="1:4" ht="18" customHeight="1" x14ac:dyDescent="0.25">
      <c r="A5453" s="1059">
        <v>5502165</v>
      </c>
      <c r="B5453" s="1060" t="s">
        <v>27116</v>
      </c>
      <c r="C5453" s="1059" t="s">
        <v>38</v>
      </c>
      <c r="D5453" s="1061">
        <v>6.33</v>
      </c>
    </row>
    <row r="5454" spans="1:4" ht="18" customHeight="1" x14ac:dyDescent="0.25">
      <c r="A5454" s="1059">
        <v>5502825</v>
      </c>
      <c r="B5454" s="1060" t="s">
        <v>27117</v>
      </c>
      <c r="C5454" s="1059" t="s">
        <v>38</v>
      </c>
      <c r="D5454" s="1061">
        <v>15.49</v>
      </c>
    </row>
    <row r="5455" spans="1:4" ht="18" customHeight="1" x14ac:dyDescent="0.25">
      <c r="A5455" s="1059">
        <v>5502834</v>
      </c>
      <c r="B5455" s="1060" t="s">
        <v>27118</v>
      </c>
      <c r="C5455" s="1059" t="s">
        <v>38</v>
      </c>
      <c r="D5455" s="1061">
        <v>11.82</v>
      </c>
    </row>
    <row r="5456" spans="1:4" ht="18" customHeight="1" x14ac:dyDescent="0.25">
      <c r="A5456" s="1059">
        <v>5502826</v>
      </c>
      <c r="B5456" s="1060" t="s">
        <v>27119</v>
      </c>
      <c r="C5456" s="1059" t="s">
        <v>38</v>
      </c>
      <c r="D5456" s="1061">
        <v>12.55</v>
      </c>
    </row>
    <row r="5457" spans="1:5" ht="18" customHeight="1" x14ac:dyDescent="0.25">
      <c r="A5457" s="1059">
        <v>5502835</v>
      </c>
      <c r="B5457" s="1060" t="s">
        <v>27120</v>
      </c>
      <c r="C5457" s="1059" t="s">
        <v>38</v>
      </c>
      <c r="D5457" s="1061">
        <v>9.26</v>
      </c>
    </row>
    <row r="5458" spans="1:5" ht="18" customHeight="1" x14ac:dyDescent="0.25">
      <c r="A5458" s="1059">
        <v>5502827</v>
      </c>
      <c r="B5458" s="1060" t="s">
        <v>27121</v>
      </c>
      <c r="C5458" s="1059" t="s">
        <v>38</v>
      </c>
      <c r="D5458" s="1061">
        <v>11.98</v>
      </c>
    </row>
    <row r="5459" spans="1:5" ht="18" customHeight="1" x14ac:dyDescent="0.25">
      <c r="A5459" s="1125">
        <v>5502836</v>
      </c>
      <c r="B5459" s="1126" t="s">
        <v>27122</v>
      </c>
      <c r="C5459" s="1125" t="s">
        <v>38</v>
      </c>
      <c r="D5459" s="1127">
        <v>8.65</v>
      </c>
      <c r="E5459" s="1128">
        <f>D5459*Orçamento!H6*MC_TERR!C43</f>
        <v>102032.03404554639</v>
      </c>
    </row>
    <row r="5460" spans="1:5" ht="18" customHeight="1" x14ac:dyDescent="0.25">
      <c r="A5460" s="1059">
        <v>5502356</v>
      </c>
      <c r="B5460" s="1060" t="s">
        <v>27123</v>
      </c>
      <c r="C5460" s="1059" t="s">
        <v>38</v>
      </c>
      <c r="D5460" s="1061">
        <v>17.97</v>
      </c>
    </row>
    <row r="5461" spans="1:5" ht="18" customHeight="1" x14ac:dyDescent="0.25">
      <c r="A5461" s="1059">
        <v>5502590</v>
      </c>
      <c r="B5461" s="1060" t="s">
        <v>27124</v>
      </c>
      <c r="C5461" s="1059" t="s">
        <v>38</v>
      </c>
      <c r="D5461" s="1061">
        <v>10.82</v>
      </c>
    </row>
    <row r="5462" spans="1:5" ht="18" customHeight="1" x14ac:dyDescent="0.25">
      <c r="A5462" s="1059">
        <v>5502382</v>
      </c>
      <c r="B5462" s="1060" t="s">
        <v>27125</v>
      </c>
      <c r="C5462" s="1059" t="s">
        <v>38</v>
      </c>
      <c r="D5462" s="1061">
        <v>16.559999999999999</v>
      </c>
    </row>
    <row r="5463" spans="1:5" ht="18" customHeight="1" x14ac:dyDescent="0.25">
      <c r="A5463" s="1059">
        <v>5502616</v>
      </c>
      <c r="B5463" s="1060" t="s">
        <v>27126</v>
      </c>
      <c r="C5463" s="1059" t="s">
        <v>38</v>
      </c>
      <c r="D5463" s="1061">
        <v>9.27</v>
      </c>
    </row>
    <row r="5464" spans="1:5" ht="18" customHeight="1" x14ac:dyDescent="0.25">
      <c r="A5464" s="1059">
        <v>5502408</v>
      </c>
      <c r="B5464" s="1060" t="s">
        <v>27127</v>
      </c>
      <c r="C5464" s="1059" t="s">
        <v>38</v>
      </c>
      <c r="D5464" s="1061">
        <v>16.28</v>
      </c>
    </row>
    <row r="5465" spans="1:5" ht="18" customHeight="1" x14ac:dyDescent="0.25">
      <c r="A5465" s="1059">
        <v>5502642</v>
      </c>
      <c r="B5465" s="1060" t="s">
        <v>27128</v>
      </c>
      <c r="C5465" s="1059" t="s">
        <v>38</v>
      </c>
      <c r="D5465" s="1061">
        <v>8.94</v>
      </c>
    </row>
    <row r="5466" spans="1:5" ht="18" customHeight="1" x14ac:dyDescent="0.25">
      <c r="A5466" s="1059">
        <v>5502357</v>
      </c>
      <c r="B5466" s="1060" t="s">
        <v>27129</v>
      </c>
      <c r="C5466" s="1059" t="s">
        <v>38</v>
      </c>
      <c r="D5466" s="1061">
        <v>18.27</v>
      </c>
    </row>
    <row r="5467" spans="1:5" ht="18" customHeight="1" x14ac:dyDescent="0.25">
      <c r="A5467" s="1059">
        <v>5502591</v>
      </c>
      <c r="B5467" s="1060" t="s">
        <v>27130</v>
      </c>
      <c r="C5467" s="1059" t="s">
        <v>38</v>
      </c>
      <c r="D5467" s="1061">
        <v>11.13</v>
      </c>
    </row>
    <row r="5468" spans="1:5" ht="18" customHeight="1" x14ac:dyDescent="0.25">
      <c r="A5468" s="1059">
        <v>5502383</v>
      </c>
      <c r="B5468" s="1060" t="s">
        <v>27131</v>
      </c>
      <c r="C5468" s="1059" t="s">
        <v>38</v>
      </c>
      <c r="D5468" s="1061">
        <v>16.75</v>
      </c>
    </row>
    <row r="5469" spans="1:5" ht="18" customHeight="1" x14ac:dyDescent="0.25">
      <c r="A5469" s="1059">
        <v>5502617</v>
      </c>
      <c r="B5469" s="1060" t="s">
        <v>27132</v>
      </c>
      <c r="C5469" s="1059" t="s">
        <v>38</v>
      </c>
      <c r="D5469" s="1061">
        <v>9.42</v>
      </c>
    </row>
    <row r="5470" spans="1:5" ht="18" customHeight="1" x14ac:dyDescent="0.25">
      <c r="A5470" s="1059">
        <v>5502409</v>
      </c>
      <c r="B5470" s="1060" t="s">
        <v>27133</v>
      </c>
      <c r="C5470" s="1059" t="s">
        <v>38</v>
      </c>
      <c r="D5470" s="1061">
        <v>16.420000000000002</v>
      </c>
    </row>
    <row r="5471" spans="1:5" ht="18" customHeight="1" x14ac:dyDescent="0.25">
      <c r="A5471" s="1059">
        <v>5502643</v>
      </c>
      <c r="B5471" s="1060" t="s">
        <v>27134</v>
      </c>
      <c r="C5471" s="1059" t="s">
        <v>38</v>
      </c>
      <c r="D5471" s="1061">
        <v>9.1300000000000008</v>
      </c>
    </row>
    <row r="5472" spans="1:5" ht="18" customHeight="1" x14ac:dyDescent="0.25">
      <c r="A5472" s="1059">
        <v>5502358</v>
      </c>
      <c r="B5472" s="1060" t="s">
        <v>27135</v>
      </c>
      <c r="C5472" s="1059" t="s">
        <v>38</v>
      </c>
      <c r="D5472" s="1061">
        <v>18.559999999999999</v>
      </c>
    </row>
    <row r="5473" spans="1:4" ht="18" customHeight="1" x14ac:dyDescent="0.25">
      <c r="A5473" s="1059">
        <v>5502592</v>
      </c>
      <c r="B5473" s="1060" t="s">
        <v>27136</v>
      </c>
      <c r="C5473" s="1059" t="s">
        <v>38</v>
      </c>
      <c r="D5473" s="1061">
        <v>11.39</v>
      </c>
    </row>
    <row r="5474" spans="1:4" ht="18" customHeight="1" x14ac:dyDescent="0.25">
      <c r="A5474" s="1059">
        <v>5502384</v>
      </c>
      <c r="B5474" s="1060" t="s">
        <v>27137</v>
      </c>
      <c r="C5474" s="1059" t="s">
        <v>38</v>
      </c>
      <c r="D5474" s="1061">
        <v>16.940000000000001</v>
      </c>
    </row>
    <row r="5475" spans="1:4" ht="18" customHeight="1" x14ac:dyDescent="0.25">
      <c r="A5475" s="1059">
        <v>5502618</v>
      </c>
      <c r="B5475" s="1060" t="s">
        <v>27138</v>
      </c>
      <c r="C5475" s="1059" t="s">
        <v>38</v>
      </c>
      <c r="D5475" s="1061">
        <v>10.31</v>
      </c>
    </row>
    <row r="5476" spans="1:4" ht="18" customHeight="1" x14ac:dyDescent="0.25">
      <c r="A5476" s="1059">
        <v>5502410</v>
      </c>
      <c r="B5476" s="1060" t="s">
        <v>27139</v>
      </c>
      <c r="C5476" s="1059" t="s">
        <v>38</v>
      </c>
      <c r="D5476" s="1061">
        <v>16.559999999999999</v>
      </c>
    </row>
    <row r="5477" spans="1:4" ht="18" customHeight="1" x14ac:dyDescent="0.25">
      <c r="A5477" s="1059">
        <v>5502644</v>
      </c>
      <c r="B5477" s="1060" t="s">
        <v>27140</v>
      </c>
      <c r="C5477" s="1059" t="s">
        <v>38</v>
      </c>
      <c r="D5477" s="1061">
        <v>9.27</v>
      </c>
    </row>
    <row r="5478" spans="1:4" ht="18" customHeight="1" x14ac:dyDescent="0.25">
      <c r="A5478" s="1059">
        <v>5502359</v>
      </c>
      <c r="B5478" s="1060" t="s">
        <v>27141</v>
      </c>
      <c r="C5478" s="1059" t="s">
        <v>38</v>
      </c>
      <c r="D5478" s="1061">
        <v>18.86</v>
      </c>
    </row>
    <row r="5479" spans="1:4" ht="18" customHeight="1" x14ac:dyDescent="0.25">
      <c r="A5479" s="1059">
        <v>5502593</v>
      </c>
      <c r="B5479" s="1060" t="s">
        <v>27142</v>
      </c>
      <c r="C5479" s="1059" t="s">
        <v>38</v>
      </c>
      <c r="D5479" s="1061">
        <v>11.71</v>
      </c>
    </row>
    <row r="5480" spans="1:4" ht="18" customHeight="1" x14ac:dyDescent="0.25">
      <c r="A5480" s="1059">
        <v>5502385</v>
      </c>
      <c r="B5480" s="1060" t="s">
        <v>27143</v>
      </c>
      <c r="C5480" s="1059" t="s">
        <v>38</v>
      </c>
      <c r="D5480" s="1061">
        <v>17.13</v>
      </c>
    </row>
    <row r="5481" spans="1:4" ht="18" customHeight="1" x14ac:dyDescent="0.25">
      <c r="A5481" s="1059">
        <v>5502619</v>
      </c>
      <c r="B5481" s="1060" t="s">
        <v>27144</v>
      </c>
      <c r="C5481" s="1059" t="s">
        <v>38</v>
      </c>
      <c r="D5481" s="1061">
        <v>10.5</v>
      </c>
    </row>
    <row r="5482" spans="1:4" ht="18" customHeight="1" x14ac:dyDescent="0.25">
      <c r="A5482" s="1059">
        <v>5502411</v>
      </c>
      <c r="B5482" s="1060" t="s">
        <v>27145</v>
      </c>
      <c r="C5482" s="1059" t="s">
        <v>38</v>
      </c>
      <c r="D5482" s="1061">
        <v>16.71</v>
      </c>
    </row>
    <row r="5483" spans="1:4" ht="18" customHeight="1" x14ac:dyDescent="0.25">
      <c r="A5483" s="1059">
        <v>5502645</v>
      </c>
      <c r="B5483" s="1060" t="s">
        <v>27146</v>
      </c>
      <c r="C5483" s="1059" t="s">
        <v>38</v>
      </c>
      <c r="D5483" s="1061">
        <v>9.42</v>
      </c>
    </row>
    <row r="5484" spans="1:4" ht="18" customHeight="1" x14ac:dyDescent="0.25">
      <c r="A5484" s="1059">
        <v>5502360</v>
      </c>
      <c r="B5484" s="1060" t="s">
        <v>27147</v>
      </c>
      <c r="C5484" s="1059" t="s">
        <v>38</v>
      </c>
      <c r="D5484" s="1061">
        <v>19.61</v>
      </c>
    </row>
    <row r="5485" spans="1:4" ht="18" customHeight="1" x14ac:dyDescent="0.25">
      <c r="A5485" s="1059">
        <v>5502594</v>
      </c>
      <c r="B5485" s="1060" t="s">
        <v>27148</v>
      </c>
      <c r="C5485" s="1059" t="s">
        <v>38</v>
      </c>
      <c r="D5485" s="1061">
        <v>12.68</v>
      </c>
    </row>
    <row r="5486" spans="1:4" ht="18" customHeight="1" x14ac:dyDescent="0.25">
      <c r="A5486" s="1059">
        <v>5502386</v>
      </c>
      <c r="B5486" s="1060" t="s">
        <v>27149</v>
      </c>
      <c r="C5486" s="1059" t="s">
        <v>38</v>
      </c>
      <c r="D5486" s="1061">
        <v>17.79</v>
      </c>
    </row>
    <row r="5487" spans="1:4" ht="18" customHeight="1" x14ac:dyDescent="0.25">
      <c r="A5487" s="1059">
        <v>5502620</v>
      </c>
      <c r="B5487" s="1060" t="s">
        <v>27150</v>
      </c>
      <c r="C5487" s="1059" t="s">
        <v>38</v>
      </c>
      <c r="D5487" s="1061">
        <v>10.62</v>
      </c>
    </row>
    <row r="5488" spans="1:4" ht="18" customHeight="1" x14ac:dyDescent="0.25">
      <c r="A5488" s="1059">
        <v>5502412</v>
      </c>
      <c r="B5488" s="1060" t="s">
        <v>27151</v>
      </c>
      <c r="C5488" s="1059" t="s">
        <v>38</v>
      </c>
      <c r="D5488" s="1061">
        <v>16.850000000000001</v>
      </c>
    </row>
    <row r="5489" spans="1:4" ht="18" customHeight="1" x14ac:dyDescent="0.25">
      <c r="A5489" s="1059">
        <v>5502646</v>
      </c>
      <c r="B5489" s="1060" t="s">
        <v>27152</v>
      </c>
      <c r="C5489" s="1059" t="s">
        <v>38</v>
      </c>
      <c r="D5489" s="1061">
        <v>10.24</v>
      </c>
    </row>
    <row r="5490" spans="1:4" ht="18" customHeight="1" x14ac:dyDescent="0.25">
      <c r="A5490" s="1059">
        <v>5502361</v>
      </c>
      <c r="B5490" s="1060" t="s">
        <v>27153</v>
      </c>
      <c r="C5490" s="1059" t="s">
        <v>38</v>
      </c>
      <c r="D5490" s="1061">
        <v>20.11</v>
      </c>
    </row>
    <row r="5491" spans="1:4" ht="18" customHeight="1" x14ac:dyDescent="0.25">
      <c r="A5491" s="1059">
        <v>5502595</v>
      </c>
      <c r="B5491" s="1060" t="s">
        <v>27154</v>
      </c>
      <c r="C5491" s="1059" t="s">
        <v>38</v>
      </c>
      <c r="D5491" s="1061">
        <v>13.16</v>
      </c>
    </row>
    <row r="5492" spans="1:4" ht="18" customHeight="1" x14ac:dyDescent="0.25">
      <c r="A5492" s="1059">
        <v>5502387</v>
      </c>
      <c r="B5492" s="1060" t="s">
        <v>27155</v>
      </c>
      <c r="C5492" s="1059" t="s">
        <v>38</v>
      </c>
      <c r="D5492" s="1061">
        <v>18.149999999999999</v>
      </c>
    </row>
    <row r="5493" spans="1:4" ht="18" customHeight="1" x14ac:dyDescent="0.25">
      <c r="A5493" s="1059">
        <v>5502621</v>
      </c>
      <c r="B5493" s="1060" t="s">
        <v>27156</v>
      </c>
      <c r="C5493" s="1059" t="s">
        <v>38</v>
      </c>
      <c r="D5493" s="1061">
        <v>11.01</v>
      </c>
    </row>
    <row r="5494" spans="1:4" ht="18" customHeight="1" x14ac:dyDescent="0.25">
      <c r="A5494" s="1059">
        <v>5502413</v>
      </c>
      <c r="B5494" s="1060" t="s">
        <v>27157</v>
      </c>
      <c r="C5494" s="1059" t="s">
        <v>38</v>
      </c>
      <c r="D5494" s="1061">
        <v>17.13</v>
      </c>
    </row>
    <row r="5495" spans="1:4" ht="18" customHeight="1" x14ac:dyDescent="0.25">
      <c r="A5495" s="1059">
        <v>5502647</v>
      </c>
      <c r="B5495" s="1060" t="s">
        <v>27158</v>
      </c>
      <c r="C5495" s="1059" t="s">
        <v>38</v>
      </c>
      <c r="D5495" s="1061">
        <v>10.5</v>
      </c>
    </row>
    <row r="5496" spans="1:4" ht="18" customHeight="1" x14ac:dyDescent="0.25">
      <c r="A5496" s="1059">
        <v>5502362</v>
      </c>
      <c r="B5496" s="1060" t="s">
        <v>27159</v>
      </c>
      <c r="C5496" s="1059" t="s">
        <v>38</v>
      </c>
      <c r="D5496" s="1061">
        <v>21.47</v>
      </c>
    </row>
    <row r="5497" spans="1:4" ht="18" customHeight="1" x14ac:dyDescent="0.25">
      <c r="A5497" s="1059">
        <v>5502596</v>
      </c>
      <c r="B5497" s="1060" t="s">
        <v>27160</v>
      </c>
      <c r="C5497" s="1059" t="s">
        <v>38</v>
      </c>
      <c r="D5497" s="1061">
        <v>13.95</v>
      </c>
    </row>
    <row r="5498" spans="1:4" ht="18" customHeight="1" x14ac:dyDescent="0.25">
      <c r="A5498" s="1059">
        <v>5502388</v>
      </c>
      <c r="B5498" s="1060" t="s">
        <v>27161</v>
      </c>
      <c r="C5498" s="1059" t="s">
        <v>38</v>
      </c>
      <c r="D5498" s="1061">
        <v>18.62</v>
      </c>
    </row>
    <row r="5499" spans="1:4" ht="18" customHeight="1" x14ac:dyDescent="0.25">
      <c r="A5499" s="1059">
        <v>5502622</v>
      </c>
      <c r="B5499" s="1060" t="s">
        <v>27162</v>
      </c>
      <c r="C5499" s="1059" t="s">
        <v>38</v>
      </c>
      <c r="D5499" s="1061">
        <v>11.52</v>
      </c>
    </row>
    <row r="5500" spans="1:4" ht="18" customHeight="1" x14ac:dyDescent="0.25">
      <c r="A5500" s="1059">
        <v>5502414</v>
      </c>
      <c r="B5500" s="1060" t="s">
        <v>27163</v>
      </c>
      <c r="C5500" s="1059" t="s">
        <v>38</v>
      </c>
      <c r="D5500" s="1061">
        <v>18.09</v>
      </c>
    </row>
    <row r="5501" spans="1:4" ht="18" customHeight="1" x14ac:dyDescent="0.25">
      <c r="A5501" s="1059">
        <v>5502648</v>
      </c>
      <c r="B5501" s="1060" t="s">
        <v>27164</v>
      </c>
      <c r="C5501" s="1059" t="s">
        <v>38</v>
      </c>
      <c r="D5501" s="1061">
        <v>10.94</v>
      </c>
    </row>
    <row r="5502" spans="1:4" ht="18" customHeight="1" x14ac:dyDescent="0.25">
      <c r="A5502" s="1059">
        <v>5502352</v>
      </c>
      <c r="B5502" s="1060" t="s">
        <v>27165</v>
      </c>
      <c r="C5502" s="1059" t="s">
        <v>38</v>
      </c>
      <c r="D5502" s="1061">
        <v>16.14</v>
      </c>
    </row>
    <row r="5503" spans="1:4" ht="18" customHeight="1" x14ac:dyDescent="0.25">
      <c r="A5503" s="1059">
        <v>5502586</v>
      </c>
      <c r="B5503" s="1060" t="s">
        <v>27166</v>
      </c>
      <c r="C5503" s="1059" t="s">
        <v>38</v>
      </c>
      <c r="D5503" s="1061">
        <v>8.84</v>
      </c>
    </row>
    <row r="5504" spans="1:4" ht="18" customHeight="1" x14ac:dyDescent="0.25">
      <c r="A5504" s="1059">
        <v>5502378</v>
      </c>
      <c r="B5504" s="1060" t="s">
        <v>27167</v>
      </c>
      <c r="C5504" s="1059" t="s">
        <v>38</v>
      </c>
      <c r="D5504" s="1061">
        <v>15.18</v>
      </c>
    </row>
    <row r="5505" spans="1:4" ht="18" customHeight="1" x14ac:dyDescent="0.25">
      <c r="A5505" s="1059">
        <v>5502612</v>
      </c>
      <c r="B5505" s="1060" t="s">
        <v>27168</v>
      </c>
      <c r="C5505" s="1059" t="s">
        <v>38</v>
      </c>
      <c r="D5505" s="1061">
        <v>8.36</v>
      </c>
    </row>
    <row r="5506" spans="1:4" ht="18" customHeight="1" x14ac:dyDescent="0.25">
      <c r="A5506" s="1059">
        <v>5502404</v>
      </c>
      <c r="B5506" s="1060" t="s">
        <v>27169</v>
      </c>
      <c r="C5506" s="1059" t="s">
        <v>38</v>
      </c>
      <c r="D5506" s="1061">
        <v>15.04</v>
      </c>
    </row>
    <row r="5507" spans="1:4" ht="18" customHeight="1" x14ac:dyDescent="0.25">
      <c r="A5507" s="1059">
        <v>5502638</v>
      </c>
      <c r="B5507" s="1060" t="s">
        <v>27170</v>
      </c>
      <c r="C5507" s="1059" t="s">
        <v>38</v>
      </c>
      <c r="D5507" s="1061">
        <v>8.2200000000000006</v>
      </c>
    </row>
    <row r="5508" spans="1:4" ht="18" customHeight="1" x14ac:dyDescent="0.25">
      <c r="A5508" s="1059">
        <v>5502353</v>
      </c>
      <c r="B5508" s="1060" t="s">
        <v>27171</v>
      </c>
      <c r="C5508" s="1059" t="s">
        <v>38</v>
      </c>
      <c r="D5508" s="1061">
        <v>16.52</v>
      </c>
    </row>
    <row r="5509" spans="1:4" ht="18" customHeight="1" x14ac:dyDescent="0.25">
      <c r="A5509" s="1059">
        <v>5502587</v>
      </c>
      <c r="B5509" s="1060" t="s">
        <v>27172</v>
      </c>
      <c r="C5509" s="1059" t="s">
        <v>38</v>
      </c>
      <c r="D5509" s="1061">
        <v>9.2200000000000006</v>
      </c>
    </row>
    <row r="5510" spans="1:4" ht="18" customHeight="1" x14ac:dyDescent="0.25">
      <c r="A5510" s="1059">
        <v>5502379</v>
      </c>
      <c r="B5510" s="1060" t="s">
        <v>27173</v>
      </c>
      <c r="C5510" s="1059" t="s">
        <v>38</v>
      </c>
      <c r="D5510" s="1061">
        <v>15.47</v>
      </c>
    </row>
    <row r="5511" spans="1:4" ht="18" customHeight="1" x14ac:dyDescent="0.25">
      <c r="A5511" s="1059">
        <v>5502613</v>
      </c>
      <c r="B5511" s="1060" t="s">
        <v>27174</v>
      </c>
      <c r="C5511" s="1059" t="s">
        <v>38</v>
      </c>
      <c r="D5511" s="1061">
        <v>8.65</v>
      </c>
    </row>
    <row r="5512" spans="1:4" ht="18" customHeight="1" x14ac:dyDescent="0.25">
      <c r="A5512" s="1059">
        <v>5502405</v>
      </c>
      <c r="B5512" s="1060" t="s">
        <v>27175</v>
      </c>
      <c r="C5512" s="1059" t="s">
        <v>38</v>
      </c>
      <c r="D5512" s="1061">
        <v>15.25</v>
      </c>
    </row>
    <row r="5513" spans="1:4" ht="18" customHeight="1" x14ac:dyDescent="0.25">
      <c r="A5513" s="1059">
        <v>5502639</v>
      </c>
      <c r="B5513" s="1060" t="s">
        <v>27176</v>
      </c>
      <c r="C5513" s="1059" t="s">
        <v>38</v>
      </c>
      <c r="D5513" s="1061">
        <v>8.4600000000000009</v>
      </c>
    </row>
    <row r="5514" spans="1:4" ht="18" customHeight="1" x14ac:dyDescent="0.25">
      <c r="A5514" s="1059">
        <v>5502351</v>
      </c>
      <c r="B5514" s="1060" t="s">
        <v>27177</v>
      </c>
      <c r="C5514" s="1059" t="s">
        <v>38</v>
      </c>
      <c r="D5514" s="1061">
        <v>15.18</v>
      </c>
    </row>
    <row r="5515" spans="1:4" ht="18" customHeight="1" x14ac:dyDescent="0.25">
      <c r="A5515" s="1059">
        <v>5502585</v>
      </c>
      <c r="B5515" s="1060" t="s">
        <v>27178</v>
      </c>
      <c r="C5515" s="1059" t="s">
        <v>38</v>
      </c>
      <c r="D5515" s="1061">
        <v>8.36</v>
      </c>
    </row>
    <row r="5516" spans="1:4" ht="18" customHeight="1" x14ac:dyDescent="0.25">
      <c r="A5516" s="1059">
        <v>5502377</v>
      </c>
      <c r="B5516" s="1060" t="s">
        <v>27179</v>
      </c>
      <c r="C5516" s="1059" t="s">
        <v>38</v>
      </c>
      <c r="D5516" s="1061">
        <v>14.9</v>
      </c>
    </row>
    <row r="5517" spans="1:4" ht="18" customHeight="1" x14ac:dyDescent="0.25">
      <c r="A5517" s="1059">
        <v>5502611</v>
      </c>
      <c r="B5517" s="1060" t="s">
        <v>27180</v>
      </c>
      <c r="C5517" s="1059" t="s">
        <v>38</v>
      </c>
      <c r="D5517" s="1061">
        <v>8.08</v>
      </c>
    </row>
    <row r="5518" spans="1:4" ht="18" customHeight="1" x14ac:dyDescent="0.25">
      <c r="A5518" s="1059">
        <v>5502403</v>
      </c>
      <c r="B5518" s="1060" t="s">
        <v>27181</v>
      </c>
      <c r="C5518" s="1059" t="s">
        <v>38</v>
      </c>
      <c r="D5518" s="1061">
        <v>14.79</v>
      </c>
    </row>
    <row r="5519" spans="1:4" ht="18" customHeight="1" x14ac:dyDescent="0.25">
      <c r="A5519" s="1059">
        <v>5502637</v>
      </c>
      <c r="B5519" s="1060" t="s">
        <v>27182</v>
      </c>
      <c r="C5519" s="1059" t="s">
        <v>38</v>
      </c>
      <c r="D5519" s="1061">
        <v>7.98</v>
      </c>
    </row>
    <row r="5520" spans="1:4" ht="9" customHeight="1" x14ac:dyDescent="0.25">
      <c r="A5520" s="1059">
        <v>5502187</v>
      </c>
      <c r="B5520" s="1060" t="s">
        <v>27183</v>
      </c>
      <c r="C5520" s="1059" t="s">
        <v>38</v>
      </c>
      <c r="D5520" s="1061">
        <v>7.36</v>
      </c>
    </row>
    <row r="5521" spans="1:4" ht="18" customHeight="1" x14ac:dyDescent="0.25">
      <c r="A5521" s="1059">
        <v>5502354</v>
      </c>
      <c r="B5521" s="1060" t="s">
        <v>27184</v>
      </c>
      <c r="C5521" s="1059" t="s">
        <v>38</v>
      </c>
      <c r="D5521" s="1061">
        <v>16.899999999999999</v>
      </c>
    </row>
    <row r="5522" spans="1:4" ht="18" customHeight="1" x14ac:dyDescent="0.25">
      <c r="A5522" s="1059">
        <v>5502588</v>
      </c>
      <c r="B5522" s="1060" t="s">
        <v>27185</v>
      </c>
      <c r="C5522" s="1059" t="s">
        <v>38</v>
      </c>
      <c r="D5522" s="1061">
        <v>10.24</v>
      </c>
    </row>
    <row r="5523" spans="1:4" ht="18" customHeight="1" x14ac:dyDescent="0.25">
      <c r="A5523" s="1059">
        <v>5502380</v>
      </c>
      <c r="B5523" s="1060" t="s">
        <v>27186</v>
      </c>
      <c r="C5523" s="1059" t="s">
        <v>38</v>
      </c>
      <c r="D5523" s="1061">
        <v>16.190000000000001</v>
      </c>
    </row>
    <row r="5524" spans="1:4" ht="18" customHeight="1" x14ac:dyDescent="0.25">
      <c r="A5524" s="1059">
        <v>5502614</v>
      </c>
      <c r="B5524" s="1060" t="s">
        <v>27187</v>
      </c>
      <c r="C5524" s="1059" t="s">
        <v>38</v>
      </c>
      <c r="D5524" s="1061">
        <v>8.84</v>
      </c>
    </row>
    <row r="5525" spans="1:4" ht="18" customHeight="1" x14ac:dyDescent="0.25">
      <c r="A5525" s="1059">
        <v>5502406</v>
      </c>
      <c r="B5525" s="1060" t="s">
        <v>27188</v>
      </c>
      <c r="C5525" s="1059" t="s">
        <v>38</v>
      </c>
      <c r="D5525" s="1061">
        <v>15.43</v>
      </c>
    </row>
    <row r="5526" spans="1:4" ht="18" customHeight="1" x14ac:dyDescent="0.25">
      <c r="A5526" s="1059">
        <v>5502640</v>
      </c>
      <c r="B5526" s="1060" t="s">
        <v>27189</v>
      </c>
      <c r="C5526" s="1059" t="s">
        <v>38</v>
      </c>
      <c r="D5526" s="1061">
        <v>8.65</v>
      </c>
    </row>
    <row r="5527" spans="1:4" ht="18" customHeight="1" x14ac:dyDescent="0.25">
      <c r="A5527" s="1059">
        <v>5502355</v>
      </c>
      <c r="B5527" s="1060" t="s">
        <v>27190</v>
      </c>
      <c r="C5527" s="1059" t="s">
        <v>38</v>
      </c>
      <c r="D5527" s="1061">
        <v>17.18</v>
      </c>
    </row>
    <row r="5528" spans="1:4" ht="18" customHeight="1" x14ac:dyDescent="0.25">
      <c r="A5528" s="1059">
        <v>5502589</v>
      </c>
      <c r="B5528" s="1060" t="s">
        <v>27191</v>
      </c>
      <c r="C5528" s="1059" t="s">
        <v>38</v>
      </c>
      <c r="D5528" s="1061">
        <v>10.56</v>
      </c>
    </row>
    <row r="5529" spans="1:4" ht="18" customHeight="1" x14ac:dyDescent="0.25">
      <c r="A5529" s="1059">
        <v>5502381</v>
      </c>
      <c r="B5529" s="1060" t="s">
        <v>27192</v>
      </c>
      <c r="C5529" s="1059" t="s">
        <v>38</v>
      </c>
      <c r="D5529" s="1061">
        <v>16.37</v>
      </c>
    </row>
    <row r="5530" spans="1:4" ht="18" customHeight="1" x14ac:dyDescent="0.25">
      <c r="A5530" s="1059">
        <v>5502615</v>
      </c>
      <c r="B5530" s="1060" t="s">
        <v>27193</v>
      </c>
      <c r="C5530" s="1059" t="s">
        <v>38</v>
      </c>
      <c r="D5530" s="1061">
        <v>9.08</v>
      </c>
    </row>
    <row r="5531" spans="1:4" ht="18" customHeight="1" x14ac:dyDescent="0.25">
      <c r="A5531" s="1059">
        <v>5502407</v>
      </c>
      <c r="B5531" s="1060" t="s">
        <v>27194</v>
      </c>
      <c r="C5531" s="1059" t="s">
        <v>38</v>
      </c>
      <c r="D5531" s="1061">
        <v>16.09</v>
      </c>
    </row>
    <row r="5532" spans="1:4" ht="18" customHeight="1" x14ac:dyDescent="0.25">
      <c r="A5532" s="1059">
        <v>5502641</v>
      </c>
      <c r="B5532" s="1060" t="s">
        <v>27195</v>
      </c>
      <c r="C5532" s="1059" t="s">
        <v>38</v>
      </c>
      <c r="D5532" s="1061">
        <v>8.7899999999999991</v>
      </c>
    </row>
    <row r="5533" spans="1:4" ht="18" customHeight="1" x14ac:dyDescent="0.25">
      <c r="A5533" s="1059">
        <v>5502880</v>
      </c>
      <c r="B5533" s="1060" t="s">
        <v>27196</v>
      </c>
      <c r="C5533" s="1059" t="s">
        <v>38</v>
      </c>
      <c r="D5533" s="1061">
        <v>15.05</v>
      </c>
    </row>
    <row r="5534" spans="1:4" ht="18" customHeight="1" x14ac:dyDescent="0.25">
      <c r="A5534" s="1059">
        <v>5502857</v>
      </c>
      <c r="B5534" s="1060" t="s">
        <v>27197</v>
      </c>
      <c r="C5534" s="1059" t="s">
        <v>38</v>
      </c>
      <c r="D5534" s="1061">
        <v>21.88</v>
      </c>
    </row>
    <row r="5535" spans="1:4" ht="18" customHeight="1" x14ac:dyDescent="0.25">
      <c r="A5535" s="1059">
        <v>5502881</v>
      </c>
      <c r="B5535" s="1060" t="s">
        <v>27198</v>
      </c>
      <c r="C5535" s="1059" t="s">
        <v>38</v>
      </c>
      <c r="D5535" s="1061">
        <v>11.77</v>
      </c>
    </row>
    <row r="5536" spans="1:4" ht="18" customHeight="1" x14ac:dyDescent="0.25">
      <c r="A5536" s="1059">
        <v>5502859</v>
      </c>
      <c r="B5536" s="1060" t="s">
        <v>27199</v>
      </c>
      <c r="C5536" s="1059" t="s">
        <v>38</v>
      </c>
      <c r="D5536" s="1061">
        <v>18.27</v>
      </c>
    </row>
    <row r="5537" spans="1:4" ht="18" customHeight="1" x14ac:dyDescent="0.25">
      <c r="A5537" s="1059">
        <v>5502882</v>
      </c>
      <c r="B5537" s="1060" t="s">
        <v>27200</v>
      </c>
      <c r="C5537" s="1059" t="s">
        <v>38</v>
      </c>
      <c r="D5537" s="1061">
        <v>11.13</v>
      </c>
    </row>
    <row r="5538" spans="1:4" ht="18" customHeight="1" x14ac:dyDescent="0.25">
      <c r="A5538" s="1059">
        <v>5502858</v>
      </c>
      <c r="B5538" s="1060" t="s">
        <v>27201</v>
      </c>
      <c r="C5538" s="1059" t="s">
        <v>38</v>
      </c>
      <c r="D5538" s="1061">
        <v>19.399999999999999</v>
      </c>
    </row>
    <row r="5539" spans="1:4" ht="18" customHeight="1" x14ac:dyDescent="0.25">
      <c r="A5539" s="1059">
        <v>5502747</v>
      </c>
      <c r="B5539" s="1060" t="s">
        <v>27202</v>
      </c>
      <c r="C5539" s="1059" t="s">
        <v>38</v>
      </c>
      <c r="D5539" s="1061">
        <v>43.68</v>
      </c>
    </row>
    <row r="5540" spans="1:4" ht="18" customHeight="1" x14ac:dyDescent="0.25">
      <c r="A5540" s="1059">
        <v>5502773</v>
      </c>
      <c r="B5540" s="1060" t="s">
        <v>27203</v>
      </c>
      <c r="C5540" s="1059" t="s">
        <v>38</v>
      </c>
      <c r="D5540" s="1061">
        <v>42.07</v>
      </c>
    </row>
    <row r="5541" spans="1:4" ht="18" customHeight="1" x14ac:dyDescent="0.25">
      <c r="A5541" s="1059">
        <v>5502799</v>
      </c>
      <c r="B5541" s="1060" t="s">
        <v>27204</v>
      </c>
      <c r="C5541" s="1059" t="s">
        <v>38</v>
      </c>
      <c r="D5541" s="1061">
        <v>41.57</v>
      </c>
    </row>
    <row r="5542" spans="1:4" ht="18" customHeight="1" x14ac:dyDescent="0.25">
      <c r="A5542" s="1059">
        <v>5502748</v>
      </c>
      <c r="B5542" s="1060" t="s">
        <v>27205</v>
      </c>
      <c r="C5542" s="1059" t="s">
        <v>38</v>
      </c>
      <c r="D5542" s="1061">
        <v>44.18</v>
      </c>
    </row>
    <row r="5543" spans="1:4" ht="18" customHeight="1" x14ac:dyDescent="0.25">
      <c r="A5543" s="1059">
        <v>5502774</v>
      </c>
      <c r="B5543" s="1060" t="s">
        <v>27206</v>
      </c>
      <c r="C5543" s="1059" t="s">
        <v>38</v>
      </c>
      <c r="D5543" s="1061">
        <v>42.37</v>
      </c>
    </row>
    <row r="5544" spans="1:4" ht="18" customHeight="1" x14ac:dyDescent="0.25">
      <c r="A5544" s="1059">
        <v>5502800</v>
      </c>
      <c r="B5544" s="1060" t="s">
        <v>27207</v>
      </c>
      <c r="C5544" s="1059" t="s">
        <v>38</v>
      </c>
      <c r="D5544" s="1061">
        <v>41.87</v>
      </c>
    </row>
    <row r="5545" spans="1:4" ht="18" customHeight="1" x14ac:dyDescent="0.25">
      <c r="A5545" s="1059">
        <v>5502749</v>
      </c>
      <c r="B5545" s="1060" t="s">
        <v>27208</v>
      </c>
      <c r="C5545" s="1059" t="s">
        <v>38</v>
      </c>
      <c r="D5545" s="1061">
        <v>44.58</v>
      </c>
    </row>
    <row r="5546" spans="1:4" ht="18" customHeight="1" x14ac:dyDescent="0.25">
      <c r="A5546" s="1059">
        <v>5502775</v>
      </c>
      <c r="B5546" s="1060" t="s">
        <v>27209</v>
      </c>
      <c r="C5546" s="1059" t="s">
        <v>38</v>
      </c>
      <c r="D5546" s="1061">
        <v>42.67</v>
      </c>
    </row>
    <row r="5547" spans="1:4" ht="18" customHeight="1" x14ac:dyDescent="0.25">
      <c r="A5547" s="1059">
        <v>5502801</v>
      </c>
      <c r="B5547" s="1060" t="s">
        <v>27210</v>
      </c>
      <c r="C5547" s="1059" t="s">
        <v>38</v>
      </c>
      <c r="D5547" s="1061">
        <v>42.07</v>
      </c>
    </row>
    <row r="5548" spans="1:4" ht="18" customHeight="1" x14ac:dyDescent="0.25">
      <c r="A5548" s="1059">
        <v>5502750</v>
      </c>
      <c r="B5548" s="1060" t="s">
        <v>27211</v>
      </c>
      <c r="C5548" s="1059" t="s">
        <v>38</v>
      </c>
      <c r="D5548" s="1061">
        <v>46.57</v>
      </c>
    </row>
    <row r="5549" spans="1:4" ht="18" customHeight="1" x14ac:dyDescent="0.25">
      <c r="A5549" s="1059">
        <v>5502776</v>
      </c>
      <c r="B5549" s="1060" t="s">
        <v>27212</v>
      </c>
      <c r="C5549" s="1059" t="s">
        <v>38</v>
      </c>
      <c r="D5549" s="1061">
        <v>42.97</v>
      </c>
    </row>
    <row r="5550" spans="1:4" ht="18" customHeight="1" x14ac:dyDescent="0.25">
      <c r="A5550" s="1059">
        <v>5502802</v>
      </c>
      <c r="B5550" s="1060" t="s">
        <v>27213</v>
      </c>
      <c r="C5550" s="1059" t="s">
        <v>38</v>
      </c>
      <c r="D5550" s="1061">
        <v>42.37</v>
      </c>
    </row>
    <row r="5551" spans="1:4" ht="18" customHeight="1" x14ac:dyDescent="0.25">
      <c r="A5551" s="1059">
        <v>5502751</v>
      </c>
      <c r="B5551" s="1060" t="s">
        <v>27214</v>
      </c>
      <c r="C5551" s="1059" t="s">
        <v>38</v>
      </c>
      <c r="D5551" s="1061">
        <v>47.11</v>
      </c>
    </row>
    <row r="5552" spans="1:4" ht="18" customHeight="1" x14ac:dyDescent="0.25">
      <c r="A5552" s="1059">
        <v>5502777</v>
      </c>
      <c r="B5552" s="1060" t="s">
        <v>27215</v>
      </c>
      <c r="C5552" s="1059" t="s">
        <v>38</v>
      </c>
      <c r="D5552" s="1061">
        <v>43.28</v>
      </c>
    </row>
    <row r="5553" spans="1:4" ht="18" customHeight="1" x14ac:dyDescent="0.25">
      <c r="A5553" s="1059">
        <v>5502803</v>
      </c>
      <c r="B5553" s="1060" t="s">
        <v>27216</v>
      </c>
      <c r="C5553" s="1059" t="s">
        <v>38</v>
      </c>
      <c r="D5553" s="1061">
        <v>42.57</v>
      </c>
    </row>
    <row r="5554" spans="1:4" ht="18" customHeight="1" x14ac:dyDescent="0.25">
      <c r="A5554" s="1059">
        <v>5502752</v>
      </c>
      <c r="B5554" s="1060" t="s">
        <v>27217</v>
      </c>
      <c r="C5554" s="1059" t="s">
        <v>38</v>
      </c>
      <c r="D5554" s="1061">
        <v>47.91</v>
      </c>
    </row>
    <row r="5555" spans="1:4" ht="18" customHeight="1" x14ac:dyDescent="0.25">
      <c r="A5555" s="1059">
        <v>5502778</v>
      </c>
      <c r="B5555" s="1060" t="s">
        <v>27218</v>
      </c>
      <c r="C5555" s="1059" t="s">
        <v>38</v>
      </c>
      <c r="D5555" s="1061">
        <v>43.88</v>
      </c>
    </row>
    <row r="5556" spans="1:4" ht="18" customHeight="1" x14ac:dyDescent="0.25">
      <c r="A5556" s="1059">
        <v>5502804</v>
      </c>
      <c r="B5556" s="1060" t="s">
        <v>27219</v>
      </c>
      <c r="C5556" s="1059" t="s">
        <v>38</v>
      </c>
      <c r="D5556" s="1061">
        <v>43.07</v>
      </c>
    </row>
    <row r="5557" spans="1:4" ht="18" customHeight="1" x14ac:dyDescent="0.25">
      <c r="A5557" s="1059">
        <v>5502753</v>
      </c>
      <c r="B5557" s="1060" t="s">
        <v>27220</v>
      </c>
      <c r="C5557" s="1059" t="s">
        <v>38</v>
      </c>
      <c r="D5557" s="1061">
        <v>49.25</v>
      </c>
    </row>
    <row r="5558" spans="1:4" ht="18" customHeight="1" x14ac:dyDescent="0.25">
      <c r="A5558" s="1059">
        <v>5502779</v>
      </c>
      <c r="B5558" s="1060" t="s">
        <v>27221</v>
      </c>
      <c r="C5558" s="1059" t="s">
        <v>38</v>
      </c>
      <c r="D5558" s="1061">
        <v>46.31</v>
      </c>
    </row>
    <row r="5559" spans="1:4" ht="18" customHeight="1" x14ac:dyDescent="0.25">
      <c r="A5559" s="1059">
        <v>5502805</v>
      </c>
      <c r="B5559" s="1060" t="s">
        <v>27222</v>
      </c>
      <c r="C5559" s="1059" t="s">
        <v>38</v>
      </c>
      <c r="D5559" s="1061">
        <v>43.78</v>
      </c>
    </row>
    <row r="5560" spans="1:4" ht="18" customHeight="1" x14ac:dyDescent="0.25">
      <c r="A5560" s="1059">
        <v>5502743</v>
      </c>
      <c r="B5560" s="1060" t="s">
        <v>27223</v>
      </c>
      <c r="C5560" s="1059" t="s">
        <v>38</v>
      </c>
      <c r="D5560" s="1061">
        <v>41.37</v>
      </c>
    </row>
    <row r="5561" spans="1:4" ht="18" customHeight="1" x14ac:dyDescent="0.25">
      <c r="A5561" s="1059">
        <v>5502769</v>
      </c>
      <c r="B5561" s="1060" t="s">
        <v>27224</v>
      </c>
      <c r="C5561" s="1059" t="s">
        <v>38</v>
      </c>
      <c r="D5561" s="1061">
        <v>39.11</v>
      </c>
    </row>
    <row r="5562" spans="1:4" ht="18" customHeight="1" x14ac:dyDescent="0.25">
      <c r="A5562" s="1059">
        <v>5502795</v>
      </c>
      <c r="B5562" s="1060" t="s">
        <v>27225</v>
      </c>
      <c r="C5562" s="1059" t="s">
        <v>38</v>
      </c>
      <c r="D5562" s="1061">
        <v>38.909999999999997</v>
      </c>
    </row>
    <row r="5563" spans="1:4" ht="18" customHeight="1" x14ac:dyDescent="0.25">
      <c r="A5563" s="1059">
        <v>5502744</v>
      </c>
      <c r="B5563" s="1060" t="s">
        <v>27226</v>
      </c>
      <c r="C5563" s="1059" t="s">
        <v>38</v>
      </c>
      <c r="D5563" s="1061">
        <v>42.07</v>
      </c>
    </row>
    <row r="5564" spans="1:4" ht="18" customHeight="1" x14ac:dyDescent="0.25">
      <c r="A5564" s="1059">
        <v>5502770</v>
      </c>
      <c r="B5564" s="1060" t="s">
        <v>27227</v>
      </c>
      <c r="C5564" s="1059" t="s">
        <v>38</v>
      </c>
      <c r="D5564" s="1061">
        <v>39.58</v>
      </c>
    </row>
    <row r="5565" spans="1:4" ht="18" customHeight="1" x14ac:dyDescent="0.25">
      <c r="A5565" s="1059">
        <v>5502796</v>
      </c>
      <c r="B5565" s="1060" t="s">
        <v>27228</v>
      </c>
      <c r="C5565" s="1059" t="s">
        <v>38</v>
      </c>
      <c r="D5565" s="1061">
        <v>39.24</v>
      </c>
    </row>
    <row r="5566" spans="1:4" ht="18" customHeight="1" x14ac:dyDescent="0.25">
      <c r="A5566" s="1059">
        <v>5502742</v>
      </c>
      <c r="B5566" s="1060" t="s">
        <v>27229</v>
      </c>
      <c r="C5566" s="1059" t="s">
        <v>38</v>
      </c>
      <c r="D5566" s="1061">
        <v>39.11</v>
      </c>
    </row>
    <row r="5567" spans="1:4" ht="18" customHeight="1" x14ac:dyDescent="0.25">
      <c r="A5567" s="1059">
        <v>5502768</v>
      </c>
      <c r="B5567" s="1060" t="s">
        <v>27230</v>
      </c>
      <c r="C5567" s="1059" t="s">
        <v>38</v>
      </c>
      <c r="D5567" s="1061">
        <v>38.64</v>
      </c>
    </row>
    <row r="5568" spans="1:4" ht="18" customHeight="1" x14ac:dyDescent="0.25">
      <c r="A5568" s="1059">
        <v>5502794</v>
      </c>
      <c r="B5568" s="1060" t="s">
        <v>27231</v>
      </c>
      <c r="C5568" s="1059" t="s">
        <v>38</v>
      </c>
      <c r="D5568" s="1061">
        <v>38.44</v>
      </c>
    </row>
    <row r="5569" spans="1:4" ht="18" customHeight="1" x14ac:dyDescent="0.25">
      <c r="A5569" s="1059">
        <v>5502745</v>
      </c>
      <c r="B5569" s="1060" t="s">
        <v>27232</v>
      </c>
      <c r="C5569" s="1059" t="s">
        <v>38</v>
      </c>
      <c r="D5569" s="1061">
        <v>42.67</v>
      </c>
    </row>
    <row r="5570" spans="1:4" ht="18" customHeight="1" x14ac:dyDescent="0.25">
      <c r="A5570" s="1059">
        <v>5502771</v>
      </c>
      <c r="B5570" s="1060" t="s">
        <v>27233</v>
      </c>
      <c r="C5570" s="1059" t="s">
        <v>38</v>
      </c>
      <c r="D5570" s="1061">
        <v>41.47</v>
      </c>
    </row>
    <row r="5571" spans="1:4" ht="18" customHeight="1" x14ac:dyDescent="0.25">
      <c r="A5571" s="1059">
        <v>5502797</v>
      </c>
      <c r="B5571" s="1060" t="s">
        <v>27234</v>
      </c>
      <c r="C5571" s="1059" t="s">
        <v>38</v>
      </c>
      <c r="D5571" s="1061">
        <v>39.51</v>
      </c>
    </row>
    <row r="5572" spans="1:4" ht="18" customHeight="1" x14ac:dyDescent="0.25">
      <c r="A5572" s="1059">
        <v>5502746</v>
      </c>
      <c r="B5572" s="1060" t="s">
        <v>27235</v>
      </c>
      <c r="C5572" s="1059" t="s">
        <v>38</v>
      </c>
      <c r="D5572" s="1061">
        <v>43.18</v>
      </c>
    </row>
    <row r="5573" spans="1:4" ht="18" customHeight="1" x14ac:dyDescent="0.25">
      <c r="A5573" s="1059">
        <v>5502772</v>
      </c>
      <c r="B5573" s="1060" t="s">
        <v>27236</v>
      </c>
      <c r="C5573" s="1059" t="s">
        <v>38</v>
      </c>
      <c r="D5573" s="1061">
        <v>41.77</v>
      </c>
    </row>
    <row r="5574" spans="1:4" ht="18" customHeight="1" x14ac:dyDescent="0.25">
      <c r="A5574" s="1059">
        <v>5502798</v>
      </c>
      <c r="B5574" s="1060" t="s">
        <v>27237</v>
      </c>
      <c r="C5574" s="1059" t="s">
        <v>38</v>
      </c>
      <c r="D5574" s="1061">
        <v>39.840000000000003</v>
      </c>
    </row>
    <row r="5575" spans="1:4" ht="18" customHeight="1" x14ac:dyDescent="0.25">
      <c r="A5575" s="1059">
        <v>5502886</v>
      </c>
      <c r="B5575" s="1060" t="s">
        <v>27238</v>
      </c>
      <c r="C5575" s="1059" t="s">
        <v>38</v>
      </c>
      <c r="D5575" s="1061">
        <v>51.51</v>
      </c>
    </row>
    <row r="5576" spans="1:4" ht="18" customHeight="1" x14ac:dyDescent="0.25">
      <c r="A5576" s="1059">
        <v>5502887</v>
      </c>
      <c r="B5576" s="1060" t="s">
        <v>27239</v>
      </c>
      <c r="C5576" s="1059" t="s">
        <v>38</v>
      </c>
      <c r="D5576" s="1061">
        <v>46.71</v>
      </c>
    </row>
    <row r="5577" spans="1:4" ht="18" customHeight="1" x14ac:dyDescent="0.25">
      <c r="A5577" s="1059">
        <v>5502888</v>
      </c>
      <c r="B5577" s="1060" t="s">
        <v>27240</v>
      </c>
      <c r="C5577" s="1059" t="s">
        <v>38</v>
      </c>
      <c r="D5577" s="1061">
        <v>44.18</v>
      </c>
    </row>
    <row r="5578" spans="1:4" ht="9" customHeight="1" x14ac:dyDescent="0.25">
      <c r="A5578" s="1059">
        <v>5502820</v>
      </c>
      <c r="B5578" s="1060" t="s">
        <v>27241</v>
      </c>
      <c r="C5578" s="1059" t="s">
        <v>38</v>
      </c>
      <c r="D5578" s="1061">
        <v>7.2</v>
      </c>
    </row>
    <row r="5579" spans="1:4" ht="18" customHeight="1" x14ac:dyDescent="0.25">
      <c r="A5579" s="1059">
        <v>5502904</v>
      </c>
      <c r="B5579" s="1060" t="s">
        <v>27242</v>
      </c>
      <c r="C5579" s="1059" t="s">
        <v>38</v>
      </c>
      <c r="D5579" s="1061">
        <v>20.239999999999998</v>
      </c>
    </row>
    <row r="5580" spans="1:4" ht="18" customHeight="1" x14ac:dyDescent="0.25">
      <c r="A5580" s="1059">
        <v>5502930</v>
      </c>
      <c r="B5580" s="1060" t="s">
        <v>27243</v>
      </c>
      <c r="C5580" s="1059" t="s">
        <v>38</v>
      </c>
      <c r="D5580" s="1061">
        <v>19.21</v>
      </c>
    </row>
    <row r="5581" spans="1:4" ht="18" customHeight="1" x14ac:dyDescent="0.25">
      <c r="A5581" s="1059">
        <v>5502956</v>
      </c>
      <c r="B5581" s="1060" t="s">
        <v>27244</v>
      </c>
      <c r="C5581" s="1059" t="s">
        <v>38</v>
      </c>
      <c r="D5581" s="1061">
        <v>18.84</v>
      </c>
    </row>
    <row r="5582" spans="1:4" ht="18" customHeight="1" x14ac:dyDescent="0.25">
      <c r="A5582" s="1059">
        <v>5502905</v>
      </c>
      <c r="B5582" s="1060" t="s">
        <v>27245</v>
      </c>
      <c r="C5582" s="1059" t="s">
        <v>38</v>
      </c>
      <c r="D5582" s="1061">
        <v>22.54</v>
      </c>
    </row>
    <row r="5583" spans="1:4" ht="18" customHeight="1" x14ac:dyDescent="0.25">
      <c r="A5583" s="1059">
        <v>5502931</v>
      </c>
      <c r="B5583" s="1060" t="s">
        <v>27246</v>
      </c>
      <c r="C5583" s="1059" t="s">
        <v>38</v>
      </c>
      <c r="D5583" s="1061">
        <v>19.399999999999999</v>
      </c>
    </row>
    <row r="5584" spans="1:4" ht="18" customHeight="1" x14ac:dyDescent="0.25">
      <c r="A5584" s="1059">
        <v>5502957</v>
      </c>
      <c r="B5584" s="1060" t="s">
        <v>27247</v>
      </c>
      <c r="C5584" s="1059" t="s">
        <v>38</v>
      </c>
      <c r="D5584" s="1061">
        <v>19.02</v>
      </c>
    </row>
    <row r="5585" spans="1:4" ht="18" customHeight="1" x14ac:dyDescent="0.25">
      <c r="A5585" s="1059">
        <v>5502906</v>
      </c>
      <c r="B5585" s="1060" t="s">
        <v>27248</v>
      </c>
      <c r="C5585" s="1059" t="s">
        <v>38</v>
      </c>
      <c r="D5585" s="1061">
        <v>22.83</v>
      </c>
    </row>
    <row r="5586" spans="1:4" ht="18" customHeight="1" x14ac:dyDescent="0.25">
      <c r="A5586" s="1059">
        <v>5502932</v>
      </c>
      <c r="B5586" s="1060" t="s">
        <v>27249</v>
      </c>
      <c r="C5586" s="1059" t="s">
        <v>38</v>
      </c>
      <c r="D5586" s="1061">
        <v>19.59</v>
      </c>
    </row>
    <row r="5587" spans="1:4" ht="18" customHeight="1" x14ac:dyDescent="0.25">
      <c r="A5587" s="1059">
        <v>5502958</v>
      </c>
      <c r="B5587" s="1060" t="s">
        <v>27250</v>
      </c>
      <c r="C5587" s="1059" t="s">
        <v>38</v>
      </c>
      <c r="D5587" s="1061">
        <v>19.21</v>
      </c>
    </row>
    <row r="5588" spans="1:4" ht="18" customHeight="1" x14ac:dyDescent="0.25">
      <c r="A5588" s="1059">
        <v>5502907</v>
      </c>
      <c r="B5588" s="1060" t="s">
        <v>27251</v>
      </c>
      <c r="C5588" s="1059" t="s">
        <v>38</v>
      </c>
      <c r="D5588" s="1061">
        <v>23.25</v>
      </c>
    </row>
    <row r="5589" spans="1:4" ht="18" customHeight="1" x14ac:dyDescent="0.25">
      <c r="A5589" s="1059">
        <v>5502933</v>
      </c>
      <c r="B5589" s="1060" t="s">
        <v>27252</v>
      </c>
      <c r="C5589" s="1059" t="s">
        <v>38</v>
      </c>
      <c r="D5589" s="1061">
        <v>19.87</v>
      </c>
    </row>
    <row r="5590" spans="1:4" ht="18" customHeight="1" x14ac:dyDescent="0.25">
      <c r="A5590" s="1059">
        <v>5502959</v>
      </c>
      <c r="B5590" s="1060" t="s">
        <v>27253</v>
      </c>
      <c r="C5590" s="1059" t="s">
        <v>38</v>
      </c>
      <c r="D5590" s="1061">
        <v>19.399999999999999</v>
      </c>
    </row>
    <row r="5591" spans="1:4" ht="18" customHeight="1" x14ac:dyDescent="0.25">
      <c r="A5591" s="1059">
        <v>5502908</v>
      </c>
      <c r="B5591" s="1060" t="s">
        <v>27254</v>
      </c>
      <c r="C5591" s="1059" t="s">
        <v>38</v>
      </c>
      <c r="D5591" s="1061">
        <v>23.53</v>
      </c>
    </row>
    <row r="5592" spans="1:4" ht="18" customHeight="1" x14ac:dyDescent="0.25">
      <c r="A5592" s="1059">
        <v>5502934</v>
      </c>
      <c r="B5592" s="1060" t="s">
        <v>27255</v>
      </c>
      <c r="C5592" s="1059" t="s">
        <v>38</v>
      </c>
      <c r="D5592" s="1061">
        <v>20.059999999999999</v>
      </c>
    </row>
    <row r="5593" spans="1:4" ht="18" customHeight="1" x14ac:dyDescent="0.25">
      <c r="A5593" s="1059">
        <v>5502960</v>
      </c>
      <c r="B5593" s="1060" t="s">
        <v>27256</v>
      </c>
      <c r="C5593" s="1059" t="s">
        <v>38</v>
      </c>
      <c r="D5593" s="1061">
        <v>19.489999999999998</v>
      </c>
    </row>
    <row r="5594" spans="1:4" ht="18" customHeight="1" x14ac:dyDescent="0.25">
      <c r="A5594" s="1059">
        <v>5502909</v>
      </c>
      <c r="B5594" s="1060" t="s">
        <v>27257</v>
      </c>
      <c r="C5594" s="1059" t="s">
        <v>38</v>
      </c>
      <c r="D5594" s="1061">
        <v>24.09</v>
      </c>
    </row>
    <row r="5595" spans="1:4" ht="18" customHeight="1" x14ac:dyDescent="0.25">
      <c r="A5595" s="1059">
        <v>5502935</v>
      </c>
      <c r="B5595" s="1060" t="s">
        <v>27258</v>
      </c>
      <c r="C5595" s="1059" t="s">
        <v>38</v>
      </c>
      <c r="D5595" s="1061">
        <v>20.43</v>
      </c>
    </row>
    <row r="5596" spans="1:4" ht="18" customHeight="1" x14ac:dyDescent="0.25">
      <c r="A5596" s="1059">
        <v>5502961</v>
      </c>
      <c r="B5596" s="1060" t="s">
        <v>27259</v>
      </c>
      <c r="C5596" s="1059" t="s">
        <v>38</v>
      </c>
      <c r="D5596" s="1061">
        <v>19.87</v>
      </c>
    </row>
    <row r="5597" spans="1:4" ht="18" customHeight="1" x14ac:dyDescent="0.25">
      <c r="A5597" s="1059">
        <v>5502910</v>
      </c>
      <c r="B5597" s="1060" t="s">
        <v>27260</v>
      </c>
      <c r="C5597" s="1059" t="s">
        <v>38</v>
      </c>
      <c r="D5597" s="1061">
        <v>25.08</v>
      </c>
    </row>
    <row r="5598" spans="1:4" ht="18" customHeight="1" x14ac:dyDescent="0.25">
      <c r="A5598" s="1059">
        <v>5502936</v>
      </c>
      <c r="B5598" s="1060" t="s">
        <v>27261</v>
      </c>
      <c r="C5598" s="1059" t="s">
        <v>38</v>
      </c>
      <c r="D5598" s="1061">
        <v>22.97</v>
      </c>
    </row>
    <row r="5599" spans="1:4" ht="18" customHeight="1" x14ac:dyDescent="0.25">
      <c r="A5599" s="1059">
        <v>5502962</v>
      </c>
      <c r="B5599" s="1060" t="s">
        <v>27262</v>
      </c>
      <c r="C5599" s="1059" t="s">
        <v>38</v>
      </c>
      <c r="D5599" s="1061">
        <v>20.34</v>
      </c>
    </row>
    <row r="5600" spans="1:4" ht="18" customHeight="1" x14ac:dyDescent="0.25">
      <c r="A5600" s="1059">
        <v>5502900</v>
      </c>
      <c r="B5600" s="1060" t="s">
        <v>27263</v>
      </c>
      <c r="C5600" s="1059" t="s">
        <v>38</v>
      </c>
      <c r="D5600" s="1061">
        <v>18.739999999999998</v>
      </c>
    </row>
    <row r="5601" spans="1:4" ht="18" customHeight="1" x14ac:dyDescent="0.25">
      <c r="A5601" s="1059">
        <v>5502926</v>
      </c>
      <c r="B5601" s="1060" t="s">
        <v>27264</v>
      </c>
      <c r="C5601" s="1059" t="s">
        <v>38</v>
      </c>
      <c r="D5601" s="1061">
        <v>18.18</v>
      </c>
    </row>
    <row r="5602" spans="1:4" ht="18" customHeight="1" x14ac:dyDescent="0.25">
      <c r="A5602" s="1059">
        <v>5502952</v>
      </c>
      <c r="B5602" s="1060" t="s">
        <v>27265</v>
      </c>
      <c r="C5602" s="1059" t="s">
        <v>38</v>
      </c>
      <c r="D5602" s="1061">
        <v>17.989999999999998</v>
      </c>
    </row>
    <row r="5603" spans="1:4" ht="18" customHeight="1" x14ac:dyDescent="0.25">
      <c r="A5603" s="1059">
        <v>5502901</v>
      </c>
      <c r="B5603" s="1060" t="s">
        <v>27266</v>
      </c>
      <c r="C5603" s="1059" t="s">
        <v>38</v>
      </c>
      <c r="D5603" s="1061">
        <v>19.12</v>
      </c>
    </row>
    <row r="5604" spans="1:4" ht="18" customHeight="1" x14ac:dyDescent="0.25">
      <c r="A5604" s="1059">
        <v>5502927</v>
      </c>
      <c r="B5604" s="1060" t="s">
        <v>27267</v>
      </c>
      <c r="C5604" s="1059" t="s">
        <v>38</v>
      </c>
      <c r="D5604" s="1061">
        <v>18.46</v>
      </c>
    </row>
    <row r="5605" spans="1:4" ht="18" customHeight="1" x14ac:dyDescent="0.25">
      <c r="A5605" s="1059">
        <v>5502953</v>
      </c>
      <c r="B5605" s="1060" t="s">
        <v>27268</v>
      </c>
      <c r="C5605" s="1059" t="s">
        <v>38</v>
      </c>
      <c r="D5605" s="1061">
        <v>18.27</v>
      </c>
    </row>
    <row r="5606" spans="1:4" ht="18" customHeight="1" x14ac:dyDescent="0.25">
      <c r="A5606" s="1059">
        <v>5502899</v>
      </c>
      <c r="B5606" s="1060" t="s">
        <v>27269</v>
      </c>
      <c r="C5606" s="1059" t="s">
        <v>38</v>
      </c>
      <c r="D5606" s="1061">
        <v>18.18</v>
      </c>
    </row>
    <row r="5607" spans="1:4" ht="18" customHeight="1" x14ac:dyDescent="0.25">
      <c r="A5607" s="1059">
        <v>5502925</v>
      </c>
      <c r="B5607" s="1060" t="s">
        <v>27270</v>
      </c>
      <c r="C5607" s="1059" t="s">
        <v>38</v>
      </c>
      <c r="D5607" s="1061">
        <v>17.899999999999999</v>
      </c>
    </row>
    <row r="5608" spans="1:4" ht="18" customHeight="1" x14ac:dyDescent="0.25">
      <c r="A5608" s="1059">
        <v>5502951</v>
      </c>
      <c r="B5608" s="1060" t="s">
        <v>27271</v>
      </c>
      <c r="C5608" s="1059" t="s">
        <v>38</v>
      </c>
      <c r="D5608" s="1061">
        <v>17.71</v>
      </c>
    </row>
    <row r="5609" spans="1:4" ht="18" customHeight="1" x14ac:dyDescent="0.25">
      <c r="A5609" s="1059">
        <v>5502902</v>
      </c>
      <c r="B5609" s="1060" t="s">
        <v>27272</v>
      </c>
      <c r="C5609" s="1059" t="s">
        <v>38</v>
      </c>
      <c r="D5609" s="1061">
        <v>19.59</v>
      </c>
    </row>
    <row r="5610" spans="1:4" ht="18" customHeight="1" x14ac:dyDescent="0.25">
      <c r="A5610" s="1059">
        <v>5502928</v>
      </c>
      <c r="B5610" s="1060" t="s">
        <v>27273</v>
      </c>
      <c r="C5610" s="1059" t="s">
        <v>38</v>
      </c>
      <c r="D5610" s="1061">
        <v>18.739999999999998</v>
      </c>
    </row>
    <row r="5611" spans="1:4" ht="18" customHeight="1" x14ac:dyDescent="0.25">
      <c r="A5611" s="1059">
        <v>5502954</v>
      </c>
      <c r="B5611" s="1060" t="s">
        <v>27274</v>
      </c>
      <c r="C5611" s="1059" t="s">
        <v>38</v>
      </c>
      <c r="D5611" s="1061">
        <v>18.46</v>
      </c>
    </row>
    <row r="5612" spans="1:4" ht="18" customHeight="1" x14ac:dyDescent="0.25">
      <c r="A5612" s="1059">
        <v>5502903</v>
      </c>
      <c r="B5612" s="1060" t="s">
        <v>27275</v>
      </c>
      <c r="C5612" s="1059" t="s">
        <v>38</v>
      </c>
      <c r="D5612" s="1061">
        <v>19.87</v>
      </c>
    </row>
    <row r="5613" spans="1:4" ht="18" customHeight="1" x14ac:dyDescent="0.25">
      <c r="A5613" s="1059">
        <v>5502929</v>
      </c>
      <c r="B5613" s="1060" t="s">
        <v>27276</v>
      </c>
      <c r="C5613" s="1059" t="s">
        <v>38</v>
      </c>
      <c r="D5613" s="1061">
        <v>18.93</v>
      </c>
    </row>
    <row r="5614" spans="1:4" ht="18" customHeight="1" x14ac:dyDescent="0.25">
      <c r="A5614" s="1059">
        <v>5502955</v>
      </c>
      <c r="B5614" s="1060" t="s">
        <v>27277</v>
      </c>
      <c r="C5614" s="1059" t="s">
        <v>38</v>
      </c>
      <c r="D5614" s="1061">
        <v>18.649999999999999</v>
      </c>
    </row>
    <row r="5615" spans="1:4" ht="18" customHeight="1" x14ac:dyDescent="0.25">
      <c r="A5615" s="1059">
        <v>5502889</v>
      </c>
      <c r="B5615" s="1060" t="s">
        <v>27278</v>
      </c>
      <c r="C5615" s="1059" t="s">
        <v>38</v>
      </c>
      <c r="D5615" s="1061">
        <v>25.5</v>
      </c>
    </row>
    <row r="5616" spans="1:4" ht="18" customHeight="1" x14ac:dyDescent="0.25">
      <c r="A5616" s="1059">
        <v>5502996</v>
      </c>
      <c r="B5616" s="1060" t="s">
        <v>27279</v>
      </c>
      <c r="C5616" s="1059" t="s">
        <v>38</v>
      </c>
      <c r="D5616" s="1061">
        <v>23.25</v>
      </c>
    </row>
    <row r="5617" spans="1:4" ht="18" customHeight="1" x14ac:dyDescent="0.25">
      <c r="A5617" s="1059">
        <v>5502997</v>
      </c>
      <c r="B5617" s="1060" t="s">
        <v>27280</v>
      </c>
      <c r="C5617" s="1059" t="s">
        <v>38</v>
      </c>
      <c r="D5617" s="1061">
        <v>22.54</v>
      </c>
    </row>
    <row r="5618" spans="1:4" ht="9" customHeight="1" x14ac:dyDescent="0.25">
      <c r="A5618" s="1059">
        <v>5501716</v>
      </c>
      <c r="B5618" s="1060" t="s">
        <v>27281</v>
      </c>
      <c r="C5618" s="1059" t="s">
        <v>38</v>
      </c>
      <c r="D5618" s="1061">
        <v>20.94</v>
      </c>
    </row>
    <row r="5619" spans="1:4" ht="9" customHeight="1" x14ac:dyDescent="0.25">
      <c r="A5619" s="1059">
        <v>5501717</v>
      </c>
      <c r="B5619" s="1060" t="s">
        <v>27282</v>
      </c>
      <c r="C5619" s="1059" t="s">
        <v>38</v>
      </c>
      <c r="D5619" s="1061">
        <v>23.6</v>
      </c>
    </row>
    <row r="5620" spans="1:4" ht="9" customHeight="1" x14ac:dyDescent="0.25">
      <c r="A5620" s="1059">
        <v>5501712</v>
      </c>
      <c r="B5620" s="1060" t="s">
        <v>27283</v>
      </c>
      <c r="C5620" s="1059" t="s">
        <v>38</v>
      </c>
      <c r="D5620" s="1061">
        <v>12.13</v>
      </c>
    </row>
    <row r="5621" spans="1:4" ht="9" customHeight="1" x14ac:dyDescent="0.25">
      <c r="A5621" s="1059">
        <v>5501713</v>
      </c>
      <c r="B5621" s="1060" t="s">
        <v>27284</v>
      </c>
      <c r="C5621" s="1059" t="s">
        <v>38</v>
      </c>
      <c r="D5621" s="1061">
        <v>13.49</v>
      </c>
    </row>
    <row r="5622" spans="1:4" ht="9" customHeight="1" x14ac:dyDescent="0.25">
      <c r="A5622" s="1059">
        <v>5501711</v>
      </c>
      <c r="B5622" s="1060" t="s">
        <v>27285</v>
      </c>
      <c r="C5622" s="1059" t="s">
        <v>38</v>
      </c>
      <c r="D5622" s="1061">
        <v>9.73</v>
      </c>
    </row>
    <row r="5623" spans="1:4" ht="9" customHeight="1" x14ac:dyDescent="0.25">
      <c r="A5623" s="1059">
        <v>5501710</v>
      </c>
      <c r="B5623" s="1060" t="s">
        <v>27286</v>
      </c>
      <c r="C5623" s="1059" t="s">
        <v>38</v>
      </c>
      <c r="D5623" s="1061">
        <v>2.89</v>
      </c>
    </row>
    <row r="5624" spans="1:4" ht="9" customHeight="1" x14ac:dyDescent="0.25">
      <c r="A5624" s="1059">
        <v>5501714</v>
      </c>
      <c r="B5624" s="1060" t="s">
        <v>27287</v>
      </c>
      <c r="C5624" s="1059" t="s">
        <v>38</v>
      </c>
      <c r="D5624" s="1061">
        <v>15.87</v>
      </c>
    </row>
    <row r="5625" spans="1:4" ht="9" customHeight="1" x14ac:dyDescent="0.25">
      <c r="A5625" s="1059">
        <v>5501715</v>
      </c>
      <c r="B5625" s="1060" t="s">
        <v>27288</v>
      </c>
      <c r="C5625" s="1059" t="s">
        <v>38</v>
      </c>
      <c r="D5625" s="1061">
        <v>18.27</v>
      </c>
    </row>
    <row r="5626" spans="1:4" ht="9" customHeight="1" x14ac:dyDescent="0.25">
      <c r="A5626" s="1059">
        <v>5502986</v>
      </c>
      <c r="B5626" s="1060" t="s">
        <v>27289</v>
      </c>
      <c r="C5626" s="1059" t="s">
        <v>38</v>
      </c>
      <c r="D5626" s="1061">
        <v>2.5499999999999998</v>
      </c>
    </row>
    <row r="5627" spans="1:4" ht="9" customHeight="1" x14ac:dyDescent="0.25">
      <c r="A5627" s="1059">
        <v>5502977</v>
      </c>
      <c r="B5627" s="1060" t="s">
        <v>27290</v>
      </c>
      <c r="C5627" s="1059" t="s">
        <v>38</v>
      </c>
      <c r="D5627" s="1061">
        <v>9.23</v>
      </c>
    </row>
    <row r="5628" spans="1:4" ht="9" customHeight="1" x14ac:dyDescent="0.25">
      <c r="A5628" s="1059">
        <v>5502985</v>
      </c>
      <c r="B5628" s="1060" t="s">
        <v>27291</v>
      </c>
      <c r="C5628" s="1059" t="s">
        <v>39</v>
      </c>
      <c r="D5628" s="1061">
        <v>0.45</v>
      </c>
    </row>
    <row r="5629" spans="1:4" ht="9" customHeight="1" x14ac:dyDescent="0.25">
      <c r="A5629" s="1059">
        <v>5503018</v>
      </c>
      <c r="B5629" s="1060" t="s">
        <v>27292</v>
      </c>
      <c r="C5629" s="1059" t="s">
        <v>361</v>
      </c>
      <c r="D5629" s="1061">
        <v>58.12</v>
      </c>
    </row>
    <row r="5630" spans="1:4" ht="9" customHeight="1" x14ac:dyDescent="0.25">
      <c r="A5630" s="1059">
        <v>5505768</v>
      </c>
      <c r="B5630" s="1060" t="s">
        <v>27293</v>
      </c>
      <c r="C5630" s="1059" t="s">
        <v>39</v>
      </c>
      <c r="D5630" s="1061">
        <v>86.76</v>
      </c>
    </row>
    <row r="5631" spans="1:4" ht="9" customHeight="1" x14ac:dyDescent="0.25">
      <c r="A5631" s="1059">
        <v>5503020</v>
      </c>
      <c r="B5631" s="1060" t="s">
        <v>27294</v>
      </c>
      <c r="C5631" s="1059" t="s">
        <v>361</v>
      </c>
      <c r="D5631" s="1061">
        <v>304.95</v>
      </c>
    </row>
    <row r="5632" spans="1:4" ht="9" customHeight="1" x14ac:dyDescent="0.25">
      <c r="A5632" s="1059">
        <v>5605798</v>
      </c>
      <c r="B5632" s="1060" t="s">
        <v>27295</v>
      </c>
      <c r="C5632" s="1059" t="s">
        <v>2</v>
      </c>
      <c r="D5632" s="1061">
        <v>87.44</v>
      </c>
    </row>
    <row r="5633" spans="1:4" ht="18" customHeight="1" x14ac:dyDescent="0.25">
      <c r="A5633" s="1059">
        <v>5605925</v>
      </c>
      <c r="B5633" s="1060" t="s">
        <v>27296</v>
      </c>
      <c r="C5633" s="1059" t="s">
        <v>2</v>
      </c>
      <c r="D5633" s="1061">
        <v>83.41</v>
      </c>
    </row>
    <row r="5634" spans="1:4" ht="9" customHeight="1" x14ac:dyDescent="0.25">
      <c r="A5634" s="1059">
        <v>5605799</v>
      </c>
      <c r="B5634" s="1060" t="s">
        <v>27297</v>
      </c>
      <c r="C5634" s="1059" t="s">
        <v>2</v>
      </c>
      <c r="D5634" s="1061">
        <v>93.08</v>
      </c>
    </row>
    <row r="5635" spans="1:4" ht="9" customHeight="1" x14ac:dyDescent="0.25">
      <c r="A5635" s="1059">
        <v>5605800</v>
      </c>
      <c r="B5635" s="1060" t="s">
        <v>27298</v>
      </c>
      <c r="C5635" s="1059" t="s">
        <v>2</v>
      </c>
      <c r="D5635" s="1061">
        <v>101.49</v>
      </c>
    </row>
    <row r="5636" spans="1:4" ht="9" customHeight="1" x14ac:dyDescent="0.25">
      <c r="A5636" s="1059">
        <v>5605894</v>
      </c>
      <c r="B5636" s="1060" t="s">
        <v>27299</v>
      </c>
      <c r="C5636" s="1059" t="s">
        <v>2</v>
      </c>
      <c r="D5636" s="1061">
        <v>48.16</v>
      </c>
    </row>
    <row r="5637" spans="1:4" ht="9" customHeight="1" x14ac:dyDescent="0.25">
      <c r="A5637" s="1059">
        <v>5605895</v>
      </c>
      <c r="B5637" s="1060" t="s">
        <v>27300</v>
      </c>
      <c r="C5637" s="1059" t="s">
        <v>2</v>
      </c>
      <c r="D5637" s="1061">
        <v>51.78</v>
      </c>
    </row>
    <row r="5638" spans="1:4" ht="9" customHeight="1" x14ac:dyDescent="0.25">
      <c r="A5638" s="1059">
        <v>5605896</v>
      </c>
      <c r="B5638" s="1060" t="s">
        <v>27301</v>
      </c>
      <c r="C5638" s="1059" t="s">
        <v>2</v>
      </c>
      <c r="D5638" s="1061">
        <v>57.23</v>
      </c>
    </row>
    <row r="5639" spans="1:4" ht="9" customHeight="1" x14ac:dyDescent="0.25">
      <c r="A5639" s="1059">
        <v>5605911</v>
      </c>
      <c r="B5639" s="1060" t="s">
        <v>27302</v>
      </c>
      <c r="C5639" s="1059" t="s">
        <v>2</v>
      </c>
      <c r="D5639" s="1061">
        <v>30.51</v>
      </c>
    </row>
    <row r="5640" spans="1:4" ht="9" customHeight="1" x14ac:dyDescent="0.25">
      <c r="A5640" s="1059">
        <v>5605912</v>
      </c>
      <c r="B5640" s="1060" t="s">
        <v>27303</v>
      </c>
      <c r="C5640" s="1059" t="s">
        <v>2</v>
      </c>
      <c r="D5640" s="1061">
        <v>52.13</v>
      </c>
    </row>
    <row r="5641" spans="1:4" ht="9" customHeight="1" x14ac:dyDescent="0.25">
      <c r="A5641" s="1059">
        <v>5605938</v>
      </c>
      <c r="B5641" s="1060" t="s">
        <v>27304</v>
      </c>
      <c r="C5641" s="1059" t="s">
        <v>2</v>
      </c>
      <c r="D5641" s="1061">
        <v>20.91</v>
      </c>
    </row>
    <row r="5642" spans="1:4" ht="9" customHeight="1" x14ac:dyDescent="0.25">
      <c r="A5642" s="1059">
        <v>5605939</v>
      </c>
      <c r="B5642" s="1060" t="s">
        <v>27305</v>
      </c>
      <c r="C5642" s="1059" t="s">
        <v>2</v>
      </c>
      <c r="D5642" s="1061">
        <v>25.14</v>
      </c>
    </row>
    <row r="5643" spans="1:4" ht="9" customHeight="1" x14ac:dyDescent="0.25">
      <c r="A5643" s="1059">
        <v>5605940</v>
      </c>
      <c r="B5643" s="1060" t="s">
        <v>27306</v>
      </c>
      <c r="C5643" s="1059" t="s">
        <v>2</v>
      </c>
      <c r="D5643" s="1061">
        <v>57.28</v>
      </c>
    </row>
    <row r="5644" spans="1:4" ht="9" customHeight="1" x14ac:dyDescent="0.25">
      <c r="A5644" s="1059">
        <v>5605942</v>
      </c>
      <c r="B5644" s="1060" t="s">
        <v>27307</v>
      </c>
      <c r="C5644" s="1059" t="s">
        <v>39</v>
      </c>
      <c r="D5644" s="1061">
        <v>44.33</v>
      </c>
    </row>
    <row r="5645" spans="1:4" ht="18" customHeight="1" x14ac:dyDescent="0.25">
      <c r="A5645" s="1059">
        <v>5605955</v>
      </c>
      <c r="B5645" s="1060" t="s">
        <v>27308</v>
      </c>
      <c r="C5645" s="1059" t="s">
        <v>3</v>
      </c>
      <c r="D5645" s="1061">
        <v>559.79999999999995</v>
      </c>
    </row>
    <row r="5646" spans="1:4" ht="18" customHeight="1" x14ac:dyDescent="0.25">
      <c r="A5646" s="1059">
        <v>5605956</v>
      </c>
      <c r="B5646" s="1060" t="s">
        <v>27309</v>
      </c>
      <c r="C5646" s="1059" t="s">
        <v>3</v>
      </c>
      <c r="D5646" s="1061">
        <v>661.04</v>
      </c>
    </row>
    <row r="5647" spans="1:4" ht="18" customHeight="1" x14ac:dyDescent="0.25">
      <c r="A5647" s="1059">
        <v>5605953</v>
      </c>
      <c r="B5647" s="1060" t="s">
        <v>27310</v>
      </c>
      <c r="C5647" s="1059" t="s">
        <v>3</v>
      </c>
      <c r="D5647" s="1061">
        <v>401.4</v>
      </c>
    </row>
    <row r="5648" spans="1:4" ht="18" customHeight="1" x14ac:dyDescent="0.25">
      <c r="A5648" s="1059">
        <v>5605954</v>
      </c>
      <c r="B5648" s="1060" t="s">
        <v>27311</v>
      </c>
      <c r="C5648" s="1059" t="s">
        <v>3</v>
      </c>
      <c r="D5648" s="1061">
        <v>483.27</v>
      </c>
    </row>
    <row r="5649" spans="1:4" ht="18" customHeight="1" x14ac:dyDescent="0.25">
      <c r="A5649" s="1059">
        <v>5605909</v>
      </c>
      <c r="B5649" s="1060" t="s">
        <v>27312</v>
      </c>
      <c r="C5649" s="1059" t="s">
        <v>3</v>
      </c>
      <c r="D5649" s="1061">
        <v>448.12</v>
      </c>
    </row>
    <row r="5650" spans="1:4" ht="18" customHeight="1" x14ac:dyDescent="0.25">
      <c r="A5650" s="1059">
        <v>5605908</v>
      </c>
      <c r="B5650" s="1060" t="s">
        <v>27313</v>
      </c>
      <c r="C5650" s="1059" t="s">
        <v>3</v>
      </c>
      <c r="D5650" s="1061">
        <v>448.12</v>
      </c>
    </row>
    <row r="5651" spans="1:4" ht="18" customHeight="1" x14ac:dyDescent="0.25">
      <c r="A5651" s="1059">
        <v>5605907</v>
      </c>
      <c r="B5651" s="1060" t="s">
        <v>27314</v>
      </c>
      <c r="C5651" s="1059" t="s">
        <v>3</v>
      </c>
      <c r="D5651" s="1061">
        <v>452.13</v>
      </c>
    </row>
    <row r="5652" spans="1:4" ht="18" customHeight="1" x14ac:dyDescent="0.25">
      <c r="A5652" s="1059">
        <v>5605906</v>
      </c>
      <c r="B5652" s="1060" t="s">
        <v>27315</v>
      </c>
      <c r="C5652" s="1059" t="s">
        <v>3</v>
      </c>
      <c r="D5652" s="1061">
        <v>577.47</v>
      </c>
    </row>
    <row r="5653" spans="1:4" ht="18" customHeight="1" x14ac:dyDescent="0.25">
      <c r="A5653" s="1059">
        <v>5605905</v>
      </c>
      <c r="B5653" s="1060" t="s">
        <v>27316</v>
      </c>
      <c r="C5653" s="1059" t="s">
        <v>3</v>
      </c>
      <c r="D5653" s="1061">
        <v>581.77</v>
      </c>
    </row>
    <row r="5654" spans="1:4" ht="18" customHeight="1" x14ac:dyDescent="0.25">
      <c r="A5654" s="1059">
        <v>5605944</v>
      </c>
      <c r="B5654" s="1060" t="s">
        <v>27317</v>
      </c>
      <c r="C5654" s="1059" t="s">
        <v>3</v>
      </c>
      <c r="D5654" s="1061">
        <v>404.06</v>
      </c>
    </row>
    <row r="5655" spans="1:4" ht="18" customHeight="1" x14ac:dyDescent="0.25">
      <c r="A5655" s="1059">
        <v>5605910</v>
      </c>
      <c r="B5655" s="1060" t="s">
        <v>27318</v>
      </c>
      <c r="C5655" s="1059" t="s">
        <v>3</v>
      </c>
      <c r="D5655" s="1061">
        <v>424.74</v>
      </c>
    </row>
    <row r="5656" spans="1:4" ht="18" customHeight="1" x14ac:dyDescent="0.25">
      <c r="A5656" s="1059">
        <v>5605946</v>
      </c>
      <c r="B5656" s="1060" t="s">
        <v>27319</v>
      </c>
      <c r="C5656" s="1059" t="s">
        <v>3</v>
      </c>
      <c r="D5656" s="1061">
        <v>452.13</v>
      </c>
    </row>
    <row r="5657" spans="1:4" ht="18" customHeight="1" x14ac:dyDescent="0.25">
      <c r="A5657" s="1059">
        <v>5605947</v>
      </c>
      <c r="B5657" s="1060" t="s">
        <v>27320</v>
      </c>
      <c r="C5657" s="1059" t="s">
        <v>3</v>
      </c>
      <c r="D5657" s="1061">
        <v>520.6</v>
      </c>
    </row>
    <row r="5658" spans="1:4" ht="18" customHeight="1" x14ac:dyDescent="0.25">
      <c r="A5658" s="1059">
        <v>5605948</v>
      </c>
      <c r="B5658" s="1060" t="s">
        <v>27321</v>
      </c>
      <c r="C5658" s="1059" t="s">
        <v>3</v>
      </c>
      <c r="D5658" s="1061">
        <v>581.77</v>
      </c>
    </row>
    <row r="5659" spans="1:4" ht="18" customHeight="1" x14ac:dyDescent="0.25">
      <c r="A5659" s="1059">
        <v>5605949</v>
      </c>
      <c r="B5659" s="1060" t="s">
        <v>27322</v>
      </c>
      <c r="C5659" s="1059" t="s">
        <v>3</v>
      </c>
      <c r="D5659" s="1061">
        <v>892.57</v>
      </c>
    </row>
    <row r="5660" spans="1:4" ht="18" customHeight="1" x14ac:dyDescent="0.25">
      <c r="A5660" s="1059">
        <v>5605950</v>
      </c>
      <c r="B5660" s="1060" t="s">
        <v>27323</v>
      </c>
      <c r="C5660" s="1059" t="s">
        <v>3</v>
      </c>
      <c r="D5660" s="1061">
        <v>1049.48</v>
      </c>
    </row>
    <row r="5661" spans="1:4" ht="18" customHeight="1" x14ac:dyDescent="0.25">
      <c r="A5661" s="1059">
        <v>5605951</v>
      </c>
      <c r="B5661" s="1060" t="s">
        <v>27324</v>
      </c>
      <c r="C5661" s="1059" t="s">
        <v>3</v>
      </c>
      <c r="D5661" s="1061">
        <v>1656.71</v>
      </c>
    </row>
    <row r="5662" spans="1:4" ht="18" customHeight="1" x14ac:dyDescent="0.25">
      <c r="A5662" s="1059">
        <v>5605952</v>
      </c>
      <c r="B5662" s="1060" t="s">
        <v>27325</v>
      </c>
      <c r="C5662" s="1059" t="s">
        <v>3</v>
      </c>
      <c r="D5662" s="1061">
        <v>2605.6999999999998</v>
      </c>
    </row>
    <row r="5663" spans="1:4" ht="18" customHeight="1" x14ac:dyDescent="0.25">
      <c r="A5663" s="1059">
        <v>5605945</v>
      </c>
      <c r="B5663" s="1060" t="s">
        <v>27326</v>
      </c>
      <c r="C5663" s="1059" t="s">
        <v>3</v>
      </c>
      <c r="D5663" s="1061">
        <v>448.47</v>
      </c>
    </row>
    <row r="5664" spans="1:4" ht="18" customHeight="1" x14ac:dyDescent="0.25">
      <c r="A5664" s="1059">
        <v>5605932</v>
      </c>
      <c r="B5664" s="1060" t="s">
        <v>27327</v>
      </c>
      <c r="C5664" s="1059" t="s">
        <v>2</v>
      </c>
      <c r="D5664" s="1061">
        <v>115.47</v>
      </c>
    </row>
    <row r="5665" spans="1:4" ht="18" customHeight="1" x14ac:dyDescent="0.25">
      <c r="A5665" s="1059">
        <v>5605934</v>
      </c>
      <c r="B5665" s="1060" t="s">
        <v>27328</v>
      </c>
      <c r="C5665" s="1059" t="s">
        <v>2</v>
      </c>
      <c r="D5665" s="1061">
        <v>130.51</v>
      </c>
    </row>
    <row r="5666" spans="1:4" ht="18" customHeight="1" x14ac:dyDescent="0.25">
      <c r="A5666" s="1059">
        <v>5605928</v>
      </c>
      <c r="B5666" s="1060" t="s">
        <v>27329</v>
      </c>
      <c r="C5666" s="1059" t="s">
        <v>2</v>
      </c>
      <c r="D5666" s="1061">
        <v>147.47</v>
      </c>
    </row>
    <row r="5667" spans="1:4" ht="18" customHeight="1" x14ac:dyDescent="0.25">
      <c r="A5667" s="1059">
        <v>5605935</v>
      </c>
      <c r="B5667" s="1060" t="s">
        <v>27330</v>
      </c>
      <c r="C5667" s="1059" t="s">
        <v>2</v>
      </c>
      <c r="D5667" s="1061">
        <v>141.11000000000001</v>
      </c>
    </row>
    <row r="5668" spans="1:4" ht="18" customHeight="1" x14ac:dyDescent="0.25">
      <c r="A5668" s="1059">
        <v>5605936</v>
      </c>
      <c r="B5668" s="1060" t="s">
        <v>27331</v>
      </c>
      <c r="C5668" s="1059" t="s">
        <v>2</v>
      </c>
      <c r="D5668" s="1061">
        <v>208.16</v>
      </c>
    </row>
    <row r="5669" spans="1:4" ht="18" customHeight="1" x14ac:dyDescent="0.25">
      <c r="A5669" s="1059">
        <v>5605937</v>
      </c>
      <c r="B5669" s="1060" t="s">
        <v>27332</v>
      </c>
      <c r="C5669" s="1059" t="s">
        <v>2</v>
      </c>
      <c r="D5669" s="1061">
        <v>251.32</v>
      </c>
    </row>
    <row r="5670" spans="1:4" ht="18" customHeight="1" x14ac:dyDescent="0.25">
      <c r="A5670" s="1059">
        <v>5605957</v>
      </c>
      <c r="B5670" s="1060" t="s">
        <v>27333</v>
      </c>
      <c r="C5670" s="1059" t="s">
        <v>2</v>
      </c>
      <c r="D5670" s="1061">
        <v>186.67</v>
      </c>
    </row>
    <row r="5671" spans="1:4" ht="18" customHeight="1" x14ac:dyDescent="0.25">
      <c r="A5671" s="1059">
        <v>5605958</v>
      </c>
      <c r="B5671" s="1060" t="s">
        <v>27334</v>
      </c>
      <c r="C5671" s="1059" t="s">
        <v>2</v>
      </c>
      <c r="D5671" s="1061">
        <v>212.03</v>
      </c>
    </row>
    <row r="5672" spans="1:4" ht="18" customHeight="1" x14ac:dyDescent="0.25">
      <c r="A5672" s="1059">
        <v>5605959</v>
      </c>
      <c r="B5672" s="1060" t="s">
        <v>27335</v>
      </c>
      <c r="C5672" s="1059" t="s">
        <v>2</v>
      </c>
      <c r="D5672" s="1061">
        <v>249.34</v>
      </c>
    </row>
    <row r="5673" spans="1:4" ht="18" customHeight="1" x14ac:dyDescent="0.25">
      <c r="A5673" s="1059">
        <v>5605960</v>
      </c>
      <c r="B5673" s="1060" t="s">
        <v>27336</v>
      </c>
      <c r="C5673" s="1059" t="s">
        <v>2</v>
      </c>
      <c r="D5673" s="1061">
        <v>286.56</v>
      </c>
    </row>
    <row r="5674" spans="1:4" ht="18" customHeight="1" x14ac:dyDescent="0.25">
      <c r="A5674" s="1059">
        <v>5605961</v>
      </c>
      <c r="B5674" s="1060" t="s">
        <v>27337</v>
      </c>
      <c r="C5674" s="1059" t="s">
        <v>2</v>
      </c>
      <c r="D5674" s="1061">
        <v>405.12</v>
      </c>
    </row>
    <row r="5675" spans="1:4" ht="9" customHeight="1" x14ac:dyDescent="0.25">
      <c r="A5675" s="1059">
        <v>5605885</v>
      </c>
      <c r="B5675" s="1060" t="s">
        <v>27338</v>
      </c>
      <c r="C5675" s="1059" t="s">
        <v>2</v>
      </c>
      <c r="D5675" s="1061">
        <v>244.42</v>
      </c>
    </row>
    <row r="5676" spans="1:4" ht="9" customHeight="1" x14ac:dyDescent="0.25">
      <c r="A5676" s="1059">
        <v>5605886</v>
      </c>
      <c r="B5676" s="1060" t="s">
        <v>27339</v>
      </c>
      <c r="C5676" s="1059" t="s">
        <v>2</v>
      </c>
      <c r="D5676" s="1061">
        <v>267.89999999999998</v>
      </c>
    </row>
    <row r="5677" spans="1:4" ht="9" customHeight="1" x14ac:dyDescent="0.25">
      <c r="A5677" s="1059">
        <v>5605883</v>
      </c>
      <c r="B5677" s="1060" t="s">
        <v>27340</v>
      </c>
      <c r="C5677" s="1059" t="s">
        <v>2</v>
      </c>
      <c r="D5677" s="1061">
        <v>192.47</v>
      </c>
    </row>
    <row r="5678" spans="1:4" ht="9" customHeight="1" x14ac:dyDescent="0.25">
      <c r="A5678" s="1059">
        <v>5605884</v>
      </c>
      <c r="B5678" s="1060" t="s">
        <v>27341</v>
      </c>
      <c r="C5678" s="1059" t="s">
        <v>2</v>
      </c>
      <c r="D5678" s="1061">
        <v>215.95</v>
      </c>
    </row>
    <row r="5679" spans="1:4" ht="18" customHeight="1" x14ac:dyDescent="0.25">
      <c r="A5679" s="1059">
        <v>5605962</v>
      </c>
      <c r="B5679" s="1060" t="s">
        <v>27342</v>
      </c>
      <c r="C5679" s="1059" t="s">
        <v>2</v>
      </c>
      <c r="D5679" s="1061">
        <v>161.25</v>
      </c>
    </row>
    <row r="5680" spans="1:4" ht="18" customHeight="1" x14ac:dyDescent="0.25">
      <c r="A5680" s="1059">
        <v>5605881</v>
      </c>
      <c r="B5680" s="1060" t="s">
        <v>27343</v>
      </c>
      <c r="C5680" s="1059" t="s">
        <v>2</v>
      </c>
      <c r="D5680" s="1061">
        <v>220.64</v>
      </c>
    </row>
    <row r="5681" spans="1:4" ht="18" customHeight="1" x14ac:dyDescent="0.25">
      <c r="A5681" s="1059">
        <v>5605882</v>
      </c>
      <c r="B5681" s="1060" t="s">
        <v>27344</v>
      </c>
      <c r="C5681" s="1059" t="s">
        <v>2</v>
      </c>
      <c r="D5681" s="1061">
        <v>377.5</v>
      </c>
    </row>
    <row r="5682" spans="1:4" ht="18" customHeight="1" x14ac:dyDescent="0.25">
      <c r="A5682" s="1059">
        <v>5605963</v>
      </c>
      <c r="B5682" s="1060" t="s">
        <v>27345</v>
      </c>
      <c r="C5682" s="1059" t="s">
        <v>2</v>
      </c>
      <c r="D5682" s="1061">
        <v>248.51</v>
      </c>
    </row>
    <row r="5683" spans="1:4" ht="18" customHeight="1" x14ac:dyDescent="0.25">
      <c r="A5683" s="1059">
        <v>5605964</v>
      </c>
      <c r="B5683" s="1060" t="s">
        <v>27346</v>
      </c>
      <c r="C5683" s="1059" t="s">
        <v>2</v>
      </c>
      <c r="D5683" s="1061">
        <v>280.87</v>
      </c>
    </row>
    <row r="5684" spans="1:4" ht="18" customHeight="1" x14ac:dyDescent="0.25">
      <c r="A5684" s="1059">
        <v>5605965</v>
      </c>
      <c r="B5684" s="1060" t="s">
        <v>27347</v>
      </c>
      <c r="C5684" s="1059" t="s">
        <v>2</v>
      </c>
      <c r="D5684" s="1061">
        <v>314.27999999999997</v>
      </c>
    </row>
    <row r="5685" spans="1:4" ht="18" customHeight="1" x14ac:dyDescent="0.25">
      <c r="A5685" s="1059">
        <v>5605966</v>
      </c>
      <c r="B5685" s="1060" t="s">
        <v>27348</v>
      </c>
      <c r="C5685" s="1059" t="s">
        <v>2</v>
      </c>
      <c r="D5685" s="1061">
        <v>417.4</v>
      </c>
    </row>
    <row r="5686" spans="1:4" ht="18" customHeight="1" x14ac:dyDescent="0.25">
      <c r="A5686" s="1059">
        <v>5605967</v>
      </c>
      <c r="B5686" s="1060" t="s">
        <v>27349</v>
      </c>
      <c r="C5686" s="1059" t="s">
        <v>2</v>
      </c>
      <c r="D5686" s="1061">
        <v>473.41</v>
      </c>
    </row>
    <row r="5687" spans="1:4" ht="18" customHeight="1" x14ac:dyDescent="0.25">
      <c r="A5687" s="1059">
        <v>5605968</v>
      </c>
      <c r="B5687" s="1060" t="s">
        <v>27350</v>
      </c>
      <c r="C5687" s="1059" t="s">
        <v>2</v>
      </c>
      <c r="D5687" s="1061">
        <v>577.13</v>
      </c>
    </row>
    <row r="5688" spans="1:4" ht="18" customHeight="1" x14ac:dyDescent="0.25">
      <c r="A5688" s="1059">
        <v>5605969</v>
      </c>
      <c r="B5688" s="1060" t="s">
        <v>27351</v>
      </c>
      <c r="C5688" s="1059" t="s">
        <v>2</v>
      </c>
      <c r="D5688" s="1061">
        <v>628.64</v>
      </c>
    </row>
    <row r="5689" spans="1:4" ht="18" customHeight="1" x14ac:dyDescent="0.25">
      <c r="A5689" s="1059">
        <v>5909130</v>
      </c>
      <c r="B5689" s="1060" t="s">
        <v>27352</v>
      </c>
      <c r="C5689" s="1059" t="s">
        <v>25896</v>
      </c>
      <c r="D5689" s="1061">
        <v>26.27</v>
      </c>
    </row>
    <row r="5690" spans="1:4" ht="18" customHeight="1" x14ac:dyDescent="0.25">
      <c r="A5690" s="1059">
        <v>5914703</v>
      </c>
      <c r="B5690" s="1060" t="s">
        <v>27353</v>
      </c>
      <c r="C5690" s="1059" t="s">
        <v>25896</v>
      </c>
      <c r="D5690" s="1061">
        <v>5.79</v>
      </c>
    </row>
    <row r="5691" spans="1:4" ht="18" customHeight="1" x14ac:dyDescent="0.25">
      <c r="A5691" s="1059">
        <v>5914704</v>
      </c>
      <c r="B5691" s="1060" t="s">
        <v>27354</v>
      </c>
      <c r="C5691" s="1059" t="s">
        <v>25896</v>
      </c>
      <c r="D5691" s="1061">
        <v>5.77</v>
      </c>
    </row>
    <row r="5692" spans="1:4" ht="18" customHeight="1" x14ac:dyDescent="0.25">
      <c r="A5692" s="1059">
        <v>5914710</v>
      </c>
      <c r="B5692" s="1060" t="s">
        <v>27355</v>
      </c>
      <c r="C5692" s="1059" t="s">
        <v>25896</v>
      </c>
      <c r="D5692" s="1061">
        <v>11.17</v>
      </c>
    </row>
    <row r="5693" spans="1:4" ht="18" customHeight="1" x14ac:dyDescent="0.25">
      <c r="A5693" s="1059">
        <v>5914711</v>
      </c>
      <c r="B5693" s="1060" t="s">
        <v>27356</v>
      </c>
      <c r="C5693" s="1059" t="s">
        <v>25896</v>
      </c>
      <c r="D5693" s="1061">
        <v>10.3</v>
      </c>
    </row>
    <row r="5694" spans="1:4" ht="18" customHeight="1" x14ac:dyDescent="0.25">
      <c r="A5694" s="1059">
        <v>5914712</v>
      </c>
      <c r="B5694" s="1060" t="s">
        <v>27357</v>
      </c>
      <c r="C5694" s="1059" t="s">
        <v>25896</v>
      </c>
      <c r="D5694" s="1061">
        <v>10.130000000000001</v>
      </c>
    </row>
    <row r="5695" spans="1:4" ht="18" customHeight="1" x14ac:dyDescent="0.25">
      <c r="A5695" s="1059">
        <v>5915369</v>
      </c>
      <c r="B5695" s="1060" t="s">
        <v>27358</v>
      </c>
      <c r="C5695" s="1059" t="s">
        <v>3</v>
      </c>
      <c r="D5695" s="1061">
        <v>6905.41</v>
      </c>
    </row>
    <row r="5696" spans="1:4" ht="18" customHeight="1" x14ac:dyDescent="0.25">
      <c r="A5696" s="1059">
        <v>5915401</v>
      </c>
      <c r="B5696" s="1060" t="s">
        <v>27359</v>
      </c>
      <c r="C5696" s="1059" t="s">
        <v>3</v>
      </c>
      <c r="D5696" s="1061">
        <v>6353.79</v>
      </c>
    </row>
    <row r="5697" spans="1:4" ht="18" customHeight="1" x14ac:dyDescent="0.25">
      <c r="A5697" s="1059">
        <v>5915402</v>
      </c>
      <c r="B5697" s="1060" t="s">
        <v>27360</v>
      </c>
      <c r="C5697" s="1059" t="s">
        <v>3</v>
      </c>
      <c r="D5697" s="1061">
        <v>3862.82</v>
      </c>
    </row>
    <row r="5698" spans="1:4" ht="9" customHeight="1" x14ac:dyDescent="0.25">
      <c r="A5698" s="1059">
        <v>5915400</v>
      </c>
      <c r="B5698" s="1060" t="s">
        <v>27361</v>
      </c>
      <c r="C5698" s="1059" t="s">
        <v>3</v>
      </c>
      <c r="D5698" s="1061">
        <v>3437.73</v>
      </c>
    </row>
    <row r="5699" spans="1:4" ht="18" customHeight="1" x14ac:dyDescent="0.25">
      <c r="A5699" s="1059">
        <v>5914651</v>
      </c>
      <c r="B5699" s="1060" t="s">
        <v>27362</v>
      </c>
      <c r="C5699" s="1059" t="s">
        <v>25896</v>
      </c>
      <c r="D5699" s="1061">
        <v>2.46</v>
      </c>
    </row>
    <row r="5700" spans="1:4" ht="18" customHeight="1" x14ac:dyDescent="0.25">
      <c r="A5700" s="1059">
        <v>5914648</v>
      </c>
      <c r="B5700" s="1060" t="s">
        <v>27363</v>
      </c>
      <c r="C5700" s="1059" t="s">
        <v>25896</v>
      </c>
      <c r="D5700" s="1061">
        <v>7.44</v>
      </c>
    </row>
    <row r="5701" spans="1:4" ht="18" customHeight="1" x14ac:dyDescent="0.25">
      <c r="A5701" s="1059">
        <v>5914647</v>
      </c>
      <c r="B5701" s="1060" t="s">
        <v>27364</v>
      </c>
      <c r="C5701" s="1059" t="s">
        <v>25896</v>
      </c>
      <c r="D5701" s="1061">
        <v>1.71</v>
      </c>
    </row>
    <row r="5702" spans="1:4" ht="18" customHeight="1" x14ac:dyDescent="0.25">
      <c r="A5702" s="1059">
        <v>5915411</v>
      </c>
      <c r="B5702" s="1060" t="s">
        <v>27365</v>
      </c>
      <c r="C5702" s="1059" t="s">
        <v>25896</v>
      </c>
      <c r="D5702" s="1061">
        <v>3.35</v>
      </c>
    </row>
    <row r="5703" spans="1:4" ht="18" customHeight="1" x14ac:dyDescent="0.25">
      <c r="A5703" s="1059">
        <v>5915409</v>
      </c>
      <c r="B5703" s="1060" t="s">
        <v>27366</v>
      </c>
      <c r="C5703" s="1059" t="s">
        <v>25896</v>
      </c>
      <c r="D5703" s="1061">
        <v>8.32</v>
      </c>
    </row>
    <row r="5704" spans="1:4" ht="18" customHeight="1" x14ac:dyDescent="0.25">
      <c r="A5704" s="1059">
        <v>5915407</v>
      </c>
      <c r="B5704" s="1060" t="s">
        <v>27367</v>
      </c>
      <c r="C5704" s="1059" t="s">
        <v>25896</v>
      </c>
      <c r="D5704" s="1061">
        <v>2.6</v>
      </c>
    </row>
    <row r="5705" spans="1:4" ht="18" customHeight="1" x14ac:dyDescent="0.25">
      <c r="A5705" s="1059">
        <v>5914354</v>
      </c>
      <c r="B5705" s="1060" t="s">
        <v>27368</v>
      </c>
      <c r="C5705" s="1059" t="s">
        <v>25896</v>
      </c>
      <c r="D5705" s="1061">
        <v>1.78</v>
      </c>
    </row>
    <row r="5706" spans="1:4" ht="18" customHeight="1" x14ac:dyDescent="0.25">
      <c r="A5706" s="1059">
        <v>5915406</v>
      </c>
      <c r="B5706" s="1060" t="s">
        <v>27369</v>
      </c>
      <c r="C5706" s="1059" t="s">
        <v>25896</v>
      </c>
      <c r="D5706" s="1061">
        <v>9.0399999999999991</v>
      </c>
    </row>
    <row r="5707" spans="1:4" ht="18" customHeight="1" x14ac:dyDescent="0.25">
      <c r="A5707" s="1059">
        <v>5914652</v>
      </c>
      <c r="B5707" s="1060" t="s">
        <v>27370</v>
      </c>
      <c r="C5707" s="1059" t="s">
        <v>25896</v>
      </c>
      <c r="D5707" s="1061">
        <v>3.29</v>
      </c>
    </row>
    <row r="5708" spans="1:4" ht="18" customHeight="1" x14ac:dyDescent="0.25">
      <c r="A5708" s="1059">
        <v>5915417</v>
      </c>
      <c r="B5708" s="1060" t="s">
        <v>27371</v>
      </c>
      <c r="C5708" s="1059" t="s">
        <v>25896</v>
      </c>
      <c r="D5708" s="1061">
        <v>5.19</v>
      </c>
    </row>
    <row r="5709" spans="1:4" ht="18" customHeight="1" x14ac:dyDescent="0.25">
      <c r="A5709" s="1059">
        <v>5915414</v>
      </c>
      <c r="B5709" s="1060" t="s">
        <v>27372</v>
      </c>
      <c r="C5709" s="1059" t="s">
        <v>25896</v>
      </c>
      <c r="D5709" s="1061">
        <v>2.71</v>
      </c>
    </row>
    <row r="5710" spans="1:4" ht="18" customHeight="1" x14ac:dyDescent="0.25">
      <c r="A5710" s="1059">
        <v>5914351</v>
      </c>
      <c r="B5710" s="1060" t="s">
        <v>27373</v>
      </c>
      <c r="C5710" s="1059" t="s">
        <v>25896</v>
      </c>
      <c r="D5710" s="1061">
        <v>2.5099999999999998</v>
      </c>
    </row>
    <row r="5711" spans="1:4" ht="18" customHeight="1" x14ac:dyDescent="0.25">
      <c r="A5711" s="1059">
        <v>5914645</v>
      </c>
      <c r="B5711" s="1060" t="s">
        <v>27374</v>
      </c>
      <c r="C5711" s="1059" t="s">
        <v>25896</v>
      </c>
      <c r="D5711" s="1061">
        <v>2.9</v>
      </c>
    </row>
    <row r="5712" spans="1:4" ht="18" customHeight="1" x14ac:dyDescent="0.25">
      <c r="A5712" s="1059">
        <v>5914642</v>
      </c>
      <c r="B5712" s="1060" t="s">
        <v>27375</v>
      </c>
      <c r="C5712" s="1059" t="s">
        <v>25896</v>
      </c>
      <c r="D5712" s="1061">
        <v>5.65</v>
      </c>
    </row>
    <row r="5713" spans="1:4" ht="18" customHeight="1" x14ac:dyDescent="0.25">
      <c r="A5713" s="1059">
        <v>5914641</v>
      </c>
      <c r="B5713" s="1060" t="s">
        <v>27376</v>
      </c>
      <c r="C5713" s="1059" t="s">
        <v>25896</v>
      </c>
      <c r="D5713" s="1061">
        <v>2</v>
      </c>
    </row>
    <row r="5714" spans="1:4" ht="18" customHeight="1" x14ac:dyDescent="0.25">
      <c r="A5714" s="1059">
        <v>5915456</v>
      </c>
      <c r="B5714" s="1060" t="s">
        <v>27377</v>
      </c>
      <c r="C5714" s="1059" t="s">
        <v>25896</v>
      </c>
      <c r="D5714" s="1061">
        <v>3.76</v>
      </c>
    </row>
    <row r="5715" spans="1:4" ht="18" customHeight="1" x14ac:dyDescent="0.25">
      <c r="A5715" s="1059">
        <v>5915454</v>
      </c>
      <c r="B5715" s="1060" t="s">
        <v>27378</v>
      </c>
      <c r="C5715" s="1059" t="s">
        <v>25896</v>
      </c>
      <c r="D5715" s="1061">
        <v>6.51</v>
      </c>
    </row>
    <row r="5716" spans="1:4" ht="18" customHeight="1" x14ac:dyDescent="0.25">
      <c r="A5716" s="1059">
        <v>5915399</v>
      </c>
      <c r="B5716" s="1060" t="s">
        <v>27379</v>
      </c>
      <c r="C5716" s="1059" t="s">
        <v>25896</v>
      </c>
      <c r="D5716" s="1061">
        <v>2.86</v>
      </c>
    </row>
    <row r="5717" spans="1:4" ht="18" customHeight="1" x14ac:dyDescent="0.25">
      <c r="A5717" s="1059">
        <v>5914353</v>
      </c>
      <c r="B5717" s="1060" t="s">
        <v>27380</v>
      </c>
      <c r="C5717" s="1059" t="s">
        <v>25896</v>
      </c>
      <c r="D5717" s="1061">
        <v>1.51</v>
      </c>
    </row>
    <row r="5718" spans="1:4" ht="18" customHeight="1" x14ac:dyDescent="0.25">
      <c r="A5718" s="1059">
        <v>5915470</v>
      </c>
      <c r="B5718" s="1060" t="s">
        <v>27381</v>
      </c>
      <c r="C5718" s="1059" t="s">
        <v>25896</v>
      </c>
      <c r="D5718" s="1061">
        <v>2.2799999999999998</v>
      </c>
    </row>
    <row r="5719" spans="1:4" ht="18" customHeight="1" x14ac:dyDescent="0.25">
      <c r="A5719" s="1059">
        <v>5915459</v>
      </c>
      <c r="B5719" s="1060" t="s">
        <v>27382</v>
      </c>
      <c r="C5719" s="1059" t="s">
        <v>25896</v>
      </c>
      <c r="D5719" s="1061">
        <v>7.23</v>
      </c>
    </row>
    <row r="5720" spans="1:4" ht="9" customHeight="1" x14ac:dyDescent="0.25">
      <c r="A5720" s="1059">
        <v>5915476</v>
      </c>
      <c r="B5720" s="1060" t="s">
        <v>27383</v>
      </c>
      <c r="C5720" s="1059" t="s">
        <v>25896</v>
      </c>
      <c r="D5720" s="1061">
        <v>29.51</v>
      </c>
    </row>
    <row r="5721" spans="1:4" ht="18" customHeight="1" x14ac:dyDescent="0.25">
      <c r="A5721" s="1059">
        <v>5914702</v>
      </c>
      <c r="B5721" s="1060" t="s">
        <v>27384</v>
      </c>
      <c r="C5721" s="1059" t="s">
        <v>25896</v>
      </c>
      <c r="D5721" s="1061">
        <v>15.31</v>
      </c>
    </row>
    <row r="5722" spans="1:4" ht="18" customHeight="1" x14ac:dyDescent="0.25">
      <c r="A5722" s="1059">
        <v>5914701</v>
      </c>
      <c r="B5722" s="1060" t="s">
        <v>27385</v>
      </c>
      <c r="C5722" s="1059" t="s">
        <v>25896</v>
      </c>
      <c r="D5722" s="1061">
        <v>15.42</v>
      </c>
    </row>
    <row r="5723" spans="1:4" ht="18" customHeight="1" x14ac:dyDescent="0.25">
      <c r="A5723" s="1059">
        <v>5906592</v>
      </c>
      <c r="B5723" s="1060" t="s">
        <v>27386</v>
      </c>
      <c r="C5723" s="1059" t="s">
        <v>3</v>
      </c>
      <c r="D5723" s="1061">
        <v>32.69</v>
      </c>
    </row>
    <row r="5724" spans="1:4" ht="18" customHeight="1" x14ac:dyDescent="0.25">
      <c r="A5724" s="1059">
        <v>5906591</v>
      </c>
      <c r="B5724" s="1060" t="s">
        <v>27387</v>
      </c>
      <c r="C5724" s="1059" t="s">
        <v>3</v>
      </c>
      <c r="D5724" s="1061">
        <v>31</v>
      </c>
    </row>
    <row r="5725" spans="1:4" ht="18" customHeight="1" x14ac:dyDescent="0.25">
      <c r="A5725" s="1059">
        <v>5914653</v>
      </c>
      <c r="B5725" s="1060" t="s">
        <v>27388</v>
      </c>
      <c r="C5725" s="1059" t="s">
        <v>25896</v>
      </c>
      <c r="D5725" s="1061">
        <v>3.68</v>
      </c>
    </row>
    <row r="5726" spans="1:4" ht="18" customHeight="1" x14ac:dyDescent="0.25">
      <c r="A5726" s="1059">
        <v>5915405</v>
      </c>
      <c r="B5726" s="1060" t="s">
        <v>27389</v>
      </c>
      <c r="C5726" s="1059" t="s">
        <v>25896</v>
      </c>
      <c r="D5726" s="1061">
        <v>5.79</v>
      </c>
    </row>
    <row r="5727" spans="1:4" ht="18" customHeight="1" x14ac:dyDescent="0.25">
      <c r="A5727" s="1059">
        <v>5914657</v>
      </c>
      <c r="B5727" s="1060" t="s">
        <v>27390</v>
      </c>
      <c r="C5727" s="1059" t="s">
        <v>25896</v>
      </c>
      <c r="D5727" s="1061">
        <v>18.11</v>
      </c>
    </row>
    <row r="5728" spans="1:4" ht="9" customHeight="1" x14ac:dyDescent="0.25">
      <c r="A5728" s="1059">
        <v>5914363</v>
      </c>
      <c r="B5728" s="1060" t="s">
        <v>27391</v>
      </c>
      <c r="C5728" s="1059" t="s">
        <v>25896</v>
      </c>
      <c r="D5728" s="1061">
        <v>18.13</v>
      </c>
    </row>
    <row r="5729" spans="1:4" ht="18" customHeight="1" x14ac:dyDescent="0.25">
      <c r="A5729" s="1059">
        <v>5914646</v>
      </c>
      <c r="B5729" s="1060" t="s">
        <v>27392</v>
      </c>
      <c r="C5729" s="1059" t="s">
        <v>25896</v>
      </c>
      <c r="D5729" s="1061">
        <v>8.42</v>
      </c>
    </row>
    <row r="5730" spans="1:4" ht="18" customHeight="1" x14ac:dyDescent="0.25">
      <c r="A5730" s="1059">
        <v>5919535</v>
      </c>
      <c r="B5730" s="1060" t="s">
        <v>27393</v>
      </c>
      <c r="C5730" s="1059" t="s">
        <v>25896</v>
      </c>
      <c r="D5730" s="1061">
        <v>19.39</v>
      </c>
    </row>
    <row r="5731" spans="1:4" ht="18" customHeight="1" x14ac:dyDescent="0.25">
      <c r="A5731" s="1059">
        <v>5919533</v>
      </c>
      <c r="B5731" s="1060" t="s">
        <v>27394</v>
      </c>
      <c r="C5731" s="1059" t="s">
        <v>25896</v>
      </c>
      <c r="D5731" s="1061">
        <v>64.5</v>
      </c>
    </row>
    <row r="5732" spans="1:4" ht="18" customHeight="1" x14ac:dyDescent="0.25">
      <c r="A5732" s="1059">
        <v>5919534</v>
      </c>
      <c r="B5732" s="1060" t="s">
        <v>27395</v>
      </c>
      <c r="C5732" s="1059" t="s">
        <v>25896</v>
      </c>
      <c r="D5732" s="1061">
        <v>58.91</v>
      </c>
    </row>
    <row r="5733" spans="1:4" ht="9" customHeight="1" x14ac:dyDescent="0.25">
      <c r="A5733" s="1059">
        <v>5909007</v>
      </c>
      <c r="B5733" s="1060" t="s">
        <v>27396</v>
      </c>
      <c r="C5733" s="1059" t="s">
        <v>25896</v>
      </c>
      <c r="D5733" s="1061">
        <v>17.87</v>
      </c>
    </row>
    <row r="5734" spans="1:4" ht="9" customHeight="1" x14ac:dyDescent="0.25">
      <c r="A5734" s="1059">
        <v>5919538</v>
      </c>
      <c r="B5734" s="1060" t="s">
        <v>27397</v>
      </c>
      <c r="C5734" s="1059" t="s">
        <v>25896</v>
      </c>
      <c r="D5734" s="1061">
        <v>15.13</v>
      </c>
    </row>
    <row r="5735" spans="1:4" ht="18" customHeight="1" x14ac:dyDescent="0.25">
      <c r="A5735" s="1059">
        <v>5919540</v>
      </c>
      <c r="B5735" s="1060" t="s">
        <v>27398</v>
      </c>
      <c r="C5735" s="1059" t="s">
        <v>25896</v>
      </c>
      <c r="D5735" s="1061">
        <v>3.14</v>
      </c>
    </row>
    <row r="5736" spans="1:4" ht="18" customHeight="1" x14ac:dyDescent="0.25">
      <c r="A5736" s="1059">
        <v>5914705</v>
      </c>
      <c r="B5736" s="1060" t="s">
        <v>27399</v>
      </c>
      <c r="C5736" s="1059" t="s">
        <v>25896</v>
      </c>
      <c r="D5736" s="1061">
        <v>22.33</v>
      </c>
    </row>
    <row r="5737" spans="1:4" ht="18" customHeight="1" x14ac:dyDescent="0.25">
      <c r="A5737" s="1059">
        <v>5914706</v>
      </c>
      <c r="B5737" s="1060" t="s">
        <v>27400</v>
      </c>
      <c r="C5737" s="1059" t="s">
        <v>25896</v>
      </c>
      <c r="D5737" s="1061">
        <v>20.59</v>
      </c>
    </row>
    <row r="5738" spans="1:4" ht="18" customHeight="1" x14ac:dyDescent="0.25">
      <c r="A5738" s="1059">
        <v>5914707</v>
      </c>
      <c r="B5738" s="1060" t="s">
        <v>27401</v>
      </c>
      <c r="C5738" s="1059" t="s">
        <v>25896</v>
      </c>
      <c r="D5738" s="1061">
        <v>20.25</v>
      </c>
    </row>
    <row r="5739" spans="1:4" ht="18" customHeight="1" x14ac:dyDescent="0.25">
      <c r="A5739" s="1059">
        <v>5914677</v>
      </c>
      <c r="B5739" s="1060" t="s">
        <v>27402</v>
      </c>
      <c r="C5739" s="1059" t="s">
        <v>25896</v>
      </c>
      <c r="D5739" s="1061">
        <v>30.71</v>
      </c>
    </row>
    <row r="5740" spans="1:4" ht="18" customHeight="1" x14ac:dyDescent="0.25">
      <c r="A5740" s="1059">
        <v>5914676</v>
      </c>
      <c r="B5740" s="1060" t="s">
        <v>27403</v>
      </c>
      <c r="C5740" s="1059" t="s">
        <v>25896</v>
      </c>
      <c r="D5740" s="1061">
        <v>25.41</v>
      </c>
    </row>
    <row r="5741" spans="1:4" ht="9" customHeight="1" x14ac:dyDescent="0.25">
      <c r="A5741" s="1059">
        <v>5915440</v>
      </c>
      <c r="B5741" s="1060" t="s">
        <v>27404</v>
      </c>
      <c r="C5741" s="1059" t="s">
        <v>25896</v>
      </c>
      <c r="D5741" s="1061">
        <v>2.8</v>
      </c>
    </row>
    <row r="5742" spans="1:4" ht="18" customHeight="1" x14ac:dyDescent="0.25">
      <c r="A5742" s="1059">
        <v>5914352</v>
      </c>
      <c r="B5742" s="1060" t="s">
        <v>27405</v>
      </c>
      <c r="C5742" s="1059" t="s">
        <v>25896</v>
      </c>
      <c r="D5742" s="1061">
        <v>4.24</v>
      </c>
    </row>
    <row r="5743" spans="1:4" ht="18" customHeight="1" x14ac:dyDescent="0.25">
      <c r="A5743" s="1059">
        <v>5914339</v>
      </c>
      <c r="B5743" s="1060" t="s">
        <v>27406</v>
      </c>
      <c r="C5743" s="1059" t="s">
        <v>25896</v>
      </c>
      <c r="D5743" s="1061">
        <v>8.52</v>
      </c>
    </row>
    <row r="5744" spans="1:4" ht="18" customHeight="1" x14ac:dyDescent="0.25">
      <c r="A5744" s="1059">
        <v>5914678</v>
      </c>
      <c r="B5744" s="1060" t="s">
        <v>27407</v>
      </c>
      <c r="C5744" s="1059" t="s">
        <v>25896</v>
      </c>
      <c r="D5744" s="1061">
        <v>37.159999999999997</v>
      </c>
    </row>
    <row r="5745" spans="1:4" ht="18" customHeight="1" x14ac:dyDescent="0.25">
      <c r="A5745" s="1059">
        <v>5914679</v>
      </c>
      <c r="B5745" s="1060" t="s">
        <v>27408</v>
      </c>
      <c r="C5745" s="1059" t="s">
        <v>25896</v>
      </c>
      <c r="D5745" s="1061">
        <v>59.55</v>
      </c>
    </row>
    <row r="5746" spans="1:4" ht="18" customHeight="1" x14ac:dyDescent="0.25">
      <c r="A5746" s="1059">
        <v>5914681</v>
      </c>
      <c r="B5746" s="1060" t="s">
        <v>27409</v>
      </c>
      <c r="C5746" s="1059" t="s">
        <v>25896</v>
      </c>
      <c r="D5746" s="1061">
        <v>71.040000000000006</v>
      </c>
    </row>
    <row r="5747" spans="1:4" ht="18" customHeight="1" x14ac:dyDescent="0.25">
      <c r="A5747" s="1059">
        <v>5914680</v>
      </c>
      <c r="B5747" s="1060" t="s">
        <v>27410</v>
      </c>
      <c r="C5747" s="1059" t="s">
        <v>25896</v>
      </c>
      <c r="D5747" s="1061">
        <v>49.41</v>
      </c>
    </row>
    <row r="5748" spans="1:4" ht="9" customHeight="1" x14ac:dyDescent="0.25">
      <c r="A5748" s="1059">
        <v>5915015</v>
      </c>
      <c r="B5748" s="1060" t="s">
        <v>27411</v>
      </c>
      <c r="C5748" s="1059" t="s">
        <v>25896</v>
      </c>
      <c r="D5748" s="1061">
        <v>22.11</v>
      </c>
    </row>
    <row r="5749" spans="1:4" ht="9" customHeight="1" x14ac:dyDescent="0.25">
      <c r="A5749" s="1059">
        <v>5915373</v>
      </c>
      <c r="B5749" s="1060" t="s">
        <v>27412</v>
      </c>
      <c r="C5749" s="1059" t="s">
        <v>25896</v>
      </c>
      <c r="D5749" s="1061">
        <v>18.39</v>
      </c>
    </row>
    <row r="5750" spans="1:4" ht="18" customHeight="1" x14ac:dyDescent="0.25">
      <c r="A5750" s="1059">
        <v>5914333</v>
      </c>
      <c r="B5750" s="1060" t="s">
        <v>27413</v>
      </c>
      <c r="C5750" s="1059" t="s">
        <v>25896</v>
      </c>
      <c r="D5750" s="1061">
        <v>33.69</v>
      </c>
    </row>
    <row r="5751" spans="1:4" ht="9" customHeight="1" x14ac:dyDescent="0.25">
      <c r="A5751" s="1059">
        <v>5914655</v>
      </c>
      <c r="B5751" s="1060" t="s">
        <v>27414</v>
      </c>
      <c r="C5751" s="1059" t="s">
        <v>25896</v>
      </c>
      <c r="D5751" s="1061">
        <v>34.78</v>
      </c>
    </row>
    <row r="5752" spans="1:4" ht="9" customHeight="1" x14ac:dyDescent="0.25">
      <c r="A5752" s="1059">
        <v>5915474</v>
      </c>
      <c r="B5752" s="1060" t="s">
        <v>27415</v>
      </c>
      <c r="C5752" s="1059" t="s">
        <v>25896</v>
      </c>
      <c r="D5752" s="1061">
        <v>30.96</v>
      </c>
    </row>
    <row r="5753" spans="1:4" ht="9" customHeight="1" x14ac:dyDescent="0.25">
      <c r="A5753" s="1059">
        <v>5914654</v>
      </c>
      <c r="B5753" s="1060" t="s">
        <v>27416</v>
      </c>
      <c r="C5753" s="1059" t="s">
        <v>25896</v>
      </c>
      <c r="D5753" s="1061">
        <v>28.35</v>
      </c>
    </row>
    <row r="5754" spans="1:4" ht="18" customHeight="1" x14ac:dyDescent="0.25">
      <c r="A5754" s="1059">
        <v>5914686</v>
      </c>
      <c r="B5754" s="1060" t="s">
        <v>27417</v>
      </c>
      <c r="C5754" s="1059" t="s">
        <v>25896</v>
      </c>
      <c r="D5754" s="1061">
        <v>26.18</v>
      </c>
    </row>
    <row r="5755" spans="1:4" ht="18" customHeight="1" x14ac:dyDescent="0.25">
      <c r="A5755" s="1059">
        <v>5914685</v>
      </c>
      <c r="B5755" s="1060" t="s">
        <v>27418</v>
      </c>
      <c r="C5755" s="1059" t="s">
        <v>25896</v>
      </c>
      <c r="D5755" s="1061">
        <v>26.37</v>
      </c>
    </row>
    <row r="5756" spans="1:4" ht="18" customHeight="1" x14ac:dyDescent="0.25">
      <c r="A5756" s="1059">
        <v>5914682</v>
      </c>
      <c r="B5756" s="1060" t="s">
        <v>27419</v>
      </c>
      <c r="C5756" s="1059" t="s">
        <v>25896</v>
      </c>
      <c r="D5756" s="1061">
        <v>34</v>
      </c>
    </row>
    <row r="5757" spans="1:4" ht="18" customHeight="1" x14ac:dyDescent="0.25">
      <c r="A5757" s="1059">
        <v>5914683</v>
      </c>
      <c r="B5757" s="1060" t="s">
        <v>27420</v>
      </c>
      <c r="C5757" s="1059" t="s">
        <v>25896</v>
      </c>
      <c r="D5757" s="1061">
        <v>39.07</v>
      </c>
    </row>
    <row r="5758" spans="1:4" ht="18" customHeight="1" x14ac:dyDescent="0.25">
      <c r="A5758" s="1059">
        <v>5914684</v>
      </c>
      <c r="B5758" s="1060" t="s">
        <v>27421</v>
      </c>
      <c r="C5758" s="1059" t="s">
        <v>25896</v>
      </c>
      <c r="D5758" s="1061">
        <v>29.47</v>
      </c>
    </row>
    <row r="5759" spans="1:4" ht="18" customHeight="1" x14ac:dyDescent="0.25">
      <c r="A5759" s="1059">
        <v>5914675</v>
      </c>
      <c r="B5759" s="1060" t="s">
        <v>27422</v>
      </c>
      <c r="C5759" s="1059" t="s">
        <v>25896</v>
      </c>
      <c r="D5759" s="1061">
        <v>3.04</v>
      </c>
    </row>
    <row r="5760" spans="1:4" ht="9" customHeight="1" x14ac:dyDescent="0.25">
      <c r="A5760" s="1059">
        <v>5915433</v>
      </c>
      <c r="B5760" s="1060" t="s">
        <v>27423</v>
      </c>
      <c r="C5760" s="1059" t="s">
        <v>25896</v>
      </c>
      <c r="D5760" s="1061">
        <v>35.68</v>
      </c>
    </row>
    <row r="5761" spans="1:4" ht="18" customHeight="1" x14ac:dyDescent="0.25">
      <c r="A5761" s="1059">
        <v>5914650</v>
      </c>
      <c r="B5761" s="1060" t="s">
        <v>27424</v>
      </c>
      <c r="C5761" s="1059" t="s">
        <v>25896</v>
      </c>
      <c r="D5761" s="1061">
        <v>10.88</v>
      </c>
    </row>
    <row r="5762" spans="1:4" ht="18" customHeight="1" x14ac:dyDescent="0.25">
      <c r="A5762" s="1059">
        <v>5914358</v>
      </c>
      <c r="B5762" s="1060" t="s">
        <v>27425</v>
      </c>
      <c r="C5762" s="1059" t="s">
        <v>25896</v>
      </c>
      <c r="D5762" s="1061">
        <v>8.9499999999999993</v>
      </c>
    </row>
    <row r="5763" spans="1:4" ht="18" customHeight="1" x14ac:dyDescent="0.25">
      <c r="A5763" s="1059">
        <v>5915421</v>
      </c>
      <c r="B5763" s="1060" t="s">
        <v>27426</v>
      </c>
      <c r="C5763" s="1059" t="s">
        <v>25896</v>
      </c>
      <c r="D5763" s="1061">
        <v>25.84</v>
      </c>
    </row>
    <row r="5764" spans="1:4" ht="18" customHeight="1" x14ac:dyDescent="0.25">
      <c r="A5764" s="1059">
        <v>5914649</v>
      </c>
      <c r="B5764" s="1060" t="s">
        <v>27427</v>
      </c>
      <c r="C5764" s="1059" t="s">
        <v>25896</v>
      </c>
      <c r="D5764" s="1061">
        <v>7.53</v>
      </c>
    </row>
    <row r="5765" spans="1:4" ht="18" customHeight="1" x14ac:dyDescent="0.25">
      <c r="A5765" s="1059">
        <v>5914643</v>
      </c>
      <c r="B5765" s="1060" t="s">
        <v>27428</v>
      </c>
      <c r="C5765" s="1059" t="s">
        <v>25896</v>
      </c>
      <c r="D5765" s="1061">
        <v>5.45</v>
      </c>
    </row>
    <row r="5766" spans="1:4" ht="18" customHeight="1" x14ac:dyDescent="0.25">
      <c r="A5766" s="1059">
        <v>5914328</v>
      </c>
      <c r="B5766" s="1060" t="s">
        <v>27429</v>
      </c>
      <c r="C5766" s="1059" t="s">
        <v>25896</v>
      </c>
      <c r="D5766" s="1061">
        <v>27.2</v>
      </c>
    </row>
    <row r="5767" spans="1:4" ht="18" customHeight="1" x14ac:dyDescent="0.25">
      <c r="A5767" s="1059">
        <v>5914610</v>
      </c>
      <c r="B5767" s="1060" t="s">
        <v>27430</v>
      </c>
      <c r="C5767" s="1059" t="s">
        <v>25896</v>
      </c>
      <c r="D5767" s="1061">
        <v>38.049999999999997</v>
      </c>
    </row>
    <row r="5768" spans="1:4" ht="18" customHeight="1" x14ac:dyDescent="0.25">
      <c r="A5768" s="1059">
        <v>5915408</v>
      </c>
      <c r="B5768" s="1060" t="s">
        <v>27431</v>
      </c>
      <c r="C5768" s="1059" t="s">
        <v>25896</v>
      </c>
      <c r="D5768" s="1061">
        <v>5.71</v>
      </c>
    </row>
    <row r="5769" spans="1:4" ht="18" customHeight="1" x14ac:dyDescent="0.25">
      <c r="A5769" s="1059">
        <v>5915306</v>
      </c>
      <c r="B5769" s="1060" t="s">
        <v>27432</v>
      </c>
      <c r="C5769" s="1059" t="s">
        <v>3</v>
      </c>
      <c r="D5769" s="1061">
        <v>34.92</v>
      </c>
    </row>
    <row r="5770" spans="1:4" ht="18" customHeight="1" x14ac:dyDescent="0.25">
      <c r="A5770" s="1059">
        <v>5914708</v>
      </c>
      <c r="B5770" s="1060" t="s">
        <v>27433</v>
      </c>
      <c r="C5770" s="1059" t="s">
        <v>25896</v>
      </c>
      <c r="D5770" s="1061">
        <v>42.23</v>
      </c>
    </row>
    <row r="5771" spans="1:4" ht="18" customHeight="1" x14ac:dyDescent="0.25">
      <c r="A5771" s="1059">
        <v>5914687</v>
      </c>
      <c r="B5771" s="1060" t="s">
        <v>27434</v>
      </c>
      <c r="C5771" s="1059" t="s">
        <v>25896</v>
      </c>
      <c r="D5771" s="1061">
        <v>41.6</v>
      </c>
    </row>
    <row r="5772" spans="1:4" ht="18" customHeight="1" x14ac:dyDescent="0.25">
      <c r="A5772" s="1059">
        <v>5914709</v>
      </c>
      <c r="B5772" s="1060" t="s">
        <v>27435</v>
      </c>
      <c r="C5772" s="1059" t="s">
        <v>25896</v>
      </c>
      <c r="D5772" s="1061">
        <v>45.69</v>
      </c>
    </row>
    <row r="5773" spans="1:4" ht="18" customHeight="1" x14ac:dyDescent="0.25">
      <c r="A5773" s="1059">
        <v>5914688</v>
      </c>
      <c r="B5773" s="1060" t="s">
        <v>27436</v>
      </c>
      <c r="C5773" s="1059" t="s">
        <v>25896</v>
      </c>
      <c r="D5773" s="1061">
        <v>44.1</v>
      </c>
    </row>
    <row r="5774" spans="1:4" ht="18" customHeight="1" x14ac:dyDescent="0.25">
      <c r="A5774" s="1059">
        <v>5914695</v>
      </c>
      <c r="B5774" s="1060" t="s">
        <v>27437</v>
      </c>
      <c r="C5774" s="1059" t="s">
        <v>25896</v>
      </c>
      <c r="D5774" s="1061">
        <v>33.14</v>
      </c>
    </row>
    <row r="5775" spans="1:4" ht="18" customHeight="1" x14ac:dyDescent="0.25">
      <c r="A5775" s="1059">
        <v>5914689</v>
      </c>
      <c r="B5775" s="1060" t="s">
        <v>27438</v>
      </c>
      <c r="C5775" s="1059" t="s">
        <v>25896</v>
      </c>
      <c r="D5775" s="1061">
        <v>32.65</v>
      </c>
    </row>
    <row r="5776" spans="1:4" ht="18" customHeight="1" x14ac:dyDescent="0.25">
      <c r="A5776" s="1059">
        <v>5914696</v>
      </c>
      <c r="B5776" s="1060" t="s">
        <v>27439</v>
      </c>
      <c r="C5776" s="1059" t="s">
        <v>25896</v>
      </c>
      <c r="D5776" s="1061">
        <v>35.85</v>
      </c>
    </row>
    <row r="5777" spans="1:4" ht="18" customHeight="1" x14ac:dyDescent="0.25">
      <c r="A5777" s="1059">
        <v>5914690</v>
      </c>
      <c r="B5777" s="1060" t="s">
        <v>27440</v>
      </c>
      <c r="C5777" s="1059" t="s">
        <v>25896</v>
      </c>
      <c r="D5777" s="1061">
        <v>34.61</v>
      </c>
    </row>
    <row r="5778" spans="1:4" ht="18" customHeight="1" x14ac:dyDescent="0.25">
      <c r="A5778" s="1059">
        <v>5914697</v>
      </c>
      <c r="B5778" s="1060" t="s">
        <v>27441</v>
      </c>
      <c r="C5778" s="1059" t="s">
        <v>25896</v>
      </c>
      <c r="D5778" s="1061">
        <v>27.97</v>
      </c>
    </row>
    <row r="5779" spans="1:4" ht="18" customHeight="1" x14ac:dyDescent="0.25">
      <c r="A5779" s="1059">
        <v>5914691</v>
      </c>
      <c r="B5779" s="1060" t="s">
        <v>27442</v>
      </c>
      <c r="C5779" s="1059" t="s">
        <v>25896</v>
      </c>
      <c r="D5779" s="1061">
        <v>27.56</v>
      </c>
    </row>
    <row r="5780" spans="1:4" ht="18" customHeight="1" x14ac:dyDescent="0.25">
      <c r="A5780" s="1059">
        <v>5914698</v>
      </c>
      <c r="B5780" s="1060" t="s">
        <v>27443</v>
      </c>
      <c r="C5780" s="1059" t="s">
        <v>25896</v>
      </c>
      <c r="D5780" s="1061">
        <v>30.26</v>
      </c>
    </row>
    <row r="5781" spans="1:4" ht="18" customHeight="1" x14ac:dyDescent="0.25">
      <c r="A5781" s="1059">
        <v>5914692</v>
      </c>
      <c r="B5781" s="1060" t="s">
        <v>27444</v>
      </c>
      <c r="C5781" s="1059" t="s">
        <v>25896</v>
      </c>
      <c r="D5781" s="1061">
        <v>29.21</v>
      </c>
    </row>
    <row r="5782" spans="1:4" ht="18" customHeight="1" x14ac:dyDescent="0.25">
      <c r="A5782" s="1059">
        <v>5914699</v>
      </c>
      <c r="B5782" s="1060" t="s">
        <v>27445</v>
      </c>
      <c r="C5782" s="1059" t="s">
        <v>25896</v>
      </c>
      <c r="D5782" s="1061">
        <v>31.32</v>
      </c>
    </row>
    <row r="5783" spans="1:4" ht="18" customHeight="1" x14ac:dyDescent="0.25">
      <c r="A5783" s="1059">
        <v>5914693</v>
      </c>
      <c r="B5783" s="1060" t="s">
        <v>27446</v>
      </c>
      <c r="C5783" s="1059" t="s">
        <v>25896</v>
      </c>
      <c r="D5783" s="1061">
        <v>30.85</v>
      </c>
    </row>
    <row r="5784" spans="1:4" ht="18" customHeight="1" x14ac:dyDescent="0.25">
      <c r="A5784" s="1059">
        <v>5914700</v>
      </c>
      <c r="B5784" s="1060" t="s">
        <v>27447</v>
      </c>
      <c r="C5784" s="1059" t="s">
        <v>25896</v>
      </c>
      <c r="D5784" s="1061">
        <v>33.880000000000003</v>
      </c>
    </row>
    <row r="5785" spans="1:4" ht="18" customHeight="1" x14ac:dyDescent="0.25">
      <c r="A5785" s="1059">
        <v>5914694</v>
      </c>
      <c r="B5785" s="1060" t="s">
        <v>27448</v>
      </c>
      <c r="C5785" s="1059" t="s">
        <v>25896</v>
      </c>
      <c r="D5785" s="1061">
        <v>32.71</v>
      </c>
    </row>
    <row r="5786" spans="1:4" ht="18" customHeight="1" x14ac:dyDescent="0.25">
      <c r="A5786" s="1059">
        <v>5915441</v>
      </c>
      <c r="B5786" s="1060" t="s">
        <v>27449</v>
      </c>
      <c r="C5786" s="1059" t="s">
        <v>25896</v>
      </c>
      <c r="D5786" s="1061">
        <v>100.58</v>
      </c>
    </row>
    <row r="5787" spans="1:4" ht="9" customHeight="1" x14ac:dyDescent="0.25">
      <c r="A5787" s="1059">
        <v>5901639</v>
      </c>
      <c r="B5787" s="1060" t="s">
        <v>27450</v>
      </c>
      <c r="C5787" s="1059" t="s">
        <v>21626</v>
      </c>
      <c r="D5787" s="1061">
        <v>0.87</v>
      </c>
    </row>
    <row r="5788" spans="1:4" ht="9" customHeight="1" x14ac:dyDescent="0.25">
      <c r="A5788" s="1059">
        <v>5901638</v>
      </c>
      <c r="B5788" s="1060" t="s">
        <v>27451</v>
      </c>
      <c r="C5788" s="1059" t="s">
        <v>21626</v>
      </c>
      <c r="D5788" s="1061">
        <v>0.7</v>
      </c>
    </row>
    <row r="5789" spans="1:4" ht="9" customHeight="1" x14ac:dyDescent="0.25">
      <c r="A5789" s="1059">
        <v>5901640</v>
      </c>
      <c r="B5789" s="1060" t="s">
        <v>27452</v>
      </c>
      <c r="C5789" s="1059" t="s">
        <v>21626</v>
      </c>
      <c r="D5789" s="1061">
        <v>0.56000000000000005</v>
      </c>
    </row>
    <row r="5790" spans="1:4" ht="9" customHeight="1" x14ac:dyDescent="0.25">
      <c r="A5790" s="1059">
        <v>5914359</v>
      </c>
      <c r="B5790" s="1060" t="s">
        <v>27453</v>
      </c>
      <c r="C5790" s="1059" t="s">
        <v>21626</v>
      </c>
      <c r="D5790" s="1061">
        <v>1.19</v>
      </c>
    </row>
    <row r="5791" spans="1:4" ht="9" customHeight="1" x14ac:dyDescent="0.25">
      <c r="A5791" s="1059">
        <v>5914374</v>
      </c>
      <c r="B5791" s="1060" t="s">
        <v>27454</v>
      </c>
      <c r="C5791" s="1059" t="s">
        <v>21626</v>
      </c>
      <c r="D5791" s="1061">
        <v>0.96</v>
      </c>
    </row>
    <row r="5792" spans="1:4" ht="9" customHeight="1" x14ac:dyDescent="0.25">
      <c r="A5792" s="1059">
        <v>5914389</v>
      </c>
      <c r="B5792" s="1060" t="s">
        <v>27455</v>
      </c>
      <c r="C5792" s="1059" t="s">
        <v>21626</v>
      </c>
      <c r="D5792" s="1061">
        <v>0.78</v>
      </c>
    </row>
    <row r="5793" spans="1:5" ht="9" customHeight="1" x14ac:dyDescent="0.25">
      <c r="A5793" s="1059">
        <v>5915319</v>
      </c>
      <c r="B5793" s="1060" t="s">
        <v>27456</v>
      </c>
      <c r="C5793" s="1059" t="s">
        <v>21626</v>
      </c>
      <c r="D5793" s="1061">
        <v>0.87</v>
      </c>
    </row>
    <row r="5794" spans="1:5" ht="9" customHeight="1" x14ac:dyDescent="0.25">
      <c r="A5794" s="1059">
        <v>5915320</v>
      </c>
      <c r="B5794" s="1060" t="s">
        <v>27457</v>
      </c>
      <c r="C5794" s="1059" t="s">
        <v>21626</v>
      </c>
      <c r="D5794" s="1061">
        <v>0.69</v>
      </c>
    </row>
    <row r="5795" spans="1:5" ht="9" customHeight="1" x14ac:dyDescent="0.25">
      <c r="A5795" s="1125">
        <v>5915321</v>
      </c>
      <c r="B5795" s="1126" t="s">
        <v>21625</v>
      </c>
      <c r="C5795" s="1125" t="s">
        <v>21626</v>
      </c>
      <c r="D5795" s="1127">
        <v>0.56000000000000005</v>
      </c>
      <c r="E5795" s="1128">
        <f>MC_TERR!C43*1.5*(MC_TERR!E38-3)*D5795</f>
        <v>176753.80206225003</v>
      </c>
    </row>
    <row r="5796" spans="1:5" ht="9" customHeight="1" x14ac:dyDescent="0.25">
      <c r="A5796" s="1059">
        <v>5914314</v>
      </c>
      <c r="B5796" s="1060" t="s">
        <v>27458</v>
      </c>
      <c r="C5796" s="1059" t="s">
        <v>21626</v>
      </c>
      <c r="D5796" s="1061">
        <v>1.29</v>
      </c>
    </row>
    <row r="5797" spans="1:5" ht="9" customHeight="1" x14ac:dyDescent="0.25">
      <c r="A5797" s="1059">
        <v>5914329</v>
      </c>
      <c r="B5797" s="1060" t="s">
        <v>27459</v>
      </c>
      <c r="C5797" s="1059" t="s">
        <v>21626</v>
      </c>
      <c r="D5797" s="1061">
        <v>1.03</v>
      </c>
    </row>
    <row r="5798" spans="1:5" ht="9" customHeight="1" x14ac:dyDescent="0.25">
      <c r="A5798" s="1059">
        <v>5914344</v>
      </c>
      <c r="B5798" s="1060" t="s">
        <v>27460</v>
      </c>
      <c r="C5798" s="1059" t="s">
        <v>21626</v>
      </c>
      <c r="D5798" s="1061">
        <v>0.84</v>
      </c>
    </row>
    <row r="5799" spans="1:5" ht="9" customHeight="1" x14ac:dyDescent="0.25">
      <c r="A5799" s="1059">
        <v>5914539</v>
      </c>
      <c r="B5799" s="1060" t="s">
        <v>27461</v>
      </c>
      <c r="C5799" s="1059" t="s">
        <v>21626</v>
      </c>
      <c r="D5799" s="1061">
        <v>1</v>
      </c>
    </row>
    <row r="5800" spans="1:5" ht="9" customHeight="1" x14ac:dyDescent="0.25">
      <c r="A5800" s="1059">
        <v>5914554</v>
      </c>
      <c r="B5800" s="1060" t="s">
        <v>27462</v>
      </c>
      <c r="C5800" s="1059" t="s">
        <v>21626</v>
      </c>
      <c r="D5800" s="1061">
        <v>0.8</v>
      </c>
    </row>
    <row r="5801" spans="1:5" ht="9" customHeight="1" x14ac:dyDescent="0.25">
      <c r="A5801" s="1059">
        <v>5914569</v>
      </c>
      <c r="B5801" s="1060" t="s">
        <v>27463</v>
      </c>
      <c r="C5801" s="1059" t="s">
        <v>21626</v>
      </c>
      <c r="D5801" s="1061">
        <v>0.65</v>
      </c>
    </row>
    <row r="5802" spans="1:5" ht="9" customHeight="1" x14ac:dyDescent="0.25">
      <c r="A5802" s="1059">
        <v>5915012</v>
      </c>
      <c r="B5802" s="1060" t="s">
        <v>27464</v>
      </c>
      <c r="C5802" s="1059" t="s">
        <v>21626</v>
      </c>
      <c r="D5802" s="1061">
        <v>2.2400000000000002</v>
      </c>
    </row>
    <row r="5803" spans="1:5" ht="9" customHeight="1" x14ac:dyDescent="0.25">
      <c r="A5803" s="1059">
        <v>5915013</v>
      </c>
      <c r="B5803" s="1060" t="s">
        <v>27465</v>
      </c>
      <c r="C5803" s="1059" t="s">
        <v>21626</v>
      </c>
      <c r="D5803" s="1061">
        <v>1.79</v>
      </c>
    </row>
    <row r="5804" spans="1:5" ht="9" customHeight="1" x14ac:dyDescent="0.25">
      <c r="A5804" s="1059">
        <v>5915014</v>
      </c>
      <c r="B5804" s="1060" t="s">
        <v>27466</v>
      </c>
      <c r="C5804" s="1059" t="s">
        <v>21626</v>
      </c>
      <c r="D5804" s="1061">
        <v>1.45</v>
      </c>
    </row>
    <row r="5805" spans="1:5" ht="9" customHeight="1" x14ac:dyDescent="0.25">
      <c r="A5805" s="1059">
        <v>5914584</v>
      </c>
      <c r="B5805" s="1060" t="s">
        <v>27467</v>
      </c>
      <c r="C5805" s="1059" t="s">
        <v>21626</v>
      </c>
      <c r="D5805" s="1061">
        <v>2.75</v>
      </c>
    </row>
    <row r="5806" spans="1:5" ht="9" customHeight="1" x14ac:dyDescent="0.25">
      <c r="A5806" s="1059">
        <v>5914599</v>
      </c>
      <c r="B5806" s="1060" t="s">
        <v>27468</v>
      </c>
      <c r="C5806" s="1059" t="s">
        <v>21626</v>
      </c>
      <c r="D5806" s="1061">
        <v>2.2000000000000002</v>
      </c>
    </row>
    <row r="5807" spans="1:5" ht="9" customHeight="1" x14ac:dyDescent="0.25">
      <c r="A5807" s="1059">
        <v>5914614</v>
      </c>
      <c r="B5807" s="1060" t="s">
        <v>27469</v>
      </c>
      <c r="C5807" s="1059" t="s">
        <v>21626</v>
      </c>
      <c r="D5807" s="1061">
        <v>1.78</v>
      </c>
    </row>
    <row r="5808" spans="1:5" ht="9" customHeight="1" x14ac:dyDescent="0.25">
      <c r="A5808" s="1059">
        <v>5914581</v>
      </c>
      <c r="B5808" s="1060" t="s">
        <v>27470</v>
      </c>
      <c r="C5808" s="1059" t="s">
        <v>21626</v>
      </c>
      <c r="D5808" s="1061">
        <v>2.4700000000000002</v>
      </c>
    </row>
    <row r="5809" spans="1:4" ht="9" customHeight="1" x14ac:dyDescent="0.25">
      <c r="A5809" s="1059">
        <v>5914582</v>
      </c>
      <c r="B5809" s="1060" t="s">
        <v>27471</v>
      </c>
      <c r="C5809" s="1059" t="s">
        <v>21626</v>
      </c>
      <c r="D5809" s="1061">
        <v>1.98</v>
      </c>
    </row>
    <row r="5810" spans="1:4" ht="9" customHeight="1" x14ac:dyDescent="0.25">
      <c r="A5810" s="1059">
        <v>5914583</v>
      </c>
      <c r="B5810" s="1060" t="s">
        <v>27472</v>
      </c>
      <c r="C5810" s="1059" t="s">
        <v>21626</v>
      </c>
      <c r="D5810" s="1061">
        <v>1.61</v>
      </c>
    </row>
    <row r="5811" spans="1:4" ht="9" customHeight="1" x14ac:dyDescent="0.25">
      <c r="A5811" s="1059">
        <v>5914449</v>
      </c>
      <c r="B5811" s="1060" t="s">
        <v>27473</v>
      </c>
      <c r="C5811" s="1059" t="s">
        <v>21626</v>
      </c>
      <c r="D5811" s="1061">
        <v>1.1299999999999999</v>
      </c>
    </row>
    <row r="5812" spans="1:4" ht="9" customHeight="1" x14ac:dyDescent="0.25">
      <c r="A5812" s="1059">
        <v>5914464</v>
      </c>
      <c r="B5812" s="1060" t="s">
        <v>27474</v>
      </c>
      <c r="C5812" s="1059" t="s">
        <v>21626</v>
      </c>
      <c r="D5812" s="1061">
        <v>0.91</v>
      </c>
    </row>
    <row r="5813" spans="1:4" ht="9" customHeight="1" x14ac:dyDescent="0.25">
      <c r="A5813" s="1059">
        <v>5914479</v>
      </c>
      <c r="B5813" s="1060" t="s">
        <v>27475</v>
      </c>
      <c r="C5813" s="1059" t="s">
        <v>21626</v>
      </c>
      <c r="D5813" s="1061">
        <v>0.73</v>
      </c>
    </row>
    <row r="5814" spans="1:4" ht="9" customHeight="1" x14ac:dyDescent="0.25">
      <c r="A5814" s="1059">
        <v>5915322</v>
      </c>
      <c r="B5814" s="1060" t="s">
        <v>27476</v>
      </c>
      <c r="C5814" s="1059" t="s">
        <v>21626</v>
      </c>
      <c r="D5814" s="1061">
        <v>1.82</v>
      </c>
    </row>
    <row r="5815" spans="1:4" ht="9" customHeight="1" x14ac:dyDescent="0.25">
      <c r="A5815" s="1059">
        <v>5915323</v>
      </c>
      <c r="B5815" s="1060" t="s">
        <v>27477</v>
      </c>
      <c r="C5815" s="1059" t="s">
        <v>21626</v>
      </c>
      <c r="D5815" s="1061">
        <v>1.46</v>
      </c>
    </row>
    <row r="5816" spans="1:4" ht="9" customHeight="1" x14ac:dyDescent="0.25">
      <c r="A5816" s="1059">
        <v>5915324</v>
      </c>
      <c r="B5816" s="1060" t="s">
        <v>27478</v>
      </c>
      <c r="C5816" s="1059" t="s">
        <v>21626</v>
      </c>
      <c r="D5816" s="1061">
        <v>1.18</v>
      </c>
    </row>
    <row r="5817" spans="1:4" ht="9" customHeight="1" x14ac:dyDescent="0.25">
      <c r="A5817" s="1059">
        <v>5914404</v>
      </c>
      <c r="B5817" s="1060" t="s">
        <v>27479</v>
      </c>
      <c r="C5817" s="1059" t="s">
        <v>21626</v>
      </c>
      <c r="D5817" s="1061">
        <v>1.17</v>
      </c>
    </row>
    <row r="5818" spans="1:4" ht="9" customHeight="1" x14ac:dyDescent="0.25">
      <c r="A5818" s="1059">
        <v>5914419</v>
      </c>
      <c r="B5818" s="1060" t="s">
        <v>27480</v>
      </c>
      <c r="C5818" s="1059" t="s">
        <v>21626</v>
      </c>
      <c r="D5818" s="1061">
        <v>0.94</v>
      </c>
    </row>
    <row r="5819" spans="1:4" ht="9" customHeight="1" x14ac:dyDescent="0.25">
      <c r="A5819" s="1059">
        <v>5914434</v>
      </c>
      <c r="B5819" s="1060" t="s">
        <v>27481</v>
      </c>
      <c r="C5819" s="1059" t="s">
        <v>21626</v>
      </c>
      <c r="D5819" s="1061">
        <v>0.76</v>
      </c>
    </row>
    <row r="5820" spans="1:4" ht="9" customHeight="1" x14ac:dyDescent="0.25">
      <c r="A5820" s="1059">
        <v>5914635</v>
      </c>
      <c r="B5820" s="1060" t="s">
        <v>27482</v>
      </c>
      <c r="C5820" s="1059" t="s">
        <v>21626</v>
      </c>
      <c r="D5820" s="1061">
        <v>1.1100000000000001</v>
      </c>
    </row>
    <row r="5821" spans="1:4" ht="9" customHeight="1" x14ac:dyDescent="0.25">
      <c r="A5821" s="1059">
        <v>5914636</v>
      </c>
      <c r="B5821" s="1060" t="s">
        <v>27483</v>
      </c>
      <c r="C5821" s="1059" t="s">
        <v>21626</v>
      </c>
      <c r="D5821" s="1061">
        <v>0.88</v>
      </c>
    </row>
    <row r="5822" spans="1:4" ht="9" customHeight="1" x14ac:dyDescent="0.25">
      <c r="A5822" s="1059">
        <v>5914637</v>
      </c>
      <c r="B5822" s="1060" t="s">
        <v>27484</v>
      </c>
      <c r="C5822" s="1059" t="s">
        <v>21626</v>
      </c>
      <c r="D5822" s="1061">
        <v>0.72</v>
      </c>
    </row>
    <row r="5823" spans="1:4" ht="9" customHeight="1" x14ac:dyDescent="0.25">
      <c r="A5823" s="1059">
        <v>5914638</v>
      </c>
      <c r="B5823" s="1060" t="s">
        <v>27485</v>
      </c>
      <c r="C5823" s="1059" t="s">
        <v>21626</v>
      </c>
      <c r="D5823" s="1061">
        <v>0.89</v>
      </c>
    </row>
    <row r="5824" spans="1:4" ht="9" customHeight="1" x14ac:dyDescent="0.25">
      <c r="A5824" s="1059">
        <v>5914639</v>
      </c>
      <c r="B5824" s="1060" t="s">
        <v>27486</v>
      </c>
      <c r="C5824" s="1059" t="s">
        <v>21626</v>
      </c>
      <c r="D5824" s="1061">
        <v>0.71</v>
      </c>
    </row>
    <row r="5825" spans="1:4" ht="9" customHeight="1" x14ac:dyDescent="0.25">
      <c r="A5825" s="1059">
        <v>5914640</v>
      </c>
      <c r="B5825" s="1060" t="s">
        <v>27487</v>
      </c>
      <c r="C5825" s="1059" t="s">
        <v>21626</v>
      </c>
      <c r="D5825" s="1061">
        <v>0.57999999999999996</v>
      </c>
    </row>
    <row r="5826" spans="1:4" ht="9" customHeight="1" x14ac:dyDescent="0.25">
      <c r="A5826" s="1059">
        <v>5915466</v>
      </c>
      <c r="B5826" s="1060" t="s">
        <v>27488</v>
      </c>
      <c r="C5826" s="1059" t="s">
        <v>21626</v>
      </c>
      <c r="D5826" s="1061">
        <v>2.09</v>
      </c>
    </row>
    <row r="5827" spans="1:4" ht="9" customHeight="1" x14ac:dyDescent="0.25">
      <c r="A5827" s="1059">
        <v>5915467</v>
      </c>
      <c r="B5827" s="1060" t="s">
        <v>27489</v>
      </c>
      <c r="C5827" s="1059" t="s">
        <v>21626</v>
      </c>
      <c r="D5827" s="1061">
        <v>1.68</v>
      </c>
    </row>
    <row r="5828" spans="1:4" ht="9" customHeight="1" x14ac:dyDescent="0.25">
      <c r="A5828" s="1059">
        <v>5915468</v>
      </c>
      <c r="B5828" s="1060" t="s">
        <v>27490</v>
      </c>
      <c r="C5828" s="1059" t="s">
        <v>21626</v>
      </c>
      <c r="D5828" s="1061">
        <v>1.36</v>
      </c>
    </row>
    <row r="5829" spans="1:4" ht="9" customHeight="1" x14ac:dyDescent="0.25">
      <c r="A5829" s="1059">
        <v>5914617</v>
      </c>
      <c r="B5829" s="1060" t="s">
        <v>27491</v>
      </c>
      <c r="C5829" s="1059" t="s">
        <v>21626</v>
      </c>
      <c r="D5829" s="1061">
        <v>1.62</v>
      </c>
    </row>
    <row r="5830" spans="1:4" ht="9" customHeight="1" x14ac:dyDescent="0.25">
      <c r="A5830" s="1059">
        <v>5914618</v>
      </c>
      <c r="B5830" s="1060" t="s">
        <v>27492</v>
      </c>
      <c r="C5830" s="1059" t="s">
        <v>21626</v>
      </c>
      <c r="D5830" s="1061">
        <v>1.3</v>
      </c>
    </row>
    <row r="5831" spans="1:4" ht="9" customHeight="1" x14ac:dyDescent="0.25">
      <c r="A5831" s="1059">
        <v>5914619</v>
      </c>
      <c r="B5831" s="1060" t="s">
        <v>27493</v>
      </c>
      <c r="C5831" s="1059" t="s">
        <v>21626</v>
      </c>
      <c r="D5831" s="1061">
        <v>1.05</v>
      </c>
    </row>
    <row r="5832" spans="1:4" ht="9" customHeight="1" x14ac:dyDescent="0.25">
      <c r="A5832" s="1059">
        <v>5915451</v>
      </c>
      <c r="B5832" s="1060" t="s">
        <v>27494</v>
      </c>
      <c r="C5832" s="1059" t="s">
        <v>21626</v>
      </c>
      <c r="D5832" s="1061">
        <v>2.68</v>
      </c>
    </row>
    <row r="5833" spans="1:4" ht="9" customHeight="1" x14ac:dyDescent="0.25">
      <c r="A5833" s="1059">
        <v>5915452</v>
      </c>
      <c r="B5833" s="1060" t="s">
        <v>27495</v>
      </c>
      <c r="C5833" s="1059" t="s">
        <v>21626</v>
      </c>
      <c r="D5833" s="1061">
        <v>2.14</v>
      </c>
    </row>
    <row r="5834" spans="1:4" ht="9" customHeight="1" x14ac:dyDescent="0.25">
      <c r="A5834" s="1059">
        <v>5915453</v>
      </c>
      <c r="B5834" s="1060" t="s">
        <v>27496</v>
      </c>
      <c r="C5834" s="1059" t="s">
        <v>21626</v>
      </c>
      <c r="D5834" s="1061">
        <v>1.74</v>
      </c>
    </row>
    <row r="5835" spans="1:4" ht="9" customHeight="1" x14ac:dyDescent="0.25">
      <c r="A5835" s="1059">
        <v>5915448</v>
      </c>
      <c r="B5835" s="1060" t="s">
        <v>27497</v>
      </c>
      <c r="C5835" s="1059" t="s">
        <v>21626</v>
      </c>
      <c r="D5835" s="1061">
        <v>2.0499999999999998</v>
      </c>
    </row>
    <row r="5836" spans="1:4" ht="9" customHeight="1" x14ac:dyDescent="0.25">
      <c r="A5836" s="1059">
        <v>5915449</v>
      </c>
      <c r="B5836" s="1060" t="s">
        <v>27498</v>
      </c>
      <c r="C5836" s="1059" t="s">
        <v>21626</v>
      </c>
      <c r="D5836" s="1061">
        <v>1.64</v>
      </c>
    </row>
    <row r="5837" spans="1:4" ht="9" customHeight="1" x14ac:dyDescent="0.25">
      <c r="A5837" s="1059">
        <v>5915450</v>
      </c>
      <c r="B5837" s="1060" t="s">
        <v>27499</v>
      </c>
      <c r="C5837" s="1059" t="s">
        <v>21626</v>
      </c>
      <c r="D5837" s="1061">
        <v>1.33</v>
      </c>
    </row>
    <row r="5838" spans="1:4" ht="9" customHeight="1" x14ac:dyDescent="0.25">
      <c r="A5838" s="1059">
        <v>5901641</v>
      </c>
      <c r="B5838" s="1060" t="s">
        <v>27500</v>
      </c>
      <c r="C5838" s="1059" t="s">
        <v>27501</v>
      </c>
      <c r="D5838" s="1061">
        <v>0.88</v>
      </c>
    </row>
    <row r="5839" spans="1:4" ht="9" customHeight="1" x14ac:dyDescent="0.25">
      <c r="A5839" s="1059">
        <v>5901642</v>
      </c>
      <c r="B5839" s="1060" t="s">
        <v>27502</v>
      </c>
      <c r="C5839" s="1059" t="s">
        <v>27501</v>
      </c>
      <c r="D5839" s="1061">
        <v>0.27</v>
      </c>
    </row>
    <row r="5840" spans="1:4" ht="9" customHeight="1" x14ac:dyDescent="0.25">
      <c r="A5840" s="1059">
        <v>5901643</v>
      </c>
      <c r="B5840" s="1060" t="s">
        <v>27503</v>
      </c>
      <c r="C5840" s="1059" t="s">
        <v>27501</v>
      </c>
      <c r="D5840" s="1061">
        <v>0.25</v>
      </c>
    </row>
    <row r="5841" spans="1:4" ht="9" customHeight="1" x14ac:dyDescent="0.25">
      <c r="A5841" s="1059">
        <v>5901644</v>
      </c>
      <c r="B5841" s="1060" t="s">
        <v>27504</v>
      </c>
      <c r="C5841" s="1059" t="s">
        <v>27501</v>
      </c>
      <c r="D5841" s="1061">
        <v>0.56000000000000005</v>
      </c>
    </row>
    <row r="5842" spans="1:4" ht="9" customHeight="1" x14ac:dyDescent="0.25">
      <c r="A5842" s="1059">
        <v>5901645</v>
      </c>
      <c r="B5842" s="1060" t="s">
        <v>27505</v>
      </c>
      <c r="C5842" s="1059" t="s">
        <v>27501</v>
      </c>
      <c r="D5842" s="1061">
        <v>0.25</v>
      </c>
    </row>
    <row r="5843" spans="1:4" ht="9" customHeight="1" x14ac:dyDescent="0.25">
      <c r="A5843" s="1059">
        <v>5901646</v>
      </c>
      <c r="B5843" s="1060" t="s">
        <v>27506</v>
      </c>
      <c r="C5843" s="1059" t="s">
        <v>27501</v>
      </c>
      <c r="D5843" s="1061">
        <v>0.46</v>
      </c>
    </row>
    <row r="5844" spans="1:4" ht="9" customHeight="1" x14ac:dyDescent="0.25">
      <c r="A5844" s="1059">
        <v>5901647</v>
      </c>
      <c r="B5844" s="1060" t="s">
        <v>27507</v>
      </c>
      <c r="C5844" s="1059" t="s">
        <v>27501</v>
      </c>
      <c r="D5844" s="1061">
        <v>0.4</v>
      </c>
    </row>
    <row r="5845" spans="1:4" ht="9" customHeight="1" x14ac:dyDescent="0.25">
      <c r="A5845" s="1059">
        <v>5901648</v>
      </c>
      <c r="B5845" s="1060" t="s">
        <v>27508</v>
      </c>
      <c r="C5845" s="1059" t="s">
        <v>27501</v>
      </c>
      <c r="D5845" s="1061">
        <v>0.36</v>
      </c>
    </row>
    <row r="5846" spans="1:4" ht="9" customHeight="1" x14ac:dyDescent="0.25">
      <c r="A5846" s="1059">
        <v>5901649</v>
      </c>
      <c r="B5846" s="1060" t="s">
        <v>27509</v>
      </c>
      <c r="C5846" s="1059" t="s">
        <v>27501</v>
      </c>
      <c r="D5846" s="1061">
        <v>1.26</v>
      </c>
    </row>
    <row r="5847" spans="1:4" ht="9" customHeight="1" x14ac:dyDescent="0.25">
      <c r="A5847" s="1059">
        <v>5901650</v>
      </c>
      <c r="B5847" s="1060" t="s">
        <v>27510</v>
      </c>
      <c r="C5847" s="1059" t="s">
        <v>27501</v>
      </c>
      <c r="D5847" s="1061">
        <v>0.86</v>
      </c>
    </row>
    <row r="5848" spans="1:4" ht="9" customHeight="1" x14ac:dyDescent="0.25">
      <c r="A5848" s="1059">
        <v>5901651</v>
      </c>
      <c r="B5848" s="1060" t="s">
        <v>27511</v>
      </c>
      <c r="C5848" s="1059" t="s">
        <v>27501</v>
      </c>
      <c r="D5848" s="1061">
        <v>0.26</v>
      </c>
    </row>
    <row r="5849" spans="1:4" ht="9" customHeight="1" x14ac:dyDescent="0.25">
      <c r="A5849" s="1059">
        <v>5901652</v>
      </c>
      <c r="B5849" s="1060" t="s">
        <v>27512</v>
      </c>
      <c r="C5849" s="1059" t="s">
        <v>27501</v>
      </c>
      <c r="D5849" s="1061">
        <v>0.25</v>
      </c>
    </row>
    <row r="5850" spans="1:4" ht="9" customHeight="1" x14ac:dyDescent="0.25">
      <c r="A5850" s="1059">
        <v>5901653</v>
      </c>
      <c r="B5850" s="1060" t="s">
        <v>27513</v>
      </c>
      <c r="C5850" s="1059" t="s">
        <v>27501</v>
      </c>
      <c r="D5850" s="1061">
        <v>0.54</v>
      </c>
    </row>
    <row r="5851" spans="1:4" ht="9" customHeight="1" x14ac:dyDescent="0.25">
      <c r="A5851" s="1059">
        <v>5901654</v>
      </c>
      <c r="B5851" s="1060" t="s">
        <v>27514</v>
      </c>
      <c r="C5851" s="1059" t="s">
        <v>27501</v>
      </c>
      <c r="D5851" s="1061">
        <v>0.24</v>
      </c>
    </row>
    <row r="5852" spans="1:4" ht="9" customHeight="1" x14ac:dyDescent="0.25">
      <c r="A5852" s="1059">
        <v>5901655</v>
      </c>
      <c r="B5852" s="1060" t="s">
        <v>27515</v>
      </c>
      <c r="C5852" s="1059" t="s">
        <v>27501</v>
      </c>
      <c r="D5852" s="1061">
        <v>0.44</v>
      </c>
    </row>
    <row r="5853" spans="1:4" ht="9" customHeight="1" x14ac:dyDescent="0.25">
      <c r="A5853" s="1059">
        <v>5901656</v>
      </c>
      <c r="B5853" s="1060" t="s">
        <v>27516</v>
      </c>
      <c r="C5853" s="1059" t="s">
        <v>27501</v>
      </c>
      <c r="D5853" s="1061">
        <v>0.39</v>
      </c>
    </row>
    <row r="5854" spans="1:4" ht="9" customHeight="1" x14ac:dyDescent="0.25">
      <c r="A5854" s="1059">
        <v>5901657</v>
      </c>
      <c r="B5854" s="1060" t="s">
        <v>27517</v>
      </c>
      <c r="C5854" s="1059" t="s">
        <v>27501</v>
      </c>
      <c r="D5854" s="1061">
        <v>0.35</v>
      </c>
    </row>
    <row r="5855" spans="1:4" ht="9" customHeight="1" x14ac:dyDescent="0.25">
      <c r="A5855" s="1059">
        <v>5901658</v>
      </c>
      <c r="B5855" s="1060" t="s">
        <v>27518</v>
      </c>
      <c r="C5855" s="1059" t="s">
        <v>27501</v>
      </c>
      <c r="D5855" s="1061">
        <v>1.23</v>
      </c>
    </row>
    <row r="5856" spans="1:4" ht="9" customHeight="1" x14ac:dyDescent="0.25">
      <c r="A5856" s="1059">
        <v>5901659</v>
      </c>
      <c r="B5856" s="1060" t="s">
        <v>27519</v>
      </c>
      <c r="C5856" s="1059" t="s">
        <v>27501</v>
      </c>
      <c r="D5856" s="1061">
        <v>0.87</v>
      </c>
    </row>
    <row r="5857" spans="1:4" ht="9" customHeight="1" x14ac:dyDescent="0.25">
      <c r="A5857" s="1059">
        <v>5901660</v>
      </c>
      <c r="B5857" s="1060" t="s">
        <v>27520</v>
      </c>
      <c r="C5857" s="1059" t="s">
        <v>27501</v>
      </c>
      <c r="D5857" s="1061">
        <v>0.26</v>
      </c>
    </row>
    <row r="5858" spans="1:4" ht="9" customHeight="1" x14ac:dyDescent="0.25">
      <c r="A5858" s="1059">
        <v>5901661</v>
      </c>
      <c r="B5858" s="1060" t="s">
        <v>27521</v>
      </c>
      <c r="C5858" s="1059" t="s">
        <v>27501</v>
      </c>
      <c r="D5858" s="1061">
        <v>0.25</v>
      </c>
    </row>
    <row r="5859" spans="1:4" ht="9" customHeight="1" x14ac:dyDescent="0.25">
      <c r="A5859" s="1059">
        <v>5901662</v>
      </c>
      <c r="B5859" s="1060" t="s">
        <v>27522</v>
      </c>
      <c r="C5859" s="1059" t="s">
        <v>27501</v>
      </c>
      <c r="D5859" s="1061">
        <v>0.55000000000000004</v>
      </c>
    </row>
    <row r="5860" spans="1:4" ht="9" customHeight="1" x14ac:dyDescent="0.25">
      <c r="A5860" s="1059">
        <v>5901663</v>
      </c>
      <c r="B5860" s="1060" t="s">
        <v>27523</v>
      </c>
      <c r="C5860" s="1059" t="s">
        <v>27501</v>
      </c>
      <c r="D5860" s="1061">
        <v>0.24</v>
      </c>
    </row>
    <row r="5861" spans="1:4" ht="9" customHeight="1" x14ac:dyDescent="0.25">
      <c r="A5861" s="1059">
        <v>5901664</v>
      </c>
      <c r="B5861" s="1060" t="s">
        <v>27524</v>
      </c>
      <c r="C5861" s="1059" t="s">
        <v>27501</v>
      </c>
      <c r="D5861" s="1061">
        <v>0.45</v>
      </c>
    </row>
    <row r="5862" spans="1:4" ht="9" customHeight="1" x14ac:dyDescent="0.25">
      <c r="A5862" s="1059">
        <v>5901665</v>
      </c>
      <c r="B5862" s="1060" t="s">
        <v>27525</v>
      </c>
      <c r="C5862" s="1059" t="s">
        <v>27501</v>
      </c>
      <c r="D5862" s="1061">
        <v>0.4</v>
      </c>
    </row>
    <row r="5863" spans="1:4" ht="9" customHeight="1" x14ac:dyDescent="0.25">
      <c r="A5863" s="1059">
        <v>5901666</v>
      </c>
      <c r="B5863" s="1060" t="s">
        <v>27526</v>
      </c>
      <c r="C5863" s="1059" t="s">
        <v>27501</v>
      </c>
      <c r="D5863" s="1061">
        <v>0.35</v>
      </c>
    </row>
    <row r="5864" spans="1:4" ht="9" customHeight="1" x14ac:dyDescent="0.25">
      <c r="A5864" s="1059">
        <v>5901667</v>
      </c>
      <c r="B5864" s="1060" t="s">
        <v>27527</v>
      </c>
      <c r="C5864" s="1059" t="s">
        <v>27501</v>
      </c>
      <c r="D5864" s="1061">
        <v>1.24</v>
      </c>
    </row>
    <row r="5865" spans="1:4" ht="18" customHeight="1" x14ac:dyDescent="0.25">
      <c r="A5865" s="1059">
        <v>5914511</v>
      </c>
      <c r="B5865" s="1060" t="s">
        <v>27528</v>
      </c>
      <c r="C5865" s="1059" t="s">
        <v>21626</v>
      </c>
      <c r="D5865" s="1061">
        <v>0.28000000000000003</v>
      </c>
    </row>
    <row r="5866" spans="1:4" ht="18" customHeight="1" x14ac:dyDescent="0.25">
      <c r="A5866" s="1059">
        <v>5914510</v>
      </c>
      <c r="B5866" s="1060" t="s">
        <v>27529</v>
      </c>
      <c r="C5866" s="1059" t="s">
        <v>21626</v>
      </c>
      <c r="D5866" s="1061">
        <v>0.24</v>
      </c>
    </row>
    <row r="5867" spans="1:4" ht="18" customHeight="1" x14ac:dyDescent="0.25">
      <c r="A5867" s="1059">
        <v>5906597</v>
      </c>
      <c r="B5867" s="1060" t="s">
        <v>27530</v>
      </c>
      <c r="C5867" s="1059" t="s">
        <v>27531</v>
      </c>
      <c r="D5867" s="1061">
        <v>13.04</v>
      </c>
    </row>
    <row r="5868" spans="1:4" ht="18" customHeight="1" x14ac:dyDescent="0.25">
      <c r="A5868" s="1059">
        <v>5906598</v>
      </c>
      <c r="B5868" s="1060" t="s">
        <v>27532</v>
      </c>
      <c r="C5868" s="1059" t="s">
        <v>27531</v>
      </c>
      <c r="D5868" s="1061">
        <v>10.43</v>
      </c>
    </row>
    <row r="5869" spans="1:4" ht="18" customHeight="1" x14ac:dyDescent="0.25">
      <c r="A5869" s="1059">
        <v>5906599</v>
      </c>
      <c r="B5869" s="1060" t="s">
        <v>27533</v>
      </c>
      <c r="C5869" s="1059" t="s">
        <v>27531</v>
      </c>
      <c r="D5869" s="1061">
        <v>8.4600000000000009</v>
      </c>
    </row>
    <row r="5870" spans="1:4" ht="18" customHeight="1" x14ac:dyDescent="0.25">
      <c r="A5870" s="1059">
        <v>5906594</v>
      </c>
      <c r="B5870" s="1060" t="s">
        <v>27534</v>
      </c>
      <c r="C5870" s="1059" t="s">
        <v>27531</v>
      </c>
      <c r="D5870" s="1061">
        <v>8.69</v>
      </c>
    </row>
    <row r="5871" spans="1:4" ht="18" customHeight="1" x14ac:dyDescent="0.25">
      <c r="A5871" s="1059">
        <v>5906595</v>
      </c>
      <c r="B5871" s="1060" t="s">
        <v>27535</v>
      </c>
      <c r="C5871" s="1059" t="s">
        <v>27531</v>
      </c>
      <c r="D5871" s="1061">
        <v>6.96</v>
      </c>
    </row>
    <row r="5872" spans="1:4" ht="18" customHeight="1" x14ac:dyDescent="0.25">
      <c r="A5872" s="1059">
        <v>5906596</v>
      </c>
      <c r="B5872" s="1060" t="s">
        <v>27536</v>
      </c>
      <c r="C5872" s="1059" t="s">
        <v>27531</v>
      </c>
      <c r="D5872" s="1061">
        <v>5.64</v>
      </c>
    </row>
    <row r="5873" spans="1:4" ht="9" customHeight="1" x14ac:dyDescent="0.25">
      <c r="A5873" s="1059">
        <v>5901668</v>
      </c>
      <c r="B5873" s="1060" t="s">
        <v>27537</v>
      </c>
      <c r="C5873" s="1059" t="s">
        <v>27501</v>
      </c>
      <c r="D5873" s="1061">
        <v>0.89</v>
      </c>
    </row>
    <row r="5874" spans="1:4" ht="9" customHeight="1" x14ac:dyDescent="0.25">
      <c r="A5874" s="1059">
        <v>5901669</v>
      </c>
      <c r="B5874" s="1060" t="s">
        <v>27538</v>
      </c>
      <c r="C5874" s="1059" t="s">
        <v>27501</v>
      </c>
      <c r="D5874" s="1061">
        <v>0.27</v>
      </c>
    </row>
    <row r="5875" spans="1:4" ht="9" customHeight="1" x14ac:dyDescent="0.25">
      <c r="A5875" s="1059">
        <v>5901670</v>
      </c>
      <c r="B5875" s="1060" t="s">
        <v>27539</v>
      </c>
      <c r="C5875" s="1059" t="s">
        <v>27501</v>
      </c>
      <c r="D5875" s="1061">
        <v>0.26</v>
      </c>
    </row>
    <row r="5876" spans="1:4" ht="9" customHeight="1" x14ac:dyDescent="0.25">
      <c r="A5876" s="1059">
        <v>5901671</v>
      </c>
      <c r="B5876" s="1060" t="s">
        <v>27540</v>
      </c>
      <c r="C5876" s="1059" t="s">
        <v>27501</v>
      </c>
      <c r="D5876" s="1061">
        <v>0.56000000000000005</v>
      </c>
    </row>
    <row r="5877" spans="1:4" ht="9" customHeight="1" x14ac:dyDescent="0.25">
      <c r="A5877" s="1059">
        <v>5901672</v>
      </c>
      <c r="B5877" s="1060" t="s">
        <v>27541</v>
      </c>
      <c r="C5877" s="1059" t="s">
        <v>27501</v>
      </c>
      <c r="D5877" s="1061">
        <v>0.25</v>
      </c>
    </row>
    <row r="5878" spans="1:4" ht="9" customHeight="1" x14ac:dyDescent="0.25">
      <c r="A5878" s="1059">
        <v>5901673</v>
      </c>
      <c r="B5878" s="1060" t="s">
        <v>27542</v>
      </c>
      <c r="C5878" s="1059" t="s">
        <v>27501</v>
      </c>
      <c r="D5878" s="1061">
        <v>0.46</v>
      </c>
    </row>
    <row r="5879" spans="1:4" ht="9" customHeight="1" x14ac:dyDescent="0.25">
      <c r="A5879" s="1059">
        <v>5901674</v>
      </c>
      <c r="B5879" s="1060" t="s">
        <v>27543</v>
      </c>
      <c r="C5879" s="1059" t="s">
        <v>27501</v>
      </c>
      <c r="D5879" s="1061">
        <v>0.41</v>
      </c>
    </row>
    <row r="5880" spans="1:4" ht="9" customHeight="1" x14ac:dyDescent="0.25">
      <c r="A5880" s="1059">
        <v>5901675</v>
      </c>
      <c r="B5880" s="1060" t="s">
        <v>27544</v>
      </c>
      <c r="C5880" s="1059" t="s">
        <v>27501</v>
      </c>
      <c r="D5880" s="1061">
        <v>0.36</v>
      </c>
    </row>
    <row r="5881" spans="1:4" ht="9" customHeight="1" x14ac:dyDescent="0.25">
      <c r="A5881" s="1059">
        <v>5901676</v>
      </c>
      <c r="B5881" s="1060" t="s">
        <v>27545</v>
      </c>
      <c r="C5881" s="1059" t="s">
        <v>27501</v>
      </c>
      <c r="D5881" s="1061">
        <v>1.27</v>
      </c>
    </row>
    <row r="5882" spans="1:4" ht="9" customHeight="1" x14ac:dyDescent="0.25">
      <c r="A5882" s="1059">
        <v>5901677</v>
      </c>
      <c r="B5882" s="1060" t="s">
        <v>27546</v>
      </c>
      <c r="C5882" s="1059" t="s">
        <v>27501</v>
      </c>
      <c r="D5882" s="1061">
        <v>0.88</v>
      </c>
    </row>
    <row r="5883" spans="1:4" ht="9" customHeight="1" x14ac:dyDescent="0.25">
      <c r="A5883" s="1059">
        <v>5901678</v>
      </c>
      <c r="B5883" s="1060" t="s">
        <v>27547</v>
      </c>
      <c r="C5883" s="1059" t="s">
        <v>27501</v>
      </c>
      <c r="D5883" s="1061">
        <v>0.26</v>
      </c>
    </row>
    <row r="5884" spans="1:4" ht="9" customHeight="1" x14ac:dyDescent="0.25">
      <c r="A5884" s="1059">
        <v>5901679</v>
      </c>
      <c r="B5884" s="1060" t="s">
        <v>27548</v>
      </c>
      <c r="C5884" s="1059" t="s">
        <v>27501</v>
      </c>
      <c r="D5884" s="1061">
        <v>0.25</v>
      </c>
    </row>
    <row r="5885" spans="1:4" ht="9" customHeight="1" x14ac:dyDescent="0.25">
      <c r="A5885" s="1059">
        <v>5901680</v>
      </c>
      <c r="B5885" s="1060" t="s">
        <v>27549</v>
      </c>
      <c r="C5885" s="1059" t="s">
        <v>27501</v>
      </c>
      <c r="D5885" s="1061">
        <v>0.55000000000000004</v>
      </c>
    </row>
    <row r="5886" spans="1:4" ht="9" customHeight="1" x14ac:dyDescent="0.25">
      <c r="A5886" s="1059">
        <v>5901681</v>
      </c>
      <c r="B5886" s="1060" t="s">
        <v>27550</v>
      </c>
      <c r="C5886" s="1059" t="s">
        <v>27501</v>
      </c>
      <c r="D5886" s="1061">
        <v>0.24</v>
      </c>
    </row>
    <row r="5887" spans="1:4" ht="9" customHeight="1" x14ac:dyDescent="0.25">
      <c r="A5887" s="1059">
        <v>5901682</v>
      </c>
      <c r="B5887" s="1060" t="s">
        <v>27551</v>
      </c>
      <c r="C5887" s="1059" t="s">
        <v>27501</v>
      </c>
      <c r="D5887" s="1061">
        <v>0.45</v>
      </c>
    </row>
    <row r="5888" spans="1:4" ht="9" customHeight="1" x14ac:dyDescent="0.25">
      <c r="A5888" s="1059">
        <v>5901683</v>
      </c>
      <c r="B5888" s="1060" t="s">
        <v>27552</v>
      </c>
      <c r="C5888" s="1059" t="s">
        <v>27501</v>
      </c>
      <c r="D5888" s="1061">
        <v>0.4</v>
      </c>
    </row>
    <row r="5889" spans="1:4" ht="9" customHeight="1" x14ac:dyDescent="0.25">
      <c r="A5889" s="1059">
        <v>5901684</v>
      </c>
      <c r="B5889" s="1060" t="s">
        <v>27553</v>
      </c>
      <c r="C5889" s="1059" t="s">
        <v>27501</v>
      </c>
      <c r="D5889" s="1061">
        <v>0.36</v>
      </c>
    </row>
    <row r="5890" spans="1:4" ht="9" customHeight="1" x14ac:dyDescent="0.25">
      <c r="A5890" s="1059">
        <v>5901685</v>
      </c>
      <c r="B5890" s="1060" t="s">
        <v>27554</v>
      </c>
      <c r="C5890" s="1059" t="s">
        <v>27501</v>
      </c>
      <c r="D5890" s="1061">
        <v>1.25</v>
      </c>
    </row>
    <row r="5891" spans="1:4" ht="9" customHeight="1" x14ac:dyDescent="0.25">
      <c r="A5891" s="1059">
        <v>5914360</v>
      </c>
      <c r="B5891" s="1060" t="s">
        <v>27555</v>
      </c>
      <c r="C5891" s="1059" t="s">
        <v>21626</v>
      </c>
      <c r="D5891" s="1061">
        <v>1.1499999999999999</v>
      </c>
    </row>
    <row r="5892" spans="1:4" ht="9" customHeight="1" x14ac:dyDescent="0.25">
      <c r="A5892" s="1059">
        <v>5914361</v>
      </c>
      <c r="B5892" s="1060" t="s">
        <v>27556</v>
      </c>
      <c r="C5892" s="1059" t="s">
        <v>21626</v>
      </c>
      <c r="D5892" s="1061">
        <v>0.92</v>
      </c>
    </row>
    <row r="5893" spans="1:4" ht="9" customHeight="1" x14ac:dyDescent="0.25">
      <c r="A5893" s="1059">
        <v>5914362</v>
      </c>
      <c r="B5893" s="1060" t="s">
        <v>27557</v>
      </c>
      <c r="C5893" s="1059" t="s">
        <v>21626</v>
      </c>
      <c r="D5893" s="1061">
        <v>0.75</v>
      </c>
    </row>
    <row r="5894" spans="1:4" ht="9" customHeight="1" x14ac:dyDescent="0.25">
      <c r="A5894" s="1059">
        <v>5914364</v>
      </c>
      <c r="B5894" s="1060" t="s">
        <v>27558</v>
      </c>
      <c r="C5894" s="1059" t="s">
        <v>21626</v>
      </c>
      <c r="D5894" s="1061">
        <v>0.93</v>
      </c>
    </row>
    <row r="5895" spans="1:4" ht="9" customHeight="1" x14ac:dyDescent="0.25">
      <c r="A5895" s="1059">
        <v>5914365</v>
      </c>
      <c r="B5895" s="1060" t="s">
        <v>27559</v>
      </c>
      <c r="C5895" s="1059" t="s">
        <v>21626</v>
      </c>
      <c r="D5895" s="1061">
        <v>0.75</v>
      </c>
    </row>
    <row r="5896" spans="1:4" ht="9" customHeight="1" x14ac:dyDescent="0.25">
      <c r="A5896" s="1059">
        <v>5914366</v>
      </c>
      <c r="B5896" s="1060" t="s">
        <v>27560</v>
      </c>
      <c r="C5896" s="1059" t="s">
        <v>21626</v>
      </c>
      <c r="D5896" s="1061">
        <v>0.6</v>
      </c>
    </row>
    <row r="5897" spans="1:4" ht="9" customHeight="1" x14ac:dyDescent="0.25">
      <c r="A5897" s="1059">
        <v>5914315</v>
      </c>
      <c r="B5897" s="1060" t="s">
        <v>27561</v>
      </c>
      <c r="C5897" s="1059" t="s">
        <v>21626</v>
      </c>
      <c r="D5897" s="1061">
        <v>1.04</v>
      </c>
    </row>
    <row r="5898" spans="1:4" ht="9" customHeight="1" x14ac:dyDescent="0.25">
      <c r="A5898" s="1059">
        <v>5914330</v>
      </c>
      <c r="B5898" s="1060" t="s">
        <v>27562</v>
      </c>
      <c r="C5898" s="1059" t="s">
        <v>21626</v>
      </c>
      <c r="D5898" s="1061">
        <v>0.84</v>
      </c>
    </row>
    <row r="5899" spans="1:4" ht="9" customHeight="1" x14ac:dyDescent="0.25">
      <c r="A5899" s="1059">
        <v>5914345</v>
      </c>
      <c r="B5899" s="1060" t="s">
        <v>27563</v>
      </c>
      <c r="C5899" s="1059" t="s">
        <v>21626</v>
      </c>
      <c r="D5899" s="1061">
        <v>0.68</v>
      </c>
    </row>
    <row r="5900" spans="1:4" ht="9" customHeight="1" x14ac:dyDescent="0.25">
      <c r="A5900" s="1059">
        <v>5914367</v>
      </c>
      <c r="B5900" s="1060" t="s">
        <v>27564</v>
      </c>
      <c r="C5900" s="1059" t="s">
        <v>21626</v>
      </c>
      <c r="D5900" s="1061">
        <v>1.81</v>
      </c>
    </row>
    <row r="5901" spans="1:4" ht="9" customHeight="1" x14ac:dyDescent="0.25">
      <c r="A5901" s="1059">
        <v>5914368</v>
      </c>
      <c r="B5901" s="1060" t="s">
        <v>27565</v>
      </c>
      <c r="C5901" s="1059" t="s">
        <v>21626</v>
      </c>
      <c r="D5901" s="1061">
        <v>1.45</v>
      </c>
    </row>
    <row r="5902" spans="1:4" ht="9" customHeight="1" x14ac:dyDescent="0.25">
      <c r="A5902" s="1059">
        <v>5914369</v>
      </c>
      <c r="B5902" s="1060" t="s">
        <v>27566</v>
      </c>
      <c r="C5902" s="1059" t="s">
        <v>21626</v>
      </c>
      <c r="D5902" s="1061">
        <v>1.17</v>
      </c>
    </row>
    <row r="5903" spans="1:4" ht="18" customHeight="1" x14ac:dyDescent="0.25">
      <c r="A5903" s="1059">
        <v>5914489</v>
      </c>
      <c r="B5903" s="1060" t="s">
        <v>27567</v>
      </c>
      <c r="C5903" s="1059" t="s">
        <v>21626</v>
      </c>
      <c r="D5903" s="1061">
        <v>0.25</v>
      </c>
    </row>
    <row r="5904" spans="1:4" ht="18" customHeight="1" x14ac:dyDescent="0.25">
      <c r="A5904" s="1059">
        <v>5914491</v>
      </c>
      <c r="B5904" s="1060" t="s">
        <v>27568</v>
      </c>
      <c r="C5904" s="1059" t="s">
        <v>21626</v>
      </c>
      <c r="D5904" s="1061">
        <v>0.28999999999999998</v>
      </c>
    </row>
    <row r="5905" spans="1:4" ht="18" customHeight="1" x14ac:dyDescent="0.25">
      <c r="A5905" s="1059">
        <v>5914490</v>
      </c>
      <c r="B5905" s="1060" t="s">
        <v>27569</v>
      </c>
      <c r="C5905" s="1059" t="s">
        <v>21626</v>
      </c>
      <c r="D5905" s="1061">
        <v>0.25</v>
      </c>
    </row>
    <row r="5906" spans="1:4" ht="18" customHeight="1" x14ac:dyDescent="0.25">
      <c r="A5906" s="1059">
        <v>5914495</v>
      </c>
      <c r="B5906" s="1060" t="s">
        <v>27570</v>
      </c>
      <c r="C5906" s="1059" t="s">
        <v>21626</v>
      </c>
      <c r="D5906" s="1061">
        <v>1.67</v>
      </c>
    </row>
    <row r="5907" spans="1:4" ht="18" customHeight="1" x14ac:dyDescent="0.25">
      <c r="A5907" s="1059">
        <v>5914494</v>
      </c>
      <c r="B5907" s="1060" t="s">
        <v>27571</v>
      </c>
      <c r="C5907" s="1059" t="s">
        <v>21626</v>
      </c>
      <c r="D5907" s="1061">
        <v>3.74</v>
      </c>
    </row>
    <row r="5908" spans="1:4" ht="18" customHeight="1" x14ac:dyDescent="0.25">
      <c r="A5908" s="1059">
        <v>5914487</v>
      </c>
      <c r="B5908" s="1060" t="s">
        <v>27572</v>
      </c>
      <c r="C5908" s="1059" t="s">
        <v>21626</v>
      </c>
      <c r="D5908" s="1061">
        <v>0.25</v>
      </c>
    </row>
    <row r="5909" spans="1:4" ht="18" customHeight="1" x14ac:dyDescent="0.25">
      <c r="A5909" s="1059">
        <v>5914488</v>
      </c>
      <c r="B5909" s="1060" t="s">
        <v>27573</v>
      </c>
      <c r="C5909" s="1059" t="s">
        <v>21626</v>
      </c>
      <c r="D5909" s="1061">
        <v>0.28000000000000003</v>
      </c>
    </row>
    <row r="5910" spans="1:4" ht="18" customHeight="1" x14ac:dyDescent="0.25">
      <c r="A5910" s="1059">
        <v>5914493</v>
      </c>
      <c r="B5910" s="1060" t="s">
        <v>27574</v>
      </c>
      <c r="C5910" s="1059" t="s">
        <v>21626</v>
      </c>
      <c r="D5910" s="1061">
        <v>6.2</v>
      </c>
    </row>
    <row r="5911" spans="1:4" ht="18" customHeight="1" x14ac:dyDescent="0.25">
      <c r="A5911" s="1059">
        <v>5914492</v>
      </c>
      <c r="B5911" s="1060" t="s">
        <v>27575</v>
      </c>
      <c r="C5911" s="1059" t="s">
        <v>21626</v>
      </c>
      <c r="D5911" s="1061">
        <v>14.86</v>
      </c>
    </row>
    <row r="5912" spans="1:4" ht="9" customHeight="1" x14ac:dyDescent="0.25">
      <c r="A5912" s="1059">
        <v>5914482</v>
      </c>
      <c r="B5912" s="1060" t="s">
        <v>27576</v>
      </c>
      <c r="C5912" s="1059" t="s">
        <v>21626</v>
      </c>
      <c r="D5912" s="1061">
        <v>0.66</v>
      </c>
    </row>
    <row r="5913" spans="1:4" ht="9" customHeight="1" x14ac:dyDescent="0.25">
      <c r="A5913" s="1059">
        <v>5914483</v>
      </c>
      <c r="B5913" s="1060" t="s">
        <v>27577</v>
      </c>
      <c r="C5913" s="1059" t="s">
        <v>21626</v>
      </c>
      <c r="D5913" s="1061">
        <v>0.47</v>
      </c>
    </row>
    <row r="5914" spans="1:4" ht="18" customHeight="1" x14ac:dyDescent="0.25">
      <c r="A5914" s="1059">
        <v>5914480</v>
      </c>
      <c r="B5914" s="1060" t="s">
        <v>27578</v>
      </c>
      <c r="C5914" s="1059" t="s">
        <v>21626</v>
      </c>
      <c r="D5914" s="1061">
        <v>0.69</v>
      </c>
    </row>
    <row r="5915" spans="1:4" ht="18" customHeight="1" x14ac:dyDescent="0.25">
      <c r="A5915" s="1059">
        <v>5914481</v>
      </c>
      <c r="B5915" s="1060" t="s">
        <v>27579</v>
      </c>
      <c r="C5915" s="1059" t="s">
        <v>21626</v>
      </c>
      <c r="D5915" s="1061">
        <v>0.45</v>
      </c>
    </row>
    <row r="5916" spans="1:4" ht="18" customHeight="1" x14ac:dyDescent="0.25">
      <c r="A5916" s="1059">
        <v>5914485</v>
      </c>
      <c r="B5916" s="1060" t="s">
        <v>27580</v>
      </c>
      <c r="C5916" s="1059" t="s">
        <v>21626</v>
      </c>
      <c r="D5916" s="1061">
        <v>4.2699999999999996</v>
      </c>
    </row>
    <row r="5917" spans="1:4" ht="18" customHeight="1" x14ac:dyDescent="0.25">
      <c r="A5917" s="1059">
        <v>5914486</v>
      </c>
      <c r="B5917" s="1060" t="s">
        <v>27581</v>
      </c>
      <c r="C5917" s="1059" t="s">
        <v>21626</v>
      </c>
      <c r="D5917" s="1061">
        <v>5.35</v>
      </c>
    </row>
    <row r="5918" spans="1:4" ht="18" customHeight="1" x14ac:dyDescent="0.25">
      <c r="A5918" s="1059">
        <v>5914484</v>
      </c>
      <c r="B5918" s="1060" t="s">
        <v>27582</v>
      </c>
      <c r="C5918" s="1059" t="s">
        <v>21626</v>
      </c>
      <c r="D5918" s="1061">
        <v>3.7</v>
      </c>
    </row>
    <row r="5919" spans="1:4" ht="9" customHeight="1" x14ac:dyDescent="0.25">
      <c r="A5919" s="1059">
        <v>5914620</v>
      </c>
      <c r="B5919" s="1060" t="s">
        <v>27583</v>
      </c>
      <c r="C5919" s="1059" t="s">
        <v>21626</v>
      </c>
      <c r="D5919" s="1061">
        <v>2.8</v>
      </c>
    </row>
    <row r="5920" spans="1:4" ht="9" customHeight="1" x14ac:dyDescent="0.25">
      <c r="A5920" s="1059">
        <v>5914621</v>
      </c>
      <c r="B5920" s="1060" t="s">
        <v>27584</v>
      </c>
      <c r="C5920" s="1059" t="s">
        <v>21626</v>
      </c>
      <c r="D5920" s="1061">
        <v>2.2400000000000002</v>
      </c>
    </row>
    <row r="5921" spans="1:4" ht="9" customHeight="1" x14ac:dyDescent="0.25">
      <c r="A5921" s="1059">
        <v>5914622</v>
      </c>
      <c r="B5921" s="1060" t="s">
        <v>27585</v>
      </c>
      <c r="C5921" s="1059" t="s">
        <v>21626</v>
      </c>
      <c r="D5921" s="1061">
        <v>1.81</v>
      </c>
    </row>
    <row r="5922" spans="1:4" ht="9" customHeight="1" x14ac:dyDescent="0.25">
      <c r="A5922" s="1059">
        <v>5901695</v>
      </c>
      <c r="B5922" s="1060" t="s">
        <v>27586</v>
      </c>
      <c r="C5922" s="1059" t="s">
        <v>27501</v>
      </c>
      <c r="D5922" s="1061">
        <v>0.77</v>
      </c>
    </row>
    <row r="5923" spans="1:4" ht="9" customHeight="1" x14ac:dyDescent="0.25">
      <c r="A5923" s="1059">
        <v>5901696</v>
      </c>
      <c r="B5923" s="1060" t="s">
        <v>27587</v>
      </c>
      <c r="C5923" s="1059" t="s">
        <v>27501</v>
      </c>
      <c r="D5923" s="1061">
        <v>0.56999999999999995</v>
      </c>
    </row>
    <row r="5924" spans="1:4" ht="9" customHeight="1" x14ac:dyDescent="0.25">
      <c r="A5924" s="1059">
        <v>5901697</v>
      </c>
      <c r="B5924" s="1060" t="s">
        <v>27588</v>
      </c>
      <c r="C5924" s="1059" t="s">
        <v>27501</v>
      </c>
      <c r="D5924" s="1061">
        <v>2.4</v>
      </c>
    </row>
    <row r="5925" spans="1:4" ht="9" customHeight="1" x14ac:dyDescent="0.25">
      <c r="A5925" s="1059">
        <v>5901698</v>
      </c>
      <c r="B5925" s="1060" t="s">
        <v>27589</v>
      </c>
      <c r="C5925" s="1059" t="s">
        <v>27501</v>
      </c>
      <c r="D5925" s="1061">
        <v>2.4</v>
      </c>
    </row>
    <row r="5926" spans="1:4" ht="9" customHeight="1" x14ac:dyDescent="0.25">
      <c r="A5926" s="1059">
        <v>5916654</v>
      </c>
      <c r="B5926" s="1060" t="s">
        <v>27590</v>
      </c>
      <c r="C5926" s="1059" t="s">
        <v>27501</v>
      </c>
      <c r="D5926" s="1061">
        <v>1.38</v>
      </c>
    </row>
    <row r="5927" spans="1:4" ht="9" customHeight="1" x14ac:dyDescent="0.25">
      <c r="A5927" s="1059">
        <v>5916637</v>
      </c>
      <c r="B5927" s="1060" t="s">
        <v>27591</v>
      </c>
      <c r="C5927" s="1059" t="s">
        <v>27501</v>
      </c>
      <c r="D5927" s="1061">
        <v>7.2</v>
      </c>
    </row>
    <row r="5928" spans="1:4" ht="9" customHeight="1" x14ac:dyDescent="0.25">
      <c r="A5928" s="1059">
        <v>5916618</v>
      </c>
      <c r="B5928" s="1060" t="s">
        <v>27592</v>
      </c>
      <c r="C5928" s="1059" t="s">
        <v>27501</v>
      </c>
      <c r="D5928" s="1061">
        <v>7.2</v>
      </c>
    </row>
    <row r="5929" spans="1:4" ht="9" customHeight="1" x14ac:dyDescent="0.25">
      <c r="A5929" s="1059">
        <v>5914334</v>
      </c>
      <c r="B5929" s="1060" t="s">
        <v>27593</v>
      </c>
      <c r="C5929" s="1059" t="s">
        <v>21626</v>
      </c>
      <c r="D5929" s="1061">
        <v>1.19</v>
      </c>
    </row>
    <row r="5930" spans="1:4" ht="9" customHeight="1" x14ac:dyDescent="0.25">
      <c r="A5930" s="1059">
        <v>5914335</v>
      </c>
      <c r="B5930" s="1060" t="s">
        <v>27594</v>
      </c>
      <c r="C5930" s="1059" t="s">
        <v>21626</v>
      </c>
      <c r="D5930" s="1061">
        <v>0.95</v>
      </c>
    </row>
    <row r="5931" spans="1:4" ht="9" customHeight="1" x14ac:dyDescent="0.25">
      <c r="A5931" s="1059">
        <v>5914336</v>
      </c>
      <c r="B5931" s="1060" t="s">
        <v>27595</v>
      </c>
      <c r="C5931" s="1059" t="s">
        <v>21626</v>
      </c>
      <c r="D5931" s="1061">
        <v>0.77</v>
      </c>
    </row>
    <row r="5932" spans="1:4" ht="9" customHeight="1" x14ac:dyDescent="0.25">
      <c r="A5932" s="1059">
        <v>5914346</v>
      </c>
      <c r="B5932" s="1060" t="s">
        <v>27596</v>
      </c>
      <c r="C5932" s="1059" t="s">
        <v>21626</v>
      </c>
      <c r="D5932" s="1061">
        <v>1.79</v>
      </c>
    </row>
    <row r="5933" spans="1:4" ht="9" customHeight="1" x14ac:dyDescent="0.25">
      <c r="A5933" s="1059">
        <v>5914347</v>
      </c>
      <c r="B5933" s="1060" t="s">
        <v>27597</v>
      </c>
      <c r="C5933" s="1059" t="s">
        <v>21626</v>
      </c>
      <c r="D5933" s="1061">
        <v>1.43</v>
      </c>
    </row>
    <row r="5934" spans="1:4" ht="9" customHeight="1" x14ac:dyDescent="0.25">
      <c r="A5934" s="1059">
        <v>5914348</v>
      </c>
      <c r="B5934" s="1060" t="s">
        <v>27598</v>
      </c>
      <c r="C5934" s="1059" t="s">
        <v>21626</v>
      </c>
      <c r="D5934" s="1061">
        <v>1.1599999999999999</v>
      </c>
    </row>
    <row r="5935" spans="1:4" ht="9" customHeight="1" x14ac:dyDescent="0.25">
      <c r="A5935" s="1059">
        <v>5914611</v>
      </c>
      <c r="B5935" s="1060" t="s">
        <v>27599</v>
      </c>
      <c r="C5935" s="1059" t="s">
        <v>21626</v>
      </c>
      <c r="D5935" s="1061">
        <v>1.93</v>
      </c>
    </row>
    <row r="5936" spans="1:4" ht="9" customHeight="1" x14ac:dyDescent="0.25">
      <c r="A5936" s="1059">
        <v>5914613</v>
      </c>
      <c r="B5936" s="1060" t="s">
        <v>27600</v>
      </c>
      <c r="C5936" s="1059" t="s">
        <v>21626</v>
      </c>
      <c r="D5936" s="1061">
        <v>1.55</v>
      </c>
    </row>
    <row r="5937" spans="1:4" ht="9" customHeight="1" x14ac:dyDescent="0.25">
      <c r="A5937" s="1059">
        <v>5914612</v>
      </c>
      <c r="B5937" s="1060" t="s">
        <v>27601</v>
      </c>
      <c r="C5937" s="1059" t="s">
        <v>21626</v>
      </c>
      <c r="D5937" s="1061">
        <v>1.26</v>
      </c>
    </row>
    <row r="5938" spans="1:4" ht="9" customHeight="1" x14ac:dyDescent="0.25">
      <c r="A5938" s="1059">
        <v>5901686</v>
      </c>
      <c r="B5938" s="1060" t="s">
        <v>27602</v>
      </c>
      <c r="C5938" s="1059" t="s">
        <v>27501</v>
      </c>
      <c r="D5938" s="1061">
        <v>2.54</v>
      </c>
    </row>
    <row r="5939" spans="1:4" ht="9" customHeight="1" x14ac:dyDescent="0.25">
      <c r="A5939" s="1059">
        <v>5901687</v>
      </c>
      <c r="B5939" s="1060" t="s">
        <v>27603</v>
      </c>
      <c r="C5939" s="1059" t="s">
        <v>27501</v>
      </c>
      <c r="D5939" s="1061">
        <v>0.76</v>
      </c>
    </row>
    <row r="5940" spans="1:4" ht="9" customHeight="1" x14ac:dyDescent="0.25">
      <c r="A5940" s="1059">
        <v>5901688</v>
      </c>
      <c r="B5940" s="1060" t="s">
        <v>27604</v>
      </c>
      <c r="C5940" s="1059" t="s">
        <v>27501</v>
      </c>
      <c r="D5940" s="1061">
        <v>0.73</v>
      </c>
    </row>
    <row r="5941" spans="1:4" ht="9" customHeight="1" x14ac:dyDescent="0.25">
      <c r="A5941" s="1059">
        <v>5901689</v>
      </c>
      <c r="B5941" s="1060" t="s">
        <v>27605</v>
      </c>
      <c r="C5941" s="1059" t="s">
        <v>27501</v>
      </c>
      <c r="D5941" s="1061">
        <v>1.59</v>
      </c>
    </row>
    <row r="5942" spans="1:4" ht="9" customHeight="1" x14ac:dyDescent="0.25">
      <c r="A5942" s="1059">
        <v>5901690</v>
      </c>
      <c r="B5942" s="1060" t="s">
        <v>27606</v>
      </c>
      <c r="C5942" s="1059" t="s">
        <v>27501</v>
      </c>
      <c r="D5942" s="1061">
        <v>0.71</v>
      </c>
    </row>
    <row r="5943" spans="1:4" ht="9" customHeight="1" x14ac:dyDescent="0.25">
      <c r="A5943" s="1059">
        <v>5901691</v>
      </c>
      <c r="B5943" s="1060" t="s">
        <v>27607</v>
      </c>
      <c r="C5943" s="1059" t="s">
        <v>27501</v>
      </c>
      <c r="D5943" s="1061">
        <v>1.31</v>
      </c>
    </row>
    <row r="5944" spans="1:4" ht="9" customHeight="1" x14ac:dyDescent="0.25">
      <c r="A5944" s="1059">
        <v>5901692</v>
      </c>
      <c r="B5944" s="1060" t="s">
        <v>27608</v>
      </c>
      <c r="C5944" s="1059" t="s">
        <v>27501</v>
      </c>
      <c r="D5944" s="1061">
        <v>1.1499999999999999</v>
      </c>
    </row>
    <row r="5945" spans="1:4" ht="9" customHeight="1" x14ac:dyDescent="0.25">
      <c r="A5945" s="1059">
        <v>5901693</v>
      </c>
      <c r="B5945" s="1060" t="s">
        <v>27609</v>
      </c>
      <c r="C5945" s="1059" t="s">
        <v>27501</v>
      </c>
      <c r="D5945" s="1061">
        <v>1.03</v>
      </c>
    </row>
    <row r="5946" spans="1:4" ht="9" customHeight="1" x14ac:dyDescent="0.25">
      <c r="A5946" s="1059">
        <v>5901694</v>
      </c>
      <c r="B5946" s="1060" t="s">
        <v>27610</v>
      </c>
      <c r="C5946" s="1059" t="s">
        <v>27501</v>
      </c>
      <c r="D5946" s="1061">
        <v>3.6</v>
      </c>
    </row>
    <row r="5947" spans="1:4" ht="9" customHeight="1" x14ac:dyDescent="0.25">
      <c r="A5947" s="1059">
        <v>5914512</v>
      </c>
      <c r="B5947" s="1060" t="s">
        <v>27611</v>
      </c>
      <c r="C5947" s="1059" t="s">
        <v>21626</v>
      </c>
      <c r="D5947" s="1061">
        <v>1.54</v>
      </c>
    </row>
    <row r="5948" spans="1:4" ht="9" customHeight="1" x14ac:dyDescent="0.25">
      <c r="A5948" s="1059">
        <v>5914496</v>
      </c>
      <c r="B5948" s="1060" t="s">
        <v>27612</v>
      </c>
      <c r="C5948" s="1059" t="s">
        <v>21626</v>
      </c>
      <c r="D5948" s="1061">
        <v>1.18</v>
      </c>
    </row>
    <row r="5949" spans="1:4" ht="9" customHeight="1" x14ac:dyDescent="0.25">
      <c r="A5949" s="1059">
        <v>5914513</v>
      </c>
      <c r="B5949" s="1060" t="s">
        <v>27613</v>
      </c>
      <c r="C5949" s="1059" t="s">
        <v>21626</v>
      </c>
      <c r="D5949" s="1061">
        <v>0.84</v>
      </c>
    </row>
    <row r="5950" spans="1:4" ht="9" customHeight="1" x14ac:dyDescent="0.25">
      <c r="A5950" s="1059">
        <v>5914497</v>
      </c>
      <c r="B5950" s="1060" t="s">
        <v>27614</v>
      </c>
      <c r="C5950" s="1059" t="s">
        <v>21626</v>
      </c>
      <c r="D5950" s="1061">
        <v>0.63</v>
      </c>
    </row>
    <row r="5951" spans="1:4" ht="9" customHeight="1" x14ac:dyDescent="0.25">
      <c r="A5951" s="1059">
        <v>5914500</v>
      </c>
      <c r="B5951" s="1060" t="s">
        <v>27615</v>
      </c>
      <c r="C5951" s="1059" t="s">
        <v>21626</v>
      </c>
      <c r="D5951" s="1061">
        <v>1.21</v>
      </c>
    </row>
    <row r="5952" spans="1:4" ht="9" customHeight="1" x14ac:dyDescent="0.25">
      <c r="A5952" s="1059">
        <v>5914498</v>
      </c>
      <c r="B5952" s="1060" t="s">
        <v>27616</v>
      </c>
      <c r="C5952" s="1059" t="s">
        <v>21626</v>
      </c>
      <c r="D5952" s="1061">
        <v>0.93</v>
      </c>
    </row>
    <row r="5953" spans="1:4" ht="9" customHeight="1" x14ac:dyDescent="0.25">
      <c r="A5953" s="1059">
        <v>5914501</v>
      </c>
      <c r="B5953" s="1060" t="s">
        <v>27617</v>
      </c>
      <c r="C5953" s="1059" t="s">
        <v>21626</v>
      </c>
      <c r="D5953" s="1061">
        <v>0.66</v>
      </c>
    </row>
    <row r="5954" spans="1:4" ht="9" customHeight="1" x14ac:dyDescent="0.25">
      <c r="A5954" s="1059">
        <v>5914499</v>
      </c>
      <c r="B5954" s="1060" t="s">
        <v>27618</v>
      </c>
      <c r="C5954" s="1059" t="s">
        <v>21626</v>
      </c>
      <c r="D5954" s="1061">
        <v>0.5</v>
      </c>
    </row>
    <row r="5955" spans="1:4" ht="9" customHeight="1" x14ac:dyDescent="0.25">
      <c r="A5955" s="1059">
        <v>5914504</v>
      </c>
      <c r="B5955" s="1060" t="s">
        <v>27619</v>
      </c>
      <c r="C5955" s="1059" t="s">
        <v>21626</v>
      </c>
      <c r="D5955" s="1061">
        <v>1.02</v>
      </c>
    </row>
    <row r="5956" spans="1:4" ht="9" customHeight="1" x14ac:dyDescent="0.25">
      <c r="A5956" s="1059">
        <v>5914502</v>
      </c>
      <c r="B5956" s="1060" t="s">
        <v>27620</v>
      </c>
      <c r="C5956" s="1059" t="s">
        <v>21626</v>
      </c>
      <c r="D5956" s="1061">
        <v>0.78</v>
      </c>
    </row>
    <row r="5957" spans="1:4" ht="9" customHeight="1" x14ac:dyDescent="0.25">
      <c r="A5957" s="1059">
        <v>5914505</v>
      </c>
      <c r="B5957" s="1060" t="s">
        <v>27621</v>
      </c>
      <c r="C5957" s="1059" t="s">
        <v>21626</v>
      </c>
      <c r="D5957" s="1061">
        <v>0.56000000000000005</v>
      </c>
    </row>
    <row r="5958" spans="1:4" ht="9" customHeight="1" x14ac:dyDescent="0.25">
      <c r="A5958" s="1059">
        <v>5914503</v>
      </c>
      <c r="B5958" s="1060" t="s">
        <v>27622</v>
      </c>
      <c r="C5958" s="1059" t="s">
        <v>21626</v>
      </c>
      <c r="D5958" s="1061">
        <v>0.42</v>
      </c>
    </row>
    <row r="5959" spans="1:4" ht="9" customHeight="1" x14ac:dyDescent="0.25">
      <c r="A5959" s="1059">
        <v>5914508</v>
      </c>
      <c r="B5959" s="1060" t="s">
        <v>27623</v>
      </c>
      <c r="C5959" s="1059" t="s">
        <v>21626</v>
      </c>
      <c r="D5959" s="1061">
        <v>1.1399999999999999</v>
      </c>
    </row>
    <row r="5960" spans="1:4" ht="9" customHeight="1" x14ac:dyDescent="0.25">
      <c r="A5960" s="1059">
        <v>5914506</v>
      </c>
      <c r="B5960" s="1060" t="s">
        <v>27624</v>
      </c>
      <c r="C5960" s="1059" t="s">
        <v>21626</v>
      </c>
      <c r="D5960" s="1061">
        <v>0.87</v>
      </c>
    </row>
    <row r="5961" spans="1:4" ht="9" customHeight="1" x14ac:dyDescent="0.25">
      <c r="A5961" s="1059">
        <v>5914509</v>
      </c>
      <c r="B5961" s="1060" t="s">
        <v>27625</v>
      </c>
      <c r="C5961" s="1059" t="s">
        <v>21626</v>
      </c>
      <c r="D5961" s="1061">
        <v>0.63</v>
      </c>
    </row>
    <row r="5962" spans="1:4" ht="9" customHeight="1" x14ac:dyDescent="0.25">
      <c r="A5962" s="1059">
        <v>5914507</v>
      </c>
      <c r="B5962" s="1060" t="s">
        <v>27626</v>
      </c>
      <c r="C5962" s="1059" t="s">
        <v>21626</v>
      </c>
      <c r="D5962" s="1061">
        <v>0.47</v>
      </c>
    </row>
    <row r="5963" spans="1:4" ht="9" customHeight="1" x14ac:dyDescent="0.25">
      <c r="A5963" s="1059">
        <v>5915491</v>
      </c>
      <c r="B5963" s="1060" t="s">
        <v>27627</v>
      </c>
      <c r="C5963" s="1059" t="s">
        <v>361</v>
      </c>
      <c r="D5963" s="1061">
        <v>18.41</v>
      </c>
    </row>
    <row r="5964" spans="1:4" ht="9" customHeight="1" x14ac:dyDescent="0.25">
      <c r="A5964" s="1059">
        <v>5915492</v>
      </c>
      <c r="B5964" s="1060" t="s">
        <v>27628</v>
      </c>
      <c r="C5964" s="1059" t="s">
        <v>361</v>
      </c>
      <c r="D5964" s="1061">
        <v>14.73</v>
      </c>
    </row>
    <row r="5965" spans="1:4" ht="9" customHeight="1" x14ac:dyDescent="0.25">
      <c r="A5965" s="1059">
        <v>5915493</v>
      </c>
      <c r="B5965" s="1060" t="s">
        <v>27629</v>
      </c>
      <c r="C5965" s="1059" t="s">
        <v>361</v>
      </c>
      <c r="D5965" s="1061">
        <v>11.95</v>
      </c>
    </row>
    <row r="5966" spans="1:4" ht="9" customHeight="1" x14ac:dyDescent="0.25">
      <c r="A5966" s="1059">
        <v>5915488</v>
      </c>
      <c r="B5966" s="1060" t="s">
        <v>27630</v>
      </c>
      <c r="C5966" s="1059" t="s">
        <v>361</v>
      </c>
      <c r="D5966" s="1061">
        <v>13.71</v>
      </c>
    </row>
    <row r="5967" spans="1:4" ht="9" customHeight="1" x14ac:dyDescent="0.25">
      <c r="A5967" s="1059">
        <v>5915489</v>
      </c>
      <c r="B5967" s="1060" t="s">
        <v>27631</v>
      </c>
      <c r="C5967" s="1059" t="s">
        <v>361</v>
      </c>
      <c r="D5967" s="1061">
        <v>10.97</v>
      </c>
    </row>
    <row r="5968" spans="1:4" ht="9" customHeight="1" x14ac:dyDescent="0.25">
      <c r="A5968" s="1059">
        <v>5915490</v>
      </c>
      <c r="B5968" s="1060" t="s">
        <v>27632</v>
      </c>
      <c r="C5968" s="1059" t="s">
        <v>361</v>
      </c>
      <c r="D5968" s="1061">
        <v>8.9</v>
      </c>
    </row>
    <row r="5969" spans="1:4" ht="9" customHeight="1" x14ac:dyDescent="0.25">
      <c r="A5969" s="1059">
        <v>5915494</v>
      </c>
      <c r="B5969" s="1060" t="s">
        <v>27633</v>
      </c>
      <c r="C5969" s="1059" t="s">
        <v>361</v>
      </c>
      <c r="D5969" s="1061">
        <v>31.08</v>
      </c>
    </row>
    <row r="5970" spans="1:4" ht="9" customHeight="1" x14ac:dyDescent="0.25">
      <c r="A5970" s="1059">
        <v>5915495</v>
      </c>
      <c r="B5970" s="1060" t="s">
        <v>27634</v>
      </c>
      <c r="C5970" s="1059" t="s">
        <v>361</v>
      </c>
      <c r="D5970" s="1061">
        <v>24.86</v>
      </c>
    </row>
    <row r="5971" spans="1:4" ht="9" customHeight="1" x14ac:dyDescent="0.25">
      <c r="A5971" s="1059">
        <v>5915496</v>
      </c>
      <c r="B5971" s="1060" t="s">
        <v>27635</v>
      </c>
      <c r="C5971" s="1059" t="s">
        <v>361</v>
      </c>
      <c r="D5971" s="1061">
        <v>20.170000000000002</v>
      </c>
    </row>
    <row r="5972" spans="1:4" ht="9" customHeight="1" x14ac:dyDescent="0.25">
      <c r="A5972" s="1059">
        <v>5915325</v>
      </c>
      <c r="B5972" s="1060" t="s">
        <v>27636</v>
      </c>
      <c r="C5972" s="1059" t="s">
        <v>361</v>
      </c>
      <c r="D5972" s="1061">
        <v>69.900000000000006</v>
      </c>
    </row>
    <row r="5973" spans="1:4" ht="9" customHeight="1" x14ac:dyDescent="0.25">
      <c r="A5973" s="1059">
        <v>5915326</v>
      </c>
      <c r="B5973" s="1060" t="s">
        <v>27637</v>
      </c>
      <c r="C5973" s="1059" t="s">
        <v>361</v>
      </c>
      <c r="D5973" s="1061">
        <v>55.9</v>
      </c>
    </row>
    <row r="5974" spans="1:4" ht="9" customHeight="1" x14ac:dyDescent="0.25">
      <c r="A5974" s="1059">
        <v>5915327</v>
      </c>
      <c r="B5974" s="1060" t="s">
        <v>27638</v>
      </c>
      <c r="C5974" s="1059" t="s">
        <v>361</v>
      </c>
      <c r="D5974" s="1061">
        <v>45.37</v>
      </c>
    </row>
    <row r="5975" spans="1:4" ht="9" customHeight="1" x14ac:dyDescent="0.25">
      <c r="A5975" s="1059">
        <v>5915328</v>
      </c>
      <c r="B5975" s="1060" t="s">
        <v>27639</v>
      </c>
      <c r="C5975" s="1059" t="s">
        <v>361</v>
      </c>
      <c r="D5975" s="1061">
        <v>82.95</v>
      </c>
    </row>
    <row r="5976" spans="1:4" ht="9" customHeight="1" x14ac:dyDescent="0.25">
      <c r="A5976" s="1059">
        <v>5915329</v>
      </c>
      <c r="B5976" s="1060" t="s">
        <v>27640</v>
      </c>
      <c r="C5976" s="1059" t="s">
        <v>361</v>
      </c>
      <c r="D5976" s="1061">
        <v>66.33</v>
      </c>
    </row>
    <row r="5977" spans="1:4" ht="9" customHeight="1" x14ac:dyDescent="0.25">
      <c r="A5977" s="1059">
        <v>5915330</v>
      </c>
      <c r="B5977" s="1060" t="s">
        <v>27641</v>
      </c>
      <c r="C5977" s="1059" t="s">
        <v>361</v>
      </c>
      <c r="D5977" s="1061">
        <v>53.84</v>
      </c>
    </row>
    <row r="5978" spans="1:4" ht="9" customHeight="1" x14ac:dyDescent="0.25">
      <c r="A5978" s="1059">
        <v>5915331</v>
      </c>
      <c r="B5978" s="1060" t="s">
        <v>27642</v>
      </c>
      <c r="C5978" s="1059" t="s">
        <v>361</v>
      </c>
      <c r="D5978" s="1061">
        <v>157.22999999999999</v>
      </c>
    </row>
    <row r="5979" spans="1:4" ht="9" customHeight="1" x14ac:dyDescent="0.25">
      <c r="A5979" s="1059">
        <v>5915332</v>
      </c>
      <c r="B5979" s="1060" t="s">
        <v>27643</v>
      </c>
      <c r="C5979" s="1059" t="s">
        <v>361</v>
      </c>
      <c r="D5979" s="1061">
        <v>125.73</v>
      </c>
    </row>
    <row r="5980" spans="1:4" ht="9" customHeight="1" x14ac:dyDescent="0.25">
      <c r="A5980" s="1059">
        <v>5915333</v>
      </c>
      <c r="B5980" s="1060" t="s">
        <v>27644</v>
      </c>
      <c r="C5980" s="1059" t="s">
        <v>361</v>
      </c>
      <c r="D5980" s="1061">
        <v>102.05</v>
      </c>
    </row>
    <row r="5981" spans="1:4" ht="9" customHeight="1" x14ac:dyDescent="0.25">
      <c r="A5981" s="1059">
        <v>5915364</v>
      </c>
      <c r="B5981" s="1060" t="s">
        <v>27645</v>
      </c>
      <c r="C5981" s="1059" t="s">
        <v>361</v>
      </c>
      <c r="D5981" s="1061">
        <v>177.39</v>
      </c>
    </row>
    <row r="5982" spans="1:4" ht="9" customHeight="1" x14ac:dyDescent="0.25">
      <c r="A5982" s="1059">
        <v>5915365</v>
      </c>
      <c r="B5982" s="1060" t="s">
        <v>27646</v>
      </c>
      <c r="C5982" s="1059" t="s">
        <v>361</v>
      </c>
      <c r="D5982" s="1061">
        <v>141.84</v>
      </c>
    </row>
    <row r="5983" spans="1:4" ht="9" customHeight="1" x14ac:dyDescent="0.25">
      <c r="A5983" s="1059">
        <v>5915361</v>
      </c>
      <c r="B5983" s="1060" t="s">
        <v>27647</v>
      </c>
      <c r="C5983" s="1059" t="s">
        <v>361</v>
      </c>
      <c r="D5983" s="1061">
        <v>115.13</v>
      </c>
    </row>
    <row r="5984" spans="1:4" ht="9" customHeight="1" x14ac:dyDescent="0.25">
      <c r="A5984" s="1059">
        <v>5919716</v>
      </c>
      <c r="B5984" s="1060" t="s">
        <v>27648</v>
      </c>
      <c r="C5984" s="1059" t="s">
        <v>361</v>
      </c>
      <c r="D5984" s="1061">
        <v>215.17</v>
      </c>
    </row>
    <row r="5985" spans="1:4" ht="9" customHeight="1" x14ac:dyDescent="0.25">
      <c r="A5985" s="1059">
        <v>5919717</v>
      </c>
      <c r="B5985" s="1060" t="s">
        <v>27649</v>
      </c>
      <c r="C5985" s="1059" t="s">
        <v>361</v>
      </c>
      <c r="D5985" s="1061">
        <v>184.4</v>
      </c>
    </row>
    <row r="5986" spans="1:4" ht="9" customHeight="1" x14ac:dyDescent="0.25">
      <c r="A5986" s="1059">
        <v>6106220</v>
      </c>
      <c r="B5986" s="1060" t="s">
        <v>27650</v>
      </c>
      <c r="C5986" s="1059" t="s">
        <v>6</v>
      </c>
      <c r="D5986" s="1061">
        <v>11.32</v>
      </c>
    </row>
    <row r="5987" spans="1:4" ht="9" customHeight="1" x14ac:dyDescent="0.25">
      <c r="A5987" s="1059">
        <v>6106218</v>
      </c>
      <c r="B5987" s="1060" t="s">
        <v>27651</v>
      </c>
      <c r="C5987" s="1059" t="s">
        <v>3</v>
      </c>
      <c r="D5987" s="1061">
        <v>481.09</v>
      </c>
    </row>
    <row r="5988" spans="1:4" ht="9" customHeight="1" x14ac:dyDescent="0.25">
      <c r="A5988" s="1059">
        <v>6106189</v>
      </c>
      <c r="B5988" s="1060" t="s">
        <v>27652</v>
      </c>
      <c r="C5988" s="1059" t="s">
        <v>38</v>
      </c>
      <c r="D5988" s="1061">
        <v>5051.5200000000004</v>
      </c>
    </row>
    <row r="5989" spans="1:4" ht="9" customHeight="1" x14ac:dyDescent="0.25">
      <c r="A5989" s="1059">
        <v>6106188</v>
      </c>
      <c r="B5989" s="1060" t="s">
        <v>27653</v>
      </c>
      <c r="C5989" s="1059" t="s">
        <v>38</v>
      </c>
      <c r="D5989" s="1061">
        <v>3454.82</v>
      </c>
    </row>
    <row r="5990" spans="1:4" ht="9" customHeight="1" x14ac:dyDescent="0.25">
      <c r="A5990" s="1059">
        <v>6106201</v>
      </c>
      <c r="B5990" s="1060" t="s">
        <v>27654</v>
      </c>
      <c r="C5990" s="1059" t="s">
        <v>38</v>
      </c>
      <c r="D5990" s="1061">
        <v>7432.25</v>
      </c>
    </row>
    <row r="5991" spans="1:4" ht="9" customHeight="1" x14ac:dyDescent="0.25">
      <c r="A5991" s="1059">
        <v>6106200</v>
      </c>
      <c r="B5991" s="1060" t="s">
        <v>27655</v>
      </c>
      <c r="C5991" s="1059" t="s">
        <v>38</v>
      </c>
      <c r="D5991" s="1061">
        <v>5318.03</v>
      </c>
    </row>
    <row r="5992" spans="1:4" ht="9" customHeight="1" x14ac:dyDescent="0.25">
      <c r="A5992" s="1059">
        <v>6106338</v>
      </c>
      <c r="B5992" s="1060" t="s">
        <v>27656</v>
      </c>
      <c r="C5992" s="1059" t="s">
        <v>38</v>
      </c>
      <c r="D5992" s="1061">
        <v>11604.72</v>
      </c>
    </row>
    <row r="5993" spans="1:4" ht="9" customHeight="1" x14ac:dyDescent="0.25">
      <c r="A5993" s="1059">
        <v>6106337</v>
      </c>
      <c r="B5993" s="1060" t="s">
        <v>27657</v>
      </c>
      <c r="C5993" s="1059" t="s">
        <v>38</v>
      </c>
      <c r="D5993" s="1061">
        <v>8684.27</v>
      </c>
    </row>
    <row r="5994" spans="1:4" ht="9" customHeight="1" x14ac:dyDescent="0.25">
      <c r="A5994" s="1059">
        <v>6106213</v>
      </c>
      <c r="B5994" s="1060" t="s">
        <v>27658</v>
      </c>
      <c r="C5994" s="1059" t="s">
        <v>38</v>
      </c>
      <c r="D5994" s="1061">
        <v>12495.02</v>
      </c>
    </row>
    <row r="5995" spans="1:4" ht="9" customHeight="1" x14ac:dyDescent="0.25">
      <c r="A5995" s="1059">
        <v>6106212</v>
      </c>
      <c r="B5995" s="1060" t="s">
        <v>27659</v>
      </c>
      <c r="C5995" s="1059" t="s">
        <v>38</v>
      </c>
      <c r="D5995" s="1061">
        <v>9354.7199999999993</v>
      </c>
    </row>
    <row r="5996" spans="1:4" ht="9" customHeight="1" x14ac:dyDescent="0.25">
      <c r="A5996" s="1059">
        <v>6106183</v>
      </c>
      <c r="B5996" s="1060" t="s">
        <v>27660</v>
      </c>
      <c r="C5996" s="1059" t="s">
        <v>38</v>
      </c>
      <c r="D5996" s="1061">
        <v>328.23</v>
      </c>
    </row>
    <row r="5997" spans="1:4" ht="9" customHeight="1" x14ac:dyDescent="0.25">
      <c r="A5997" s="1059">
        <v>6106182</v>
      </c>
      <c r="B5997" s="1060" t="s">
        <v>27661</v>
      </c>
      <c r="C5997" s="1059" t="s">
        <v>38</v>
      </c>
      <c r="D5997" s="1061">
        <v>281.33999999999997</v>
      </c>
    </row>
    <row r="5998" spans="1:4" ht="9" customHeight="1" x14ac:dyDescent="0.25">
      <c r="A5998" s="1059">
        <v>6106194</v>
      </c>
      <c r="B5998" s="1060" t="s">
        <v>27662</v>
      </c>
      <c r="C5998" s="1059" t="s">
        <v>38</v>
      </c>
      <c r="D5998" s="1061">
        <v>688.53</v>
      </c>
    </row>
    <row r="5999" spans="1:4" ht="9" customHeight="1" x14ac:dyDescent="0.25">
      <c r="A5999" s="1059">
        <v>6106195</v>
      </c>
      <c r="B5999" s="1060" t="s">
        <v>27663</v>
      </c>
      <c r="C5999" s="1059" t="s">
        <v>38</v>
      </c>
      <c r="D5999" s="1061">
        <v>763.4</v>
      </c>
    </row>
    <row r="6000" spans="1:4" ht="9" customHeight="1" x14ac:dyDescent="0.25">
      <c r="A6000" s="1059">
        <v>6106331</v>
      </c>
      <c r="B6000" s="1060" t="s">
        <v>27664</v>
      </c>
      <c r="C6000" s="1059" t="s">
        <v>38</v>
      </c>
      <c r="D6000" s="1061">
        <v>1804.09</v>
      </c>
    </row>
    <row r="6001" spans="1:4" ht="9" customHeight="1" x14ac:dyDescent="0.25">
      <c r="A6001" s="1059">
        <v>6106332</v>
      </c>
      <c r="B6001" s="1060" t="s">
        <v>27665</v>
      </c>
      <c r="C6001" s="1059" t="s">
        <v>38</v>
      </c>
      <c r="D6001" s="1061">
        <v>1921.74</v>
      </c>
    </row>
    <row r="6002" spans="1:4" ht="9" customHeight="1" x14ac:dyDescent="0.25">
      <c r="A6002" s="1059">
        <v>6106206</v>
      </c>
      <c r="B6002" s="1060" t="s">
        <v>27666</v>
      </c>
      <c r="C6002" s="1059" t="s">
        <v>38</v>
      </c>
      <c r="D6002" s="1061">
        <v>1987.06</v>
      </c>
    </row>
    <row r="6003" spans="1:4" ht="9" customHeight="1" x14ac:dyDescent="0.25">
      <c r="A6003" s="1059">
        <v>6106207</v>
      </c>
      <c r="B6003" s="1060" t="s">
        <v>27667</v>
      </c>
      <c r="C6003" s="1059" t="s">
        <v>38</v>
      </c>
      <c r="D6003" s="1061">
        <v>2118.7800000000002</v>
      </c>
    </row>
    <row r="6004" spans="1:4" ht="9" customHeight="1" x14ac:dyDescent="0.25">
      <c r="A6004" s="1059">
        <v>6106316</v>
      </c>
      <c r="B6004" s="1060" t="s">
        <v>27668</v>
      </c>
      <c r="C6004" s="1059" t="s">
        <v>38</v>
      </c>
      <c r="D6004" s="1061">
        <v>5051.5200000000004</v>
      </c>
    </row>
    <row r="6005" spans="1:4" ht="9" customHeight="1" x14ac:dyDescent="0.25">
      <c r="A6005" s="1059">
        <v>6106315</v>
      </c>
      <c r="B6005" s="1060" t="s">
        <v>27669</v>
      </c>
      <c r="C6005" s="1059" t="s">
        <v>38</v>
      </c>
      <c r="D6005" s="1061">
        <v>3454.82</v>
      </c>
    </row>
    <row r="6006" spans="1:4" ht="9" customHeight="1" x14ac:dyDescent="0.25">
      <c r="A6006" s="1059">
        <v>6106319</v>
      </c>
      <c r="B6006" s="1060" t="s">
        <v>27670</v>
      </c>
      <c r="C6006" s="1059" t="s">
        <v>38</v>
      </c>
      <c r="D6006" s="1061">
        <v>7432.25</v>
      </c>
    </row>
    <row r="6007" spans="1:4" ht="9" customHeight="1" x14ac:dyDescent="0.25">
      <c r="A6007" s="1059">
        <v>6106318</v>
      </c>
      <c r="B6007" s="1060" t="s">
        <v>27671</v>
      </c>
      <c r="C6007" s="1059" t="s">
        <v>38</v>
      </c>
      <c r="D6007" s="1061">
        <v>5311.53</v>
      </c>
    </row>
    <row r="6008" spans="1:4" ht="9" customHeight="1" x14ac:dyDescent="0.25">
      <c r="A6008" s="1059">
        <v>6106322</v>
      </c>
      <c r="B6008" s="1060" t="s">
        <v>27672</v>
      </c>
      <c r="C6008" s="1059" t="s">
        <v>38</v>
      </c>
      <c r="D6008" s="1061">
        <v>12494.93</v>
      </c>
    </row>
    <row r="6009" spans="1:4" ht="9" customHeight="1" x14ac:dyDescent="0.25">
      <c r="A6009" s="1059">
        <v>6106321</v>
      </c>
      <c r="B6009" s="1060" t="s">
        <v>27673</v>
      </c>
      <c r="C6009" s="1059" t="s">
        <v>38</v>
      </c>
      <c r="D6009" s="1061">
        <v>9354.74</v>
      </c>
    </row>
    <row r="6010" spans="1:4" ht="9" customHeight="1" x14ac:dyDescent="0.25">
      <c r="A6010" s="1059">
        <v>6106222</v>
      </c>
      <c r="B6010" s="1060" t="s">
        <v>27674</v>
      </c>
      <c r="C6010" s="1059" t="s">
        <v>38</v>
      </c>
      <c r="D6010" s="1061">
        <v>328.23</v>
      </c>
    </row>
    <row r="6011" spans="1:4" ht="9" customHeight="1" x14ac:dyDescent="0.25">
      <c r="A6011" s="1059">
        <v>6106221</v>
      </c>
      <c r="B6011" s="1060" t="s">
        <v>27675</v>
      </c>
      <c r="C6011" s="1059" t="s">
        <v>38</v>
      </c>
      <c r="D6011" s="1061">
        <v>281.33999999999997</v>
      </c>
    </row>
    <row r="6012" spans="1:4" ht="9" customHeight="1" x14ac:dyDescent="0.25">
      <c r="A6012" s="1059">
        <v>6106224</v>
      </c>
      <c r="B6012" s="1060" t="s">
        <v>27676</v>
      </c>
      <c r="C6012" s="1059" t="s">
        <v>38</v>
      </c>
      <c r="D6012" s="1061">
        <v>688.53</v>
      </c>
    </row>
    <row r="6013" spans="1:4" ht="9" customHeight="1" x14ac:dyDescent="0.25">
      <c r="A6013" s="1059">
        <v>6106225</v>
      </c>
      <c r="B6013" s="1060" t="s">
        <v>27677</v>
      </c>
      <c r="C6013" s="1059" t="s">
        <v>38</v>
      </c>
      <c r="D6013" s="1061">
        <v>763.4</v>
      </c>
    </row>
    <row r="6014" spans="1:4" ht="9" customHeight="1" x14ac:dyDescent="0.25">
      <c r="A6014" s="1059">
        <v>6106228</v>
      </c>
      <c r="B6014" s="1060" t="s">
        <v>27678</v>
      </c>
      <c r="C6014" s="1059" t="s">
        <v>38</v>
      </c>
      <c r="D6014" s="1061">
        <v>1709.63</v>
      </c>
    </row>
    <row r="6015" spans="1:4" ht="9" customHeight="1" x14ac:dyDescent="0.25">
      <c r="A6015" s="1059">
        <v>6106229</v>
      </c>
      <c r="B6015" s="1060" t="s">
        <v>27679</v>
      </c>
      <c r="C6015" s="1059" t="s">
        <v>38</v>
      </c>
      <c r="D6015" s="1061">
        <v>1821.54</v>
      </c>
    </row>
    <row r="6016" spans="1:4" ht="9" customHeight="1" x14ac:dyDescent="0.25">
      <c r="A6016" s="1059">
        <v>6106328</v>
      </c>
      <c r="B6016" s="1060" t="s">
        <v>27680</v>
      </c>
      <c r="C6016" s="1059" t="s">
        <v>38</v>
      </c>
      <c r="D6016" s="1061">
        <v>137.44</v>
      </c>
    </row>
    <row r="6017" spans="1:4" ht="9" customHeight="1" x14ac:dyDescent="0.25">
      <c r="A6017" s="1059">
        <v>6106330</v>
      </c>
      <c r="B6017" s="1060" t="s">
        <v>27681</v>
      </c>
      <c r="C6017" s="1059" t="s">
        <v>38</v>
      </c>
      <c r="D6017" s="1061">
        <v>683.25</v>
      </c>
    </row>
    <row r="6018" spans="1:4" ht="9" customHeight="1" x14ac:dyDescent="0.25">
      <c r="A6018" s="1059">
        <v>6106326</v>
      </c>
      <c r="B6018" s="1060" t="s">
        <v>27682</v>
      </c>
      <c r="C6018" s="1059" t="s">
        <v>38</v>
      </c>
      <c r="D6018" s="1061">
        <v>56.72</v>
      </c>
    </row>
    <row r="6019" spans="1:4" ht="9" customHeight="1" x14ac:dyDescent="0.25">
      <c r="A6019" s="1059">
        <v>6106324</v>
      </c>
      <c r="B6019" s="1060" t="s">
        <v>27683</v>
      </c>
      <c r="C6019" s="1059" t="s">
        <v>38</v>
      </c>
      <c r="D6019" s="1061">
        <v>35.56</v>
      </c>
    </row>
    <row r="6020" spans="1:4" ht="9" customHeight="1" x14ac:dyDescent="0.25">
      <c r="A6020" s="1059">
        <v>6106327</v>
      </c>
      <c r="B6020" s="1060" t="s">
        <v>27684</v>
      </c>
      <c r="C6020" s="1059" t="s">
        <v>38</v>
      </c>
      <c r="D6020" s="1061">
        <v>137.38999999999999</v>
      </c>
    </row>
    <row r="6021" spans="1:4" ht="9" customHeight="1" x14ac:dyDescent="0.25">
      <c r="A6021" s="1059">
        <v>6106329</v>
      </c>
      <c r="B6021" s="1060" t="s">
        <v>27685</v>
      </c>
      <c r="C6021" s="1059" t="s">
        <v>38</v>
      </c>
      <c r="D6021" s="1061">
        <v>684.1</v>
      </c>
    </row>
    <row r="6022" spans="1:4" ht="9" customHeight="1" x14ac:dyDescent="0.25">
      <c r="A6022" s="1059">
        <v>6106325</v>
      </c>
      <c r="B6022" s="1060" t="s">
        <v>27686</v>
      </c>
      <c r="C6022" s="1059" t="s">
        <v>38</v>
      </c>
      <c r="D6022" s="1061">
        <v>56.85</v>
      </c>
    </row>
    <row r="6023" spans="1:4" ht="9" customHeight="1" x14ac:dyDescent="0.25">
      <c r="A6023" s="1059">
        <v>6208126</v>
      </c>
      <c r="B6023" s="1060" t="s">
        <v>27687</v>
      </c>
      <c r="C6023" s="1059" t="s">
        <v>6</v>
      </c>
      <c r="D6023" s="1061">
        <v>21.33</v>
      </c>
    </row>
    <row r="6024" spans="1:4" ht="9" customHeight="1" x14ac:dyDescent="0.25">
      <c r="A6024" s="1059">
        <v>6205797</v>
      </c>
      <c r="B6024" s="1060" t="s">
        <v>27688</v>
      </c>
      <c r="C6024" s="1059" t="s">
        <v>6</v>
      </c>
      <c r="D6024" s="1061">
        <v>12.59</v>
      </c>
    </row>
    <row r="6025" spans="1:4" ht="9" customHeight="1" x14ac:dyDescent="0.25">
      <c r="A6025" s="1059">
        <v>6205791</v>
      </c>
      <c r="B6025" s="1060" t="s">
        <v>27689</v>
      </c>
      <c r="C6025" s="1059" t="s">
        <v>2</v>
      </c>
      <c r="D6025" s="1061">
        <v>321.95999999999998</v>
      </c>
    </row>
    <row r="6026" spans="1:4" ht="9" customHeight="1" x14ac:dyDescent="0.25">
      <c r="A6026" s="1059">
        <v>6205792</v>
      </c>
      <c r="B6026" s="1060" t="s">
        <v>27690</v>
      </c>
      <c r="C6026" s="1059" t="s">
        <v>2</v>
      </c>
      <c r="D6026" s="1061">
        <v>387.7</v>
      </c>
    </row>
    <row r="6027" spans="1:4" ht="9" customHeight="1" x14ac:dyDescent="0.25">
      <c r="A6027" s="1059">
        <v>6205793</v>
      </c>
      <c r="B6027" s="1060" t="s">
        <v>27691</v>
      </c>
      <c r="C6027" s="1059" t="s">
        <v>2</v>
      </c>
      <c r="D6027" s="1061">
        <v>457.43</v>
      </c>
    </row>
    <row r="6028" spans="1:4" ht="9" customHeight="1" x14ac:dyDescent="0.25">
      <c r="A6028" s="1059">
        <v>6205796</v>
      </c>
      <c r="B6028" s="1060" t="s">
        <v>27692</v>
      </c>
      <c r="C6028" s="1059" t="s">
        <v>2</v>
      </c>
      <c r="D6028" s="1061">
        <v>821.68</v>
      </c>
    </row>
    <row r="6029" spans="1:4" ht="9" customHeight="1" x14ac:dyDescent="0.25">
      <c r="A6029" s="1059">
        <v>6219451</v>
      </c>
      <c r="B6029" s="1060" t="s">
        <v>27693</v>
      </c>
      <c r="C6029" s="1059" t="s">
        <v>2</v>
      </c>
      <c r="D6029" s="1061">
        <v>887.33</v>
      </c>
    </row>
    <row r="6030" spans="1:4" ht="9" customHeight="1" x14ac:dyDescent="0.25">
      <c r="A6030" s="1059">
        <v>6219452</v>
      </c>
      <c r="B6030" s="1060" t="s">
        <v>27694</v>
      </c>
      <c r="C6030" s="1059" t="s">
        <v>2</v>
      </c>
      <c r="D6030" s="1061">
        <v>956.97</v>
      </c>
    </row>
    <row r="6031" spans="1:4" ht="9" customHeight="1" x14ac:dyDescent="0.25">
      <c r="A6031" s="1059">
        <v>6205794</v>
      </c>
      <c r="B6031" s="1060" t="s">
        <v>27695</v>
      </c>
      <c r="C6031" s="1059" t="s">
        <v>2</v>
      </c>
      <c r="D6031" s="1061">
        <v>702.33</v>
      </c>
    </row>
    <row r="6032" spans="1:4" ht="9" customHeight="1" x14ac:dyDescent="0.25">
      <c r="A6032" s="1059">
        <v>6205795</v>
      </c>
      <c r="B6032" s="1060" t="s">
        <v>27696</v>
      </c>
      <c r="C6032" s="1059" t="s">
        <v>2</v>
      </c>
      <c r="D6032" s="1061">
        <v>760.02</v>
      </c>
    </row>
    <row r="6033" spans="1:4" ht="9" customHeight="1" x14ac:dyDescent="0.25">
      <c r="A6033" s="1059">
        <v>6219521</v>
      </c>
      <c r="B6033" s="1060" t="s">
        <v>27697</v>
      </c>
      <c r="C6033" s="1059" t="s">
        <v>38</v>
      </c>
      <c r="D6033" s="1061">
        <v>160.46</v>
      </c>
    </row>
    <row r="6034" spans="1:4" ht="18" customHeight="1" x14ac:dyDescent="0.25">
      <c r="A6034" s="1059">
        <v>6219527</v>
      </c>
      <c r="B6034" s="1060" t="s">
        <v>27698</v>
      </c>
      <c r="C6034" s="1059" t="s">
        <v>39</v>
      </c>
      <c r="D6034" s="1061">
        <v>409.47</v>
      </c>
    </row>
    <row r="6035" spans="1:4" ht="9" customHeight="1" x14ac:dyDescent="0.25">
      <c r="A6035" s="1059">
        <v>6219526</v>
      </c>
      <c r="B6035" s="1060" t="s">
        <v>27699</v>
      </c>
      <c r="C6035" s="1059" t="s">
        <v>2</v>
      </c>
      <c r="D6035" s="1061">
        <v>58.08</v>
      </c>
    </row>
    <row r="6036" spans="1:4" ht="9" customHeight="1" x14ac:dyDescent="0.25">
      <c r="A6036" s="1059">
        <v>6219525</v>
      </c>
      <c r="B6036" s="1060" t="s">
        <v>27700</v>
      </c>
      <c r="C6036" s="1059" t="s">
        <v>2</v>
      </c>
      <c r="D6036" s="1061">
        <v>54.09</v>
      </c>
    </row>
    <row r="6037" spans="1:4" ht="9" customHeight="1" x14ac:dyDescent="0.25">
      <c r="A6037" s="1059">
        <v>6219508</v>
      </c>
      <c r="B6037" s="1060" t="s">
        <v>27701</v>
      </c>
      <c r="C6037" s="1059" t="s">
        <v>2</v>
      </c>
      <c r="D6037" s="1061">
        <v>347.27</v>
      </c>
    </row>
    <row r="6038" spans="1:4" ht="9" customHeight="1" x14ac:dyDescent="0.25">
      <c r="A6038" s="1059">
        <v>6219511</v>
      </c>
      <c r="B6038" s="1060" t="s">
        <v>27702</v>
      </c>
      <c r="C6038" s="1059" t="s">
        <v>2</v>
      </c>
      <c r="D6038" s="1061">
        <v>279.10000000000002</v>
      </c>
    </row>
    <row r="6039" spans="1:4" ht="9" customHeight="1" x14ac:dyDescent="0.25">
      <c r="A6039" s="1059">
        <v>6219500</v>
      </c>
      <c r="B6039" s="1060" t="s">
        <v>27703</v>
      </c>
      <c r="C6039" s="1059" t="s">
        <v>38</v>
      </c>
      <c r="D6039" s="1061">
        <v>132.26</v>
      </c>
    </row>
    <row r="6040" spans="1:4" ht="9" customHeight="1" x14ac:dyDescent="0.25">
      <c r="A6040" s="1059">
        <v>6219418</v>
      </c>
      <c r="B6040" s="1060" t="s">
        <v>27704</v>
      </c>
      <c r="C6040" s="1059" t="s">
        <v>38</v>
      </c>
      <c r="D6040" s="1061">
        <v>285.07</v>
      </c>
    </row>
    <row r="6041" spans="1:4" ht="9" customHeight="1" x14ac:dyDescent="0.25">
      <c r="A6041" s="1059">
        <v>6219412</v>
      </c>
      <c r="B6041" s="1060" t="s">
        <v>27705</v>
      </c>
      <c r="C6041" s="1059" t="s">
        <v>38</v>
      </c>
      <c r="D6041" s="1061">
        <v>200.93</v>
      </c>
    </row>
    <row r="6042" spans="1:4" ht="9" customHeight="1" x14ac:dyDescent="0.25">
      <c r="A6042" s="1059">
        <v>6219406</v>
      </c>
      <c r="B6042" s="1060" t="s">
        <v>27706</v>
      </c>
      <c r="C6042" s="1059" t="s">
        <v>38</v>
      </c>
      <c r="D6042" s="1061">
        <v>141.93</v>
      </c>
    </row>
    <row r="6043" spans="1:4" ht="9" customHeight="1" x14ac:dyDescent="0.25">
      <c r="A6043" s="1059">
        <v>6219501</v>
      </c>
      <c r="B6043" s="1060" t="s">
        <v>27707</v>
      </c>
      <c r="C6043" s="1059" t="s">
        <v>38</v>
      </c>
      <c r="D6043" s="1061">
        <v>142.99</v>
      </c>
    </row>
    <row r="6044" spans="1:4" ht="9" customHeight="1" x14ac:dyDescent="0.25">
      <c r="A6044" s="1059">
        <v>6219419</v>
      </c>
      <c r="B6044" s="1060" t="s">
        <v>27708</v>
      </c>
      <c r="C6044" s="1059" t="s">
        <v>38</v>
      </c>
      <c r="D6044" s="1061">
        <v>313.55</v>
      </c>
    </row>
    <row r="6045" spans="1:4" ht="9" customHeight="1" x14ac:dyDescent="0.25">
      <c r="A6045" s="1059">
        <v>6219413</v>
      </c>
      <c r="B6045" s="1060" t="s">
        <v>27709</v>
      </c>
      <c r="C6045" s="1059" t="s">
        <v>38</v>
      </c>
      <c r="D6045" s="1061">
        <v>219.22</v>
      </c>
    </row>
    <row r="6046" spans="1:4" ht="9" customHeight="1" x14ac:dyDescent="0.25">
      <c r="A6046" s="1059">
        <v>6219407</v>
      </c>
      <c r="B6046" s="1060" t="s">
        <v>27710</v>
      </c>
      <c r="C6046" s="1059" t="s">
        <v>38</v>
      </c>
      <c r="D6046" s="1061">
        <v>153.63</v>
      </c>
    </row>
    <row r="6047" spans="1:4" ht="9" customHeight="1" x14ac:dyDescent="0.25">
      <c r="A6047" s="1059">
        <v>6219502</v>
      </c>
      <c r="B6047" s="1060" t="s">
        <v>27711</v>
      </c>
      <c r="C6047" s="1059" t="s">
        <v>38</v>
      </c>
      <c r="D6047" s="1061">
        <v>154.06</v>
      </c>
    </row>
    <row r="6048" spans="1:4" ht="9" customHeight="1" x14ac:dyDescent="0.25">
      <c r="A6048" s="1059">
        <v>6219420</v>
      </c>
      <c r="B6048" s="1060" t="s">
        <v>27712</v>
      </c>
      <c r="C6048" s="1059" t="s">
        <v>38</v>
      </c>
      <c r="D6048" s="1061">
        <v>350.63</v>
      </c>
    </row>
    <row r="6049" spans="1:4" ht="9" customHeight="1" x14ac:dyDescent="0.25">
      <c r="A6049" s="1059">
        <v>6219414</v>
      </c>
      <c r="B6049" s="1060" t="s">
        <v>27713</v>
      </c>
      <c r="C6049" s="1059" t="s">
        <v>38</v>
      </c>
      <c r="D6049" s="1061">
        <v>240.69</v>
      </c>
    </row>
    <row r="6050" spans="1:4" ht="9" customHeight="1" x14ac:dyDescent="0.25">
      <c r="A6050" s="1059">
        <v>6219408</v>
      </c>
      <c r="B6050" s="1060" t="s">
        <v>27714</v>
      </c>
      <c r="C6050" s="1059" t="s">
        <v>38</v>
      </c>
      <c r="D6050" s="1061">
        <v>165.57</v>
      </c>
    </row>
    <row r="6051" spans="1:4" ht="9" customHeight="1" x14ac:dyDescent="0.25">
      <c r="A6051" s="1059">
        <v>6219503</v>
      </c>
      <c r="B6051" s="1060" t="s">
        <v>27715</v>
      </c>
      <c r="C6051" s="1059" t="s">
        <v>38</v>
      </c>
      <c r="D6051" s="1061">
        <v>178.01</v>
      </c>
    </row>
    <row r="6052" spans="1:4" ht="9" customHeight="1" x14ac:dyDescent="0.25">
      <c r="A6052" s="1059">
        <v>6219421</v>
      </c>
      <c r="B6052" s="1060" t="s">
        <v>27716</v>
      </c>
      <c r="C6052" s="1059" t="s">
        <v>38</v>
      </c>
      <c r="D6052" s="1061">
        <v>416.31</v>
      </c>
    </row>
    <row r="6053" spans="1:4" ht="9" customHeight="1" x14ac:dyDescent="0.25">
      <c r="A6053" s="1059">
        <v>6219415</v>
      </c>
      <c r="B6053" s="1060" t="s">
        <v>27717</v>
      </c>
      <c r="C6053" s="1059" t="s">
        <v>38</v>
      </c>
      <c r="D6053" s="1061">
        <v>280.73</v>
      </c>
    </row>
    <row r="6054" spans="1:4" ht="9" customHeight="1" x14ac:dyDescent="0.25">
      <c r="A6054" s="1059">
        <v>6219409</v>
      </c>
      <c r="B6054" s="1060" t="s">
        <v>27718</v>
      </c>
      <c r="C6054" s="1059" t="s">
        <v>38</v>
      </c>
      <c r="D6054" s="1061">
        <v>192.69</v>
      </c>
    </row>
    <row r="6055" spans="1:4" ht="9" customHeight="1" x14ac:dyDescent="0.25">
      <c r="A6055" s="1059">
        <v>6219518</v>
      </c>
      <c r="B6055" s="1060" t="s">
        <v>27719</v>
      </c>
      <c r="C6055" s="1059" t="s">
        <v>38</v>
      </c>
      <c r="D6055" s="1061">
        <v>51.71</v>
      </c>
    </row>
    <row r="6056" spans="1:4" ht="9" customHeight="1" x14ac:dyDescent="0.25">
      <c r="A6056" s="1059">
        <v>6219504</v>
      </c>
      <c r="B6056" s="1060" t="s">
        <v>27720</v>
      </c>
      <c r="C6056" s="1059" t="s">
        <v>38</v>
      </c>
      <c r="D6056" s="1061">
        <v>118.34</v>
      </c>
    </row>
    <row r="6057" spans="1:4" ht="9" customHeight="1" x14ac:dyDescent="0.25">
      <c r="A6057" s="1059">
        <v>6219422</v>
      </c>
      <c r="B6057" s="1060" t="s">
        <v>27721</v>
      </c>
      <c r="C6057" s="1059" t="s">
        <v>38</v>
      </c>
      <c r="D6057" s="1061">
        <v>262.86</v>
      </c>
    </row>
    <row r="6058" spans="1:4" ht="9" customHeight="1" x14ac:dyDescent="0.25">
      <c r="A6058" s="1059">
        <v>6219416</v>
      </c>
      <c r="B6058" s="1060" t="s">
        <v>27722</v>
      </c>
      <c r="C6058" s="1059" t="s">
        <v>38</v>
      </c>
      <c r="D6058" s="1061">
        <v>202.07</v>
      </c>
    </row>
    <row r="6059" spans="1:4" ht="9" customHeight="1" x14ac:dyDescent="0.25">
      <c r="A6059" s="1059">
        <v>6219410</v>
      </c>
      <c r="B6059" s="1060" t="s">
        <v>27723</v>
      </c>
      <c r="C6059" s="1059" t="s">
        <v>38</v>
      </c>
      <c r="D6059" s="1061">
        <v>141.12</v>
      </c>
    </row>
    <row r="6060" spans="1:4" ht="9" customHeight="1" x14ac:dyDescent="0.25">
      <c r="A6060" s="1059">
        <v>6219505</v>
      </c>
      <c r="B6060" s="1060" t="s">
        <v>27724</v>
      </c>
      <c r="C6060" s="1059" t="s">
        <v>38</v>
      </c>
      <c r="D6060" s="1061">
        <v>98.75</v>
      </c>
    </row>
    <row r="6061" spans="1:4" ht="9" customHeight="1" x14ac:dyDescent="0.25">
      <c r="A6061" s="1059">
        <v>6219423</v>
      </c>
      <c r="B6061" s="1060" t="s">
        <v>27725</v>
      </c>
      <c r="C6061" s="1059" t="s">
        <v>38</v>
      </c>
      <c r="D6061" s="1061">
        <v>231.52</v>
      </c>
    </row>
    <row r="6062" spans="1:4" ht="9" customHeight="1" x14ac:dyDescent="0.25">
      <c r="A6062" s="1059">
        <v>6219417</v>
      </c>
      <c r="B6062" s="1060" t="s">
        <v>27726</v>
      </c>
      <c r="C6062" s="1059" t="s">
        <v>38</v>
      </c>
      <c r="D6062" s="1061">
        <v>175.53</v>
      </c>
    </row>
    <row r="6063" spans="1:4" ht="9" customHeight="1" x14ac:dyDescent="0.25">
      <c r="A6063" s="1059">
        <v>6219411</v>
      </c>
      <c r="B6063" s="1060" t="s">
        <v>27727</v>
      </c>
      <c r="C6063" s="1059" t="s">
        <v>38</v>
      </c>
      <c r="D6063" s="1061">
        <v>119.5</v>
      </c>
    </row>
    <row r="6064" spans="1:4" ht="9" customHeight="1" x14ac:dyDescent="0.25">
      <c r="A6064" s="1059">
        <v>6219520</v>
      </c>
      <c r="B6064" s="1060" t="s">
        <v>27728</v>
      </c>
      <c r="C6064" s="1059" t="s">
        <v>39</v>
      </c>
      <c r="D6064" s="1061">
        <v>55.31</v>
      </c>
    </row>
    <row r="6065" spans="1:4" ht="9" customHeight="1" x14ac:dyDescent="0.25">
      <c r="A6065" s="1059">
        <v>6219433</v>
      </c>
      <c r="B6065" s="1060" t="s">
        <v>27729</v>
      </c>
      <c r="C6065" s="1059" t="s">
        <v>2</v>
      </c>
      <c r="D6065" s="1061">
        <v>110.64</v>
      </c>
    </row>
    <row r="6066" spans="1:4" ht="9" customHeight="1" x14ac:dyDescent="0.25">
      <c r="A6066" s="1059">
        <v>6205801</v>
      </c>
      <c r="B6066" s="1060" t="s">
        <v>27730</v>
      </c>
      <c r="C6066" s="1059" t="s">
        <v>2</v>
      </c>
      <c r="D6066" s="1061">
        <v>75.5</v>
      </c>
    </row>
    <row r="6067" spans="1:4" ht="9" customHeight="1" x14ac:dyDescent="0.25">
      <c r="A6067" s="1059">
        <v>6219524</v>
      </c>
      <c r="B6067" s="1060" t="s">
        <v>27731</v>
      </c>
      <c r="C6067" s="1059" t="s">
        <v>3</v>
      </c>
      <c r="D6067" s="1061">
        <v>11.03</v>
      </c>
    </row>
    <row r="6068" spans="1:4" ht="9" customHeight="1" x14ac:dyDescent="0.25">
      <c r="A6068" s="1059">
        <v>6416036</v>
      </c>
      <c r="B6068" s="1060" t="s">
        <v>27732</v>
      </c>
      <c r="C6068" s="1059" t="s">
        <v>38</v>
      </c>
      <c r="D6068" s="1061">
        <v>138.01</v>
      </c>
    </row>
    <row r="6069" spans="1:4" ht="9" customHeight="1" x14ac:dyDescent="0.25">
      <c r="A6069" s="1059">
        <v>6416038</v>
      </c>
      <c r="B6069" s="1060" t="s">
        <v>27733</v>
      </c>
      <c r="C6069" s="1059" t="s">
        <v>38</v>
      </c>
      <c r="D6069" s="1061">
        <v>68.23</v>
      </c>
    </row>
    <row r="6070" spans="1:4" ht="9" customHeight="1" x14ac:dyDescent="0.25">
      <c r="A6070" s="1059">
        <v>6416037</v>
      </c>
      <c r="B6070" s="1060" t="s">
        <v>27734</v>
      </c>
      <c r="C6070" s="1059" t="s">
        <v>38</v>
      </c>
      <c r="D6070" s="1061">
        <v>147.91</v>
      </c>
    </row>
    <row r="6071" spans="1:4" ht="9" customHeight="1" x14ac:dyDescent="0.25">
      <c r="A6071" s="1059">
        <v>6416035</v>
      </c>
      <c r="B6071" s="1060" t="s">
        <v>27735</v>
      </c>
      <c r="C6071" s="1059" t="s">
        <v>38</v>
      </c>
      <c r="D6071" s="1061">
        <v>77.91</v>
      </c>
    </row>
    <row r="6072" spans="1:4" ht="9" customHeight="1" x14ac:dyDescent="0.25">
      <c r="A6072" s="1059">
        <v>6416076</v>
      </c>
      <c r="B6072" s="1060" t="s">
        <v>27736</v>
      </c>
      <c r="C6072" s="1059" t="s">
        <v>25896</v>
      </c>
      <c r="D6072" s="1061">
        <v>182.1</v>
      </c>
    </row>
    <row r="6073" spans="1:4" ht="9" customHeight="1" x14ac:dyDescent="0.25">
      <c r="A6073" s="1059">
        <v>6416075</v>
      </c>
      <c r="B6073" s="1060" t="s">
        <v>27737</v>
      </c>
      <c r="C6073" s="1059" t="s">
        <v>25896</v>
      </c>
      <c r="D6073" s="1061">
        <v>106.22</v>
      </c>
    </row>
    <row r="6074" spans="1:4" ht="9" customHeight="1" x14ac:dyDescent="0.25">
      <c r="A6074" s="1059">
        <v>6416226</v>
      </c>
      <c r="B6074" s="1060" t="s">
        <v>27738</v>
      </c>
      <c r="C6074" s="1059" t="s">
        <v>25896</v>
      </c>
      <c r="D6074" s="1061">
        <v>173.32</v>
      </c>
    </row>
    <row r="6075" spans="1:4" ht="9" customHeight="1" x14ac:dyDescent="0.25">
      <c r="A6075" s="1059">
        <v>6416225</v>
      </c>
      <c r="B6075" s="1060" t="s">
        <v>27739</v>
      </c>
      <c r="C6075" s="1059" t="s">
        <v>25896</v>
      </c>
      <c r="D6075" s="1061">
        <v>95.77</v>
      </c>
    </row>
    <row r="6076" spans="1:4" ht="9" customHeight="1" x14ac:dyDescent="0.25">
      <c r="A6076" s="1059">
        <v>6416084</v>
      </c>
      <c r="B6076" s="1060" t="s">
        <v>27740</v>
      </c>
      <c r="C6076" s="1059" t="s">
        <v>25896</v>
      </c>
      <c r="D6076" s="1061">
        <v>176.21</v>
      </c>
    </row>
    <row r="6077" spans="1:4" ht="9" customHeight="1" x14ac:dyDescent="0.25">
      <c r="A6077" s="1059">
        <v>6416083</v>
      </c>
      <c r="B6077" s="1060" t="s">
        <v>27741</v>
      </c>
      <c r="C6077" s="1059" t="s">
        <v>25896</v>
      </c>
      <c r="D6077" s="1061">
        <v>96.47</v>
      </c>
    </row>
    <row r="6078" spans="1:4" ht="9" customHeight="1" x14ac:dyDescent="0.25">
      <c r="A6078" s="1059">
        <v>6416234</v>
      </c>
      <c r="B6078" s="1060" t="s">
        <v>27742</v>
      </c>
      <c r="C6078" s="1059" t="s">
        <v>25896</v>
      </c>
      <c r="D6078" s="1061">
        <v>181.04</v>
      </c>
    </row>
    <row r="6079" spans="1:4" ht="9" customHeight="1" x14ac:dyDescent="0.25">
      <c r="A6079" s="1059">
        <v>6416233</v>
      </c>
      <c r="B6079" s="1060" t="s">
        <v>27743</v>
      </c>
      <c r="C6079" s="1059" t="s">
        <v>25896</v>
      </c>
      <c r="D6079" s="1061">
        <v>102.73</v>
      </c>
    </row>
    <row r="6080" spans="1:4" ht="9" customHeight="1" x14ac:dyDescent="0.25">
      <c r="A6080" s="1059">
        <v>6416236</v>
      </c>
      <c r="B6080" s="1060" t="s">
        <v>27744</v>
      </c>
      <c r="C6080" s="1059" t="s">
        <v>25896</v>
      </c>
      <c r="D6080" s="1061">
        <v>184.17</v>
      </c>
    </row>
    <row r="6081" spans="1:4" ht="9" customHeight="1" x14ac:dyDescent="0.25">
      <c r="A6081" s="1059">
        <v>6416235</v>
      </c>
      <c r="B6081" s="1060" t="s">
        <v>27745</v>
      </c>
      <c r="C6081" s="1059" t="s">
        <v>25896</v>
      </c>
      <c r="D6081" s="1061">
        <v>106.87</v>
      </c>
    </row>
    <row r="6082" spans="1:4" ht="9" customHeight="1" x14ac:dyDescent="0.25">
      <c r="A6082" s="1059">
        <v>6416040</v>
      </c>
      <c r="B6082" s="1060" t="s">
        <v>27746</v>
      </c>
      <c r="C6082" s="1059" t="s">
        <v>38</v>
      </c>
      <c r="D6082" s="1061">
        <v>204.34</v>
      </c>
    </row>
    <row r="6083" spans="1:4" ht="9" customHeight="1" x14ac:dyDescent="0.25">
      <c r="A6083" s="1059">
        <v>6416039</v>
      </c>
      <c r="B6083" s="1060" t="s">
        <v>27747</v>
      </c>
      <c r="C6083" s="1059" t="s">
        <v>38</v>
      </c>
      <c r="D6083" s="1061">
        <v>92.78</v>
      </c>
    </row>
    <row r="6084" spans="1:4" ht="9" customHeight="1" x14ac:dyDescent="0.25">
      <c r="A6084" s="1059">
        <v>6416042</v>
      </c>
      <c r="B6084" s="1060" t="s">
        <v>27748</v>
      </c>
      <c r="C6084" s="1059" t="s">
        <v>38</v>
      </c>
      <c r="D6084" s="1061">
        <v>249.6</v>
      </c>
    </row>
    <row r="6085" spans="1:4" ht="9" customHeight="1" x14ac:dyDescent="0.25">
      <c r="A6085" s="1059">
        <v>6416041</v>
      </c>
      <c r="B6085" s="1060" t="s">
        <v>27749</v>
      </c>
      <c r="C6085" s="1059" t="s">
        <v>38</v>
      </c>
      <c r="D6085" s="1061">
        <v>137.80000000000001</v>
      </c>
    </row>
    <row r="6086" spans="1:4" ht="9" customHeight="1" x14ac:dyDescent="0.25">
      <c r="A6086" s="1059">
        <v>6416080</v>
      </c>
      <c r="B6086" s="1060" t="s">
        <v>27750</v>
      </c>
      <c r="C6086" s="1059" t="s">
        <v>25896</v>
      </c>
      <c r="D6086" s="1061">
        <v>175.17</v>
      </c>
    </row>
    <row r="6087" spans="1:4" ht="9" customHeight="1" x14ac:dyDescent="0.25">
      <c r="A6087" s="1059">
        <v>6416079</v>
      </c>
      <c r="B6087" s="1060" t="s">
        <v>27751</v>
      </c>
      <c r="C6087" s="1059" t="s">
        <v>25896</v>
      </c>
      <c r="D6087" s="1061">
        <v>117.23</v>
      </c>
    </row>
    <row r="6088" spans="1:4" ht="9" customHeight="1" x14ac:dyDescent="0.25">
      <c r="A6088" s="1059">
        <v>6416143</v>
      </c>
      <c r="B6088" s="1060" t="s">
        <v>27752</v>
      </c>
      <c r="C6088" s="1059" t="s">
        <v>25896</v>
      </c>
      <c r="D6088" s="1061">
        <v>179.9</v>
      </c>
    </row>
    <row r="6089" spans="1:4" ht="9" customHeight="1" x14ac:dyDescent="0.25">
      <c r="A6089" s="1059">
        <v>6416262</v>
      </c>
      <c r="B6089" s="1060" t="s">
        <v>27753</v>
      </c>
      <c r="C6089" s="1059" t="s">
        <v>25896</v>
      </c>
      <c r="D6089" s="1061">
        <v>119.58</v>
      </c>
    </row>
    <row r="6090" spans="1:4" ht="9" customHeight="1" x14ac:dyDescent="0.25">
      <c r="A6090" s="1059">
        <v>6416078</v>
      </c>
      <c r="B6090" s="1060" t="s">
        <v>27754</v>
      </c>
      <c r="C6090" s="1059" t="s">
        <v>25896</v>
      </c>
      <c r="D6090" s="1061">
        <v>183.12</v>
      </c>
    </row>
    <row r="6091" spans="1:4" ht="9" customHeight="1" x14ac:dyDescent="0.25">
      <c r="A6091" s="1059">
        <v>6416077</v>
      </c>
      <c r="B6091" s="1060" t="s">
        <v>27755</v>
      </c>
      <c r="C6091" s="1059" t="s">
        <v>25896</v>
      </c>
      <c r="D6091" s="1061">
        <v>117.75</v>
      </c>
    </row>
    <row r="6092" spans="1:4" ht="9" customHeight="1" x14ac:dyDescent="0.25">
      <c r="A6092" s="1059">
        <v>6416088</v>
      </c>
      <c r="B6092" s="1060" t="s">
        <v>27756</v>
      </c>
      <c r="C6092" s="1059" t="s">
        <v>25896</v>
      </c>
      <c r="D6092" s="1061">
        <v>178.05</v>
      </c>
    </row>
    <row r="6093" spans="1:4" ht="9" customHeight="1" x14ac:dyDescent="0.25">
      <c r="A6093" s="1059">
        <v>6416087</v>
      </c>
      <c r="B6093" s="1060" t="s">
        <v>27757</v>
      </c>
      <c r="C6093" s="1059" t="s">
        <v>25896</v>
      </c>
      <c r="D6093" s="1061">
        <v>117.45</v>
      </c>
    </row>
    <row r="6094" spans="1:4" ht="9" customHeight="1" x14ac:dyDescent="0.25">
      <c r="A6094" s="1059">
        <v>6416246</v>
      </c>
      <c r="B6094" s="1060" t="s">
        <v>27758</v>
      </c>
      <c r="C6094" s="1059" t="s">
        <v>25896</v>
      </c>
      <c r="D6094" s="1061">
        <v>180.41</v>
      </c>
    </row>
    <row r="6095" spans="1:4" ht="9" customHeight="1" x14ac:dyDescent="0.25">
      <c r="A6095" s="1059">
        <v>6416245</v>
      </c>
      <c r="B6095" s="1060" t="s">
        <v>27759</v>
      </c>
      <c r="C6095" s="1059" t="s">
        <v>25896</v>
      </c>
      <c r="D6095" s="1061">
        <v>119.81</v>
      </c>
    </row>
    <row r="6096" spans="1:4" ht="9" customHeight="1" x14ac:dyDescent="0.25">
      <c r="A6096" s="1059">
        <v>6416248</v>
      </c>
      <c r="B6096" s="1060" t="s">
        <v>27760</v>
      </c>
      <c r="C6096" s="1059" t="s">
        <v>25896</v>
      </c>
      <c r="D6096" s="1061">
        <v>189.02</v>
      </c>
    </row>
    <row r="6097" spans="1:4" ht="9" customHeight="1" x14ac:dyDescent="0.25">
      <c r="A6097" s="1059">
        <v>6416247</v>
      </c>
      <c r="B6097" s="1060" t="s">
        <v>27761</v>
      </c>
      <c r="C6097" s="1059" t="s">
        <v>25896</v>
      </c>
      <c r="D6097" s="1061">
        <v>121.88</v>
      </c>
    </row>
    <row r="6098" spans="1:4" ht="9" customHeight="1" x14ac:dyDescent="0.25">
      <c r="A6098" s="1059">
        <v>6416214</v>
      </c>
      <c r="B6098" s="1060" t="s">
        <v>27762</v>
      </c>
      <c r="C6098" s="1059" t="s">
        <v>25896</v>
      </c>
      <c r="D6098" s="1061">
        <v>215.74</v>
      </c>
    </row>
    <row r="6099" spans="1:4" ht="9" customHeight="1" x14ac:dyDescent="0.25">
      <c r="A6099" s="1059">
        <v>6416218</v>
      </c>
      <c r="B6099" s="1060" t="s">
        <v>27763</v>
      </c>
      <c r="C6099" s="1059" t="s">
        <v>25896</v>
      </c>
      <c r="D6099" s="1061">
        <v>167.56</v>
      </c>
    </row>
    <row r="6100" spans="1:4" ht="9" customHeight="1" x14ac:dyDescent="0.25">
      <c r="A6100" s="1059">
        <v>6416211</v>
      </c>
      <c r="B6100" s="1060" t="s">
        <v>27764</v>
      </c>
      <c r="C6100" s="1059" t="s">
        <v>25896</v>
      </c>
      <c r="D6100" s="1061">
        <v>211.81</v>
      </c>
    </row>
    <row r="6101" spans="1:4" ht="9" customHeight="1" x14ac:dyDescent="0.25">
      <c r="A6101" s="1059">
        <v>6416215</v>
      </c>
      <c r="B6101" s="1060" t="s">
        <v>27765</v>
      </c>
      <c r="C6101" s="1059" t="s">
        <v>25896</v>
      </c>
      <c r="D6101" s="1061">
        <v>168.08</v>
      </c>
    </row>
    <row r="6102" spans="1:4" ht="9" customHeight="1" x14ac:dyDescent="0.25">
      <c r="A6102" s="1059">
        <v>6416212</v>
      </c>
      <c r="B6102" s="1060" t="s">
        <v>27766</v>
      </c>
      <c r="C6102" s="1059" t="s">
        <v>25896</v>
      </c>
      <c r="D6102" s="1061">
        <v>215.64</v>
      </c>
    </row>
    <row r="6103" spans="1:4" ht="9" customHeight="1" x14ac:dyDescent="0.25">
      <c r="A6103" s="1059">
        <v>6416216</v>
      </c>
      <c r="B6103" s="1060" t="s">
        <v>27767</v>
      </c>
      <c r="C6103" s="1059" t="s">
        <v>25896</v>
      </c>
      <c r="D6103" s="1061">
        <v>171.81</v>
      </c>
    </row>
    <row r="6104" spans="1:4" ht="9" customHeight="1" x14ac:dyDescent="0.25">
      <c r="A6104" s="1059">
        <v>6416213</v>
      </c>
      <c r="B6104" s="1060" t="s">
        <v>27768</v>
      </c>
      <c r="C6104" s="1059" t="s">
        <v>25896</v>
      </c>
      <c r="D6104" s="1061">
        <v>217.11</v>
      </c>
    </row>
    <row r="6105" spans="1:4" ht="9" customHeight="1" x14ac:dyDescent="0.25">
      <c r="A6105" s="1059">
        <v>6416217</v>
      </c>
      <c r="B6105" s="1060" t="s">
        <v>27769</v>
      </c>
      <c r="C6105" s="1059" t="s">
        <v>25896</v>
      </c>
      <c r="D6105" s="1061">
        <v>173.66</v>
      </c>
    </row>
    <row r="6106" spans="1:4" ht="9" customHeight="1" x14ac:dyDescent="0.25">
      <c r="A6106" s="1059">
        <v>6416289</v>
      </c>
      <c r="B6106" s="1060" t="s">
        <v>27770</v>
      </c>
      <c r="C6106" s="1059" t="s">
        <v>38</v>
      </c>
      <c r="D6106" s="1061">
        <v>112.67</v>
      </c>
    </row>
    <row r="6107" spans="1:4" ht="9" customHeight="1" x14ac:dyDescent="0.25">
      <c r="A6107" s="1059">
        <v>6416098</v>
      </c>
      <c r="B6107" s="1060" t="s">
        <v>27771</v>
      </c>
      <c r="C6107" s="1059" t="s">
        <v>25896</v>
      </c>
      <c r="D6107" s="1061">
        <v>148.94999999999999</v>
      </c>
    </row>
    <row r="6108" spans="1:4" ht="9" customHeight="1" x14ac:dyDescent="0.25">
      <c r="A6108" s="1059">
        <v>6416097</v>
      </c>
      <c r="B6108" s="1060" t="s">
        <v>27772</v>
      </c>
      <c r="C6108" s="1059" t="s">
        <v>25896</v>
      </c>
      <c r="D6108" s="1061">
        <v>121.27</v>
      </c>
    </row>
    <row r="6109" spans="1:4" ht="9" customHeight="1" x14ac:dyDescent="0.25">
      <c r="A6109" s="1059">
        <v>6416258</v>
      </c>
      <c r="B6109" s="1060" t="s">
        <v>27773</v>
      </c>
      <c r="C6109" s="1059" t="s">
        <v>25896</v>
      </c>
      <c r="D6109" s="1061">
        <v>163.61000000000001</v>
      </c>
    </row>
    <row r="6110" spans="1:4" ht="9" customHeight="1" x14ac:dyDescent="0.25">
      <c r="A6110" s="1059">
        <v>6416259</v>
      </c>
      <c r="B6110" s="1060" t="s">
        <v>27774</v>
      </c>
      <c r="C6110" s="1059" t="s">
        <v>25896</v>
      </c>
      <c r="D6110" s="1061">
        <v>120.29</v>
      </c>
    </row>
    <row r="6111" spans="1:4" ht="9" customHeight="1" x14ac:dyDescent="0.25">
      <c r="A6111" s="1059">
        <v>6416074</v>
      </c>
      <c r="B6111" s="1060" t="s">
        <v>27775</v>
      </c>
      <c r="C6111" s="1059" t="s">
        <v>38</v>
      </c>
      <c r="D6111" s="1061">
        <v>242.81</v>
      </c>
    </row>
    <row r="6112" spans="1:4" ht="9" customHeight="1" x14ac:dyDescent="0.25">
      <c r="A6112" s="1059">
        <v>6416073</v>
      </c>
      <c r="B6112" s="1060" t="s">
        <v>27776</v>
      </c>
      <c r="C6112" s="1059" t="s">
        <v>38</v>
      </c>
      <c r="D6112" s="1061">
        <v>113.5</v>
      </c>
    </row>
    <row r="6113" spans="1:4" ht="9" customHeight="1" x14ac:dyDescent="0.25">
      <c r="A6113" s="1059">
        <v>6416220</v>
      </c>
      <c r="B6113" s="1060" t="s">
        <v>27777</v>
      </c>
      <c r="C6113" s="1059" t="s">
        <v>38</v>
      </c>
      <c r="D6113" s="1061">
        <v>251.85</v>
      </c>
    </row>
    <row r="6114" spans="1:4" ht="9" customHeight="1" x14ac:dyDescent="0.25">
      <c r="A6114" s="1059">
        <v>6416219</v>
      </c>
      <c r="B6114" s="1060" t="s">
        <v>27778</v>
      </c>
      <c r="C6114" s="1059" t="s">
        <v>38</v>
      </c>
      <c r="D6114" s="1061">
        <v>110.5</v>
      </c>
    </row>
    <row r="6115" spans="1:4" ht="9" customHeight="1" x14ac:dyDescent="0.25">
      <c r="A6115" s="1059">
        <v>6416222</v>
      </c>
      <c r="B6115" s="1060" t="s">
        <v>27779</v>
      </c>
      <c r="C6115" s="1059" t="s">
        <v>38</v>
      </c>
      <c r="D6115" s="1061">
        <v>257.60000000000002</v>
      </c>
    </row>
    <row r="6116" spans="1:4" ht="9" customHeight="1" x14ac:dyDescent="0.25">
      <c r="A6116" s="1059">
        <v>6416221</v>
      </c>
      <c r="B6116" s="1060" t="s">
        <v>27780</v>
      </c>
      <c r="C6116" s="1059" t="s">
        <v>38</v>
      </c>
      <c r="D6116" s="1061">
        <v>123.78</v>
      </c>
    </row>
    <row r="6117" spans="1:4" ht="9" customHeight="1" x14ac:dyDescent="0.25">
      <c r="A6117" s="1059">
        <v>6416224</v>
      </c>
      <c r="B6117" s="1060" t="s">
        <v>27781</v>
      </c>
      <c r="C6117" s="1059" t="s">
        <v>38</v>
      </c>
      <c r="D6117" s="1061">
        <v>267.45</v>
      </c>
    </row>
    <row r="6118" spans="1:4" ht="9" customHeight="1" x14ac:dyDescent="0.25">
      <c r="A6118" s="1059">
        <v>6416223</v>
      </c>
      <c r="B6118" s="1060" t="s">
        <v>27782</v>
      </c>
      <c r="C6118" s="1059" t="s">
        <v>38</v>
      </c>
      <c r="D6118" s="1061">
        <v>120.78</v>
      </c>
    </row>
    <row r="6119" spans="1:4" ht="9" customHeight="1" x14ac:dyDescent="0.25">
      <c r="A6119" s="1059">
        <v>6416082</v>
      </c>
      <c r="B6119" s="1060" t="s">
        <v>27783</v>
      </c>
      <c r="C6119" s="1059" t="s">
        <v>38</v>
      </c>
      <c r="D6119" s="1061">
        <v>242.81</v>
      </c>
    </row>
    <row r="6120" spans="1:4" ht="9" customHeight="1" x14ac:dyDescent="0.25">
      <c r="A6120" s="1059">
        <v>6416081</v>
      </c>
      <c r="B6120" s="1060" t="s">
        <v>27784</v>
      </c>
      <c r="C6120" s="1059" t="s">
        <v>38</v>
      </c>
      <c r="D6120" s="1061">
        <v>113.5</v>
      </c>
    </row>
    <row r="6121" spans="1:4" ht="9" customHeight="1" x14ac:dyDescent="0.25">
      <c r="A6121" s="1059">
        <v>6416228</v>
      </c>
      <c r="B6121" s="1060" t="s">
        <v>27785</v>
      </c>
      <c r="C6121" s="1059" t="s">
        <v>38</v>
      </c>
      <c r="D6121" s="1061">
        <v>251.85</v>
      </c>
    </row>
    <row r="6122" spans="1:4" ht="9" customHeight="1" x14ac:dyDescent="0.25">
      <c r="A6122" s="1059">
        <v>6416227</v>
      </c>
      <c r="B6122" s="1060" t="s">
        <v>27786</v>
      </c>
      <c r="C6122" s="1059" t="s">
        <v>38</v>
      </c>
      <c r="D6122" s="1061">
        <v>110.5</v>
      </c>
    </row>
    <row r="6123" spans="1:4" ht="9" customHeight="1" x14ac:dyDescent="0.25">
      <c r="A6123" s="1059">
        <v>6416230</v>
      </c>
      <c r="B6123" s="1060" t="s">
        <v>27787</v>
      </c>
      <c r="C6123" s="1059" t="s">
        <v>38</v>
      </c>
      <c r="D6123" s="1061">
        <v>256.45</v>
      </c>
    </row>
    <row r="6124" spans="1:4" ht="9" customHeight="1" x14ac:dyDescent="0.25">
      <c r="A6124" s="1059">
        <v>6416229</v>
      </c>
      <c r="B6124" s="1060" t="s">
        <v>27788</v>
      </c>
      <c r="C6124" s="1059" t="s">
        <v>38</v>
      </c>
      <c r="D6124" s="1061">
        <v>123.27</v>
      </c>
    </row>
    <row r="6125" spans="1:4" ht="9" customHeight="1" x14ac:dyDescent="0.25">
      <c r="A6125" s="1059">
        <v>6416232</v>
      </c>
      <c r="B6125" s="1060" t="s">
        <v>27789</v>
      </c>
      <c r="C6125" s="1059" t="s">
        <v>38</v>
      </c>
      <c r="D6125" s="1061">
        <v>266.26</v>
      </c>
    </row>
    <row r="6126" spans="1:4" ht="9" customHeight="1" x14ac:dyDescent="0.25">
      <c r="A6126" s="1059">
        <v>6416231</v>
      </c>
      <c r="B6126" s="1060" t="s">
        <v>27790</v>
      </c>
      <c r="C6126" s="1059" t="s">
        <v>38</v>
      </c>
      <c r="D6126" s="1061">
        <v>120.28</v>
      </c>
    </row>
    <row r="6127" spans="1:4" ht="9" customHeight="1" x14ac:dyDescent="0.25">
      <c r="A6127" s="1059">
        <v>6416086</v>
      </c>
      <c r="B6127" s="1060" t="s">
        <v>27791</v>
      </c>
      <c r="C6127" s="1059" t="s">
        <v>25896</v>
      </c>
      <c r="D6127" s="1061">
        <v>178.98</v>
      </c>
    </row>
    <row r="6128" spans="1:4" ht="18" customHeight="1" x14ac:dyDescent="0.25">
      <c r="A6128" s="1059">
        <v>6416085</v>
      </c>
      <c r="B6128" s="1060" t="s">
        <v>27792</v>
      </c>
      <c r="C6128" s="1059" t="s">
        <v>25896</v>
      </c>
      <c r="D6128" s="1061">
        <v>117.27</v>
      </c>
    </row>
    <row r="6129" spans="1:4" ht="9" customHeight="1" x14ac:dyDescent="0.25">
      <c r="A6129" s="1059">
        <v>6416238</v>
      </c>
      <c r="B6129" s="1060" t="s">
        <v>27793</v>
      </c>
      <c r="C6129" s="1059" t="s">
        <v>25896</v>
      </c>
      <c r="D6129" s="1061">
        <v>172.19</v>
      </c>
    </row>
    <row r="6130" spans="1:4" ht="18" customHeight="1" x14ac:dyDescent="0.25">
      <c r="A6130" s="1059">
        <v>6416237</v>
      </c>
      <c r="B6130" s="1060" t="s">
        <v>27794</v>
      </c>
      <c r="C6130" s="1059" t="s">
        <v>25896</v>
      </c>
      <c r="D6130" s="1061">
        <v>108.68</v>
      </c>
    </row>
    <row r="6131" spans="1:4" ht="9" customHeight="1" x14ac:dyDescent="0.25">
      <c r="A6131" s="1059">
        <v>6416240</v>
      </c>
      <c r="B6131" s="1060" t="s">
        <v>27795</v>
      </c>
      <c r="C6131" s="1059" t="s">
        <v>25896</v>
      </c>
      <c r="D6131" s="1061">
        <v>180.98</v>
      </c>
    </row>
    <row r="6132" spans="1:4" ht="18" customHeight="1" x14ac:dyDescent="0.25">
      <c r="A6132" s="1059">
        <v>6416239</v>
      </c>
      <c r="B6132" s="1060" t="s">
        <v>27796</v>
      </c>
      <c r="C6132" s="1059" t="s">
        <v>25896</v>
      </c>
      <c r="D6132" s="1061">
        <v>115.49</v>
      </c>
    </row>
    <row r="6133" spans="1:4" ht="9" customHeight="1" x14ac:dyDescent="0.25">
      <c r="A6133" s="1059">
        <v>6416242</v>
      </c>
      <c r="B6133" s="1060" t="s">
        <v>27797</v>
      </c>
      <c r="C6133" s="1059" t="s">
        <v>25896</v>
      </c>
      <c r="D6133" s="1061">
        <v>180.88</v>
      </c>
    </row>
    <row r="6134" spans="1:4" ht="18" customHeight="1" x14ac:dyDescent="0.25">
      <c r="A6134" s="1059">
        <v>6416241</v>
      </c>
      <c r="B6134" s="1060" t="s">
        <v>27798</v>
      </c>
      <c r="C6134" s="1059" t="s">
        <v>25896</v>
      </c>
      <c r="D6134" s="1061">
        <v>121.37</v>
      </c>
    </row>
    <row r="6135" spans="1:4" ht="9" customHeight="1" x14ac:dyDescent="0.25">
      <c r="A6135" s="1059">
        <v>6416244</v>
      </c>
      <c r="B6135" s="1060" t="s">
        <v>27799</v>
      </c>
      <c r="C6135" s="1059" t="s">
        <v>25896</v>
      </c>
      <c r="D6135" s="1061">
        <v>179.12</v>
      </c>
    </row>
    <row r="6136" spans="1:4" ht="18" customHeight="1" x14ac:dyDescent="0.25">
      <c r="A6136" s="1059">
        <v>6416243</v>
      </c>
      <c r="B6136" s="1060" t="s">
        <v>27800</v>
      </c>
      <c r="C6136" s="1059" t="s">
        <v>25896</v>
      </c>
      <c r="D6136" s="1061">
        <v>120.98</v>
      </c>
    </row>
    <row r="6137" spans="1:4" ht="9" customHeight="1" x14ac:dyDescent="0.25">
      <c r="A6137" s="1059">
        <v>6416250</v>
      </c>
      <c r="B6137" s="1060" t="s">
        <v>27801</v>
      </c>
      <c r="C6137" s="1059" t="s">
        <v>38</v>
      </c>
      <c r="D6137" s="1061">
        <v>71.41</v>
      </c>
    </row>
    <row r="6138" spans="1:4" ht="9" customHeight="1" x14ac:dyDescent="0.25">
      <c r="A6138" s="1059">
        <v>6416153</v>
      </c>
      <c r="B6138" s="1060" t="s">
        <v>27802</v>
      </c>
      <c r="C6138" s="1059" t="s">
        <v>38</v>
      </c>
      <c r="D6138" s="1061">
        <v>16.95</v>
      </c>
    </row>
    <row r="6139" spans="1:4" ht="9" customHeight="1" x14ac:dyDescent="0.25">
      <c r="A6139" s="1059">
        <v>6416185</v>
      </c>
      <c r="B6139" s="1060" t="s">
        <v>27803</v>
      </c>
      <c r="C6139" s="1059" t="s">
        <v>38</v>
      </c>
      <c r="D6139" s="1061">
        <v>100.58</v>
      </c>
    </row>
    <row r="6140" spans="1:4" ht="9" customHeight="1" x14ac:dyDescent="0.25">
      <c r="A6140" s="1059">
        <v>6416184</v>
      </c>
      <c r="B6140" s="1060" t="s">
        <v>27804</v>
      </c>
      <c r="C6140" s="1059" t="s">
        <v>38</v>
      </c>
      <c r="D6140" s="1061">
        <v>72.290000000000006</v>
      </c>
    </row>
    <row r="6141" spans="1:4" ht="9" customHeight="1" x14ac:dyDescent="0.25">
      <c r="A6141" s="1059">
        <v>6416030</v>
      </c>
      <c r="B6141" s="1060" t="s">
        <v>27805</v>
      </c>
      <c r="C6141" s="1059" t="s">
        <v>38</v>
      </c>
      <c r="D6141" s="1061">
        <v>63.08</v>
      </c>
    </row>
    <row r="6142" spans="1:4" ht="9" customHeight="1" x14ac:dyDescent="0.25">
      <c r="A6142" s="1059">
        <v>6416029</v>
      </c>
      <c r="B6142" s="1060" t="s">
        <v>27806</v>
      </c>
      <c r="C6142" s="1059" t="s">
        <v>38</v>
      </c>
      <c r="D6142" s="1061">
        <v>33.92</v>
      </c>
    </row>
    <row r="6143" spans="1:4" ht="9" customHeight="1" x14ac:dyDescent="0.25">
      <c r="A6143" s="1059">
        <v>6416056</v>
      </c>
      <c r="B6143" s="1060" t="s">
        <v>27807</v>
      </c>
      <c r="C6143" s="1059" t="s">
        <v>38</v>
      </c>
      <c r="D6143" s="1061">
        <v>90.85</v>
      </c>
    </row>
    <row r="6144" spans="1:4" ht="9" customHeight="1" x14ac:dyDescent="0.25">
      <c r="A6144" s="1059">
        <v>6416278</v>
      </c>
      <c r="B6144" s="1060" t="s">
        <v>27808</v>
      </c>
      <c r="C6144" s="1059" t="s">
        <v>38</v>
      </c>
      <c r="D6144" s="1061">
        <v>22.17</v>
      </c>
    </row>
    <row r="6145" spans="1:4" ht="9" customHeight="1" x14ac:dyDescent="0.25">
      <c r="A6145" s="1059">
        <v>6416047</v>
      </c>
      <c r="B6145" s="1060" t="s">
        <v>27809</v>
      </c>
      <c r="C6145" s="1059" t="s">
        <v>38</v>
      </c>
      <c r="D6145" s="1061">
        <v>45.71</v>
      </c>
    </row>
    <row r="6146" spans="1:4" ht="9" customHeight="1" x14ac:dyDescent="0.25">
      <c r="A6146" s="1059">
        <v>6416090</v>
      </c>
      <c r="B6146" s="1060" t="s">
        <v>27810</v>
      </c>
      <c r="C6146" s="1059" t="s">
        <v>38</v>
      </c>
      <c r="D6146" s="1061">
        <v>380.8</v>
      </c>
    </row>
    <row r="6147" spans="1:4" ht="9" customHeight="1" x14ac:dyDescent="0.25">
      <c r="A6147" s="1059">
        <v>6416089</v>
      </c>
      <c r="B6147" s="1060" t="s">
        <v>27811</v>
      </c>
      <c r="C6147" s="1059" t="s">
        <v>38</v>
      </c>
      <c r="D6147" s="1061">
        <v>262.57</v>
      </c>
    </row>
    <row r="6148" spans="1:4" ht="9" customHeight="1" x14ac:dyDescent="0.25">
      <c r="A6148" s="1059">
        <v>6416094</v>
      </c>
      <c r="B6148" s="1060" t="s">
        <v>27812</v>
      </c>
      <c r="C6148" s="1059" t="s">
        <v>38</v>
      </c>
      <c r="D6148" s="1061">
        <v>312.08</v>
      </c>
    </row>
    <row r="6149" spans="1:4" ht="9" customHeight="1" x14ac:dyDescent="0.25">
      <c r="A6149" s="1059">
        <v>6416093</v>
      </c>
      <c r="B6149" s="1060" t="s">
        <v>27813</v>
      </c>
      <c r="C6149" s="1059" t="s">
        <v>38</v>
      </c>
      <c r="D6149" s="1061">
        <v>205.84</v>
      </c>
    </row>
    <row r="6150" spans="1:4" ht="9" customHeight="1" x14ac:dyDescent="0.25">
      <c r="A6150" s="1059">
        <v>6416092</v>
      </c>
      <c r="B6150" s="1060" t="s">
        <v>27814</v>
      </c>
      <c r="C6150" s="1059" t="s">
        <v>38</v>
      </c>
      <c r="D6150" s="1061">
        <v>265.77</v>
      </c>
    </row>
    <row r="6151" spans="1:4" ht="9" customHeight="1" x14ac:dyDescent="0.25">
      <c r="A6151" s="1059">
        <v>6416091</v>
      </c>
      <c r="B6151" s="1060" t="s">
        <v>27815</v>
      </c>
      <c r="C6151" s="1059" t="s">
        <v>38</v>
      </c>
      <c r="D6151" s="1061">
        <v>154.71</v>
      </c>
    </row>
    <row r="6152" spans="1:4" ht="9" customHeight="1" x14ac:dyDescent="0.25">
      <c r="A6152" s="1059">
        <v>6817809</v>
      </c>
      <c r="B6152" s="1060" t="s">
        <v>27816</v>
      </c>
      <c r="C6152" s="1059" t="s">
        <v>2</v>
      </c>
      <c r="D6152" s="1061">
        <v>1055.04</v>
      </c>
    </row>
    <row r="6153" spans="1:4" ht="9" customHeight="1" x14ac:dyDescent="0.25">
      <c r="A6153" s="1059">
        <v>6817810</v>
      </c>
      <c r="B6153" s="1060" t="s">
        <v>27817</v>
      </c>
      <c r="C6153" s="1059" t="s">
        <v>2</v>
      </c>
      <c r="D6153" s="1061">
        <v>955.98</v>
      </c>
    </row>
    <row r="6154" spans="1:4" ht="9" customHeight="1" x14ac:dyDescent="0.25">
      <c r="A6154" s="1059">
        <v>6817811</v>
      </c>
      <c r="B6154" s="1060" t="s">
        <v>27818</v>
      </c>
      <c r="C6154" s="1059" t="s">
        <v>2</v>
      </c>
      <c r="D6154" s="1061">
        <v>1129.57</v>
      </c>
    </row>
    <row r="6155" spans="1:4" ht="9" customHeight="1" x14ac:dyDescent="0.25">
      <c r="A6155" s="1059">
        <v>6817812</v>
      </c>
      <c r="B6155" s="1060" t="s">
        <v>27819</v>
      </c>
      <c r="C6155" s="1059" t="s">
        <v>2</v>
      </c>
      <c r="D6155" s="1061">
        <v>1020.08</v>
      </c>
    </row>
    <row r="6156" spans="1:4" ht="9" customHeight="1" x14ac:dyDescent="0.25">
      <c r="A6156" s="1059">
        <v>6817813</v>
      </c>
      <c r="B6156" s="1060" t="s">
        <v>27820</v>
      </c>
      <c r="C6156" s="1059" t="s">
        <v>2</v>
      </c>
      <c r="D6156" s="1061">
        <v>1747.06</v>
      </c>
    </row>
    <row r="6157" spans="1:4" ht="9" customHeight="1" x14ac:dyDescent="0.25">
      <c r="A6157" s="1059">
        <v>6817814</v>
      </c>
      <c r="B6157" s="1060" t="s">
        <v>27821</v>
      </c>
      <c r="C6157" s="1059" t="s">
        <v>2</v>
      </c>
      <c r="D6157" s="1061">
        <v>1575.01</v>
      </c>
    </row>
    <row r="6158" spans="1:4" ht="9" customHeight="1" x14ac:dyDescent="0.25">
      <c r="A6158" s="1059">
        <v>6817815</v>
      </c>
      <c r="B6158" s="1060" t="s">
        <v>27822</v>
      </c>
      <c r="C6158" s="1059" t="s">
        <v>2</v>
      </c>
      <c r="D6158" s="1061">
        <v>1485.88</v>
      </c>
    </row>
    <row r="6159" spans="1:4" ht="9" customHeight="1" x14ac:dyDescent="0.25">
      <c r="A6159" s="1059">
        <v>6817816</v>
      </c>
      <c r="B6159" s="1060" t="s">
        <v>27823</v>
      </c>
      <c r="C6159" s="1059" t="s">
        <v>2</v>
      </c>
      <c r="D6159" s="1061">
        <v>1313.83</v>
      </c>
    </row>
    <row r="6160" spans="1:4" ht="9" customHeight="1" x14ac:dyDescent="0.25">
      <c r="A6160" s="1059">
        <v>6817817</v>
      </c>
      <c r="B6160" s="1060" t="s">
        <v>27824</v>
      </c>
      <c r="C6160" s="1059" t="s">
        <v>2</v>
      </c>
      <c r="D6160" s="1061">
        <v>1214.67</v>
      </c>
    </row>
    <row r="6161" spans="1:4" ht="9" customHeight="1" x14ac:dyDescent="0.25">
      <c r="A6161" s="1059">
        <v>6817818</v>
      </c>
      <c r="B6161" s="1060" t="s">
        <v>27825</v>
      </c>
      <c r="C6161" s="1059" t="s">
        <v>2</v>
      </c>
      <c r="D6161" s="1061">
        <v>1096.06</v>
      </c>
    </row>
    <row r="6162" spans="1:4" ht="9" customHeight="1" x14ac:dyDescent="0.25">
      <c r="A6162" s="1059">
        <v>6817819</v>
      </c>
      <c r="B6162" s="1060" t="s">
        <v>27826</v>
      </c>
      <c r="C6162" s="1059" t="s">
        <v>2</v>
      </c>
      <c r="D6162" s="1061">
        <v>1837.22</v>
      </c>
    </row>
    <row r="6163" spans="1:4" ht="9" customHeight="1" x14ac:dyDescent="0.25">
      <c r="A6163" s="1059">
        <v>6817820</v>
      </c>
      <c r="B6163" s="1060" t="s">
        <v>27827</v>
      </c>
      <c r="C6163" s="1059" t="s">
        <v>2</v>
      </c>
      <c r="D6163" s="1061">
        <v>1652.14</v>
      </c>
    </row>
    <row r="6164" spans="1:4" ht="9" customHeight="1" x14ac:dyDescent="0.25">
      <c r="A6164" s="1059">
        <v>6817821</v>
      </c>
      <c r="B6164" s="1060" t="s">
        <v>27828</v>
      </c>
      <c r="C6164" s="1059" t="s">
        <v>2</v>
      </c>
      <c r="D6164" s="1061">
        <v>1584.67</v>
      </c>
    </row>
    <row r="6165" spans="1:4" ht="9" customHeight="1" x14ac:dyDescent="0.25">
      <c r="A6165" s="1059">
        <v>6817822</v>
      </c>
      <c r="B6165" s="1060" t="s">
        <v>27829</v>
      </c>
      <c r="C6165" s="1059" t="s">
        <v>2</v>
      </c>
      <c r="D6165" s="1061">
        <v>1399.59</v>
      </c>
    </row>
    <row r="6166" spans="1:4" ht="9" customHeight="1" x14ac:dyDescent="0.25">
      <c r="A6166" s="1059">
        <v>6817823</v>
      </c>
      <c r="B6166" s="1060" t="s">
        <v>27830</v>
      </c>
      <c r="C6166" s="1059" t="s">
        <v>2</v>
      </c>
      <c r="D6166" s="1061">
        <v>1304.1099999999999</v>
      </c>
    </row>
    <row r="6167" spans="1:4" ht="9" customHeight="1" x14ac:dyDescent="0.25">
      <c r="A6167" s="1059">
        <v>6817824</v>
      </c>
      <c r="B6167" s="1060" t="s">
        <v>27831</v>
      </c>
      <c r="C6167" s="1059" t="s">
        <v>2</v>
      </c>
      <c r="D6167" s="1061">
        <v>1175.08</v>
      </c>
    </row>
    <row r="6168" spans="1:4" ht="9" customHeight="1" x14ac:dyDescent="0.25">
      <c r="A6168" s="1059">
        <v>6817825</v>
      </c>
      <c r="B6168" s="1060" t="s">
        <v>27832</v>
      </c>
      <c r="C6168" s="1059" t="s">
        <v>2</v>
      </c>
      <c r="D6168" s="1061">
        <v>1870.17</v>
      </c>
    </row>
    <row r="6169" spans="1:4" ht="9" customHeight="1" x14ac:dyDescent="0.25">
      <c r="A6169" s="1059">
        <v>6817826</v>
      </c>
      <c r="B6169" s="1060" t="s">
        <v>27833</v>
      </c>
      <c r="C6169" s="1059" t="s">
        <v>2</v>
      </c>
      <c r="D6169" s="1061">
        <v>1672.06</v>
      </c>
    </row>
    <row r="6170" spans="1:4" ht="9" customHeight="1" x14ac:dyDescent="0.25">
      <c r="A6170" s="1059">
        <v>6817827</v>
      </c>
      <c r="B6170" s="1060" t="s">
        <v>27834</v>
      </c>
      <c r="C6170" s="1059" t="s">
        <v>2</v>
      </c>
      <c r="D6170" s="1061">
        <v>1683.46</v>
      </c>
    </row>
    <row r="6171" spans="1:4" ht="9" customHeight="1" x14ac:dyDescent="0.25">
      <c r="A6171" s="1059">
        <v>6817828</v>
      </c>
      <c r="B6171" s="1060" t="s">
        <v>27835</v>
      </c>
      <c r="C6171" s="1059" t="s">
        <v>2</v>
      </c>
      <c r="D6171" s="1061">
        <v>1485.34</v>
      </c>
    </row>
    <row r="6172" spans="1:4" ht="9" customHeight="1" x14ac:dyDescent="0.25">
      <c r="A6172" s="1059">
        <v>6817753</v>
      </c>
      <c r="B6172" s="1060" t="s">
        <v>27836</v>
      </c>
      <c r="C6172" s="1059" t="s">
        <v>2</v>
      </c>
      <c r="D6172" s="1061">
        <v>1431.97</v>
      </c>
    </row>
    <row r="6173" spans="1:4" ht="9" customHeight="1" x14ac:dyDescent="0.25">
      <c r="A6173" s="1059">
        <v>6817754</v>
      </c>
      <c r="B6173" s="1060" t="s">
        <v>27837</v>
      </c>
      <c r="C6173" s="1059" t="s">
        <v>2</v>
      </c>
      <c r="D6173" s="1061">
        <v>1292.51</v>
      </c>
    </row>
    <row r="6174" spans="1:4" ht="9" customHeight="1" x14ac:dyDescent="0.25">
      <c r="A6174" s="1059">
        <v>6817755</v>
      </c>
      <c r="B6174" s="1060" t="s">
        <v>27838</v>
      </c>
      <c r="C6174" s="1059" t="s">
        <v>2</v>
      </c>
      <c r="D6174" s="1061">
        <v>1374.27</v>
      </c>
    </row>
    <row r="6175" spans="1:4" ht="9" customHeight="1" x14ac:dyDescent="0.25">
      <c r="A6175" s="1059">
        <v>6817756</v>
      </c>
      <c r="B6175" s="1060" t="s">
        <v>27839</v>
      </c>
      <c r="C6175" s="1059" t="s">
        <v>2</v>
      </c>
      <c r="D6175" s="1061">
        <v>1234.81</v>
      </c>
    </row>
    <row r="6176" spans="1:4" ht="9" customHeight="1" x14ac:dyDescent="0.25">
      <c r="A6176" s="1059">
        <v>6817763</v>
      </c>
      <c r="B6176" s="1060" t="s">
        <v>27840</v>
      </c>
      <c r="C6176" s="1059" t="s">
        <v>2</v>
      </c>
      <c r="D6176" s="1061">
        <v>1715.15</v>
      </c>
    </row>
    <row r="6177" spans="1:4" ht="9" customHeight="1" x14ac:dyDescent="0.25">
      <c r="A6177" s="1059">
        <v>6817764</v>
      </c>
      <c r="B6177" s="1060" t="s">
        <v>27841</v>
      </c>
      <c r="C6177" s="1059" t="s">
        <v>2</v>
      </c>
      <c r="D6177" s="1061">
        <v>1530.54</v>
      </c>
    </row>
    <row r="6178" spans="1:4" ht="9" customHeight="1" x14ac:dyDescent="0.25">
      <c r="A6178" s="1059">
        <v>6817765</v>
      </c>
      <c r="B6178" s="1060" t="s">
        <v>27842</v>
      </c>
      <c r="C6178" s="1059" t="s">
        <v>2</v>
      </c>
      <c r="D6178" s="1061">
        <v>1976.52</v>
      </c>
    </row>
    <row r="6179" spans="1:4" ht="9" customHeight="1" x14ac:dyDescent="0.25">
      <c r="A6179" s="1059">
        <v>6817766</v>
      </c>
      <c r="B6179" s="1060" t="s">
        <v>27843</v>
      </c>
      <c r="C6179" s="1059" t="s">
        <v>2</v>
      </c>
      <c r="D6179" s="1061">
        <v>1806.54</v>
      </c>
    </row>
    <row r="6180" spans="1:4" ht="9" customHeight="1" x14ac:dyDescent="0.25">
      <c r="A6180" s="1059">
        <v>6817757</v>
      </c>
      <c r="B6180" s="1060" t="s">
        <v>27844</v>
      </c>
      <c r="C6180" s="1059" t="s">
        <v>2</v>
      </c>
      <c r="D6180" s="1061">
        <v>1374.27</v>
      </c>
    </row>
    <row r="6181" spans="1:4" ht="9" customHeight="1" x14ac:dyDescent="0.25">
      <c r="A6181" s="1059">
        <v>6817758</v>
      </c>
      <c r="B6181" s="1060" t="s">
        <v>27845</v>
      </c>
      <c r="C6181" s="1059" t="s">
        <v>2</v>
      </c>
      <c r="D6181" s="1061">
        <v>1234.81</v>
      </c>
    </row>
    <row r="6182" spans="1:4" ht="9" customHeight="1" x14ac:dyDescent="0.25">
      <c r="A6182" s="1059">
        <v>6817759</v>
      </c>
      <c r="B6182" s="1060" t="s">
        <v>27846</v>
      </c>
      <c r="C6182" s="1059" t="s">
        <v>2</v>
      </c>
      <c r="D6182" s="1061">
        <v>1488.41</v>
      </c>
    </row>
    <row r="6183" spans="1:4" ht="9" customHeight="1" x14ac:dyDescent="0.25">
      <c r="A6183" s="1059">
        <v>6817760</v>
      </c>
      <c r="B6183" s="1060" t="s">
        <v>27847</v>
      </c>
      <c r="C6183" s="1059" t="s">
        <v>2</v>
      </c>
      <c r="D6183" s="1061">
        <v>1351.24</v>
      </c>
    </row>
    <row r="6184" spans="1:4" ht="9" customHeight="1" x14ac:dyDescent="0.25">
      <c r="A6184" s="1059">
        <v>6817761</v>
      </c>
      <c r="B6184" s="1060" t="s">
        <v>27848</v>
      </c>
      <c r="C6184" s="1059" t="s">
        <v>2</v>
      </c>
      <c r="D6184" s="1061">
        <v>1810.91</v>
      </c>
    </row>
    <row r="6185" spans="1:4" ht="9" customHeight="1" x14ac:dyDescent="0.25">
      <c r="A6185" s="1059">
        <v>6817762</v>
      </c>
      <c r="B6185" s="1060" t="s">
        <v>27849</v>
      </c>
      <c r="C6185" s="1059" t="s">
        <v>2</v>
      </c>
      <c r="D6185" s="1061">
        <v>1626.3</v>
      </c>
    </row>
    <row r="6186" spans="1:4" ht="9" customHeight="1" x14ac:dyDescent="0.25">
      <c r="A6186" s="1059">
        <v>6817767</v>
      </c>
      <c r="B6186" s="1060" t="s">
        <v>27850</v>
      </c>
      <c r="C6186" s="1059" t="s">
        <v>2</v>
      </c>
      <c r="D6186" s="1061">
        <v>2074.9299999999998</v>
      </c>
    </row>
    <row r="6187" spans="1:4" ht="9" customHeight="1" x14ac:dyDescent="0.25">
      <c r="A6187" s="1059">
        <v>6817768</v>
      </c>
      <c r="B6187" s="1060" t="s">
        <v>27851</v>
      </c>
      <c r="C6187" s="1059" t="s">
        <v>2</v>
      </c>
      <c r="D6187" s="1061">
        <v>1896.36</v>
      </c>
    </row>
    <row r="6188" spans="1:4" ht="9" customHeight="1" x14ac:dyDescent="0.25">
      <c r="A6188" s="1059">
        <v>6817769</v>
      </c>
      <c r="B6188" s="1060" t="s">
        <v>27852</v>
      </c>
      <c r="C6188" s="1059" t="s">
        <v>2</v>
      </c>
      <c r="D6188" s="1061">
        <v>1764.93</v>
      </c>
    </row>
    <row r="6189" spans="1:4" ht="9" customHeight="1" x14ac:dyDescent="0.25">
      <c r="A6189" s="1059">
        <v>6817770</v>
      </c>
      <c r="B6189" s="1060" t="s">
        <v>27853</v>
      </c>
      <c r="C6189" s="1059" t="s">
        <v>2</v>
      </c>
      <c r="D6189" s="1061">
        <v>1586.36</v>
      </c>
    </row>
    <row r="6190" spans="1:4" ht="9" customHeight="1" x14ac:dyDescent="0.25">
      <c r="A6190" s="1059">
        <v>6817777</v>
      </c>
      <c r="B6190" s="1060" t="s">
        <v>27854</v>
      </c>
      <c r="C6190" s="1059" t="s">
        <v>2</v>
      </c>
      <c r="D6190" s="1061">
        <v>2834.67</v>
      </c>
    </row>
    <row r="6191" spans="1:4" ht="9" customHeight="1" x14ac:dyDescent="0.25">
      <c r="A6191" s="1059">
        <v>6817778</v>
      </c>
      <c r="B6191" s="1060" t="s">
        <v>27855</v>
      </c>
      <c r="C6191" s="1059" t="s">
        <v>2</v>
      </c>
      <c r="D6191" s="1061">
        <v>2624.08</v>
      </c>
    </row>
    <row r="6192" spans="1:4" ht="9" customHeight="1" x14ac:dyDescent="0.25">
      <c r="A6192" s="1059">
        <v>6817779</v>
      </c>
      <c r="B6192" s="1060" t="s">
        <v>27856</v>
      </c>
      <c r="C6192" s="1059" t="s">
        <v>2</v>
      </c>
      <c r="D6192" s="1061">
        <v>3332.77</v>
      </c>
    </row>
    <row r="6193" spans="1:4" ht="9" customHeight="1" x14ac:dyDescent="0.25">
      <c r="A6193" s="1059">
        <v>6817780</v>
      </c>
      <c r="B6193" s="1060" t="s">
        <v>27857</v>
      </c>
      <c r="C6193" s="1059" t="s">
        <v>2</v>
      </c>
      <c r="D6193" s="1061">
        <v>3066.1</v>
      </c>
    </row>
    <row r="6194" spans="1:4" ht="9" customHeight="1" x14ac:dyDescent="0.25">
      <c r="A6194" s="1059">
        <v>6817771</v>
      </c>
      <c r="B6194" s="1060" t="s">
        <v>27858</v>
      </c>
      <c r="C6194" s="1059" t="s">
        <v>2</v>
      </c>
      <c r="D6194" s="1061">
        <v>2007.56</v>
      </c>
    </row>
    <row r="6195" spans="1:4" ht="9" customHeight="1" x14ac:dyDescent="0.25">
      <c r="A6195" s="1059">
        <v>6817772</v>
      </c>
      <c r="B6195" s="1060" t="s">
        <v>27859</v>
      </c>
      <c r="C6195" s="1059" t="s">
        <v>2</v>
      </c>
      <c r="D6195" s="1061">
        <v>1831.92</v>
      </c>
    </row>
    <row r="6196" spans="1:4" ht="9" customHeight="1" x14ac:dyDescent="0.25">
      <c r="A6196" s="1059">
        <v>6817773</v>
      </c>
      <c r="B6196" s="1060" t="s">
        <v>27860</v>
      </c>
      <c r="C6196" s="1059" t="s">
        <v>2</v>
      </c>
      <c r="D6196" s="1061">
        <v>2396</v>
      </c>
    </row>
    <row r="6197" spans="1:4" ht="9" customHeight="1" x14ac:dyDescent="0.25">
      <c r="A6197" s="1059">
        <v>6817774</v>
      </c>
      <c r="B6197" s="1060" t="s">
        <v>27861</v>
      </c>
      <c r="C6197" s="1059" t="s">
        <v>2</v>
      </c>
      <c r="D6197" s="1061">
        <v>2160.12</v>
      </c>
    </row>
    <row r="6198" spans="1:4" ht="9" customHeight="1" x14ac:dyDescent="0.25">
      <c r="A6198" s="1059">
        <v>6817775</v>
      </c>
      <c r="B6198" s="1060" t="s">
        <v>27862</v>
      </c>
      <c r="C6198" s="1059" t="s">
        <v>2</v>
      </c>
      <c r="D6198" s="1061">
        <v>2615.62</v>
      </c>
    </row>
    <row r="6199" spans="1:4" ht="9" customHeight="1" x14ac:dyDescent="0.25">
      <c r="A6199" s="1059">
        <v>6817776</v>
      </c>
      <c r="B6199" s="1060" t="s">
        <v>27863</v>
      </c>
      <c r="C6199" s="1059" t="s">
        <v>2</v>
      </c>
      <c r="D6199" s="1061">
        <v>2398.42</v>
      </c>
    </row>
    <row r="6200" spans="1:4" ht="9" customHeight="1" x14ac:dyDescent="0.25">
      <c r="A6200" s="1059">
        <v>6817781</v>
      </c>
      <c r="B6200" s="1060" t="s">
        <v>27864</v>
      </c>
      <c r="C6200" s="1059" t="s">
        <v>2</v>
      </c>
      <c r="D6200" s="1061">
        <v>2819.79</v>
      </c>
    </row>
    <row r="6201" spans="1:4" ht="9" customHeight="1" x14ac:dyDescent="0.25">
      <c r="A6201" s="1059">
        <v>6817782</v>
      </c>
      <c r="B6201" s="1060" t="s">
        <v>27865</v>
      </c>
      <c r="C6201" s="1059" t="s">
        <v>2</v>
      </c>
      <c r="D6201" s="1061">
        <v>2602.12</v>
      </c>
    </row>
    <row r="6202" spans="1:4" ht="9" customHeight="1" x14ac:dyDescent="0.25">
      <c r="A6202" s="1059">
        <v>6817783</v>
      </c>
      <c r="B6202" s="1060" t="s">
        <v>27866</v>
      </c>
      <c r="C6202" s="1059" t="s">
        <v>2</v>
      </c>
      <c r="D6202" s="1061">
        <v>2325.1799999999998</v>
      </c>
    </row>
    <row r="6203" spans="1:4" ht="9" customHeight="1" x14ac:dyDescent="0.25">
      <c r="A6203" s="1059">
        <v>6817784</v>
      </c>
      <c r="B6203" s="1060" t="s">
        <v>27867</v>
      </c>
      <c r="C6203" s="1059" t="s">
        <v>2</v>
      </c>
      <c r="D6203" s="1061">
        <v>2107.5100000000002</v>
      </c>
    </row>
    <row r="6204" spans="1:4" ht="9" customHeight="1" x14ac:dyDescent="0.25">
      <c r="A6204" s="1059">
        <v>6817791</v>
      </c>
      <c r="B6204" s="1060" t="s">
        <v>27868</v>
      </c>
      <c r="C6204" s="1059" t="s">
        <v>2</v>
      </c>
      <c r="D6204" s="1061">
        <v>4127.71</v>
      </c>
    </row>
    <row r="6205" spans="1:4" ht="9" customHeight="1" x14ac:dyDescent="0.25">
      <c r="A6205" s="1059">
        <v>6817792</v>
      </c>
      <c r="B6205" s="1060" t="s">
        <v>27869</v>
      </c>
      <c r="C6205" s="1059" t="s">
        <v>2</v>
      </c>
      <c r="D6205" s="1061">
        <v>3803.82</v>
      </c>
    </row>
    <row r="6206" spans="1:4" ht="9" customHeight="1" x14ac:dyDescent="0.25">
      <c r="A6206" s="1059">
        <v>6817793</v>
      </c>
      <c r="B6206" s="1060" t="s">
        <v>27870</v>
      </c>
      <c r="C6206" s="1059" t="s">
        <v>2</v>
      </c>
      <c r="D6206" s="1061">
        <v>4670.72</v>
      </c>
    </row>
    <row r="6207" spans="1:4" ht="9" customHeight="1" x14ac:dyDescent="0.25">
      <c r="A6207" s="1059">
        <v>6817794</v>
      </c>
      <c r="B6207" s="1060" t="s">
        <v>27871</v>
      </c>
      <c r="C6207" s="1059" t="s">
        <v>2</v>
      </c>
      <c r="D6207" s="1061">
        <v>4346.83</v>
      </c>
    </row>
    <row r="6208" spans="1:4" ht="9" customHeight="1" x14ac:dyDescent="0.25">
      <c r="A6208" s="1059">
        <v>6817785</v>
      </c>
      <c r="B6208" s="1060" t="s">
        <v>27872</v>
      </c>
      <c r="C6208" s="1059" t="s">
        <v>2</v>
      </c>
      <c r="D6208" s="1061">
        <v>2934.89</v>
      </c>
    </row>
    <row r="6209" spans="1:4" ht="9" customHeight="1" x14ac:dyDescent="0.25">
      <c r="A6209" s="1059">
        <v>6817786</v>
      </c>
      <c r="B6209" s="1060" t="s">
        <v>27873</v>
      </c>
      <c r="C6209" s="1059" t="s">
        <v>2</v>
      </c>
      <c r="D6209" s="1061">
        <v>2647.72</v>
      </c>
    </row>
    <row r="6210" spans="1:4" ht="9" customHeight="1" x14ac:dyDescent="0.25">
      <c r="A6210" s="1059">
        <v>6817787</v>
      </c>
      <c r="B6210" s="1060" t="s">
        <v>27874</v>
      </c>
      <c r="C6210" s="1059" t="s">
        <v>2</v>
      </c>
      <c r="D6210" s="1061">
        <v>3374.85</v>
      </c>
    </row>
    <row r="6211" spans="1:4" ht="9" customHeight="1" x14ac:dyDescent="0.25">
      <c r="A6211" s="1059">
        <v>6817788</v>
      </c>
      <c r="B6211" s="1060" t="s">
        <v>27875</v>
      </c>
      <c r="C6211" s="1059" t="s">
        <v>2</v>
      </c>
      <c r="D6211" s="1061">
        <v>3110.44</v>
      </c>
    </row>
    <row r="6212" spans="1:4" ht="9" customHeight="1" x14ac:dyDescent="0.25">
      <c r="A6212" s="1059">
        <v>6817789</v>
      </c>
      <c r="B6212" s="1060" t="s">
        <v>27876</v>
      </c>
      <c r="C6212" s="1059" t="s">
        <v>2</v>
      </c>
      <c r="D6212" s="1061">
        <v>3756.03</v>
      </c>
    </row>
    <row r="6213" spans="1:4" ht="9" customHeight="1" x14ac:dyDescent="0.25">
      <c r="A6213" s="1059">
        <v>6817790</v>
      </c>
      <c r="B6213" s="1060" t="s">
        <v>27877</v>
      </c>
      <c r="C6213" s="1059" t="s">
        <v>2</v>
      </c>
      <c r="D6213" s="1061">
        <v>3499.66</v>
      </c>
    </row>
    <row r="6214" spans="1:4" ht="9" customHeight="1" x14ac:dyDescent="0.25">
      <c r="A6214" s="1059">
        <v>6817795</v>
      </c>
      <c r="B6214" s="1060" t="s">
        <v>27878</v>
      </c>
      <c r="C6214" s="1059" t="s">
        <v>2</v>
      </c>
      <c r="D6214" s="1061">
        <v>3616.7</v>
      </c>
    </row>
    <row r="6215" spans="1:4" ht="9" customHeight="1" x14ac:dyDescent="0.25">
      <c r="A6215" s="1059">
        <v>6817796</v>
      </c>
      <c r="B6215" s="1060" t="s">
        <v>27879</v>
      </c>
      <c r="C6215" s="1059" t="s">
        <v>2</v>
      </c>
      <c r="D6215" s="1061">
        <v>3364.14</v>
      </c>
    </row>
    <row r="6216" spans="1:4" ht="9" customHeight="1" x14ac:dyDescent="0.25">
      <c r="A6216" s="1059">
        <v>6817797</v>
      </c>
      <c r="B6216" s="1060" t="s">
        <v>27880</v>
      </c>
      <c r="C6216" s="1059" t="s">
        <v>2</v>
      </c>
      <c r="D6216" s="1061">
        <v>3103.75</v>
      </c>
    </row>
    <row r="6217" spans="1:4" ht="9" customHeight="1" x14ac:dyDescent="0.25">
      <c r="A6217" s="1059">
        <v>6817798</v>
      </c>
      <c r="B6217" s="1060" t="s">
        <v>27881</v>
      </c>
      <c r="C6217" s="1059" t="s">
        <v>2</v>
      </c>
      <c r="D6217" s="1061">
        <v>2851.2</v>
      </c>
    </row>
    <row r="6218" spans="1:4" ht="9" customHeight="1" x14ac:dyDescent="0.25">
      <c r="A6218" s="1059">
        <v>6817805</v>
      </c>
      <c r="B6218" s="1060" t="s">
        <v>27882</v>
      </c>
      <c r="C6218" s="1059" t="s">
        <v>2</v>
      </c>
      <c r="D6218" s="1061">
        <v>5775.84</v>
      </c>
    </row>
    <row r="6219" spans="1:4" ht="9" customHeight="1" x14ac:dyDescent="0.25">
      <c r="A6219" s="1059">
        <v>6817806</v>
      </c>
      <c r="B6219" s="1060" t="s">
        <v>27883</v>
      </c>
      <c r="C6219" s="1059" t="s">
        <v>2</v>
      </c>
      <c r="D6219" s="1061">
        <v>5394.72</v>
      </c>
    </row>
    <row r="6220" spans="1:4" ht="9" customHeight="1" x14ac:dyDescent="0.25">
      <c r="A6220" s="1059">
        <v>6817807</v>
      </c>
      <c r="B6220" s="1060" t="s">
        <v>27884</v>
      </c>
      <c r="C6220" s="1059" t="s">
        <v>2</v>
      </c>
      <c r="D6220" s="1061">
        <v>6377.89</v>
      </c>
    </row>
    <row r="6221" spans="1:4" ht="9" customHeight="1" x14ac:dyDescent="0.25">
      <c r="A6221" s="1059">
        <v>6817808</v>
      </c>
      <c r="B6221" s="1060" t="s">
        <v>27885</v>
      </c>
      <c r="C6221" s="1059" t="s">
        <v>2</v>
      </c>
      <c r="D6221" s="1061">
        <v>5996.78</v>
      </c>
    </row>
    <row r="6222" spans="1:4" ht="9" customHeight="1" x14ac:dyDescent="0.25">
      <c r="A6222" s="1059">
        <v>6817799</v>
      </c>
      <c r="B6222" s="1060" t="s">
        <v>27886</v>
      </c>
      <c r="C6222" s="1059" t="s">
        <v>2</v>
      </c>
      <c r="D6222" s="1061">
        <v>3850.96</v>
      </c>
    </row>
    <row r="6223" spans="1:4" ht="9" customHeight="1" x14ac:dyDescent="0.25">
      <c r="A6223" s="1059">
        <v>6817800</v>
      </c>
      <c r="B6223" s="1060" t="s">
        <v>27887</v>
      </c>
      <c r="C6223" s="1059" t="s">
        <v>2</v>
      </c>
      <c r="D6223" s="1061">
        <v>3512.51</v>
      </c>
    </row>
    <row r="6224" spans="1:4" ht="9" customHeight="1" x14ac:dyDescent="0.25">
      <c r="A6224" s="1059">
        <v>6817801</v>
      </c>
      <c r="B6224" s="1060" t="s">
        <v>27888</v>
      </c>
      <c r="C6224" s="1059" t="s">
        <v>2</v>
      </c>
      <c r="D6224" s="1061">
        <v>4645.8999999999996</v>
      </c>
    </row>
    <row r="6225" spans="1:4" ht="9" customHeight="1" x14ac:dyDescent="0.25">
      <c r="A6225" s="1059">
        <v>6817802</v>
      </c>
      <c r="B6225" s="1060" t="s">
        <v>27889</v>
      </c>
      <c r="C6225" s="1059" t="s">
        <v>2</v>
      </c>
      <c r="D6225" s="1061">
        <v>4343.76</v>
      </c>
    </row>
    <row r="6226" spans="1:4" ht="9" customHeight="1" x14ac:dyDescent="0.25">
      <c r="A6226" s="1059">
        <v>6817803</v>
      </c>
      <c r="B6226" s="1060" t="s">
        <v>27890</v>
      </c>
      <c r="C6226" s="1059" t="s">
        <v>2</v>
      </c>
      <c r="D6226" s="1061">
        <v>5239.74</v>
      </c>
    </row>
    <row r="6227" spans="1:4" ht="9" customHeight="1" x14ac:dyDescent="0.25">
      <c r="A6227" s="1059">
        <v>6817804</v>
      </c>
      <c r="B6227" s="1060" t="s">
        <v>27891</v>
      </c>
      <c r="C6227" s="1059" t="s">
        <v>2</v>
      </c>
      <c r="D6227" s="1061">
        <v>4858.62</v>
      </c>
    </row>
    <row r="6228" spans="1:4" ht="9" customHeight="1" x14ac:dyDescent="0.25">
      <c r="A6228" s="1059">
        <v>6817885</v>
      </c>
      <c r="B6228" s="1060" t="s">
        <v>27892</v>
      </c>
      <c r="C6228" s="1059" t="s">
        <v>2</v>
      </c>
      <c r="D6228" s="1061">
        <v>1306.3499999999999</v>
      </c>
    </row>
    <row r="6229" spans="1:4" ht="9" customHeight="1" x14ac:dyDescent="0.25">
      <c r="A6229" s="1059">
        <v>6817886</v>
      </c>
      <c r="B6229" s="1060" t="s">
        <v>27893</v>
      </c>
      <c r="C6229" s="1059" t="s">
        <v>2</v>
      </c>
      <c r="D6229" s="1061">
        <v>1169.5899999999999</v>
      </c>
    </row>
    <row r="6230" spans="1:4" ht="9" customHeight="1" x14ac:dyDescent="0.25">
      <c r="A6230" s="1059">
        <v>6817887</v>
      </c>
      <c r="B6230" s="1060" t="s">
        <v>27894</v>
      </c>
      <c r="C6230" s="1059" t="s">
        <v>2</v>
      </c>
      <c r="D6230" s="1061">
        <v>1422.35</v>
      </c>
    </row>
    <row r="6231" spans="1:4" ht="9" customHeight="1" x14ac:dyDescent="0.25">
      <c r="A6231" s="1059">
        <v>6817888</v>
      </c>
      <c r="B6231" s="1060" t="s">
        <v>27895</v>
      </c>
      <c r="C6231" s="1059" t="s">
        <v>2</v>
      </c>
      <c r="D6231" s="1061">
        <v>1266.23</v>
      </c>
    </row>
    <row r="6232" spans="1:4" ht="9" customHeight="1" x14ac:dyDescent="0.25">
      <c r="A6232" s="1059">
        <v>6817889</v>
      </c>
      <c r="B6232" s="1060" t="s">
        <v>27896</v>
      </c>
      <c r="C6232" s="1059" t="s">
        <v>2</v>
      </c>
      <c r="D6232" s="1061">
        <v>2080.84</v>
      </c>
    </row>
    <row r="6233" spans="1:4" ht="9" customHeight="1" x14ac:dyDescent="0.25">
      <c r="A6233" s="1059">
        <v>6817890</v>
      </c>
      <c r="B6233" s="1060" t="s">
        <v>27897</v>
      </c>
      <c r="C6233" s="1059" t="s">
        <v>2</v>
      </c>
      <c r="D6233" s="1061">
        <v>1860.63</v>
      </c>
    </row>
    <row r="6234" spans="1:4" ht="9" customHeight="1" x14ac:dyDescent="0.25">
      <c r="A6234" s="1059">
        <v>6817891</v>
      </c>
      <c r="B6234" s="1060" t="s">
        <v>27898</v>
      </c>
      <c r="C6234" s="1059" t="s">
        <v>2</v>
      </c>
      <c r="D6234" s="1061">
        <v>1819.66</v>
      </c>
    </row>
    <row r="6235" spans="1:4" ht="9" customHeight="1" x14ac:dyDescent="0.25">
      <c r="A6235" s="1059">
        <v>6817892</v>
      </c>
      <c r="B6235" s="1060" t="s">
        <v>27899</v>
      </c>
      <c r="C6235" s="1059" t="s">
        <v>2</v>
      </c>
      <c r="D6235" s="1061">
        <v>1599.45</v>
      </c>
    </row>
    <row r="6236" spans="1:4" ht="9" customHeight="1" x14ac:dyDescent="0.25">
      <c r="A6236" s="1059">
        <v>6817893</v>
      </c>
      <c r="B6236" s="1060" t="s">
        <v>27900</v>
      </c>
      <c r="C6236" s="1059" t="s">
        <v>2</v>
      </c>
      <c r="D6236" s="1061">
        <v>1587.94</v>
      </c>
    </row>
    <row r="6237" spans="1:4" ht="9" customHeight="1" x14ac:dyDescent="0.25">
      <c r="A6237" s="1059">
        <v>6817894</v>
      </c>
      <c r="B6237" s="1060" t="s">
        <v>27901</v>
      </c>
      <c r="C6237" s="1059" t="s">
        <v>2</v>
      </c>
      <c r="D6237" s="1061">
        <v>1411.24</v>
      </c>
    </row>
    <row r="6238" spans="1:4" ht="9" customHeight="1" x14ac:dyDescent="0.25">
      <c r="A6238" s="1059">
        <v>6817895</v>
      </c>
      <c r="B6238" s="1060" t="s">
        <v>27902</v>
      </c>
      <c r="C6238" s="1059" t="s">
        <v>2</v>
      </c>
      <c r="D6238" s="1061">
        <v>2237.29</v>
      </c>
    </row>
    <row r="6239" spans="1:4" ht="9" customHeight="1" x14ac:dyDescent="0.25">
      <c r="A6239" s="1059">
        <v>6817896</v>
      </c>
      <c r="B6239" s="1060" t="s">
        <v>27903</v>
      </c>
      <c r="C6239" s="1059" t="s">
        <v>2</v>
      </c>
      <c r="D6239" s="1061">
        <v>1993.85</v>
      </c>
    </row>
    <row r="6240" spans="1:4" ht="9" customHeight="1" x14ac:dyDescent="0.25">
      <c r="A6240" s="1059">
        <v>6817897</v>
      </c>
      <c r="B6240" s="1060" t="s">
        <v>27904</v>
      </c>
      <c r="C6240" s="1059" t="s">
        <v>2</v>
      </c>
      <c r="D6240" s="1061">
        <v>1984.74</v>
      </c>
    </row>
    <row r="6241" spans="1:4" ht="9" customHeight="1" x14ac:dyDescent="0.25">
      <c r="A6241" s="1059">
        <v>6817898</v>
      </c>
      <c r="B6241" s="1060" t="s">
        <v>27905</v>
      </c>
      <c r="C6241" s="1059" t="s">
        <v>2</v>
      </c>
      <c r="D6241" s="1061">
        <v>1741.3</v>
      </c>
    </row>
    <row r="6242" spans="1:4" ht="9" customHeight="1" x14ac:dyDescent="0.25">
      <c r="A6242" s="1059">
        <v>6817899</v>
      </c>
      <c r="B6242" s="1060" t="s">
        <v>27906</v>
      </c>
      <c r="C6242" s="1059" t="s">
        <v>2</v>
      </c>
      <c r="D6242" s="1061">
        <v>1743</v>
      </c>
    </row>
    <row r="6243" spans="1:4" ht="9" customHeight="1" x14ac:dyDescent="0.25">
      <c r="A6243" s="1059">
        <v>6817900</v>
      </c>
      <c r="B6243" s="1060" t="s">
        <v>27907</v>
      </c>
      <c r="C6243" s="1059" t="s">
        <v>2</v>
      </c>
      <c r="D6243" s="1061">
        <v>1545.69</v>
      </c>
    </row>
    <row r="6244" spans="1:4" ht="9" customHeight="1" x14ac:dyDescent="0.25">
      <c r="A6244" s="1059">
        <v>6817901</v>
      </c>
      <c r="B6244" s="1060" t="s">
        <v>27908</v>
      </c>
      <c r="C6244" s="1059" t="s">
        <v>2</v>
      </c>
      <c r="D6244" s="1061">
        <v>2340.13</v>
      </c>
    </row>
    <row r="6245" spans="1:4" ht="9" customHeight="1" x14ac:dyDescent="0.25">
      <c r="A6245" s="1059">
        <v>6817902</v>
      </c>
      <c r="B6245" s="1060" t="s">
        <v>27909</v>
      </c>
      <c r="C6245" s="1059" t="s">
        <v>2</v>
      </c>
      <c r="D6245" s="1061">
        <v>2072.21</v>
      </c>
    </row>
    <row r="6246" spans="1:4" ht="9" customHeight="1" x14ac:dyDescent="0.25">
      <c r="A6246" s="1059">
        <v>6817903</v>
      </c>
      <c r="B6246" s="1060" t="s">
        <v>27910</v>
      </c>
      <c r="C6246" s="1059" t="s">
        <v>2</v>
      </c>
      <c r="D6246" s="1061">
        <v>2153.42</v>
      </c>
    </row>
    <row r="6247" spans="1:4" ht="9" customHeight="1" x14ac:dyDescent="0.25">
      <c r="A6247" s="1059">
        <v>6817904</v>
      </c>
      <c r="B6247" s="1060" t="s">
        <v>27911</v>
      </c>
      <c r="C6247" s="1059" t="s">
        <v>2</v>
      </c>
      <c r="D6247" s="1061">
        <v>1885.49</v>
      </c>
    </row>
    <row r="6248" spans="1:4" ht="9" customHeight="1" x14ac:dyDescent="0.25">
      <c r="A6248" s="1059">
        <v>6817829</v>
      </c>
      <c r="B6248" s="1060" t="s">
        <v>27912</v>
      </c>
      <c r="C6248" s="1059" t="s">
        <v>2</v>
      </c>
      <c r="D6248" s="1061">
        <v>1745.62</v>
      </c>
    </row>
    <row r="6249" spans="1:4" ht="18" customHeight="1" x14ac:dyDescent="0.25">
      <c r="A6249" s="1059">
        <v>6817830</v>
      </c>
      <c r="B6249" s="1060" t="s">
        <v>27913</v>
      </c>
      <c r="C6249" s="1059" t="s">
        <v>2</v>
      </c>
      <c r="D6249" s="1061">
        <v>1568.08</v>
      </c>
    </row>
    <row r="6250" spans="1:4" ht="9" customHeight="1" x14ac:dyDescent="0.25">
      <c r="A6250" s="1059">
        <v>6817831</v>
      </c>
      <c r="B6250" s="1060" t="s">
        <v>27914</v>
      </c>
      <c r="C6250" s="1059" t="s">
        <v>2</v>
      </c>
      <c r="D6250" s="1061">
        <v>1687.92</v>
      </c>
    </row>
    <row r="6251" spans="1:4" ht="18" customHeight="1" x14ac:dyDescent="0.25">
      <c r="A6251" s="1059">
        <v>6817832</v>
      </c>
      <c r="B6251" s="1060" t="s">
        <v>27915</v>
      </c>
      <c r="C6251" s="1059" t="s">
        <v>2</v>
      </c>
      <c r="D6251" s="1061">
        <v>1510.38</v>
      </c>
    </row>
    <row r="6252" spans="1:4" ht="9" customHeight="1" x14ac:dyDescent="0.25">
      <c r="A6252" s="1059">
        <v>6817839</v>
      </c>
      <c r="B6252" s="1060" t="s">
        <v>27916</v>
      </c>
      <c r="C6252" s="1059" t="s">
        <v>2</v>
      </c>
      <c r="D6252" s="1061">
        <v>2034.82</v>
      </c>
    </row>
    <row r="6253" spans="1:4" ht="18" customHeight="1" x14ac:dyDescent="0.25">
      <c r="A6253" s="1059">
        <v>6817840</v>
      </c>
      <c r="B6253" s="1060" t="s">
        <v>27917</v>
      </c>
      <c r="C6253" s="1059" t="s">
        <v>2</v>
      </c>
      <c r="D6253" s="1061">
        <v>1810.83</v>
      </c>
    </row>
    <row r="6254" spans="1:4" ht="9" customHeight="1" x14ac:dyDescent="0.25">
      <c r="A6254" s="1059">
        <v>6817841</v>
      </c>
      <c r="B6254" s="1060" t="s">
        <v>27918</v>
      </c>
      <c r="C6254" s="1059" t="s">
        <v>2</v>
      </c>
      <c r="D6254" s="1061">
        <v>2296.19</v>
      </c>
    </row>
    <row r="6255" spans="1:4" ht="18" customHeight="1" x14ac:dyDescent="0.25">
      <c r="A6255" s="1059">
        <v>6817842</v>
      </c>
      <c r="B6255" s="1060" t="s">
        <v>27919</v>
      </c>
      <c r="C6255" s="1059" t="s">
        <v>2</v>
      </c>
      <c r="D6255" s="1061">
        <v>2086.83</v>
      </c>
    </row>
    <row r="6256" spans="1:4" ht="9" customHeight="1" x14ac:dyDescent="0.25">
      <c r="A6256" s="1059">
        <v>6817833</v>
      </c>
      <c r="B6256" s="1060" t="s">
        <v>27920</v>
      </c>
      <c r="C6256" s="1059" t="s">
        <v>2</v>
      </c>
      <c r="D6256" s="1061">
        <v>1687.92</v>
      </c>
    </row>
    <row r="6257" spans="1:4" ht="18" customHeight="1" x14ac:dyDescent="0.25">
      <c r="A6257" s="1059">
        <v>6817834</v>
      </c>
      <c r="B6257" s="1060" t="s">
        <v>27921</v>
      </c>
      <c r="C6257" s="1059" t="s">
        <v>2</v>
      </c>
      <c r="D6257" s="1061">
        <v>1510.38</v>
      </c>
    </row>
    <row r="6258" spans="1:4" ht="9" customHeight="1" x14ac:dyDescent="0.25">
      <c r="A6258" s="1059">
        <v>6817835</v>
      </c>
      <c r="B6258" s="1060" t="s">
        <v>27922</v>
      </c>
      <c r="C6258" s="1059" t="s">
        <v>2</v>
      </c>
      <c r="D6258" s="1061">
        <v>1802.06</v>
      </c>
    </row>
    <row r="6259" spans="1:4" ht="18" customHeight="1" x14ac:dyDescent="0.25">
      <c r="A6259" s="1059">
        <v>6817836</v>
      </c>
      <c r="B6259" s="1060" t="s">
        <v>27923</v>
      </c>
      <c r="C6259" s="1059" t="s">
        <v>2</v>
      </c>
      <c r="D6259" s="1061">
        <v>1626.81</v>
      </c>
    </row>
    <row r="6260" spans="1:4" ht="9" customHeight="1" x14ac:dyDescent="0.25">
      <c r="A6260" s="1059">
        <v>6817837</v>
      </c>
      <c r="B6260" s="1060" t="s">
        <v>27924</v>
      </c>
      <c r="C6260" s="1059" t="s">
        <v>2</v>
      </c>
      <c r="D6260" s="1061">
        <v>2130.58</v>
      </c>
    </row>
    <row r="6261" spans="1:4" ht="18" customHeight="1" x14ac:dyDescent="0.25">
      <c r="A6261" s="1059">
        <v>6817838</v>
      </c>
      <c r="B6261" s="1060" t="s">
        <v>27925</v>
      </c>
      <c r="C6261" s="1059" t="s">
        <v>2</v>
      </c>
      <c r="D6261" s="1061">
        <v>1906.59</v>
      </c>
    </row>
    <row r="6262" spans="1:4" ht="9" customHeight="1" x14ac:dyDescent="0.25">
      <c r="A6262" s="1059">
        <v>6817843</v>
      </c>
      <c r="B6262" s="1060" t="s">
        <v>27926</v>
      </c>
      <c r="C6262" s="1059" t="s">
        <v>2</v>
      </c>
      <c r="D6262" s="1061">
        <v>2454.4</v>
      </c>
    </row>
    <row r="6263" spans="1:4" ht="18" customHeight="1" x14ac:dyDescent="0.25">
      <c r="A6263" s="1059">
        <v>6817844</v>
      </c>
      <c r="B6263" s="1060" t="s">
        <v>27927</v>
      </c>
      <c r="C6263" s="1059" t="s">
        <v>2</v>
      </c>
      <c r="D6263" s="1061">
        <v>2228.4499999999998</v>
      </c>
    </row>
    <row r="6264" spans="1:4" ht="9" customHeight="1" x14ac:dyDescent="0.25">
      <c r="A6264" s="1059">
        <v>6817845</v>
      </c>
      <c r="B6264" s="1060" t="s">
        <v>27928</v>
      </c>
      <c r="C6264" s="1059" t="s">
        <v>2</v>
      </c>
      <c r="D6264" s="1061">
        <v>2144.4</v>
      </c>
    </row>
    <row r="6265" spans="1:4" ht="18" customHeight="1" x14ac:dyDescent="0.25">
      <c r="A6265" s="1059">
        <v>6817846</v>
      </c>
      <c r="B6265" s="1060" t="s">
        <v>27929</v>
      </c>
      <c r="C6265" s="1059" t="s">
        <v>2</v>
      </c>
      <c r="D6265" s="1061">
        <v>1918.45</v>
      </c>
    </row>
    <row r="6266" spans="1:4" ht="9" customHeight="1" x14ac:dyDescent="0.25">
      <c r="A6266" s="1059">
        <v>6817853</v>
      </c>
      <c r="B6266" s="1060" t="s">
        <v>27930</v>
      </c>
      <c r="C6266" s="1059" t="s">
        <v>2</v>
      </c>
      <c r="D6266" s="1061">
        <v>3224.44</v>
      </c>
    </row>
    <row r="6267" spans="1:4" ht="18" customHeight="1" x14ac:dyDescent="0.25">
      <c r="A6267" s="1059">
        <v>6817854</v>
      </c>
      <c r="B6267" s="1060" t="s">
        <v>27931</v>
      </c>
      <c r="C6267" s="1059" t="s">
        <v>2</v>
      </c>
      <c r="D6267" s="1061">
        <v>2963.9</v>
      </c>
    </row>
    <row r="6268" spans="1:4" ht="9" customHeight="1" x14ac:dyDescent="0.25">
      <c r="A6268" s="1059">
        <v>6817855</v>
      </c>
      <c r="B6268" s="1060" t="s">
        <v>27932</v>
      </c>
      <c r="C6268" s="1059" t="s">
        <v>2</v>
      </c>
      <c r="D6268" s="1061">
        <v>3724.29</v>
      </c>
    </row>
    <row r="6269" spans="1:4" ht="18" customHeight="1" x14ac:dyDescent="0.25">
      <c r="A6269" s="1059">
        <v>6817856</v>
      </c>
      <c r="B6269" s="1060" t="s">
        <v>27933</v>
      </c>
      <c r="C6269" s="1059" t="s">
        <v>2</v>
      </c>
      <c r="D6269" s="1061">
        <v>3407.63</v>
      </c>
    </row>
    <row r="6270" spans="1:4" ht="9" customHeight="1" x14ac:dyDescent="0.25">
      <c r="A6270" s="1059">
        <v>6817847</v>
      </c>
      <c r="B6270" s="1060" t="s">
        <v>27934</v>
      </c>
      <c r="C6270" s="1059" t="s">
        <v>2</v>
      </c>
      <c r="D6270" s="1061">
        <v>2391.3000000000002</v>
      </c>
    </row>
    <row r="6271" spans="1:4" ht="18" customHeight="1" x14ac:dyDescent="0.25">
      <c r="A6271" s="1059">
        <v>6817848</v>
      </c>
      <c r="B6271" s="1060" t="s">
        <v>27935</v>
      </c>
      <c r="C6271" s="1059" t="s">
        <v>2</v>
      </c>
      <c r="D6271" s="1061">
        <v>2167.02</v>
      </c>
    </row>
    <row r="6272" spans="1:4" ht="9" customHeight="1" x14ac:dyDescent="0.25">
      <c r="A6272" s="1059">
        <v>6817849</v>
      </c>
      <c r="B6272" s="1060" t="s">
        <v>27936</v>
      </c>
      <c r="C6272" s="1059" t="s">
        <v>2</v>
      </c>
      <c r="D6272" s="1061">
        <v>2781.49</v>
      </c>
    </row>
    <row r="6273" spans="1:4" ht="18" customHeight="1" x14ac:dyDescent="0.25">
      <c r="A6273" s="1059">
        <v>6817850</v>
      </c>
      <c r="B6273" s="1060" t="s">
        <v>27937</v>
      </c>
      <c r="C6273" s="1059" t="s">
        <v>2</v>
      </c>
      <c r="D6273" s="1061">
        <v>2496.9299999999998</v>
      </c>
    </row>
    <row r="6274" spans="1:4" ht="9" customHeight="1" x14ac:dyDescent="0.25">
      <c r="A6274" s="1059">
        <v>6817851</v>
      </c>
      <c r="B6274" s="1060" t="s">
        <v>27938</v>
      </c>
      <c r="C6274" s="1059" t="s">
        <v>2</v>
      </c>
      <c r="D6274" s="1061">
        <v>3005.39</v>
      </c>
    </row>
    <row r="6275" spans="1:4" ht="18" customHeight="1" x14ac:dyDescent="0.25">
      <c r="A6275" s="1059">
        <v>6817852</v>
      </c>
      <c r="B6275" s="1060" t="s">
        <v>27939</v>
      </c>
      <c r="C6275" s="1059" t="s">
        <v>2</v>
      </c>
      <c r="D6275" s="1061">
        <v>2738.24</v>
      </c>
    </row>
    <row r="6276" spans="1:4" ht="9" customHeight="1" x14ac:dyDescent="0.25">
      <c r="A6276" s="1059">
        <v>6817857</v>
      </c>
      <c r="B6276" s="1060" t="s">
        <v>27940</v>
      </c>
      <c r="C6276" s="1059" t="s">
        <v>2</v>
      </c>
      <c r="D6276" s="1061">
        <v>3274.3</v>
      </c>
    </row>
    <row r="6277" spans="1:4" ht="18" customHeight="1" x14ac:dyDescent="0.25">
      <c r="A6277" s="1059">
        <v>6817858</v>
      </c>
      <c r="B6277" s="1060" t="s">
        <v>27941</v>
      </c>
      <c r="C6277" s="1059" t="s">
        <v>2</v>
      </c>
      <c r="D6277" s="1061">
        <v>2997.42</v>
      </c>
    </row>
    <row r="6278" spans="1:4" ht="9" customHeight="1" x14ac:dyDescent="0.25">
      <c r="A6278" s="1059">
        <v>6817859</v>
      </c>
      <c r="B6278" s="1060" t="s">
        <v>27942</v>
      </c>
      <c r="C6278" s="1059" t="s">
        <v>2</v>
      </c>
      <c r="D6278" s="1061">
        <v>2779.69</v>
      </c>
    </row>
    <row r="6279" spans="1:4" ht="18" customHeight="1" x14ac:dyDescent="0.25">
      <c r="A6279" s="1059">
        <v>6817860</v>
      </c>
      <c r="B6279" s="1060" t="s">
        <v>27943</v>
      </c>
      <c r="C6279" s="1059" t="s">
        <v>2</v>
      </c>
      <c r="D6279" s="1061">
        <v>2502.81</v>
      </c>
    </row>
    <row r="6280" spans="1:4" ht="9" customHeight="1" x14ac:dyDescent="0.25">
      <c r="A6280" s="1059">
        <v>6817867</v>
      </c>
      <c r="B6280" s="1060" t="s">
        <v>27944</v>
      </c>
      <c r="C6280" s="1059" t="s">
        <v>2</v>
      </c>
      <c r="D6280" s="1061">
        <v>4594.2700000000004</v>
      </c>
    </row>
    <row r="6281" spans="1:4" ht="18" customHeight="1" x14ac:dyDescent="0.25">
      <c r="A6281" s="1059">
        <v>6817868</v>
      </c>
      <c r="B6281" s="1060" t="s">
        <v>27945</v>
      </c>
      <c r="C6281" s="1059" t="s">
        <v>2</v>
      </c>
      <c r="D6281" s="1061">
        <v>4208.57</v>
      </c>
    </row>
    <row r="6282" spans="1:4" ht="9" customHeight="1" x14ac:dyDescent="0.25">
      <c r="A6282" s="1059">
        <v>6817869</v>
      </c>
      <c r="B6282" s="1060" t="s">
        <v>27946</v>
      </c>
      <c r="C6282" s="1059" t="s">
        <v>2</v>
      </c>
      <c r="D6282" s="1061">
        <v>5141.5600000000004</v>
      </c>
    </row>
    <row r="6283" spans="1:4" ht="18" customHeight="1" x14ac:dyDescent="0.25">
      <c r="A6283" s="1059">
        <v>6817870</v>
      </c>
      <c r="B6283" s="1060" t="s">
        <v>27947</v>
      </c>
      <c r="C6283" s="1059" t="s">
        <v>2</v>
      </c>
      <c r="D6283" s="1061">
        <v>4754.59</v>
      </c>
    </row>
    <row r="6284" spans="1:4" ht="9" customHeight="1" x14ac:dyDescent="0.25">
      <c r="A6284" s="1059">
        <v>6817861</v>
      </c>
      <c r="B6284" s="1060" t="s">
        <v>27948</v>
      </c>
      <c r="C6284" s="1059" t="s">
        <v>2</v>
      </c>
      <c r="D6284" s="1061">
        <v>3391.15</v>
      </c>
    </row>
    <row r="6285" spans="1:4" ht="18" customHeight="1" x14ac:dyDescent="0.25">
      <c r="A6285" s="1059">
        <v>6817862</v>
      </c>
      <c r="B6285" s="1060" t="s">
        <v>27949</v>
      </c>
      <c r="C6285" s="1059" t="s">
        <v>2</v>
      </c>
      <c r="D6285" s="1061">
        <v>3044.73</v>
      </c>
    </row>
    <row r="6286" spans="1:4" ht="9" customHeight="1" x14ac:dyDescent="0.25">
      <c r="A6286" s="1059">
        <v>6817863</v>
      </c>
      <c r="B6286" s="1060" t="s">
        <v>27950</v>
      </c>
      <c r="C6286" s="1059" t="s">
        <v>2</v>
      </c>
      <c r="D6286" s="1061">
        <v>3835.39</v>
      </c>
    </row>
    <row r="6287" spans="1:4" ht="18" customHeight="1" x14ac:dyDescent="0.25">
      <c r="A6287" s="1059">
        <v>6817864</v>
      </c>
      <c r="B6287" s="1060" t="s">
        <v>27951</v>
      </c>
      <c r="C6287" s="1059" t="s">
        <v>2</v>
      </c>
      <c r="D6287" s="1061">
        <v>3510.46</v>
      </c>
    </row>
    <row r="6288" spans="1:4" ht="9" customHeight="1" x14ac:dyDescent="0.25">
      <c r="A6288" s="1059">
        <v>6817865</v>
      </c>
      <c r="B6288" s="1060" t="s">
        <v>27952</v>
      </c>
      <c r="C6288" s="1059" t="s">
        <v>2</v>
      </c>
      <c r="D6288" s="1061">
        <v>4216.57</v>
      </c>
    </row>
    <row r="6289" spans="1:4" ht="18" customHeight="1" x14ac:dyDescent="0.25">
      <c r="A6289" s="1059">
        <v>6817866</v>
      </c>
      <c r="B6289" s="1060" t="s">
        <v>27953</v>
      </c>
      <c r="C6289" s="1059" t="s">
        <v>2</v>
      </c>
      <c r="D6289" s="1061">
        <v>3899.68</v>
      </c>
    </row>
    <row r="6290" spans="1:4" ht="9" customHeight="1" x14ac:dyDescent="0.25">
      <c r="A6290" s="1059">
        <v>6817871</v>
      </c>
      <c r="B6290" s="1060" t="s">
        <v>27954</v>
      </c>
      <c r="C6290" s="1059" t="s">
        <v>2</v>
      </c>
      <c r="D6290" s="1061">
        <v>4166.1400000000003</v>
      </c>
    </row>
    <row r="6291" spans="1:4" ht="18" customHeight="1" x14ac:dyDescent="0.25">
      <c r="A6291" s="1059">
        <v>6817872</v>
      </c>
      <c r="B6291" s="1060" t="s">
        <v>27955</v>
      </c>
      <c r="C6291" s="1059" t="s">
        <v>2</v>
      </c>
      <c r="D6291" s="1061">
        <v>3843.8</v>
      </c>
    </row>
    <row r="6292" spans="1:4" ht="9" customHeight="1" x14ac:dyDescent="0.25">
      <c r="A6292" s="1059">
        <v>6817873</v>
      </c>
      <c r="B6292" s="1060" t="s">
        <v>27956</v>
      </c>
      <c r="C6292" s="1059" t="s">
        <v>2</v>
      </c>
      <c r="D6292" s="1061">
        <v>3653.19</v>
      </c>
    </row>
    <row r="6293" spans="1:4" ht="18" customHeight="1" x14ac:dyDescent="0.25">
      <c r="A6293" s="1059">
        <v>6817874</v>
      </c>
      <c r="B6293" s="1060" t="s">
        <v>27957</v>
      </c>
      <c r="C6293" s="1059" t="s">
        <v>2</v>
      </c>
      <c r="D6293" s="1061">
        <v>3330.86</v>
      </c>
    </row>
    <row r="6294" spans="1:4" ht="9" customHeight="1" x14ac:dyDescent="0.25">
      <c r="A6294" s="1059">
        <v>6817881</v>
      </c>
      <c r="B6294" s="1060" t="s">
        <v>27958</v>
      </c>
      <c r="C6294" s="1059" t="s">
        <v>2</v>
      </c>
      <c r="D6294" s="1061">
        <v>6337.22</v>
      </c>
    </row>
    <row r="6295" spans="1:4" ht="18" customHeight="1" x14ac:dyDescent="0.25">
      <c r="A6295" s="1059">
        <v>6817882</v>
      </c>
      <c r="B6295" s="1060" t="s">
        <v>27959</v>
      </c>
      <c r="C6295" s="1059" t="s">
        <v>2</v>
      </c>
      <c r="D6295" s="1061">
        <v>5883.74</v>
      </c>
    </row>
    <row r="6296" spans="1:4" ht="9" customHeight="1" x14ac:dyDescent="0.25">
      <c r="A6296" s="1059">
        <v>6817883</v>
      </c>
      <c r="B6296" s="1060" t="s">
        <v>27960</v>
      </c>
      <c r="C6296" s="1059" t="s">
        <v>2</v>
      </c>
      <c r="D6296" s="1061">
        <v>6943.54</v>
      </c>
    </row>
    <row r="6297" spans="1:4" ht="18" customHeight="1" x14ac:dyDescent="0.25">
      <c r="A6297" s="1059">
        <v>6817884</v>
      </c>
      <c r="B6297" s="1060" t="s">
        <v>27961</v>
      </c>
      <c r="C6297" s="1059" t="s">
        <v>2</v>
      </c>
      <c r="D6297" s="1061">
        <v>6488.82</v>
      </c>
    </row>
    <row r="6298" spans="1:4" ht="9" customHeight="1" x14ac:dyDescent="0.25">
      <c r="A6298" s="1059">
        <v>6817875</v>
      </c>
      <c r="B6298" s="1060" t="s">
        <v>27962</v>
      </c>
      <c r="C6298" s="1059" t="s">
        <v>2</v>
      </c>
      <c r="D6298" s="1061">
        <v>4406.43</v>
      </c>
    </row>
    <row r="6299" spans="1:4" ht="18" customHeight="1" x14ac:dyDescent="0.25">
      <c r="A6299" s="1059">
        <v>6817876</v>
      </c>
      <c r="B6299" s="1060" t="s">
        <v>27963</v>
      </c>
      <c r="C6299" s="1059" t="s">
        <v>2</v>
      </c>
      <c r="D6299" s="1061">
        <v>3996.9</v>
      </c>
    </row>
    <row r="6300" spans="1:4" ht="9" customHeight="1" x14ac:dyDescent="0.25">
      <c r="A6300" s="1059">
        <v>6817877</v>
      </c>
      <c r="B6300" s="1060" t="s">
        <v>27964</v>
      </c>
      <c r="C6300" s="1059" t="s">
        <v>2</v>
      </c>
      <c r="D6300" s="1061">
        <v>5201.37</v>
      </c>
    </row>
    <row r="6301" spans="1:4" ht="18" customHeight="1" x14ac:dyDescent="0.25">
      <c r="A6301" s="1059">
        <v>6817878</v>
      </c>
      <c r="B6301" s="1060" t="s">
        <v>27965</v>
      </c>
      <c r="C6301" s="1059" t="s">
        <v>2</v>
      </c>
      <c r="D6301" s="1061">
        <v>4828.1499999999996</v>
      </c>
    </row>
    <row r="6302" spans="1:4" ht="9" customHeight="1" x14ac:dyDescent="0.25">
      <c r="A6302" s="1059">
        <v>6817879</v>
      </c>
      <c r="B6302" s="1060" t="s">
        <v>27966</v>
      </c>
      <c r="C6302" s="1059" t="s">
        <v>2</v>
      </c>
      <c r="D6302" s="1061">
        <v>5801.23</v>
      </c>
    </row>
    <row r="6303" spans="1:4" ht="18" customHeight="1" x14ac:dyDescent="0.25">
      <c r="A6303" s="1059">
        <v>6817880</v>
      </c>
      <c r="B6303" s="1060" t="s">
        <v>27967</v>
      </c>
      <c r="C6303" s="1059" t="s">
        <v>2</v>
      </c>
      <c r="D6303" s="1061">
        <v>5347.73</v>
      </c>
    </row>
    <row r="6304" spans="1:4" ht="9" customHeight="1" x14ac:dyDescent="0.25">
      <c r="A6304" s="1059">
        <v>7119788</v>
      </c>
      <c r="B6304" s="1060" t="s">
        <v>27968</v>
      </c>
      <c r="C6304" s="1059" t="s">
        <v>27969</v>
      </c>
      <c r="D6304" s="1061">
        <v>275972.49</v>
      </c>
    </row>
    <row r="6305" spans="1:4" ht="9" customHeight="1" x14ac:dyDescent="0.25">
      <c r="A6305" s="1059">
        <v>7119714</v>
      </c>
      <c r="B6305" s="1060" t="s">
        <v>27970</v>
      </c>
      <c r="C6305" s="1059" t="s">
        <v>3</v>
      </c>
      <c r="D6305" s="1061">
        <v>1918.75</v>
      </c>
    </row>
    <row r="6306" spans="1:4" ht="9" customHeight="1" x14ac:dyDescent="0.25">
      <c r="A6306" s="1059">
        <v>7119715</v>
      </c>
      <c r="B6306" s="1060" t="s">
        <v>27971</v>
      </c>
      <c r="C6306" s="1059" t="s">
        <v>3</v>
      </c>
      <c r="D6306" s="1061">
        <v>1658.88</v>
      </c>
    </row>
    <row r="6307" spans="1:4" ht="9" customHeight="1" x14ac:dyDescent="0.25">
      <c r="A6307" s="1059">
        <v>7119678</v>
      </c>
      <c r="B6307" s="1060" t="s">
        <v>27972</v>
      </c>
      <c r="C6307" s="1059" t="s">
        <v>25896</v>
      </c>
      <c r="D6307" s="1061">
        <v>8257.52</v>
      </c>
    </row>
    <row r="6308" spans="1:4" ht="9" customHeight="1" x14ac:dyDescent="0.25">
      <c r="A6308" s="1059">
        <v>7119712</v>
      </c>
      <c r="B6308" s="1060" t="s">
        <v>27973</v>
      </c>
      <c r="C6308" s="1059" t="s">
        <v>3</v>
      </c>
      <c r="D6308" s="1061">
        <v>12833.04</v>
      </c>
    </row>
    <row r="6309" spans="1:4" ht="9" customHeight="1" x14ac:dyDescent="0.25">
      <c r="A6309" s="1059">
        <v>7119694</v>
      </c>
      <c r="B6309" s="1060" t="s">
        <v>27974</v>
      </c>
      <c r="C6309" s="1059" t="s">
        <v>3</v>
      </c>
      <c r="D6309" s="1061">
        <v>7614.98</v>
      </c>
    </row>
    <row r="6310" spans="1:4" ht="9" customHeight="1" x14ac:dyDescent="0.25">
      <c r="A6310" s="1059">
        <v>7119695</v>
      </c>
      <c r="B6310" s="1060" t="s">
        <v>27975</v>
      </c>
      <c r="C6310" s="1059" t="s">
        <v>3</v>
      </c>
      <c r="D6310" s="1061">
        <v>8276.6200000000008</v>
      </c>
    </row>
    <row r="6311" spans="1:4" ht="9" customHeight="1" x14ac:dyDescent="0.25">
      <c r="A6311" s="1059">
        <v>7119696</v>
      </c>
      <c r="B6311" s="1060" t="s">
        <v>27976</v>
      </c>
      <c r="C6311" s="1059" t="s">
        <v>3</v>
      </c>
      <c r="D6311" s="1061">
        <v>13242.61</v>
      </c>
    </row>
    <row r="6312" spans="1:4" ht="9" customHeight="1" x14ac:dyDescent="0.25">
      <c r="A6312" s="1059">
        <v>7119697</v>
      </c>
      <c r="B6312" s="1060" t="s">
        <v>27977</v>
      </c>
      <c r="C6312" s="1059" t="s">
        <v>3</v>
      </c>
      <c r="D6312" s="1061">
        <v>21127.29</v>
      </c>
    </row>
    <row r="6313" spans="1:4" ht="9" customHeight="1" x14ac:dyDescent="0.25">
      <c r="A6313" s="1059">
        <v>7119698</v>
      </c>
      <c r="B6313" s="1060" t="s">
        <v>27978</v>
      </c>
      <c r="C6313" s="1059" t="s">
        <v>3</v>
      </c>
      <c r="D6313" s="1061">
        <v>26988.18</v>
      </c>
    </row>
    <row r="6314" spans="1:4" ht="9" customHeight="1" x14ac:dyDescent="0.25">
      <c r="A6314" s="1059">
        <v>7119688</v>
      </c>
      <c r="B6314" s="1060" t="s">
        <v>27979</v>
      </c>
      <c r="C6314" s="1059" t="s">
        <v>3</v>
      </c>
      <c r="D6314" s="1061">
        <v>7820.31</v>
      </c>
    </row>
    <row r="6315" spans="1:4" ht="9" customHeight="1" x14ac:dyDescent="0.25">
      <c r="A6315" s="1059">
        <v>7119689</v>
      </c>
      <c r="B6315" s="1060" t="s">
        <v>27980</v>
      </c>
      <c r="C6315" s="1059" t="s">
        <v>3</v>
      </c>
      <c r="D6315" s="1061">
        <v>15133.1</v>
      </c>
    </row>
    <row r="6316" spans="1:4" ht="9" customHeight="1" x14ac:dyDescent="0.25">
      <c r="A6316" s="1059">
        <v>7119690</v>
      </c>
      <c r="B6316" s="1060" t="s">
        <v>27981</v>
      </c>
      <c r="C6316" s="1059" t="s">
        <v>3</v>
      </c>
      <c r="D6316" s="1061">
        <v>18042.62</v>
      </c>
    </row>
    <row r="6317" spans="1:4" ht="9" customHeight="1" x14ac:dyDescent="0.25">
      <c r="A6317" s="1059">
        <v>7119691</v>
      </c>
      <c r="B6317" s="1060" t="s">
        <v>27982</v>
      </c>
      <c r="C6317" s="1059" t="s">
        <v>3</v>
      </c>
      <c r="D6317" s="1061">
        <v>24994.1</v>
      </c>
    </row>
    <row r="6318" spans="1:4" ht="9" customHeight="1" x14ac:dyDescent="0.25">
      <c r="A6318" s="1059">
        <v>7119692</v>
      </c>
      <c r="B6318" s="1060" t="s">
        <v>27983</v>
      </c>
      <c r="C6318" s="1059" t="s">
        <v>3</v>
      </c>
      <c r="D6318" s="1061">
        <v>27474.34</v>
      </c>
    </row>
    <row r="6319" spans="1:4" ht="9" customHeight="1" x14ac:dyDescent="0.25">
      <c r="A6319" s="1059">
        <v>7119693</v>
      </c>
      <c r="B6319" s="1060" t="s">
        <v>27984</v>
      </c>
      <c r="C6319" s="1059" t="s">
        <v>3</v>
      </c>
      <c r="D6319" s="1061">
        <v>34906</v>
      </c>
    </row>
    <row r="6320" spans="1:4" ht="9" customHeight="1" x14ac:dyDescent="0.25">
      <c r="A6320" s="1059">
        <v>7119687</v>
      </c>
      <c r="B6320" s="1060" t="s">
        <v>27985</v>
      </c>
      <c r="C6320" s="1059" t="s">
        <v>3</v>
      </c>
      <c r="D6320" s="1061">
        <v>4156.21</v>
      </c>
    </row>
    <row r="6321" spans="1:4" ht="9" customHeight="1" x14ac:dyDescent="0.25">
      <c r="A6321" s="1059">
        <v>7119681</v>
      </c>
      <c r="B6321" s="1060" t="s">
        <v>27986</v>
      </c>
      <c r="C6321" s="1059" t="s">
        <v>3</v>
      </c>
      <c r="D6321" s="1061">
        <v>9001.4699999999993</v>
      </c>
    </row>
    <row r="6322" spans="1:4" ht="9" customHeight="1" x14ac:dyDescent="0.25">
      <c r="A6322" s="1059">
        <v>7119682</v>
      </c>
      <c r="B6322" s="1060" t="s">
        <v>27987</v>
      </c>
      <c r="C6322" s="1059" t="s">
        <v>3</v>
      </c>
      <c r="D6322" s="1061">
        <v>17298.96</v>
      </c>
    </row>
    <row r="6323" spans="1:4" ht="9" customHeight="1" x14ac:dyDescent="0.25">
      <c r="A6323" s="1059">
        <v>7119683</v>
      </c>
      <c r="B6323" s="1060" t="s">
        <v>27988</v>
      </c>
      <c r="C6323" s="1059" t="s">
        <v>3</v>
      </c>
      <c r="D6323" s="1061">
        <v>20630.169999999998</v>
      </c>
    </row>
    <row r="6324" spans="1:4" ht="9" customHeight="1" x14ac:dyDescent="0.25">
      <c r="A6324" s="1059">
        <v>7119684</v>
      </c>
      <c r="B6324" s="1060" t="s">
        <v>27989</v>
      </c>
      <c r="C6324" s="1059" t="s">
        <v>3</v>
      </c>
      <c r="D6324" s="1061">
        <v>28555.77</v>
      </c>
    </row>
    <row r="6325" spans="1:4" ht="9" customHeight="1" x14ac:dyDescent="0.25">
      <c r="A6325" s="1059">
        <v>7119685</v>
      </c>
      <c r="B6325" s="1060" t="s">
        <v>27990</v>
      </c>
      <c r="C6325" s="1059" t="s">
        <v>3</v>
      </c>
      <c r="D6325" s="1061">
        <v>31383.19</v>
      </c>
    </row>
    <row r="6326" spans="1:4" ht="9" customHeight="1" x14ac:dyDescent="0.25">
      <c r="A6326" s="1059">
        <v>7119686</v>
      </c>
      <c r="B6326" s="1060" t="s">
        <v>27991</v>
      </c>
      <c r="C6326" s="1059" t="s">
        <v>3</v>
      </c>
      <c r="D6326" s="1061">
        <v>39859.78</v>
      </c>
    </row>
    <row r="6327" spans="1:4" ht="9" customHeight="1" x14ac:dyDescent="0.25">
      <c r="A6327" s="1059">
        <v>7119680</v>
      </c>
      <c r="B6327" s="1060" t="s">
        <v>27992</v>
      </c>
      <c r="C6327" s="1059" t="s">
        <v>3</v>
      </c>
      <c r="D6327" s="1061">
        <v>4761.91</v>
      </c>
    </row>
    <row r="6328" spans="1:4" ht="9" customHeight="1" x14ac:dyDescent="0.25">
      <c r="A6328" s="1059">
        <v>7119710</v>
      </c>
      <c r="B6328" s="1060" t="s">
        <v>27993</v>
      </c>
      <c r="C6328" s="1059" t="s">
        <v>3</v>
      </c>
      <c r="D6328" s="1061">
        <v>672.46</v>
      </c>
    </row>
    <row r="6329" spans="1:4" ht="18" customHeight="1" x14ac:dyDescent="0.25">
      <c r="A6329" s="1059">
        <v>7107375</v>
      </c>
      <c r="B6329" s="1060" t="s">
        <v>27994</v>
      </c>
      <c r="C6329" s="1059" t="s">
        <v>3</v>
      </c>
      <c r="D6329" s="1061">
        <v>24474.28</v>
      </c>
    </row>
    <row r="6330" spans="1:4" ht="18" customHeight="1" x14ac:dyDescent="0.25">
      <c r="A6330" s="1059">
        <v>7107376</v>
      </c>
      <c r="B6330" s="1060" t="s">
        <v>27995</v>
      </c>
      <c r="C6330" s="1059" t="s">
        <v>3</v>
      </c>
      <c r="D6330" s="1061">
        <v>42072.81</v>
      </c>
    </row>
    <row r="6331" spans="1:4" ht="18" customHeight="1" x14ac:dyDescent="0.25">
      <c r="A6331" s="1059">
        <v>7107377</v>
      </c>
      <c r="B6331" s="1060" t="s">
        <v>27996</v>
      </c>
      <c r="C6331" s="1059" t="s">
        <v>3</v>
      </c>
      <c r="D6331" s="1061">
        <v>56887.97</v>
      </c>
    </row>
    <row r="6332" spans="1:4" ht="18" customHeight="1" x14ac:dyDescent="0.25">
      <c r="A6332" s="1059">
        <v>7107374</v>
      </c>
      <c r="B6332" s="1060" t="s">
        <v>27997</v>
      </c>
      <c r="C6332" s="1059" t="s">
        <v>3</v>
      </c>
      <c r="D6332" s="1061">
        <v>15835.98</v>
      </c>
    </row>
    <row r="6333" spans="1:4" ht="9" customHeight="1" x14ac:dyDescent="0.25">
      <c r="A6333" s="1059">
        <v>7119708</v>
      </c>
      <c r="B6333" s="1060" t="s">
        <v>27998</v>
      </c>
      <c r="C6333" s="1059" t="s">
        <v>3</v>
      </c>
      <c r="D6333" s="1061">
        <v>113214.18</v>
      </c>
    </row>
    <row r="6334" spans="1:4" ht="9" customHeight="1" x14ac:dyDescent="0.25">
      <c r="A6334" s="1059">
        <v>7119709</v>
      </c>
      <c r="B6334" s="1060" t="s">
        <v>27999</v>
      </c>
      <c r="C6334" s="1059" t="s">
        <v>3</v>
      </c>
      <c r="D6334" s="1061">
        <v>156286.20000000001</v>
      </c>
    </row>
    <row r="6335" spans="1:4" ht="9" customHeight="1" x14ac:dyDescent="0.25">
      <c r="A6335" s="1059">
        <v>7119706</v>
      </c>
      <c r="B6335" s="1060" t="s">
        <v>28000</v>
      </c>
      <c r="C6335" s="1059" t="s">
        <v>3</v>
      </c>
      <c r="D6335" s="1061">
        <v>53183.11</v>
      </c>
    </row>
    <row r="6336" spans="1:4" ht="9" customHeight="1" x14ac:dyDescent="0.25">
      <c r="A6336" s="1059">
        <v>7119707</v>
      </c>
      <c r="B6336" s="1060" t="s">
        <v>28001</v>
      </c>
      <c r="C6336" s="1059" t="s">
        <v>3</v>
      </c>
      <c r="D6336" s="1061">
        <v>128111.71</v>
      </c>
    </row>
    <row r="6337" spans="1:4" ht="18" customHeight="1" x14ac:dyDescent="0.25">
      <c r="A6337" s="1059">
        <v>7119787</v>
      </c>
      <c r="B6337" s="1060" t="s">
        <v>28002</v>
      </c>
      <c r="C6337" s="1059" t="s">
        <v>39</v>
      </c>
      <c r="D6337" s="1061">
        <v>380.58</v>
      </c>
    </row>
    <row r="6338" spans="1:4" ht="9" customHeight="1" x14ac:dyDescent="0.25">
      <c r="A6338" s="1059">
        <v>7119647</v>
      </c>
      <c r="B6338" s="1060" t="s">
        <v>28003</v>
      </c>
      <c r="C6338" s="1059" t="s">
        <v>3</v>
      </c>
      <c r="D6338" s="1061">
        <v>2668.73</v>
      </c>
    </row>
    <row r="6339" spans="1:4" ht="9" customHeight="1" x14ac:dyDescent="0.25">
      <c r="A6339" s="1059">
        <v>7119679</v>
      </c>
      <c r="B6339" s="1060" t="s">
        <v>28004</v>
      </c>
      <c r="C6339" s="1059" t="s">
        <v>25896</v>
      </c>
      <c r="D6339" s="1061">
        <v>48.5</v>
      </c>
    </row>
    <row r="6340" spans="1:4" ht="9" customHeight="1" x14ac:dyDescent="0.25">
      <c r="A6340" s="1059">
        <v>7119711</v>
      </c>
      <c r="B6340" s="1060" t="s">
        <v>28005</v>
      </c>
      <c r="C6340" s="1059" t="s">
        <v>3</v>
      </c>
      <c r="D6340" s="1061">
        <v>1033.46</v>
      </c>
    </row>
    <row r="6341" spans="1:4" ht="9" customHeight="1" x14ac:dyDescent="0.25">
      <c r="A6341" s="1059">
        <v>7119713</v>
      </c>
      <c r="B6341" s="1060" t="s">
        <v>28006</v>
      </c>
      <c r="C6341" s="1059" t="s">
        <v>3</v>
      </c>
      <c r="D6341" s="1061">
        <v>188047.61</v>
      </c>
    </row>
    <row r="6342" spans="1:4" ht="9" customHeight="1" x14ac:dyDescent="0.25">
      <c r="A6342" s="1059">
        <v>7119646</v>
      </c>
      <c r="B6342" s="1060" t="s">
        <v>28007</v>
      </c>
      <c r="C6342" s="1059" t="s">
        <v>25896</v>
      </c>
      <c r="D6342" s="1061">
        <v>1069.57</v>
      </c>
    </row>
    <row r="6343" spans="1:4" ht="9" customHeight="1" x14ac:dyDescent="0.25">
      <c r="A6343" s="1059">
        <v>7119699</v>
      </c>
      <c r="B6343" s="1060" t="s">
        <v>28008</v>
      </c>
      <c r="C6343" s="1059" t="s">
        <v>39</v>
      </c>
      <c r="D6343" s="1061">
        <v>19.39</v>
      </c>
    </row>
    <row r="6344" spans="1:4" ht="9" customHeight="1" x14ac:dyDescent="0.25">
      <c r="A6344" s="1059">
        <v>7119702</v>
      </c>
      <c r="B6344" s="1060" t="s">
        <v>28009</v>
      </c>
      <c r="C6344" s="1059" t="s">
        <v>39</v>
      </c>
      <c r="D6344" s="1061">
        <v>58.49</v>
      </c>
    </row>
    <row r="6345" spans="1:4" ht="18" customHeight="1" x14ac:dyDescent="0.25">
      <c r="A6345" s="1059">
        <v>7119701</v>
      </c>
      <c r="B6345" s="1060" t="s">
        <v>28010</v>
      </c>
      <c r="C6345" s="1059" t="s">
        <v>39</v>
      </c>
      <c r="D6345" s="1061">
        <v>58.49</v>
      </c>
    </row>
    <row r="6346" spans="1:4" ht="9" customHeight="1" x14ac:dyDescent="0.25">
      <c r="A6346" s="1059">
        <v>7119700</v>
      </c>
      <c r="B6346" s="1060" t="s">
        <v>28011</v>
      </c>
      <c r="C6346" s="1059" t="s">
        <v>39</v>
      </c>
      <c r="D6346" s="1061">
        <v>52.17</v>
      </c>
    </row>
    <row r="6347" spans="1:4" ht="9" customHeight="1" x14ac:dyDescent="0.25">
      <c r="A6347" s="1059" t="s">
        <v>31549</v>
      </c>
      <c r="B6347" s="1060" t="s">
        <v>31550</v>
      </c>
      <c r="C6347" s="1059" t="s">
        <v>3</v>
      </c>
      <c r="D6347" s="1061">
        <v>1.0812999999999999</v>
      </c>
    </row>
    <row r="6348" spans="1:4" ht="9" customHeight="1" x14ac:dyDescent="0.25">
      <c r="A6348" s="1059" t="s">
        <v>31551</v>
      </c>
      <c r="B6348" s="1060" t="s">
        <v>31552</v>
      </c>
      <c r="C6348" s="1059" t="s">
        <v>2</v>
      </c>
      <c r="D6348" s="1061">
        <v>3.1804999999999999</v>
      </c>
    </row>
  </sheetData>
  <autoFilter ref="A3:D6348" xr:uid="{25DF7599-3623-45AE-B73D-422F75AC4C26}"/>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D5FD-0B36-4AEB-81E9-918D0A1471F9}">
  <sheetPr>
    <tabColor theme="0" tint="-4.9989318521683403E-2"/>
  </sheetPr>
  <dimension ref="A1:G3506"/>
  <sheetViews>
    <sheetView zoomScale="115" zoomScaleNormal="115" zoomScaleSheetLayoutView="155" workbookViewId="0">
      <selection activeCell="A3840" sqref="A3840"/>
    </sheetView>
  </sheetViews>
  <sheetFormatPr defaultRowHeight="12.75" x14ac:dyDescent="0.2"/>
  <cols>
    <col min="1" max="1" width="8.42578125" style="895" bestFit="1" customWidth="1"/>
    <col min="2" max="2" width="62.5703125" style="895" customWidth="1"/>
    <col min="3" max="3" width="9.28515625" style="895" bestFit="1" customWidth="1"/>
    <col min="4" max="4" width="11.85546875" style="895" customWidth="1"/>
    <col min="5" max="256" width="9.140625" style="895"/>
    <col min="257" max="257" width="8.42578125" style="895" bestFit="1" customWidth="1"/>
    <col min="258" max="258" width="62.5703125" style="895" customWidth="1"/>
    <col min="259" max="259" width="9.28515625" style="895" bestFit="1" customWidth="1"/>
    <col min="260" max="260" width="11.85546875" style="895" customWidth="1"/>
    <col min="261" max="512" width="9.140625" style="895"/>
    <col min="513" max="513" width="8.42578125" style="895" bestFit="1" customWidth="1"/>
    <col min="514" max="514" width="62.5703125" style="895" customWidth="1"/>
    <col min="515" max="515" width="9.28515625" style="895" bestFit="1" customWidth="1"/>
    <col min="516" max="516" width="11.85546875" style="895" customWidth="1"/>
    <col min="517" max="768" width="9.140625" style="895"/>
    <col min="769" max="769" width="8.42578125" style="895" bestFit="1" customWidth="1"/>
    <col min="770" max="770" width="62.5703125" style="895" customWidth="1"/>
    <col min="771" max="771" width="9.28515625" style="895" bestFit="1" customWidth="1"/>
    <col min="772" max="772" width="11.85546875" style="895" customWidth="1"/>
    <col min="773" max="1024" width="9.140625" style="895"/>
    <col min="1025" max="1025" width="8.42578125" style="895" bestFit="1" customWidth="1"/>
    <col min="1026" max="1026" width="62.5703125" style="895" customWidth="1"/>
    <col min="1027" max="1027" width="9.28515625" style="895" bestFit="1" customWidth="1"/>
    <col min="1028" max="1028" width="11.85546875" style="895" customWidth="1"/>
    <col min="1029" max="1280" width="9.140625" style="895"/>
    <col min="1281" max="1281" width="8.42578125" style="895" bestFit="1" customWidth="1"/>
    <col min="1282" max="1282" width="62.5703125" style="895" customWidth="1"/>
    <col min="1283" max="1283" width="9.28515625" style="895" bestFit="1" customWidth="1"/>
    <col min="1284" max="1284" width="11.85546875" style="895" customWidth="1"/>
    <col min="1285" max="1536" width="9.140625" style="895"/>
    <col min="1537" max="1537" width="8.42578125" style="895" bestFit="1" customWidth="1"/>
    <col min="1538" max="1538" width="62.5703125" style="895" customWidth="1"/>
    <col min="1539" max="1539" width="9.28515625" style="895" bestFit="1" customWidth="1"/>
    <col min="1540" max="1540" width="11.85546875" style="895" customWidth="1"/>
    <col min="1541" max="1792" width="9.140625" style="895"/>
    <col min="1793" max="1793" width="8.42578125" style="895" bestFit="1" customWidth="1"/>
    <col min="1794" max="1794" width="62.5703125" style="895" customWidth="1"/>
    <col min="1795" max="1795" width="9.28515625" style="895" bestFit="1" customWidth="1"/>
    <col min="1796" max="1796" width="11.85546875" style="895" customWidth="1"/>
    <col min="1797" max="2048" width="9.140625" style="895"/>
    <col min="2049" max="2049" width="8.42578125" style="895" bestFit="1" customWidth="1"/>
    <col min="2050" max="2050" width="62.5703125" style="895" customWidth="1"/>
    <col min="2051" max="2051" width="9.28515625" style="895" bestFit="1" customWidth="1"/>
    <col min="2052" max="2052" width="11.85546875" style="895" customWidth="1"/>
    <col min="2053" max="2304" width="9.140625" style="895"/>
    <col min="2305" max="2305" width="8.42578125" style="895" bestFit="1" customWidth="1"/>
    <col min="2306" max="2306" width="62.5703125" style="895" customWidth="1"/>
    <col min="2307" max="2307" width="9.28515625" style="895" bestFit="1" customWidth="1"/>
    <col min="2308" max="2308" width="11.85546875" style="895" customWidth="1"/>
    <col min="2309" max="2560" width="9.140625" style="895"/>
    <col min="2561" max="2561" width="8.42578125" style="895" bestFit="1" customWidth="1"/>
    <col min="2562" max="2562" width="62.5703125" style="895" customWidth="1"/>
    <col min="2563" max="2563" width="9.28515625" style="895" bestFit="1" customWidth="1"/>
    <col min="2564" max="2564" width="11.85546875" style="895" customWidth="1"/>
    <col min="2565" max="2816" width="9.140625" style="895"/>
    <col min="2817" max="2817" width="8.42578125" style="895" bestFit="1" customWidth="1"/>
    <col min="2818" max="2818" width="62.5703125" style="895" customWidth="1"/>
    <col min="2819" max="2819" width="9.28515625" style="895" bestFit="1" customWidth="1"/>
    <col min="2820" max="2820" width="11.85546875" style="895" customWidth="1"/>
    <col min="2821" max="3072" width="9.140625" style="895"/>
    <col min="3073" max="3073" width="8.42578125" style="895" bestFit="1" customWidth="1"/>
    <col min="3074" max="3074" width="62.5703125" style="895" customWidth="1"/>
    <col min="3075" max="3075" width="9.28515625" style="895" bestFit="1" customWidth="1"/>
    <col min="3076" max="3076" width="11.85546875" style="895" customWidth="1"/>
    <col min="3077" max="3328" width="9.140625" style="895"/>
    <col min="3329" max="3329" width="8.42578125" style="895" bestFit="1" customWidth="1"/>
    <col min="3330" max="3330" width="62.5703125" style="895" customWidth="1"/>
    <col min="3331" max="3331" width="9.28515625" style="895" bestFit="1" customWidth="1"/>
    <col min="3332" max="3332" width="11.85546875" style="895" customWidth="1"/>
    <col min="3333" max="3584" width="9.140625" style="895"/>
    <col min="3585" max="3585" width="8.42578125" style="895" bestFit="1" customWidth="1"/>
    <col min="3586" max="3586" width="62.5703125" style="895" customWidth="1"/>
    <col min="3587" max="3587" width="9.28515625" style="895" bestFit="1" customWidth="1"/>
    <col min="3588" max="3588" width="11.85546875" style="895" customWidth="1"/>
    <col min="3589" max="3840" width="9.140625" style="895"/>
    <col min="3841" max="3841" width="8.42578125" style="895" bestFit="1" customWidth="1"/>
    <col min="3842" max="3842" width="62.5703125" style="895" customWidth="1"/>
    <col min="3843" max="3843" width="9.28515625" style="895" bestFit="1" customWidth="1"/>
    <col min="3844" max="3844" width="11.85546875" style="895" customWidth="1"/>
    <col min="3845" max="4096" width="9.140625" style="895"/>
    <col min="4097" max="4097" width="8.42578125" style="895" bestFit="1" customWidth="1"/>
    <col min="4098" max="4098" width="62.5703125" style="895" customWidth="1"/>
    <col min="4099" max="4099" width="9.28515625" style="895" bestFit="1" customWidth="1"/>
    <col min="4100" max="4100" width="11.85546875" style="895" customWidth="1"/>
    <col min="4101" max="4352" width="9.140625" style="895"/>
    <col min="4353" max="4353" width="8.42578125" style="895" bestFit="1" customWidth="1"/>
    <col min="4354" max="4354" width="62.5703125" style="895" customWidth="1"/>
    <col min="4355" max="4355" width="9.28515625" style="895" bestFit="1" customWidth="1"/>
    <col min="4356" max="4356" width="11.85546875" style="895" customWidth="1"/>
    <col min="4357" max="4608" width="9.140625" style="895"/>
    <col min="4609" max="4609" width="8.42578125" style="895" bestFit="1" customWidth="1"/>
    <col min="4610" max="4610" width="62.5703125" style="895" customWidth="1"/>
    <col min="4611" max="4611" width="9.28515625" style="895" bestFit="1" customWidth="1"/>
    <col min="4612" max="4612" width="11.85546875" style="895" customWidth="1"/>
    <col min="4613" max="4864" width="9.140625" style="895"/>
    <col min="4865" max="4865" width="8.42578125" style="895" bestFit="1" customWidth="1"/>
    <col min="4866" max="4866" width="62.5703125" style="895" customWidth="1"/>
    <col min="4867" max="4867" width="9.28515625" style="895" bestFit="1" customWidth="1"/>
    <col min="4868" max="4868" width="11.85546875" style="895" customWidth="1"/>
    <col min="4869" max="5120" width="9.140625" style="895"/>
    <col min="5121" max="5121" width="8.42578125" style="895" bestFit="1" customWidth="1"/>
    <col min="5122" max="5122" width="62.5703125" style="895" customWidth="1"/>
    <col min="5123" max="5123" width="9.28515625" style="895" bestFit="1" customWidth="1"/>
    <col min="5124" max="5124" width="11.85546875" style="895" customWidth="1"/>
    <col min="5125" max="5376" width="9.140625" style="895"/>
    <col min="5377" max="5377" width="8.42578125" style="895" bestFit="1" customWidth="1"/>
    <col min="5378" max="5378" width="62.5703125" style="895" customWidth="1"/>
    <col min="5379" max="5379" width="9.28515625" style="895" bestFit="1" customWidth="1"/>
    <col min="5380" max="5380" width="11.85546875" style="895" customWidth="1"/>
    <col min="5381" max="5632" width="9.140625" style="895"/>
    <col min="5633" max="5633" width="8.42578125" style="895" bestFit="1" customWidth="1"/>
    <col min="5634" max="5634" width="62.5703125" style="895" customWidth="1"/>
    <col min="5635" max="5635" width="9.28515625" style="895" bestFit="1" customWidth="1"/>
    <col min="5636" max="5636" width="11.85546875" style="895" customWidth="1"/>
    <col min="5637" max="5888" width="9.140625" style="895"/>
    <col min="5889" max="5889" width="8.42578125" style="895" bestFit="1" customWidth="1"/>
    <col min="5890" max="5890" width="62.5703125" style="895" customWidth="1"/>
    <col min="5891" max="5891" width="9.28515625" style="895" bestFit="1" customWidth="1"/>
    <col min="5892" max="5892" width="11.85546875" style="895" customWidth="1"/>
    <col min="5893" max="6144" width="9.140625" style="895"/>
    <col min="6145" max="6145" width="8.42578125" style="895" bestFit="1" customWidth="1"/>
    <col min="6146" max="6146" width="62.5703125" style="895" customWidth="1"/>
    <col min="6147" max="6147" width="9.28515625" style="895" bestFit="1" customWidth="1"/>
    <col min="6148" max="6148" width="11.85546875" style="895" customWidth="1"/>
    <col min="6149" max="6400" width="9.140625" style="895"/>
    <col min="6401" max="6401" width="8.42578125" style="895" bestFit="1" customWidth="1"/>
    <col min="6402" max="6402" width="62.5703125" style="895" customWidth="1"/>
    <col min="6403" max="6403" width="9.28515625" style="895" bestFit="1" customWidth="1"/>
    <col min="6404" max="6404" width="11.85546875" style="895" customWidth="1"/>
    <col min="6405" max="6656" width="9.140625" style="895"/>
    <col min="6657" max="6657" width="8.42578125" style="895" bestFit="1" customWidth="1"/>
    <col min="6658" max="6658" width="62.5703125" style="895" customWidth="1"/>
    <col min="6659" max="6659" width="9.28515625" style="895" bestFit="1" customWidth="1"/>
    <col min="6660" max="6660" width="11.85546875" style="895" customWidth="1"/>
    <col min="6661" max="6912" width="9.140625" style="895"/>
    <col min="6913" max="6913" width="8.42578125" style="895" bestFit="1" customWidth="1"/>
    <col min="6914" max="6914" width="62.5703125" style="895" customWidth="1"/>
    <col min="6915" max="6915" width="9.28515625" style="895" bestFit="1" customWidth="1"/>
    <col min="6916" max="6916" width="11.85546875" style="895" customWidth="1"/>
    <col min="6917" max="7168" width="9.140625" style="895"/>
    <col min="7169" max="7169" width="8.42578125" style="895" bestFit="1" customWidth="1"/>
    <col min="7170" max="7170" width="62.5703125" style="895" customWidth="1"/>
    <col min="7171" max="7171" width="9.28515625" style="895" bestFit="1" customWidth="1"/>
    <col min="7172" max="7172" width="11.85546875" style="895" customWidth="1"/>
    <col min="7173" max="7424" width="9.140625" style="895"/>
    <col min="7425" max="7425" width="8.42578125" style="895" bestFit="1" customWidth="1"/>
    <col min="7426" max="7426" width="62.5703125" style="895" customWidth="1"/>
    <col min="7427" max="7427" width="9.28515625" style="895" bestFit="1" customWidth="1"/>
    <col min="7428" max="7428" width="11.85546875" style="895" customWidth="1"/>
    <col min="7429" max="7680" width="9.140625" style="895"/>
    <col min="7681" max="7681" width="8.42578125" style="895" bestFit="1" customWidth="1"/>
    <col min="7682" max="7682" width="62.5703125" style="895" customWidth="1"/>
    <col min="7683" max="7683" width="9.28515625" style="895" bestFit="1" customWidth="1"/>
    <col min="7684" max="7684" width="11.85546875" style="895" customWidth="1"/>
    <col min="7685" max="7936" width="9.140625" style="895"/>
    <col min="7937" max="7937" width="8.42578125" style="895" bestFit="1" customWidth="1"/>
    <col min="7938" max="7938" width="62.5703125" style="895" customWidth="1"/>
    <col min="7939" max="7939" width="9.28515625" style="895" bestFit="1" customWidth="1"/>
    <col min="7940" max="7940" width="11.85546875" style="895" customWidth="1"/>
    <col min="7941" max="8192" width="9.140625" style="895"/>
    <col min="8193" max="8193" width="8.42578125" style="895" bestFit="1" customWidth="1"/>
    <col min="8194" max="8194" width="62.5703125" style="895" customWidth="1"/>
    <col min="8195" max="8195" width="9.28515625" style="895" bestFit="1" customWidth="1"/>
    <col min="8196" max="8196" width="11.85546875" style="895" customWidth="1"/>
    <col min="8197" max="8448" width="9.140625" style="895"/>
    <col min="8449" max="8449" width="8.42578125" style="895" bestFit="1" customWidth="1"/>
    <col min="8450" max="8450" width="62.5703125" style="895" customWidth="1"/>
    <col min="8451" max="8451" width="9.28515625" style="895" bestFit="1" customWidth="1"/>
    <col min="8452" max="8452" width="11.85546875" style="895" customWidth="1"/>
    <col min="8453" max="8704" width="9.140625" style="895"/>
    <col min="8705" max="8705" width="8.42578125" style="895" bestFit="1" customWidth="1"/>
    <col min="8706" max="8706" width="62.5703125" style="895" customWidth="1"/>
    <col min="8707" max="8707" width="9.28515625" style="895" bestFit="1" customWidth="1"/>
    <col min="8708" max="8708" width="11.85546875" style="895" customWidth="1"/>
    <col min="8709" max="8960" width="9.140625" style="895"/>
    <col min="8961" max="8961" width="8.42578125" style="895" bestFit="1" customWidth="1"/>
    <col min="8962" max="8962" width="62.5703125" style="895" customWidth="1"/>
    <col min="8963" max="8963" width="9.28515625" style="895" bestFit="1" customWidth="1"/>
    <col min="8964" max="8964" width="11.85546875" style="895" customWidth="1"/>
    <col min="8965" max="9216" width="9.140625" style="895"/>
    <col min="9217" max="9217" width="8.42578125" style="895" bestFit="1" customWidth="1"/>
    <col min="9218" max="9218" width="62.5703125" style="895" customWidth="1"/>
    <col min="9219" max="9219" width="9.28515625" style="895" bestFit="1" customWidth="1"/>
    <col min="9220" max="9220" width="11.85546875" style="895" customWidth="1"/>
    <col min="9221" max="9472" width="9.140625" style="895"/>
    <col min="9473" max="9473" width="8.42578125" style="895" bestFit="1" customWidth="1"/>
    <col min="9474" max="9474" width="62.5703125" style="895" customWidth="1"/>
    <col min="9475" max="9475" width="9.28515625" style="895" bestFit="1" customWidth="1"/>
    <col min="9476" max="9476" width="11.85546875" style="895" customWidth="1"/>
    <col min="9477" max="9728" width="9.140625" style="895"/>
    <col min="9729" max="9729" width="8.42578125" style="895" bestFit="1" customWidth="1"/>
    <col min="9730" max="9730" width="62.5703125" style="895" customWidth="1"/>
    <col min="9731" max="9731" width="9.28515625" style="895" bestFit="1" customWidth="1"/>
    <col min="9732" max="9732" width="11.85546875" style="895" customWidth="1"/>
    <col min="9733" max="9984" width="9.140625" style="895"/>
    <col min="9985" max="9985" width="8.42578125" style="895" bestFit="1" customWidth="1"/>
    <col min="9986" max="9986" width="62.5703125" style="895" customWidth="1"/>
    <col min="9987" max="9987" width="9.28515625" style="895" bestFit="1" customWidth="1"/>
    <col min="9988" max="9988" width="11.85546875" style="895" customWidth="1"/>
    <col min="9989" max="10240" width="9.140625" style="895"/>
    <col min="10241" max="10241" width="8.42578125" style="895" bestFit="1" customWidth="1"/>
    <col min="10242" max="10242" width="62.5703125" style="895" customWidth="1"/>
    <col min="10243" max="10243" width="9.28515625" style="895" bestFit="1" customWidth="1"/>
    <col min="10244" max="10244" width="11.85546875" style="895" customWidth="1"/>
    <col min="10245" max="10496" width="9.140625" style="895"/>
    <col min="10497" max="10497" width="8.42578125" style="895" bestFit="1" customWidth="1"/>
    <col min="10498" max="10498" width="62.5703125" style="895" customWidth="1"/>
    <col min="10499" max="10499" width="9.28515625" style="895" bestFit="1" customWidth="1"/>
    <col min="10500" max="10500" width="11.85546875" style="895" customWidth="1"/>
    <col min="10501" max="10752" width="9.140625" style="895"/>
    <col min="10753" max="10753" width="8.42578125" style="895" bestFit="1" customWidth="1"/>
    <col min="10754" max="10754" width="62.5703125" style="895" customWidth="1"/>
    <col min="10755" max="10755" width="9.28515625" style="895" bestFit="1" customWidth="1"/>
    <col min="10756" max="10756" width="11.85546875" style="895" customWidth="1"/>
    <col min="10757" max="11008" width="9.140625" style="895"/>
    <col min="11009" max="11009" width="8.42578125" style="895" bestFit="1" customWidth="1"/>
    <col min="11010" max="11010" width="62.5703125" style="895" customWidth="1"/>
    <col min="11011" max="11011" width="9.28515625" style="895" bestFit="1" customWidth="1"/>
    <col min="11012" max="11012" width="11.85546875" style="895" customWidth="1"/>
    <col min="11013" max="11264" width="9.140625" style="895"/>
    <col min="11265" max="11265" width="8.42578125" style="895" bestFit="1" customWidth="1"/>
    <col min="11266" max="11266" width="62.5703125" style="895" customWidth="1"/>
    <col min="11267" max="11267" width="9.28515625" style="895" bestFit="1" customWidth="1"/>
    <col min="11268" max="11268" width="11.85546875" style="895" customWidth="1"/>
    <col min="11269" max="11520" width="9.140625" style="895"/>
    <col min="11521" max="11521" width="8.42578125" style="895" bestFit="1" customWidth="1"/>
    <col min="11522" max="11522" width="62.5703125" style="895" customWidth="1"/>
    <col min="11523" max="11523" width="9.28515625" style="895" bestFit="1" customWidth="1"/>
    <col min="11524" max="11524" width="11.85546875" style="895" customWidth="1"/>
    <col min="11525" max="11776" width="9.140625" style="895"/>
    <col min="11777" max="11777" width="8.42578125" style="895" bestFit="1" customWidth="1"/>
    <col min="11778" max="11778" width="62.5703125" style="895" customWidth="1"/>
    <col min="11779" max="11779" width="9.28515625" style="895" bestFit="1" customWidth="1"/>
    <col min="11780" max="11780" width="11.85546875" style="895" customWidth="1"/>
    <col min="11781" max="12032" width="9.140625" style="895"/>
    <col min="12033" max="12033" width="8.42578125" style="895" bestFit="1" customWidth="1"/>
    <col min="12034" max="12034" width="62.5703125" style="895" customWidth="1"/>
    <col min="12035" max="12035" width="9.28515625" style="895" bestFit="1" customWidth="1"/>
    <col min="12036" max="12036" width="11.85546875" style="895" customWidth="1"/>
    <col min="12037" max="12288" width="9.140625" style="895"/>
    <col min="12289" max="12289" width="8.42578125" style="895" bestFit="1" customWidth="1"/>
    <col min="12290" max="12290" width="62.5703125" style="895" customWidth="1"/>
    <col min="12291" max="12291" width="9.28515625" style="895" bestFit="1" customWidth="1"/>
    <col min="12292" max="12292" width="11.85546875" style="895" customWidth="1"/>
    <col min="12293" max="12544" width="9.140625" style="895"/>
    <col min="12545" max="12545" width="8.42578125" style="895" bestFit="1" customWidth="1"/>
    <col min="12546" max="12546" width="62.5703125" style="895" customWidth="1"/>
    <col min="12547" max="12547" width="9.28515625" style="895" bestFit="1" customWidth="1"/>
    <col min="12548" max="12548" width="11.85546875" style="895" customWidth="1"/>
    <col min="12549" max="12800" width="9.140625" style="895"/>
    <col min="12801" max="12801" width="8.42578125" style="895" bestFit="1" customWidth="1"/>
    <col min="12802" max="12802" width="62.5703125" style="895" customWidth="1"/>
    <col min="12803" max="12803" width="9.28515625" style="895" bestFit="1" customWidth="1"/>
    <col min="12804" max="12804" width="11.85546875" style="895" customWidth="1"/>
    <col min="12805" max="13056" width="9.140625" style="895"/>
    <col min="13057" max="13057" width="8.42578125" style="895" bestFit="1" customWidth="1"/>
    <col min="13058" max="13058" width="62.5703125" style="895" customWidth="1"/>
    <col min="13059" max="13059" width="9.28515625" style="895" bestFit="1" customWidth="1"/>
    <col min="13060" max="13060" width="11.85546875" style="895" customWidth="1"/>
    <col min="13061" max="13312" width="9.140625" style="895"/>
    <col min="13313" max="13313" width="8.42578125" style="895" bestFit="1" customWidth="1"/>
    <col min="13314" max="13314" width="62.5703125" style="895" customWidth="1"/>
    <col min="13315" max="13315" width="9.28515625" style="895" bestFit="1" customWidth="1"/>
    <col min="13316" max="13316" width="11.85546875" style="895" customWidth="1"/>
    <col min="13317" max="13568" width="9.140625" style="895"/>
    <col min="13569" max="13569" width="8.42578125" style="895" bestFit="1" customWidth="1"/>
    <col min="13570" max="13570" width="62.5703125" style="895" customWidth="1"/>
    <col min="13571" max="13571" width="9.28515625" style="895" bestFit="1" customWidth="1"/>
    <col min="13572" max="13572" width="11.85546875" style="895" customWidth="1"/>
    <col min="13573" max="13824" width="9.140625" style="895"/>
    <col min="13825" max="13825" width="8.42578125" style="895" bestFit="1" customWidth="1"/>
    <col min="13826" max="13826" width="62.5703125" style="895" customWidth="1"/>
    <col min="13827" max="13827" width="9.28515625" style="895" bestFit="1" customWidth="1"/>
    <col min="13828" max="13828" width="11.85546875" style="895" customWidth="1"/>
    <col min="13829" max="14080" width="9.140625" style="895"/>
    <col min="14081" max="14081" width="8.42578125" style="895" bestFit="1" customWidth="1"/>
    <col min="14082" max="14082" width="62.5703125" style="895" customWidth="1"/>
    <col min="14083" max="14083" width="9.28515625" style="895" bestFit="1" customWidth="1"/>
    <col min="14084" max="14084" width="11.85546875" style="895" customWidth="1"/>
    <col min="14085" max="14336" width="9.140625" style="895"/>
    <col min="14337" max="14337" width="8.42578125" style="895" bestFit="1" customWidth="1"/>
    <col min="14338" max="14338" width="62.5703125" style="895" customWidth="1"/>
    <col min="14339" max="14339" width="9.28515625" style="895" bestFit="1" customWidth="1"/>
    <col min="14340" max="14340" width="11.85546875" style="895" customWidth="1"/>
    <col min="14341" max="14592" width="9.140625" style="895"/>
    <col min="14593" max="14593" width="8.42578125" style="895" bestFit="1" customWidth="1"/>
    <col min="14594" max="14594" width="62.5703125" style="895" customWidth="1"/>
    <col min="14595" max="14595" width="9.28515625" style="895" bestFit="1" customWidth="1"/>
    <col min="14596" max="14596" width="11.85546875" style="895" customWidth="1"/>
    <col min="14597" max="14848" width="9.140625" style="895"/>
    <col min="14849" max="14849" width="8.42578125" style="895" bestFit="1" customWidth="1"/>
    <col min="14850" max="14850" width="62.5703125" style="895" customWidth="1"/>
    <col min="14851" max="14851" width="9.28515625" style="895" bestFit="1" customWidth="1"/>
    <col min="14852" max="14852" width="11.85546875" style="895" customWidth="1"/>
    <col min="14853" max="15104" width="9.140625" style="895"/>
    <col min="15105" max="15105" width="8.42578125" style="895" bestFit="1" customWidth="1"/>
    <col min="15106" max="15106" width="62.5703125" style="895" customWidth="1"/>
    <col min="15107" max="15107" width="9.28515625" style="895" bestFit="1" customWidth="1"/>
    <col min="15108" max="15108" width="11.85546875" style="895" customWidth="1"/>
    <col min="15109" max="15360" width="9.140625" style="895"/>
    <col min="15361" max="15361" width="8.42578125" style="895" bestFit="1" customWidth="1"/>
    <col min="15362" max="15362" width="62.5703125" style="895" customWidth="1"/>
    <col min="15363" max="15363" width="9.28515625" style="895" bestFit="1" customWidth="1"/>
    <col min="15364" max="15364" width="11.85546875" style="895" customWidth="1"/>
    <col min="15365" max="15616" width="9.140625" style="895"/>
    <col min="15617" max="15617" width="8.42578125" style="895" bestFit="1" customWidth="1"/>
    <col min="15618" max="15618" width="62.5703125" style="895" customWidth="1"/>
    <col min="15619" max="15619" width="9.28515625" style="895" bestFit="1" customWidth="1"/>
    <col min="15620" max="15620" width="11.85546875" style="895" customWidth="1"/>
    <col min="15621" max="15872" width="9.140625" style="895"/>
    <col min="15873" max="15873" width="8.42578125" style="895" bestFit="1" customWidth="1"/>
    <col min="15874" max="15874" width="62.5703125" style="895" customWidth="1"/>
    <col min="15875" max="15875" width="9.28515625" style="895" bestFit="1" customWidth="1"/>
    <col min="15876" max="15876" width="11.85546875" style="895" customWidth="1"/>
    <col min="15877" max="16128" width="9.140625" style="895"/>
    <col min="16129" max="16129" width="8.42578125" style="895" bestFit="1" customWidth="1"/>
    <col min="16130" max="16130" width="62.5703125" style="895" customWidth="1"/>
    <col min="16131" max="16131" width="9.28515625" style="895" bestFit="1" customWidth="1"/>
    <col min="16132" max="16132" width="11.85546875" style="895" customWidth="1"/>
    <col min="16133" max="16384" width="9.140625" style="895"/>
  </cols>
  <sheetData>
    <row r="1" spans="1:4" x14ac:dyDescent="0.2">
      <c r="B1" s="895" t="s">
        <v>31541</v>
      </c>
      <c r="C1" s="895" t="s">
        <v>2938</v>
      </c>
      <c r="D1" s="896">
        <v>44743</v>
      </c>
    </row>
    <row r="2" spans="1:4" ht="25.5" x14ac:dyDescent="0.2">
      <c r="A2" s="897" t="s">
        <v>2875</v>
      </c>
      <c r="B2" s="898" t="s">
        <v>2876</v>
      </c>
      <c r="C2" s="899" t="s">
        <v>2450</v>
      </c>
      <c r="D2" s="900" t="s">
        <v>18236</v>
      </c>
    </row>
    <row r="3" spans="1:4" x14ac:dyDescent="0.2">
      <c r="A3" s="901">
        <v>10000</v>
      </c>
      <c r="B3" s="902" t="s">
        <v>18237</v>
      </c>
      <c r="C3" s="903"/>
      <c r="D3" s="904"/>
    </row>
    <row r="4" spans="1:4" ht="15" x14ac:dyDescent="0.25">
      <c r="A4" s="905">
        <v>10900</v>
      </c>
      <c r="B4" s="906" t="s">
        <v>18238</v>
      </c>
      <c r="C4" s="907" t="s">
        <v>227</v>
      </c>
      <c r="D4" s="908">
        <v>0.61</v>
      </c>
    </row>
    <row r="5" spans="1:4" ht="15" x14ac:dyDescent="0.25">
      <c r="A5" s="905">
        <v>11000</v>
      </c>
      <c r="B5" s="906" t="s">
        <v>18239</v>
      </c>
      <c r="C5" s="907" t="s">
        <v>227</v>
      </c>
      <c r="D5" s="908">
        <v>0.74</v>
      </c>
    </row>
    <row r="6" spans="1:4" ht="15" x14ac:dyDescent="0.25">
      <c r="A6" s="905">
        <v>11100</v>
      </c>
      <c r="B6" s="906" t="s">
        <v>18240</v>
      </c>
      <c r="C6" s="907" t="s">
        <v>158</v>
      </c>
      <c r="D6" s="908">
        <v>5.51</v>
      </c>
    </row>
    <row r="7" spans="1:4" ht="15" x14ac:dyDescent="0.25">
      <c r="A7" s="905">
        <v>11300</v>
      </c>
      <c r="B7" s="906" t="s">
        <v>18241</v>
      </c>
      <c r="C7" s="907" t="s">
        <v>18242</v>
      </c>
      <c r="D7" s="908">
        <v>3.19</v>
      </c>
    </row>
    <row r="8" spans="1:4" ht="23.25" x14ac:dyDescent="0.25">
      <c r="A8" s="905">
        <v>11400</v>
      </c>
      <c r="B8" s="906" t="s">
        <v>18243</v>
      </c>
      <c r="C8" s="907" t="s">
        <v>158</v>
      </c>
      <c r="D8" s="908">
        <v>5.0599999999999996</v>
      </c>
    </row>
    <row r="9" spans="1:4" ht="23.25" x14ac:dyDescent="0.25">
      <c r="A9" s="905">
        <v>11500</v>
      </c>
      <c r="B9" s="906" t="s">
        <v>18244</v>
      </c>
      <c r="C9" s="907" t="s">
        <v>158</v>
      </c>
      <c r="D9" s="908">
        <v>4.9400000000000004</v>
      </c>
    </row>
    <row r="10" spans="1:4" ht="15" x14ac:dyDescent="0.25">
      <c r="A10" s="905">
        <v>11600</v>
      </c>
      <c r="B10" s="906" t="s">
        <v>18245</v>
      </c>
      <c r="C10" s="907" t="s">
        <v>18246</v>
      </c>
      <c r="D10" s="908">
        <v>228.11</v>
      </c>
    </row>
    <row r="11" spans="1:4" ht="15" x14ac:dyDescent="0.25">
      <c r="A11" s="905">
        <v>11700</v>
      </c>
      <c r="B11" s="906" t="s">
        <v>18247</v>
      </c>
      <c r="C11" s="907" t="s">
        <v>18248</v>
      </c>
      <c r="D11" s="908">
        <v>6.81</v>
      </c>
    </row>
    <row r="12" spans="1:4" ht="15" x14ac:dyDescent="0.25">
      <c r="A12" s="905">
        <v>11800</v>
      </c>
      <c r="B12" s="906" t="s">
        <v>18249</v>
      </c>
      <c r="C12" s="907" t="s">
        <v>158</v>
      </c>
      <c r="D12" s="908">
        <v>2.2799999999999998</v>
      </c>
    </row>
    <row r="13" spans="1:4" ht="15" x14ac:dyDescent="0.25">
      <c r="A13" s="905">
        <v>11900</v>
      </c>
      <c r="B13" s="906" t="s">
        <v>18250</v>
      </c>
      <c r="C13" s="907" t="s">
        <v>158</v>
      </c>
      <c r="D13" s="908">
        <v>9.15</v>
      </c>
    </row>
    <row r="14" spans="1:4" ht="15" x14ac:dyDescent="0.25">
      <c r="A14" s="905">
        <v>12000</v>
      </c>
      <c r="B14" s="906" t="s">
        <v>18251</v>
      </c>
      <c r="C14" s="907" t="s">
        <v>158</v>
      </c>
      <c r="D14" s="908">
        <v>11.49</v>
      </c>
    </row>
    <row r="15" spans="1:4" ht="15" x14ac:dyDescent="0.25">
      <c r="A15" s="905">
        <v>12100</v>
      </c>
      <c r="B15" s="906" t="s">
        <v>18252</v>
      </c>
      <c r="C15" s="907" t="s">
        <v>158</v>
      </c>
      <c r="D15" s="908">
        <v>7.69</v>
      </c>
    </row>
    <row r="16" spans="1:4" ht="15" x14ac:dyDescent="0.25">
      <c r="A16" s="905">
        <v>12200</v>
      </c>
      <c r="B16" s="906" t="s">
        <v>18253</v>
      </c>
      <c r="C16" s="907" t="s">
        <v>158</v>
      </c>
      <c r="D16" s="908">
        <v>17.54</v>
      </c>
    </row>
    <row r="17" spans="1:4" ht="15" x14ac:dyDescent="0.25">
      <c r="A17" s="905">
        <v>12300</v>
      </c>
      <c r="B17" s="906" t="s">
        <v>18254</v>
      </c>
      <c r="C17" s="907" t="s">
        <v>158</v>
      </c>
      <c r="D17" s="908">
        <v>5.74</v>
      </c>
    </row>
    <row r="18" spans="1:4" ht="23.25" x14ac:dyDescent="0.25">
      <c r="A18" s="905">
        <v>12400</v>
      </c>
      <c r="B18" s="906" t="s">
        <v>18255</v>
      </c>
      <c r="C18" s="907" t="s">
        <v>226</v>
      </c>
      <c r="D18" s="908">
        <v>91.73</v>
      </c>
    </row>
    <row r="19" spans="1:4" ht="15" x14ac:dyDescent="0.25">
      <c r="A19" s="905">
        <v>12500</v>
      </c>
      <c r="B19" s="906" t="s">
        <v>18256</v>
      </c>
      <c r="C19" s="907" t="s">
        <v>226</v>
      </c>
      <c r="D19" s="908">
        <v>51.34</v>
      </c>
    </row>
    <row r="20" spans="1:4" ht="15" x14ac:dyDescent="0.25">
      <c r="A20" s="905">
        <v>12600</v>
      </c>
      <c r="B20" s="906" t="s">
        <v>18257</v>
      </c>
      <c r="C20" s="907" t="s">
        <v>226</v>
      </c>
      <c r="D20" s="908">
        <v>75.72</v>
      </c>
    </row>
    <row r="21" spans="1:4" ht="15" x14ac:dyDescent="0.25">
      <c r="A21" s="905">
        <v>12700</v>
      </c>
      <c r="B21" s="906" t="s">
        <v>18258</v>
      </c>
      <c r="C21" s="907" t="s">
        <v>226</v>
      </c>
      <c r="D21" s="908">
        <v>213.84</v>
      </c>
    </row>
    <row r="22" spans="1:4" ht="15" x14ac:dyDescent="0.25">
      <c r="A22" s="905">
        <v>12800</v>
      </c>
      <c r="B22" s="906" t="s">
        <v>18259</v>
      </c>
      <c r="C22" s="907" t="s">
        <v>158</v>
      </c>
      <c r="D22" s="908">
        <v>2.2799999999999998</v>
      </c>
    </row>
    <row r="23" spans="1:4" ht="23.25" x14ac:dyDescent="0.25">
      <c r="A23" s="905">
        <v>13100</v>
      </c>
      <c r="B23" s="906" t="s">
        <v>18260</v>
      </c>
      <c r="C23" s="907" t="s">
        <v>4341</v>
      </c>
      <c r="D23" s="908">
        <v>8.81</v>
      </c>
    </row>
    <row r="24" spans="1:4" ht="23.25" x14ac:dyDescent="0.25">
      <c r="A24" s="905">
        <v>13200</v>
      </c>
      <c r="B24" s="906" t="s">
        <v>18261</v>
      </c>
      <c r="C24" s="907" t="s">
        <v>4341</v>
      </c>
      <c r="D24" s="908">
        <v>12.1</v>
      </c>
    </row>
    <row r="25" spans="1:4" ht="23.25" x14ac:dyDescent="0.25">
      <c r="A25" s="905">
        <v>13300</v>
      </c>
      <c r="B25" s="906" t="s">
        <v>18262</v>
      </c>
      <c r="C25" s="907" t="s">
        <v>4341</v>
      </c>
      <c r="D25" s="908">
        <v>14.53</v>
      </c>
    </row>
    <row r="26" spans="1:4" ht="23.25" x14ac:dyDescent="0.25">
      <c r="A26" s="905">
        <v>13400</v>
      </c>
      <c r="B26" s="906" t="s">
        <v>18263</v>
      </c>
      <c r="C26" s="907" t="s">
        <v>4341</v>
      </c>
      <c r="D26" s="908">
        <v>1.23</v>
      </c>
    </row>
    <row r="27" spans="1:4" ht="15" x14ac:dyDescent="0.25">
      <c r="A27" s="905">
        <v>13500</v>
      </c>
      <c r="B27" s="906" t="s">
        <v>18264</v>
      </c>
      <c r="C27" s="907" t="s">
        <v>4341</v>
      </c>
      <c r="D27" s="908">
        <v>0.72</v>
      </c>
    </row>
    <row r="28" spans="1:4" ht="23.25" x14ac:dyDescent="0.25">
      <c r="A28" s="905">
        <v>13600</v>
      </c>
      <c r="B28" s="906" t="s">
        <v>18265</v>
      </c>
      <c r="C28" s="907" t="s">
        <v>4341</v>
      </c>
      <c r="D28" s="908">
        <v>2.29</v>
      </c>
    </row>
    <row r="29" spans="1:4" ht="23.25" x14ac:dyDescent="0.25">
      <c r="A29" s="905">
        <v>13700</v>
      </c>
      <c r="B29" s="906" t="s">
        <v>18266</v>
      </c>
      <c r="C29" s="907" t="s">
        <v>4341</v>
      </c>
      <c r="D29" s="908">
        <v>5.67</v>
      </c>
    </row>
    <row r="30" spans="1:4" x14ac:dyDescent="0.2">
      <c r="A30" s="901">
        <v>20000</v>
      </c>
      <c r="B30" s="902" t="s">
        <v>18267</v>
      </c>
      <c r="C30" s="903"/>
      <c r="D30" s="904"/>
    </row>
    <row r="31" spans="1:4" ht="15" x14ac:dyDescent="0.25">
      <c r="A31" s="905">
        <v>20100</v>
      </c>
      <c r="B31" s="906" t="s">
        <v>18268</v>
      </c>
      <c r="C31" s="907" t="s">
        <v>18269</v>
      </c>
      <c r="D31" s="908" t="s">
        <v>18269</v>
      </c>
    </row>
    <row r="32" spans="1:4" ht="15" x14ac:dyDescent="0.25">
      <c r="A32" s="905">
        <v>20101</v>
      </c>
      <c r="B32" s="906" t="s">
        <v>18270</v>
      </c>
      <c r="C32" s="907" t="s">
        <v>158</v>
      </c>
      <c r="D32" s="908">
        <v>90.37</v>
      </c>
    </row>
    <row r="33" spans="1:4" ht="15" x14ac:dyDescent="0.25">
      <c r="A33" s="905">
        <v>20102</v>
      </c>
      <c r="B33" s="906" t="s">
        <v>18271</v>
      </c>
      <c r="C33" s="907" t="s">
        <v>158</v>
      </c>
      <c r="D33" s="908">
        <v>147.31</v>
      </c>
    </row>
    <row r="34" spans="1:4" ht="15" x14ac:dyDescent="0.25">
      <c r="A34" s="905">
        <v>20200</v>
      </c>
      <c r="B34" s="906" t="s">
        <v>18272</v>
      </c>
      <c r="C34" s="907" t="s">
        <v>18269</v>
      </c>
      <c r="D34" s="908" t="s">
        <v>18269</v>
      </c>
    </row>
    <row r="35" spans="1:4" ht="15" x14ac:dyDescent="0.25">
      <c r="A35" s="905">
        <v>20202</v>
      </c>
      <c r="B35" s="906" t="s">
        <v>18273</v>
      </c>
      <c r="C35" s="907" t="s">
        <v>226</v>
      </c>
      <c r="D35" s="908">
        <v>698.61</v>
      </c>
    </row>
    <row r="36" spans="1:4" ht="23.25" x14ac:dyDescent="0.25">
      <c r="A36" s="905">
        <v>20204</v>
      </c>
      <c r="B36" s="906" t="s">
        <v>18274</v>
      </c>
      <c r="C36" s="907" t="s">
        <v>226</v>
      </c>
      <c r="D36" s="908">
        <v>90.26</v>
      </c>
    </row>
    <row r="37" spans="1:4" ht="23.25" x14ac:dyDescent="0.25">
      <c r="A37" s="905">
        <v>20205</v>
      </c>
      <c r="B37" s="906" t="s">
        <v>18275</v>
      </c>
      <c r="C37" s="907" t="s">
        <v>226</v>
      </c>
      <c r="D37" s="908">
        <v>180.52</v>
      </c>
    </row>
    <row r="38" spans="1:4" ht="23.25" x14ac:dyDescent="0.25">
      <c r="A38" s="905">
        <v>20206</v>
      </c>
      <c r="B38" s="906" t="s">
        <v>18276</v>
      </c>
      <c r="C38" s="907" t="s">
        <v>226</v>
      </c>
      <c r="D38" s="908">
        <v>270.79000000000002</v>
      </c>
    </row>
    <row r="39" spans="1:4" ht="23.25" x14ac:dyDescent="0.25">
      <c r="A39" s="905">
        <v>20207</v>
      </c>
      <c r="B39" s="906" t="s">
        <v>18277</v>
      </c>
      <c r="C39" s="907" t="s">
        <v>226</v>
      </c>
      <c r="D39" s="908">
        <v>90.26</v>
      </c>
    </row>
    <row r="40" spans="1:4" ht="23.25" x14ac:dyDescent="0.25">
      <c r="A40" s="905">
        <v>20208</v>
      </c>
      <c r="B40" s="906" t="s">
        <v>18278</v>
      </c>
      <c r="C40" s="907" t="s">
        <v>226</v>
      </c>
      <c r="D40" s="908">
        <v>158.08000000000001</v>
      </c>
    </row>
    <row r="41" spans="1:4" ht="15" x14ac:dyDescent="0.25">
      <c r="A41" s="905">
        <v>20209</v>
      </c>
      <c r="B41" s="906" t="s">
        <v>18279</v>
      </c>
      <c r="C41" s="907" t="s">
        <v>226</v>
      </c>
      <c r="D41" s="908">
        <v>212.32</v>
      </c>
    </row>
    <row r="42" spans="1:4" ht="23.25" x14ac:dyDescent="0.25">
      <c r="A42" s="905">
        <v>20210</v>
      </c>
      <c r="B42" s="906" t="s">
        <v>18280</v>
      </c>
      <c r="C42" s="907" t="s">
        <v>158</v>
      </c>
      <c r="D42" s="908">
        <v>134.97999999999999</v>
      </c>
    </row>
    <row r="43" spans="1:4" ht="15" x14ac:dyDescent="0.25">
      <c r="A43" s="905">
        <v>20300</v>
      </c>
      <c r="B43" s="906" t="s">
        <v>18281</v>
      </c>
      <c r="C43" s="907" t="s">
        <v>18269</v>
      </c>
      <c r="D43" s="908" t="s">
        <v>18269</v>
      </c>
    </row>
    <row r="44" spans="1:4" ht="23.25" x14ac:dyDescent="0.25">
      <c r="A44" s="905">
        <v>20301</v>
      </c>
      <c r="B44" s="906" t="s">
        <v>18282</v>
      </c>
      <c r="C44" s="907" t="s">
        <v>226</v>
      </c>
      <c r="D44" s="908">
        <v>397.57</v>
      </c>
    </row>
    <row r="45" spans="1:4" ht="23.25" x14ac:dyDescent="0.25">
      <c r="A45" s="905">
        <v>20302</v>
      </c>
      <c r="B45" s="906" t="s">
        <v>18283</v>
      </c>
      <c r="C45" s="907" t="s">
        <v>226</v>
      </c>
      <c r="D45" s="908">
        <v>642.62</v>
      </c>
    </row>
    <row r="46" spans="1:4" ht="23.25" x14ac:dyDescent="0.25">
      <c r="A46" s="905">
        <v>20303</v>
      </c>
      <c r="B46" s="906" t="s">
        <v>18284</v>
      </c>
      <c r="C46" s="907" t="s">
        <v>226</v>
      </c>
      <c r="D46" s="908">
        <v>887.66</v>
      </c>
    </row>
    <row r="47" spans="1:4" ht="23.25" x14ac:dyDescent="0.25">
      <c r="A47" s="905">
        <v>20305</v>
      </c>
      <c r="B47" s="906" t="s">
        <v>18274</v>
      </c>
      <c r="C47" s="907" t="s">
        <v>226</v>
      </c>
      <c r="D47" s="908">
        <v>152.53</v>
      </c>
    </row>
    <row r="48" spans="1:4" ht="23.25" x14ac:dyDescent="0.25">
      <c r="A48" s="905">
        <v>20306</v>
      </c>
      <c r="B48" s="906" t="s">
        <v>18275</v>
      </c>
      <c r="C48" s="907" t="s">
        <v>226</v>
      </c>
      <c r="D48" s="908">
        <v>228.79</v>
      </c>
    </row>
    <row r="49" spans="1:4" ht="23.25" x14ac:dyDescent="0.25">
      <c r="A49" s="905">
        <v>20307</v>
      </c>
      <c r="B49" s="906" t="s">
        <v>18276</v>
      </c>
      <c r="C49" s="907" t="s">
        <v>226</v>
      </c>
      <c r="D49" s="908">
        <v>305.06</v>
      </c>
    </row>
    <row r="50" spans="1:4" ht="23.25" x14ac:dyDescent="0.25">
      <c r="A50" s="905">
        <v>20308</v>
      </c>
      <c r="B50" s="906" t="s">
        <v>18285</v>
      </c>
      <c r="C50" s="907" t="s">
        <v>226</v>
      </c>
      <c r="D50" s="908">
        <v>152.53</v>
      </c>
    </row>
    <row r="51" spans="1:4" ht="23.25" x14ac:dyDescent="0.25">
      <c r="A51" s="905">
        <v>20309</v>
      </c>
      <c r="B51" s="906" t="s">
        <v>18286</v>
      </c>
      <c r="C51" s="907" t="s">
        <v>226</v>
      </c>
      <c r="D51" s="908">
        <v>228.79</v>
      </c>
    </row>
    <row r="52" spans="1:4" ht="15" x14ac:dyDescent="0.25">
      <c r="A52" s="905">
        <v>20310</v>
      </c>
      <c r="B52" s="906" t="s">
        <v>18279</v>
      </c>
      <c r="C52" s="907" t="s">
        <v>226</v>
      </c>
      <c r="D52" s="908">
        <v>479.76</v>
      </c>
    </row>
    <row r="53" spans="1:4" ht="15" x14ac:dyDescent="0.25">
      <c r="A53" s="905">
        <v>20311</v>
      </c>
      <c r="B53" s="906" t="s">
        <v>18287</v>
      </c>
      <c r="C53" s="907" t="s">
        <v>158</v>
      </c>
      <c r="D53" s="908">
        <v>202.15</v>
      </c>
    </row>
    <row r="54" spans="1:4" ht="15" x14ac:dyDescent="0.25">
      <c r="A54" s="905">
        <v>20312</v>
      </c>
      <c r="B54" s="906" t="s">
        <v>18288</v>
      </c>
      <c r="C54" s="907" t="s">
        <v>158</v>
      </c>
      <c r="D54" s="908">
        <v>201.43</v>
      </c>
    </row>
    <row r="55" spans="1:4" ht="15" x14ac:dyDescent="0.25">
      <c r="A55" s="905">
        <v>20313</v>
      </c>
      <c r="B55" s="906" t="s">
        <v>18289</v>
      </c>
      <c r="C55" s="907" t="s">
        <v>158</v>
      </c>
      <c r="D55" s="908">
        <v>201.16</v>
      </c>
    </row>
    <row r="56" spans="1:4" ht="15" x14ac:dyDescent="0.25">
      <c r="A56" s="905">
        <v>20314</v>
      </c>
      <c r="B56" s="906" t="s">
        <v>18290</v>
      </c>
      <c r="C56" s="907" t="s">
        <v>158</v>
      </c>
      <c r="D56" s="908">
        <v>200.81</v>
      </c>
    </row>
    <row r="57" spans="1:4" ht="34.5" x14ac:dyDescent="0.25">
      <c r="A57" s="905">
        <v>20315</v>
      </c>
      <c r="B57" s="906" t="s">
        <v>18291</v>
      </c>
      <c r="C57" s="907" t="s">
        <v>2451</v>
      </c>
      <c r="D57" s="908">
        <v>100</v>
      </c>
    </row>
    <row r="58" spans="1:4" ht="34.5" x14ac:dyDescent="0.25">
      <c r="A58" s="905">
        <v>20316</v>
      </c>
      <c r="B58" s="906" t="s">
        <v>18292</v>
      </c>
      <c r="C58" s="907" t="s">
        <v>2451</v>
      </c>
      <c r="D58" s="908">
        <v>300</v>
      </c>
    </row>
    <row r="59" spans="1:4" ht="15" x14ac:dyDescent="0.25">
      <c r="A59" s="905">
        <v>20400</v>
      </c>
      <c r="B59" s="906" t="s">
        <v>18293</v>
      </c>
      <c r="C59" s="907" t="s">
        <v>18269</v>
      </c>
      <c r="D59" s="908" t="s">
        <v>18269</v>
      </c>
    </row>
    <row r="60" spans="1:4" ht="15" x14ac:dyDescent="0.25">
      <c r="A60" s="905">
        <v>20401</v>
      </c>
      <c r="B60" s="906" t="s">
        <v>18294</v>
      </c>
      <c r="C60" s="907" t="s">
        <v>158</v>
      </c>
      <c r="D60" s="908">
        <v>87.17</v>
      </c>
    </row>
    <row r="61" spans="1:4" ht="15" x14ac:dyDescent="0.25">
      <c r="A61" s="905">
        <v>20402</v>
      </c>
      <c r="B61" s="906" t="s">
        <v>18295</v>
      </c>
      <c r="C61" s="907" t="s">
        <v>158</v>
      </c>
      <c r="D61" s="908">
        <v>556.71</v>
      </c>
    </row>
    <row r="62" spans="1:4" ht="15" x14ac:dyDescent="0.25">
      <c r="A62" s="905">
        <v>20403</v>
      </c>
      <c r="B62" s="906" t="s">
        <v>18296</v>
      </c>
      <c r="C62" s="907" t="s">
        <v>158</v>
      </c>
      <c r="D62" s="908">
        <v>8.9700000000000006</v>
      </c>
    </row>
    <row r="63" spans="1:4" ht="15" x14ac:dyDescent="0.25">
      <c r="A63" s="905">
        <v>20500</v>
      </c>
      <c r="B63" s="906" t="s">
        <v>18297</v>
      </c>
      <c r="C63" s="907" t="s">
        <v>18269</v>
      </c>
      <c r="D63" s="908" t="s">
        <v>18269</v>
      </c>
    </row>
    <row r="64" spans="1:4" ht="15" x14ac:dyDescent="0.25">
      <c r="A64" s="905">
        <v>20503</v>
      </c>
      <c r="B64" s="906" t="s">
        <v>18298</v>
      </c>
      <c r="C64" s="907" t="s">
        <v>158</v>
      </c>
      <c r="D64" s="908">
        <v>109.29</v>
      </c>
    </row>
    <row r="65" spans="1:4" ht="15" x14ac:dyDescent="0.25">
      <c r="A65" s="905">
        <v>20504</v>
      </c>
      <c r="B65" s="906" t="s">
        <v>18299</v>
      </c>
      <c r="C65" s="907" t="s">
        <v>158</v>
      </c>
      <c r="D65" s="908">
        <v>244.91</v>
      </c>
    </row>
    <row r="66" spans="1:4" ht="15" x14ac:dyDescent="0.25">
      <c r="A66" s="905">
        <v>20600</v>
      </c>
      <c r="B66" s="906" t="s">
        <v>18300</v>
      </c>
      <c r="C66" s="907" t="s">
        <v>18269</v>
      </c>
      <c r="D66" s="908" t="s">
        <v>18269</v>
      </c>
    </row>
    <row r="67" spans="1:4" ht="15" x14ac:dyDescent="0.25">
      <c r="A67" s="905">
        <v>20601</v>
      </c>
      <c r="B67" s="906" t="s">
        <v>18301</v>
      </c>
      <c r="C67" s="907" t="s">
        <v>18302</v>
      </c>
      <c r="D67" s="908">
        <v>25.36</v>
      </c>
    </row>
    <row r="68" spans="1:4" ht="15" x14ac:dyDescent="0.25">
      <c r="A68" s="905">
        <v>20602</v>
      </c>
      <c r="B68" s="906" t="s">
        <v>18303</v>
      </c>
      <c r="C68" s="907" t="s">
        <v>18302</v>
      </c>
      <c r="D68" s="908">
        <v>112.53</v>
      </c>
    </row>
    <row r="69" spans="1:4" ht="15" x14ac:dyDescent="0.25">
      <c r="A69" s="905">
        <v>20603</v>
      </c>
      <c r="B69" s="906" t="s">
        <v>18304</v>
      </c>
      <c r="C69" s="907" t="s">
        <v>18302</v>
      </c>
      <c r="D69" s="908">
        <v>90.84</v>
      </c>
    </row>
    <row r="70" spans="1:4" ht="15" x14ac:dyDescent="0.25">
      <c r="A70" s="905">
        <v>20604</v>
      </c>
      <c r="B70" s="906" t="s">
        <v>18305</v>
      </c>
      <c r="C70" s="907" t="s">
        <v>18302</v>
      </c>
      <c r="D70" s="908">
        <v>284.57</v>
      </c>
    </row>
    <row r="71" spans="1:4" ht="15" x14ac:dyDescent="0.25">
      <c r="A71" s="905">
        <v>20605</v>
      </c>
      <c r="B71" s="906" t="s">
        <v>18306</v>
      </c>
      <c r="C71" s="907" t="s">
        <v>18302</v>
      </c>
      <c r="D71" s="908">
        <v>178.45</v>
      </c>
    </row>
    <row r="72" spans="1:4" ht="15" x14ac:dyDescent="0.25">
      <c r="A72" s="905">
        <v>20606</v>
      </c>
      <c r="B72" s="906" t="s">
        <v>18307</v>
      </c>
      <c r="C72" s="907" t="s">
        <v>18302</v>
      </c>
      <c r="D72" s="908">
        <v>318.47000000000003</v>
      </c>
    </row>
    <row r="73" spans="1:4" ht="15" x14ac:dyDescent="0.25">
      <c r="A73" s="905">
        <v>20607</v>
      </c>
      <c r="B73" s="906" t="s">
        <v>18308</v>
      </c>
      <c r="C73" s="907" t="s">
        <v>18302</v>
      </c>
      <c r="D73" s="908">
        <v>267.70999999999998</v>
      </c>
    </row>
    <row r="74" spans="1:4" ht="15" x14ac:dyDescent="0.25">
      <c r="A74" s="905">
        <v>20608</v>
      </c>
      <c r="B74" s="906" t="s">
        <v>18309</v>
      </c>
      <c r="C74" s="907" t="s">
        <v>18302</v>
      </c>
      <c r="D74" s="908">
        <v>211.74</v>
      </c>
    </row>
    <row r="75" spans="1:4" ht="15" x14ac:dyDescent="0.25">
      <c r="A75" s="905">
        <v>20609</v>
      </c>
      <c r="B75" s="906" t="s">
        <v>18310</v>
      </c>
      <c r="C75" s="907" t="s">
        <v>18302</v>
      </c>
      <c r="D75" s="908">
        <v>674.27</v>
      </c>
    </row>
    <row r="76" spans="1:4" ht="15" x14ac:dyDescent="0.25">
      <c r="A76" s="905">
        <v>20610</v>
      </c>
      <c r="B76" s="906" t="s">
        <v>18311</v>
      </c>
      <c r="C76" s="907" t="s">
        <v>18302</v>
      </c>
      <c r="D76" s="908">
        <v>492.64</v>
      </c>
    </row>
    <row r="77" spans="1:4" ht="15" x14ac:dyDescent="0.25">
      <c r="A77" s="905">
        <v>20611</v>
      </c>
      <c r="B77" s="906" t="s">
        <v>18312</v>
      </c>
      <c r="C77" s="907" t="s">
        <v>18302</v>
      </c>
      <c r="D77" s="908">
        <v>588.86</v>
      </c>
    </row>
    <row r="78" spans="1:4" ht="15" x14ac:dyDescent="0.25">
      <c r="A78" s="905">
        <v>20613</v>
      </c>
      <c r="B78" s="906" t="s">
        <v>18313</v>
      </c>
      <c r="C78" s="907" t="s">
        <v>18302</v>
      </c>
      <c r="D78" s="908">
        <v>630.73</v>
      </c>
    </row>
    <row r="79" spans="1:4" ht="15" x14ac:dyDescent="0.25">
      <c r="A79" s="905">
        <v>20614</v>
      </c>
      <c r="B79" s="906" t="s">
        <v>18314</v>
      </c>
      <c r="C79" s="907" t="s">
        <v>18302</v>
      </c>
      <c r="D79" s="908">
        <v>318.47000000000003</v>
      </c>
    </row>
    <row r="80" spans="1:4" ht="15" x14ac:dyDescent="0.25">
      <c r="A80" s="905">
        <v>20615</v>
      </c>
      <c r="B80" s="906" t="s">
        <v>18315</v>
      </c>
      <c r="C80" s="907" t="s">
        <v>18302</v>
      </c>
      <c r="D80" s="908">
        <v>211.51</v>
      </c>
    </row>
    <row r="81" spans="1:4" ht="15" x14ac:dyDescent="0.25">
      <c r="A81" s="905">
        <v>20617</v>
      </c>
      <c r="B81" s="906" t="s">
        <v>18316</v>
      </c>
      <c r="C81" s="907" t="s">
        <v>18302</v>
      </c>
      <c r="D81" s="908">
        <v>180.82</v>
      </c>
    </row>
    <row r="82" spans="1:4" ht="15" x14ac:dyDescent="0.25">
      <c r="A82" s="905">
        <v>20618</v>
      </c>
      <c r="B82" s="906" t="s">
        <v>18317</v>
      </c>
      <c r="C82" s="907" t="s">
        <v>18302</v>
      </c>
      <c r="D82" s="908">
        <v>268.55</v>
      </c>
    </row>
    <row r="83" spans="1:4" ht="15" x14ac:dyDescent="0.25">
      <c r="A83" s="905">
        <v>20619</v>
      </c>
      <c r="B83" s="906" t="s">
        <v>18318</v>
      </c>
      <c r="C83" s="907" t="s">
        <v>18302</v>
      </c>
      <c r="D83" s="908">
        <v>159.22999999999999</v>
      </c>
    </row>
    <row r="84" spans="1:4" ht="23.25" x14ac:dyDescent="0.25">
      <c r="A84" s="905">
        <v>20621</v>
      </c>
      <c r="B84" s="906" t="s">
        <v>18319</v>
      </c>
      <c r="C84" s="907" t="s">
        <v>18302</v>
      </c>
      <c r="D84" s="908">
        <v>2510.5500000000002</v>
      </c>
    </row>
    <row r="85" spans="1:4" ht="23.25" x14ac:dyDescent="0.25">
      <c r="A85" s="905">
        <v>20622</v>
      </c>
      <c r="B85" s="906" t="s">
        <v>18320</v>
      </c>
      <c r="C85" s="907" t="s">
        <v>18302</v>
      </c>
      <c r="D85" s="908">
        <v>1795.98</v>
      </c>
    </row>
    <row r="86" spans="1:4" x14ac:dyDescent="0.2">
      <c r="A86" s="901">
        <v>30000</v>
      </c>
      <c r="B86" s="902" t="s">
        <v>18321</v>
      </c>
      <c r="C86" s="903"/>
      <c r="D86" s="904"/>
    </row>
    <row r="87" spans="1:4" ht="15" x14ac:dyDescent="0.25">
      <c r="A87" s="905">
        <v>30100</v>
      </c>
      <c r="B87" s="906" t="s">
        <v>18322</v>
      </c>
      <c r="C87" s="907" t="s">
        <v>18323</v>
      </c>
      <c r="D87" s="908">
        <v>132.38999999999999</v>
      </c>
    </row>
    <row r="88" spans="1:4" ht="23.25" x14ac:dyDescent="0.25">
      <c r="A88" s="905">
        <v>30200</v>
      </c>
      <c r="B88" s="906" t="s">
        <v>18324</v>
      </c>
      <c r="C88" s="907" t="s">
        <v>158</v>
      </c>
      <c r="D88" s="908">
        <v>1.48</v>
      </c>
    </row>
    <row r="89" spans="1:4" ht="15" x14ac:dyDescent="0.25">
      <c r="A89" s="905">
        <v>30300</v>
      </c>
      <c r="B89" s="906" t="s">
        <v>18325</v>
      </c>
      <c r="C89" s="907" t="s">
        <v>158</v>
      </c>
      <c r="D89" s="908">
        <v>0.7</v>
      </c>
    </row>
    <row r="90" spans="1:4" ht="15" x14ac:dyDescent="0.25">
      <c r="A90" s="905">
        <v>30400</v>
      </c>
      <c r="B90" s="906" t="s">
        <v>18326</v>
      </c>
      <c r="C90" s="907" t="s">
        <v>158</v>
      </c>
      <c r="D90" s="908">
        <v>5.03</v>
      </c>
    </row>
    <row r="91" spans="1:4" ht="23.25" x14ac:dyDescent="0.25">
      <c r="A91" s="905">
        <v>30500</v>
      </c>
      <c r="B91" s="906" t="s">
        <v>18327</v>
      </c>
      <c r="C91" s="907" t="s">
        <v>158</v>
      </c>
      <c r="D91" s="908">
        <v>10.79</v>
      </c>
    </row>
    <row r="92" spans="1:4" ht="15" x14ac:dyDescent="0.25">
      <c r="A92" s="905">
        <v>30600</v>
      </c>
      <c r="B92" s="906" t="s">
        <v>18328</v>
      </c>
      <c r="C92" s="907" t="s">
        <v>158</v>
      </c>
      <c r="D92" s="908">
        <v>4.4800000000000004</v>
      </c>
    </row>
    <row r="93" spans="1:4" ht="23.25" x14ac:dyDescent="0.25">
      <c r="A93" s="905">
        <v>30700</v>
      </c>
      <c r="B93" s="906" t="s">
        <v>18329</v>
      </c>
      <c r="C93" s="907" t="s">
        <v>158</v>
      </c>
      <c r="D93" s="908">
        <v>3.43</v>
      </c>
    </row>
    <row r="94" spans="1:4" ht="34.5" x14ac:dyDescent="0.25">
      <c r="A94" s="905">
        <v>30800</v>
      </c>
      <c r="B94" s="906" t="s">
        <v>18330</v>
      </c>
      <c r="C94" s="907" t="s">
        <v>158</v>
      </c>
      <c r="D94" s="908">
        <v>5.19</v>
      </c>
    </row>
    <row r="95" spans="1:4" ht="15" x14ac:dyDescent="0.25">
      <c r="A95" s="905">
        <v>30900</v>
      </c>
      <c r="B95" s="906" t="s">
        <v>18331</v>
      </c>
      <c r="C95" s="907" t="s">
        <v>18332</v>
      </c>
      <c r="D95" s="908">
        <v>2365.7800000000002</v>
      </c>
    </row>
    <row r="96" spans="1:4" ht="15" x14ac:dyDescent="0.25">
      <c r="A96" s="905">
        <v>31000</v>
      </c>
      <c r="B96" s="906" t="s">
        <v>18333</v>
      </c>
      <c r="C96" s="907" t="s">
        <v>18332</v>
      </c>
      <c r="D96" s="908">
        <v>1037.82</v>
      </c>
    </row>
    <row r="97" spans="1:4" ht="23.25" x14ac:dyDescent="0.25">
      <c r="A97" s="905">
        <v>31100</v>
      </c>
      <c r="B97" s="906" t="s">
        <v>18334</v>
      </c>
      <c r="C97" s="907" t="s">
        <v>158</v>
      </c>
      <c r="D97" s="908">
        <v>2.98</v>
      </c>
    </row>
    <row r="98" spans="1:4" ht="23.25" x14ac:dyDescent="0.25">
      <c r="A98" s="905">
        <v>31200</v>
      </c>
      <c r="B98" s="906" t="s">
        <v>18335</v>
      </c>
      <c r="C98" s="907" t="s">
        <v>158</v>
      </c>
      <c r="D98" s="908">
        <v>4.24</v>
      </c>
    </row>
    <row r="99" spans="1:4" ht="23.25" x14ac:dyDescent="0.25">
      <c r="A99" s="905">
        <v>31300</v>
      </c>
      <c r="B99" s="906" t="s">
        <v>18336</v>
      </c>
      <c r="C99" s="907" t="s">
        <v>158</v>
      </c>
      <c r="D99" s="908">
        <v>0.46</v>
      </c>
    </row>
    <row r="100" spans="1:4" ht="23.25" x14ac:dyDescent="0.25">
      <c r="A100" s="905">
        <v>31400</v>
      </c>
      <c r="B100" s="906" t="s">
        <v>18337</v>
      </c>
      <c r="C100" s="907" t="s">
        <v>158</v>
      </c>
      <c r="D100" s="908">
        <v>1.31</v>
      </c>
    </row>
    <row r="101" spans="1:4" ht="45.75" x14ac:dyDescent="0.25">
      <c r="A101" s="905">
        <v>31500</v>
      </c>
      <c r="B101" s="906" t="s">
        <v>18338</v>
      </c>
      <c r="C101" s="907" t="s">
        <v>18269</v>
      </c>
      <c r="D101" s="908" t="s">
        <v>18269</v>
      </c>
    </row>
    <row r="102" spans="1:4" ht="45.75" x14ac:dyDescent="0.25">
      <c r="A102" s="905">
        <v>31501</v>
      </c>
      <c r="B102" s="906" t="s">
        <v>18339</v>
      </c>
      <c r="C102" s="907" t="s">
        <v>2451</v>
      </c>
      <c r="D102" s="908">
        <v>6.75</v>
      </c>
    </row>
    <row r="103" spans="1:4" ht="45.75" x14ac:dyDescent="0.25">
      <c r="A103" s="905">
        <v>31502</v>
      </c>
      <c r="B103" s="906" t="s">
        <v>18340</v>
      </c>
      <c r="C103" s="907" t="s">
        <v>2451</v>
      </c>
      <c r="D103" s="908">
        <v>6.12</v>
      </c>
    </row>
    <row r="104" spans="1:4" ht="45.75" x14ac:dyDescent="0.25">
      <c r="A104" s="905">
        <v>31503</v>
      </c>
      <c r="B104" s="906" t="s">
        <v>18341</v>
      </c>
      <c r="C104" s="907" t="s">
        <v>2451</v>
      </c>
      <c r="D104" s="908">
        <v>5.76</v>
      </c>
    </row>
    <row r="105" spans="1:4" ht="45.75" x14ac:dyDescent="0.25">
      <c r="A105" s="905">
        <v>31504</v>
      </c>
      <c r="B105" s="906" t="s">
        <v>18342</v>
      </c>
      <c r="C105" s="907" t="s">
        <v>2451</v>
      </c>
      <c r="D105" s="908">
        <v>5.49</v>
      </c>
    </row>
    <row r="106" spans="1:4" ht="45.75" x14ac:dyDescent="0.25">
      <c r="A106" s="905">
        <v>31505</v>
      </c>
      <c r="B106" s="906" t="s">
        <v>18343</v>
      </c>
      <c r="C106" s="907" t="s">
        <v>2451</v>
      </c>
      <c r="D106" s="908">
        <v>4.95</v>
      </c>
    </row>
    <row r="107" spans="1:4" ht="45.75" x14ac:dyDescent="0.25">
      <c r="A107" s="905">
        <v>31506</v>
      </c>
      <c r="B107" s="906" t="s">
        <v>18344</v>
      </c>
      <c r="C107" s="907" t="s">
        <v>2451</v>
      </c>
      <c r="D107" s="908">
        <v>4.5</v>
      </c>
    </row>
    <row r="108" spans="1:4" ht="45.75" x14ac:dyDescent="0.25">
      <c r="A108" s="905">
        <v>31507</v>
      </c>
      <c r="B108" s="906" t="s">
        <v>18345</v>
      </c>
      <c r="C108" s="907" t="s">
        <v>2451</v>
      </c>
      <c r="D108" s="908">
        <v>4.41</v>
      </c>
    </row>
    <row r="109" spans="1:4" ht="45.75" x14ac:dyDescent="0.25">
      <c r="A109" s="905">
        <v>31508</v>
      </c>
      <c r="B109" s="906" t="s">
        <v>18346</v>
      </c>
      <c r="C109" s="907" t="s">
        <v>2451</v>
      </c>
      <c r="D109" s="908">
        <v>4.32</v>
      </c>
    </row>
    <row r="110" spans="1:4" ht="45.75" x14ac:dyDescent="0.25">
      <c r="A110" s="905">
        <v>31509</v>
      </c>
      <c r="B110" s="906" t="s">
        <v>18347</v>
      </c>
      <c r="C110" s="907" t="s">
        <v>2451</v>
      </c>
      <c r="D110" s="908">
        <v>4.2300000000000004</v>
      </c>
    </row>
    <row r="111" spans="1:4" ht="57" x14ac:dyDescent="0.25">
      <c r="A111" s="905">
        <v>31600</v>
      </c>
      <c r="B111" s="906" t="s">
        <v>18348</v>
      </c>
      <c r="C111" s="907" t="s">
        <v>18269</v>
      </c>
      <c r="D111" s="908" t="s">
        <v>18269</v>
      </c>
    </row>
    <row r="112" spans="1:4" ht="57" x14ac:dyDescent="0.25">
      <c r="A112" s="905">
        <v>31601</v>
      </c>
      <c r="B112" s="906" t="s">
        <v>18349</v>
      </c>
      <c r="C112" s="907" t="s">
        <v>2451</v>
      </c>
      <c r="D112" s="908" t="s">
        <v>18350</v>
      </c>
    </row>
    <row r="113" spans="1:4" ht="57" x14ac:dyDescent="0.25">
      <c r="A113" s="905">
        <v>31602</v>
      </c>
      <c r="B113" s="906" t="s">
        <v>18351</v>
      </c>
      <c r="C113" s="907" t="s">
        <v>2451</v>
      </c>
      <c r="D113" s="908" t="s">
        <v>18352</v>
      </c>
    </row>
    <row r="114" spans="1:4" ht="57" x14ac:dyDescent="0.25">
      <c r="A114" s="905">
        <v>31603</v>
      </c>
      <c r="B114" s="906" t="s">
        <v>18353</v>
      </c>
      <c r="C114" s="907" t="s">
        <v>2451</v>
      </c>
      <c r="D114" s="908" t="s">
        <v>18354</v>
      </c>
    </row>
    <row r="115" spans="1:4" ht="57" x14ac:dyDescent="0.25">
      <c r="A115" s="905">
        <v>31604</v>
      </c>
      <c r="B115" s="906" t="s">
        <v>18355</v>
      </c>
      <c r="C115" s="907" t="s">
        <v>2451</v>
      </c>
      <c r="D115" s="908" t="s">
        <v>18356</v>
      </c>
    </row>
    <row r="116" spans="1:4" ht="57" x14ac:dyDescent="0.25">
      <c r="A116" s="905">
        <v>31605</v>
      </c>
      <c r="B116" s="906" t="s">
        <v>18357</v>
      </c>
      <c r="C116" s="907" t="s">
        <v>2451</v>
      </c>
      <c r="D116" s="908" t="s">
        <v>18358</v>
      </c>
    </row>
    <row r="117" spans="1:4" ht="15" x14ac:dyDescent="0.25">
      <c r="A117" s="905">
        <v>31800</v>
      </c>
      <c r="B117" s="906" t="s">
        <v>18359</v>
      </c>
      <c r="C117" s="907" t="s">
        <v>18360</v>
      </c>
      <c r="D117" s="908">
        <v>4.1100000000000003</v>
      </c>
    </row>
    <row r="118" spans="1:4" ht="23.25" x14ac:dyDescent="0.25">
      <c r="A118" s="905">
        <v>31900</v>
      </c>
      <c r="B118" s="906" t="s">
        <v>18361</v>
      </c>
      <c r="C118" s="907" t="s">
        <v>18360</v>
      </c>
      <c r="D118" s="908">
        <v>2.89</v>
      </c>
    </row>
    <row r="119" spans="1:4" ht="15" x14ac:dyDescent="0.25">
      <c r="A119" s="905">
        <v>32000</v>
      </c>
      <c r="B119" s="906" t="s">
        <v>18362</v>
      </c>
      <c r="C119" s="907" t="s">
        <v>226</v>
      </c>
      <c r="D119" s="908">
        <v>0.57999999999999996</v>
      </c>
    </row>
    <row r="120" spans="1:4" ht="15" x14ac:dyDescent="0.25">
      <c r="A120" s="905">
        <v>32001</v>
      </c>
      <c r="B120" s="906" t="s">
        <v>18363</v>
      </c>
      <c r="C120" s="907" t="s">
        <v>226</v>
      </c>
      <c r="D120" s="908">
        <v>2.48</v>
      </c>
    </row>
    <row r="121" spans="1:4" ht="15" x14ac:dyDescent="0.25">
      <c r="A121" s="905">
        <v>32002</v>
      </c>
      <c r="B121" s="906" t="s">
        <v>18364</v>
      </c>
      <c r="C121" s="907" t="s">
        <v>226</v>
      </c>
      <c r="D121" s="908">
        <v>1.05</v>
      </c>
    </row>
    <row r="122" spans="1:4" ht="15" x14ac:dyDescent="0.25">
      <c r="A122" s="905">
        <v>32003</v>
      </c>
      <c r="B122" s="906" t="s">
        <v>18365</v>
      </c>
      <c r="C122" s="907" t="s">
        <v>226</v>
      </c>
      <c r="D122" s="908">
        <v>5.26</v>
      </c>
    </row>
    <row r="123" spans="1:4" ht="15" x14ac:dyDescent="0.25">
      <c r="A123" s="905">
        <v>32004</v>
      </c>
      <c r="B123" s="906" t="s">
        <v>18366</v>
      </c>
      <c r="C123" s="907" t="s">
        <v>227</v>
      </c>
      <c r="D123" s="908">
        <v>14.37</v>
      </c>
    </row>
    <row r="124" spans="1:4" ht="34.5" x14ac:dyDescent="0.25">
      <c r="A124" s="905">
        <v>32200</v>
      </c>
      <c r="B124" s="906" t="s">
        <v>18367</v>
      </c>
      <c r="C124" s="907" t="s">
        <v>4341</v>
      </c>
      <c r="D124" s="908">
        <v>53.64</v>
      </c>
    </row>
    <row r="125" spans="1:4" ht="15" x14ac:dyDescent="0.25">
      <c r="A125" s="905">
        <v>32300</v>
      </c>
      <c r="B125" s="906" t="s">
        <v>18368</v>
      </c>
      <c r="C125" s="907" t="s">
        <v>226</v>
      </c>
      <c r="D125" s="908">
        <v>3.13</v>
      </c>
    </row>
    <row r="126" spans="1:4" ht="15" x14ac:dyDescent="0.25">
      <c r="A126" s="905">
        <v>32400</v>
      </c>
      <c r="B126" s="906" t="s">
        <v>18369</v>
      </c>
      <c r="C126" s="907" t="s">
        <v>4341</v>
      </c>
      <c r="D126" s="908">
        <v>449.8</v>
      </c>
    </row>
    <row r="127" spans="1:4" ht="15" x14ac:dyDescent="0.25">
      <c r="A127" s="905">
        <v>32500</v>
      </c>
      <c r="B127" s="906" t="s">
        <v>18370</v>
      </c>
      <c r="C127" s="907" t="s">
        <v>4341</v>
      </c>
      <c r="D127" s="908">
        <v>449.8</v>
      </c>
    </row>
    <row r="128" spans="1:4" ht="15" x14ac:dyDescent="0.25">
      <c r="A128" s="905">
        <v>32600</v>
      </c>
      <c r="B128" s="906" t="s">
        <v>18371</v>
      </c>
      <c r="C128" s="907" t="s">
        <v>4341</v>
      </c>
      <c r="D128" s="908">
        <v>449.8</v>
      </c>
    </row>
    <row r="129" spans="1:4" ht="15" x14ac:dyDescent="0.25">
      <c r="A129" s="905">
        <v>32700</v>
      </c>
      <c r="B129" s="906" t="s">
        <v>18372</v>
      </c>
      <c r="C129" s="907" t="s">
        <v>4341</v>
      </c>
      <c r="D129" s="908">
        <v>276.39999999999998</v>
      </c>
    </row>
    <row r="130" spans="1:4" ht="15" x14ac:dyDescent="0.25">
      <c r="A130" s="905">
        <v>32900</v>
      </c>
      <c r="B130" s="906" t="s">
        <v>18373</v>
      </c>
      <c r="C130" s="907" t="s">
        <v>4341</v>
      </c>
      <c r="D130" s="908">
        <v>160.99</v>
      </c>
    </row>
    <row r="131" spans="1:4" ht="15" x14ac:dyDescent="0.25">
      <c r="A131" s="905">
        <v>33000</v>
      </c>
      <c r="B131" s="906" t="s">
        <v>18374</v>
      </c>
      <c r="C131" s="907" t="s">
        <v>4341</v>
      </c>
      <c r="D131" s="908">
        <v>123.15</v>
      </c>
    </row>
    <row r="132" spans="1:4" ht="15" x14ac:dyDescent="0.25">
      <c r="A132" s="905">
        <v>33100</v>
      </c>
      <c r="B132" s="906" t="s">
        <v>18375</v>
      </c>
      <c r="C132" s="907" t="s">
        <v>4341</v>
      </c>
      <c r="D132" s="908">
        <v>23.4</v>
      </c>
    </row>
    <row r="133" spans="1:4" ht="15" x14ac:dyDescent="0.25">
      <c r="A133" s="905">
        <v>33200</v>
      </c>
      <c r="B133" s="906" t="s">
        <v>18376</v>
      </c>
      <c r="C133" s="907" t="s">
        <v>4341</v>
      </c>
      <c r="D133" s="908">
        <v>27.21</v>
      </c>
    </row>
    <row r="134" spans="1:4" ht="23.25" x14ac:dyDescent="0.25">
      <c r="A134" s="905">
        <v>33300</v>
      </c>
      <c r="B134" s="906" t="s">
        <v>18377</v>
      </c>
      <c r="C134" s="907" t="s">
        <v>4341</v>
      </c>
      <c r="D134" s="908">
        <v>86.58</v>
      </c>
    </row>
    <row r="135" spans="1:4" ht="15" x14ac:dyDescent="0.25">
      <c r="A135" s="905">
        <v>33500</v>
      </c>
      <c r="B135" s="906" t="s">
        <v>18378</v>
      </c>
      <c r="C135" s="907" t="s">
        <v>4341</v>
      </c>
      <c r="D135" s="908">
        <v>47.34</v>
      </c>
    </row>
    <row r="136" spans="1:4" ht="15" x14ac:dyDescent="0.25">
      <c r="A136" s="905">
        <v>33600</v>
      </c>
      <c r="B136" s="906" t="s">
        <v>18379</v>
      </c>
      <c r="C136" s="907" t="s">
        <v>4341</v>
      </c>
      <c r="D136" s="908">
        <v>68.73</v>
      </c>
    </row>
    <row r="137" spans="1:4" ht="15" x14ac:dyDescent="0.25">
      <c r="A137" s="905">
        <v>33800</v>
      </c>
      <c r="B137" s="906" t="s">
        <v>18380</v>
      </c>
      <c r="C137" s="907" t="s">
        <v>4341</v>
      </c>
      <c r="D137" s="908">
        <v>72.31</v>
      </c>
    </row>
    <row r="138" spans="1:4" ht="15" x14ac:dyDescent="0.25">
      <c r="A138" s="905">
        <v>33900</v>
      </c>
      <c r="B138" s="906" t="s">
        <v>18381</v>
      </c>
      <c r="C138" s="907" t="s">
        <v>4341</v>
      </c>
      <c r="D138" s="908">
        <v>92.72</v>
      </c>
    </row>
    <row r="139" spans="1:4" ht="15" x14ac:dyDescent="0.25">
      <c r="A139" s="905">
        <v>34000</v>
      </c>
      <c r="B139" s="906" t="s">
        <v>18382</v>
      </c>
      <c r="C139" s="907" t="s">
        <v>4341</v>
      </c>
      <c r="D139" s="908">
        <v>60.9</v>
      </c>
    </row>
    <row r="140" spans="1:4" ht="15" x14ac:dyDescent="0.25">
      <c r="A140" s="905">
        <v>34100</v>
      </c>
      <c r="B140" s="906" t="s">
        <v>18383</v>
      </c>
      <c r="C140" s="907" t="s">
        <v>4341</v>
      </c>
      <c r="D140" s="908">
        <v>22.44</v>
      </c>
    </row>
    <row r="141" spans="1:4" ht="15" x14ac:dyDescent="0.25">
      <c r="A141" s="905">
        <v>34300</v>
      </c>
      <c r="B141" s="906" t="s">
        <v>18384</v>
      </c>
      <c r="C141" s="907" t="s">
        <v>4341</v>
      </c>
      <c r="D141" s="908">
        <v>19.93</v>
      </c>
    </row>
    <row r="142" spans="1:4" ht="15" x14ac:dyDescent="0.25">
      <c r="A142" s="905">
        <v>34400</v>
      </c>
      <c r="B142" s="906" t="s">
        <v>18385</v>
      </c>
      <c r="C142" s="907" t="s">
        <v>4341</v>
      </c>
      <c r="D142" s="908">
        <v>26.58</v>
      </c>
    </row>
    <row r="143" spans="1:4" ht="15" x14ac:dyDescent="0.25">
      <c r="A143" s="905">
        <v>34600</v>
      </c>
      <c r="B143" s="906" t="s">
        <v>18386</v>
      </c>
      <c r="C143" s="907" t="s">
        <v>4341</v>
      </c>
      <c r="D143" s="908">
        <v>43.33</v>
      </c>
    </row>
    <row r="144" spans="1:4" ht="15" x14ac:dyDescent="0.25">
      <c r="A144" s="905">
        <v>34700</v>
      </c>
      <c r="B144" s="906" t="s">
        <v>18387</v>
      </c>
      <c r="C144" s="907" t="s">
        <v>4341</v>
      </c>
      <c r="D144" s="908">
        <v>76.959999999999994</v>
      </c>
    </row>
    <row r="145" spans="1:4" ht="15" x14ac:dyDescent="0.25">
      <c r="A145" s="905">
        <v>35000</v>
      </c>
      <c r="B145" s="906" t="s">
        <v>18388</v>
      </c>
      <c r="C145" s="907" t="s">
        <v>4341</v>
      </c>
      <c r="D145" s="908">
        <v>54.07</v>
      </c>
    </row>
    <row r="146" spans="1:4" ht="15" x14ac:dyDescent="0.25">
      <c r="A146" s="905">
        <v>35100</v>
      </c>
      <c r="B146" s="906" t="s">
        <v>18389</v>
      </c>
      <c r="C146" s="907" t="s">
        <v>4341</v>
      </c>
      <c r="D146" s="908">
        <v>72.069999999999993</v>
      </c>
    </row>
    <row r="147" spans="1:4" ht="15" x14ac:dyDescent="0.25">
      <c r="A147" s="905">
        <v>35200</v>
      </c>
      <c r="B147" s="906" t="s">
        <v>18390</v>
      </c>
      <c r="C147" s="907" t="s">
        <v>226</v>
      </c>
      <c r="D147" s="908">
        <v>9.52</v>
      </c>
    </row>
    <row r="148" spans="1:4" ht="23.25" x14ac:dyDescent="0.25">
      <c r="A148" s="905">
        <v>35201</v>
      </c>
      <c r="B148" s="906" t="s">
        <v>18391</v>
      </c>
      <c r="C148" s="907" t="s">
        <v>226</v>
      </c>
      <c r="D148" s="908">
        <v>13.66</v>
      </c>
    </row>
    <row r="149" spans="1:4" ht="23.25" x14ac:dyDescent="0.25">
      <c r="A149" s="905">
        <v>35202</v>
      </c>
      <c r="B149" s="906" t="s">
        <v>18392</v>
      </c>
      <c r="C149" s="907" t="s">
        <v>226</v>
      </c>
      <c r="D149" s="908">
        <v>12.99</v>
      </c>
    </row>
    <row r="150" spans="1:4" ht="23.25" x14ac:dyDescent="0.25">
      <c r="A150" s="905">
        <v>35203</v>
      </c>
      <c r="B150" s="906" t="s">
        <v>18393</v>
      </c>
      <c r="C150" s="907" t="s">
        <v>226</v>
      </c>
      <c r="D150" s="908">
        <v>18.239999999999998</v>
      </c>
    </row>
    <row r="151" spans="1:4" ht="15" x14ac:dyDescent="0.25">
      <c r="A151" s="905">
        <v>35317</v>
      </c>
      <c r="B151" s="906" t="s">
        <v>18394</v>
      </c>
      <c r="C151" s="907" t="s">
        <v>226</v>
      </c>
      <c r="D151" s="908">
        <v>5892.62</v>
      </c>
    </row>
    <row r="152" spans="1:4" ht="15" x14ac:dyDescent="0.25">
      <c r="A152" s="905">
        <v>35318</v>
      </c>
      <c r="B152" s="906" t="s">
        <v>18395</v>
      </c>
      <c r="C152" s="907" t="s">
        <v>226</v>
      </c>
      <c r="D152" s="908">
        <v>4916.03</v>
      </c>
    </row>
    <row r="153" spans="1:4" ht="15" x14ac:dyDescent="0.25">
      <c r="A153" s="905">
        <v>35401</v>
      </c>
      <c r="B153" s="906" t="s">
        <v>18396</v>
      </c>
      <c r="C153" s="907" t="s">
        <v>4341</v>
      </c>
      <c r="D153" s="908">
        <v>54.73</v>
      </c>
    </row>
    <row r="154" spans="1:4" ht="15" x14ac:dyDescent="0.25">
      <c r="A154" s="905">
        <v>35402</v>
      </c>
      <c r="B154" s="906" t="s">
        <v>18397</v>
      </c>
      <c r="C154" s="907" t="s">
        <v>4341</v>
      </c>
      <c r="D154" s="908">
        <v>94.13</v>
      </c>
    </row>
    <row r="155" spans="1:4" ht="15" x14ac:dyDescent="0.25">
      <c r="A155" s="905">
        <v>35403</v>
      </c>
      <c r="B155" s="906" t="s">
        <v>18398</v>
      </c>
      <c r="C155" s="907" t="s">
        <v>4341</v>
      </c>
      <c r="D155" s="908">
        <v>146.49</v>
      </c>
    </row>
    <row r="156" spans="1:4" ht="15" x14ac:dyDescent="0.25">
      <c r="A156" s="905">
        <v>35404</v>
      </c>
      <c r="B156" s="906" t="s">
        <v>18399</v>
      </c>
      <c r="C156" s="907" t="s">
        <v>4341</v>
      </c>
      <c r="D156" s="908">
        <v>95.03</v>
      </c>
    </row>
    <row r="157" spans="1:4" ht="15" x14ac:dyDescent="0.25">
      <c r="A157" s="905">
        <v>35405</v>
      </c>
      <c r="B157" s="906" t="s">
        <v>18400</v>
      </c>
      <c r="C157" s="907" t="s">
        <v>4341</v>
      </c>
      <c r="D157" s="908">
        <v>114.02</v>
      </c>
    </row>
    <row r="158" spans="1:4" ht="15" x14ac:dyDescent="0.25">
      <c r="A158" s="905">
        <v>35406</v>
      </c>
      <c r="B158" s="906" t="s">
        <v>18401</v>
      </c>
      <c r="C158" s="907" t="s">
        <v>4341</v>
      </c>
      <c r="D158" s="908">
        <v>156.69999999999999</v>
      </c>
    </row>
    <row r="159" spans="1:4" ht="15" x14ac:dyDescent="0.25">
      <c r="A159" s="905">
        <v>35407</v>
      </c>
      <c r="B159" s="906" t="s">
        <v>18402</v>
      </c>
      <c r="C159" s="907" t="s">
        <v>4341</v>
      </c>
      <c r="D159" s="908">
        <v>94.31</v>
      </c>
    </row>
    <row r="160" spans="1:4" ht="15" x14ac:dyDescent="0.25">
      <c r="A160" s="905">
        <v>35408</v>
      </c>
      <c r="B160" s="906" t="s">
        <v>18403</v>
      </c>
      <c r="C160" s="907" t="s">
        <v>4341</v>
      </c>
      <c r="D160" s="908">
        <v>123.73</v>
      </c>
    </row>
    <row r="161" spans="1:4" ht="15" x14ac:dyDescent="0.25">
      <c r="A161" s="905">
        <v>35409</v>
      </c>
      <c r="B161" s="906" t="s">
        <v>18404</v>
      </c>
      <c r="C161" s="907" t="s">
        <v>4341</v>
      </c>
      <c r="D161" s="908">
        <v>160.27000000000001</v>
      </c>
    </row>
    <row r="162" spans="1:4" ht="15" x14ac:dyDescent="0.25">
      <c r="A162" s="905">
        <v>35410</v>
      </c>
      <c r="B162" s="906" t="s">
        <v>18405</v>
      </c>
      <c r="C162" s="907" t="s">
        <v>4341</v>
      </c>
      <c r="D162" s="908">
        <v>87.26</v>
      </c>
    </row>
    <row r="163" spans="1:4" ht="15" x14ac:dyDescent="0.25">
      <c r="A163" s="905">
        <v>35411</v>
      </c>
      <c r="B163" s="906" t="s">
        <v>18406</v>
      </c>
      <c r="C163" s="907" t="s">
        <v>4341</v>
      </c>
      <c r="D163" s="908">
        <v>155.52000000000001</v>
      </c>
    </row>
    <row r="164" spans="1:4" ht="15" x14ac:dyDescent="0.25">
      <c r="A164" s="905">
        <v>35412</v>
      </c>
      <c r="B164" s="906" t="s">
        <v>18407</v>
      </c>
      <c r="C164" s="907" t="s">
        <v>4341</v>
      </c>
      <c r="D164" s="908">
        <v>174.29</v>
      </c>
    </row>
    <row r="165" spans="1:4" x14ac:dyDescent="0.2">
      <c r="A165" s="901">
        <v>40000</v>
      </c>
      <c r="B165" s="902" t="s">
        <v>18408</v>
      </c>
      <c r="C165" s="903"/>
      <c r="D165" s="904"/>
    </row>
    <row r="166" spans="1:4" ht="23.25" x14ac:dyDescent="0.25">
      <c r="A166" s="905">
        <v>40100</v>
      </c>
      <c r="B166" s="906" t="s">
        <v>18409</v>
      </c>
      <c r="C166" s="907" t="s">
        <v>159</v>
      </c>
      <c r="D166" s="908">
        <v>65.97</v>
      </c>
    </row>
    <row r="167" spans="1:4" ht="23.25" x14ac:dyDescent="0.25">
      <c r="A167" s="905">
        <v>40200</v>
      </c>
      <c r="B167" s="906" t="s">
        <v>18410</v>
      </c>
      <c r="C167" s="907" t="s">
        <v>159</v>
      </c>
      <c r="D167" s="908">
        <v>76.959999999999994</v>
      </c>
    </row>
    <row r="168" spans="1:4" ht="23.25" x14ac:dyDescent="0.25">
      <c r="A168" s="905">
        <v>40300</v>
      </c>
      <c r="B168" s="906" t="s">
        <v>18411</v>
      </c>
      <c r="C168" s="907" t="s">
        <v>159</v>
      </c>
      <c r="D168" s="908">
        <v>87.96</v>
      </c>
    </row>
    <row r="169" spans="1:4" ht="23.25" x14ac:dyDescent="0.25">
      <c r="A169" s="905">
        <v>40400</v>
      </c>
      <c r="B169" s="906" t="s">
        <v>18412</v>
      </c>
      <c r="C169" s="907" t="s">
        <v>159</v>
      </c>
      <c r="D169" s="908">
        <v>17.13</v>
      </c>
    </row>
    <row r="170" spans="1:4" ht="23.25" x14ac:dyDescent="0.25">
      <c r="A170" s="905">
        <v>40500</v>
      </c>
      <c r="B170" s="906" t="s">
        <v>18413</v>
      </c>
      <c r="C170" s="907" t="s">
        <v>159</v>
      </c>
      <c r="D170" s="908">
        <v>20.55</v>
      </c>
    </row>
    <row r="171" spans="1:4" ht="15" x14ac:dyDescent="0.25">
      <c r="A171" s="905">
        <v>40600</v>
      </c>
      <c r="B171" s="906" t="s">
        <v>18414</v>
      </c>
      <c r="C171" s="907" t="s">
        <v>159</v>
      </c>
      <c r="D171" s="908">
        <v>109.95</v>
      </c>
    </row>
    <row r="172" spans="1:4" ht="15" x14ac:dyDescent="0.25">
      <c r="A172" s="905">
        <v>40700</v>
      </c>
      <c r="B172" s="906" t="s">
        <v>18415</v>
      </c>
      <c r="C172" s="907" t="s">
        <v>159</v>
      </c>
      <c r="D172" s="908">
        <v>9.4</v>
      </c>
    </row>
    <row r="173" spans="1:4" ht="15" x14ac:dyDescent="0.25">
      <c r="A173" s="905">
        <v>40800</v>
      </c>
      <c r="B173" s="906" t="s">
        <v>18416</v>
      </c>
      <c r="C173" s="907" t="s">
        <v>159</v>
      </c>
      <c r="D173" s="908">
        <v>13.66</v>
      </c>
    </row>
    <row r="174" spans="1:4" ht="23.25" x14ac:dyDescent="0.25">
      <c r="A174" s="905">
        <v>40900</v>
      </c>
      <c r="B174" s="906" t="s">
        <v>18417</v>
      </c>
      <c r="C174" s="907" t="s">
        <v>159</v>
      </c>
      <c r="D174" s="908">
        <v>13.66</v>
      </c>
    </row>
    <row r="175" spans="1:4" ht="23.25" x14ac:dyDescent="0.25">
      <c r="A175" s="905">
        <v>41100</v>
      </c>
      <c r="B175" s="906" t="s">
        <v>18418</v>
      </c>
      <c r="C175" s="907" t="s">
        <v>159</v>
      </c>
      <c r="D175" s="908">
        <v>34.19</v>
      </c>
    </row>
    <row r="176" spans="1:4" ht="15" x14ac:dyDescent="0.25">
      <c r="A176" s="905">
        <v>41500</v>
      </c>
      <c r="B176" s="906" t="s">
        <v>18419</v>
      </c>
      <c r="C176" s="907" t="s">
        <v>159</v>
      </c>
      <c r="D176" s="908">
        <v>18.149999999999999</v>
      </c>
    </row>
    <row r="177" spans="1:4" ht="23.25" x14ac:dyDescent="0.25">
      <c r="A177" s="905">
        <v>43100</v>
      </c>
      <c r="B177" s="906" t="s">
        <v>18420</v>
      </c>
      <c r="C177" s="907" t="s">
        <v>159</v>
      </c>
      <c r="D177" s="908">
        <v>34.19</v>
      </c>
    </row>
    <row r="178" spans="1:4" ht="15" x14ac:dyDescent="0.25">
      <c r="A178" s="905">
        <v>43200</v>
      </c>
      <c r="B178" s="906" t="s">
        <v>18421</v>
      </c>
      <c r="C178" s="907" t="s">
        <v>159</v>
      </c>
      <c r="D178" s="908">
        <v>8.85</v>
      </c>
    </row>
    <row r="179" spans="1:4" ht="23.25" x14ac:dyDescent="0.25">
      <c r="A179" s="905">
        <v>43300</v>
      </c>
      <c r="B179" s="906" t="s">
        <v>18422</v>
      </c>
      <c r="C179" s="907" t="s">
        <v>227</v>
      </c>
      <c r="D179" s="908">
        <v>1.88</v>
      </c>
    </row>
    <row r="180" spans="1:4" ht="23.25" x14ac:dyDescent="0.25">
      <c r="A180" s="905">
        <v>43310</v>
      </c>
      <c r="B180" s="906" t="s">
        <v>18423</v>
      </c>
      <c r="C180" s="907" t="s">
        <v>226</v>
      </c>
      <c r="D180" s="908">
        <v>198.8</v>
      </c>
    </row>
    <row r="181" spans="1:4" ht="23.25" x14ac:dyDescent="0.25">
      <c r="A181" s="905">
        <v>43311</v>
      </c>
      <c r="B181" s="906" t="s">
        <v>18424</v>
      </c>
      <c r="C181" s="907" t="s">
        <v>226</v>
      </c>
      <c r="D181" s="908">
        <v>589.49</v>
      </c>
    </row>
    <row r="182" spans="1:4" ht="23.25" x14ac:dyDescent="0.25">
      <c r="A182" s="905">
        <v>43312</v>
      </c>
      <c r="B182" s="906" t="s">
        <v>18425</v>
      </c>
      <c r="C182" s="907" t="s">
        <v>226</v>
      </c>
      <c r="D182" s="908">
        <v>736.86</v>
      </c>
    </row>
    <row r="183" spans="1:4" ht="23.25" x14ac:dyDescent="0.25">
      <c r="A183" s="905">
        <v>43313</v>
      </c>
      <c r="B183" s="906" t="s">
        <v>18426</v>
      </c>
      <c r="C183" s="907" t="s">
        <v>226</v>
      </c>
      <c r="D183" s="908">
        <v>884.23</v>
      </c>
    </row>
    <row r="184" spans="1:4" ht="15" x14ac:dyDescent="0.25">
      <c r="A184" s="905">
        <v>43314</v>
      </c>
      <c r="B184" s="906" t="s">
        <v>18427</v>
      </c>
      <c r="C184" s="907" t="s">
        <v>226</v>
      </c>
      <c r="D184" s="908">
        <v>1031.5999999999999</v>
      </c>
    </row>
    <row r="185" spans="1:4" ht="15" x14ac:dyDescent="0.25">
      <c r="A185" s="905">
        <v>43500</v>
      </c>
      <c r="B185" s="906" t="s">
        <v>18428</v>
      </c>
      <c r="C185" s="907" t="s">
        <v>227</v>
      </c>
      <c r="D185" s="908">
        <v>5.49</v>
      </c>
    </row>
    <row r="186" spans="1:4" ht="15" x14ac:dyDescent="0.25">
      <c r="A186" s="905">
        <v>46000</v>
      </c>
      <c r="B186" s="906" t="s">
        <v>18429</v>
      </c>
      <c r="C186" s="907" t="s">
        <v>16557</v>
      </c>
      <c r="D186" s="908">
        <v>3.23</v>
      </c>
    </row>
    <row r="187" spans="1:4" x14ac:dyDescent="0.2">
      <c r="A187" s="901">
        <v>50000</v>
      </c>
      <c r="B187" s="902" t="s">
        <v>195</v>
      </c>
      <c r="C187" s="903"/>
      <c r="D187" s="904"/>
    </row>
    <row r="188" spans="1:4" ht="15" x14ac:dyDescent="0.25">
      <c r="A188" s="905">
        <v>50100</v>
      </c>
      <c r="B188" s="906" t="s">
        <v>18430</v>
      </c>
      <c r="C188" s="907" t="s">
        <v>158</v>
      </c>
      <c r="D188" s="908">
        <v>9.64</v>
      </c>
    </row>
    <row r="189" spans="1:4" ht="15" x14ac:dyDescent="0.25">
      <c r="A189" s="905">
        <v>50200</v>
      </c>
      <c r="B189" s="906" t="s">
        <v>18431</v>
      </c>
      <c r="C189" s="907" t="s">
        <v>227</v>
      </c>
      <c r="D189" s="908">
        <v>17.79</v>
      </c>
    </row>
    <row r="190" spans="1:4" ht="23.25" x14ac:dyDescent="0.25">
      <c r="A190" s="905">
        <v>50300</v>
      </c>
      <c r="B190" s="906" t="s">
        <v>18432</v>
      </c>
      <c r="C190" s="907" t="s">
        <v>227</v>
      </c>
      <c r="D190" s="908">
        <v>27.4</v>
      </c>
    </row>
    <row r="191" spans="1:4" ht="23.25" x14ac:dyDescent="0.25">
      <c r="A191" s="905">
        <v>50400</v>
      </c>
      <c r="B191" s="906" t="s">
        <v>18433</v>
      </c>
      <c r="C191" s="907" t="s">
        <v>227</v>
      </c>
      <c r="D191" s="908">
        <v>24.51</v>
      </c>
    </row>
    <row r="192" spans="1:4" ht="15" x14ac:dyDescent="0.25">
      <c r="A192" s="905">
        <v>50500</v>
      </c>
      <c r="B192" s="906" t="s">
        <v>18434</v>
      </c>
      <c r="C192" s="907" t="s">
        <v>227</v>
      </c>
      <c r="D192" s="908">
        <v>5.12</v>
      </c>
    </row>
    <row r="193" spans="1:4" ht="23.25" x14ac:dyDescent="0.25">
      <c r="A193" s="905">
        <v>50600</v>
      </c>
      <c r="B193" s="906" t="s">
        <v>18435</v>
      </c>
      <c r="C193" s="907" t="s">
        <v>159</v>
      </c>
      <c r="D193" s="908">
        <v>225.24</v>
      </c>
    </row>
    <row r="194" spans="1:4" ht="15" x14ac:dyDescent="0.25">
      <c r="A194" s="905">
        <v>50700</v>
      </c>
      <c r="B194" s="906" t="s">
        <v>18436</v>
      </c>
      <c r="C194" s="907" t="s">
        <v>227</v>
      </c>
      <c r="D194" s="908">
        <v>3.94</v>
      </c>
    </row>
    <row r="195" spans="1:4" ht="23.25" x14ac:dyDescent="0.25">
      <c r="A195" s="905">
        <v>50800</v>
      </c>
      <c r="B195" s="906" t="s">
        <v>18437</v>
      </c>
      <c r="C195" s="907" t="s">
        <v>158</v>
      </c>
      <c r="D195" s="908">
        <v>25.31</v>
      </c>
    </row>
    <row r="196" spans="1:4" ht="23.25" x14ac:dyDescent="0.25">
      <c r="A196" s="905">
        <v>50900</v>
      </c>
      <c r="B196" s="906" t="s">
        <v>18438</v>
      </c>
      <c r="C196" s="907" t="s">
        <v>158</v>
      </c>
      <c r="D196" s="908">
        <v>43.78</v>
      </c>
    </row>
    <row r="197" spans="1:4" ht="23.25" x14ac:dyDescent="0.25">
      <c r="A197" s="905">
        <v>51000</v>
      </c>
      <c r="B197" s="906" t="s">
        <v>18439</v>
      </c>
      <c r="C197" s="907" t="s">
        <v>227</v>
      </c>
      <c r="D197" s="908">
        <v>32.1</v>
      </c>
    </row>
    <row r="198" spans="1:4" ht="23.25" x14ac:dyDescent="0.25">
      <c r="A198" s="905">
        <v>51100</v>
      </c>
      <c r="B198" s="906" t="s">
        <v>18440</v>
      </c>
      <c r="C198" s="907" t="s">
        <v>227</v>
      </c>
      <c r="D198" s="908">
        <v>24.74</v>
      </c>
    </row>
    <row r="199" spans="1:4" ht="15" x14ac:dyDescent="0.25">
      <c r="A199" s="905">
        <v>51300</v>
      </c>
      <c r="B199" s="906" t="s">
        <v>18441</v>
      </c>
      <c r="C199" s="907" t="s">
        <v>159</v>
      </c>
      <c r="D199" s="908">
        <v>481.56</v>
      </c>
    </row>
    <row r="200" spans="1:4" ht="23.25" x14ac:dyDescent="0.25">
      <c r="A200" s="905">
        <v>51400</v>
      </c>
      <c r="B200" s="906" t="s">
        <v>18442</v>
      </c>
      <c r="C200" s="907" t="s">
        <v>18269</v>
      </c>
      <c r="D200" s="908" t="s">
        <v>18269</v>
      </c>
    </row>
    <row r="201" spans="1:4" ht="23.25" x14ac:dyDescent="0.25">
      <c r="A201" s="905">
        <v>51401</v>
      </c>
      <c r="B201" s="906" t="s">
        <v>18443</v>
      </c>
      <c r="C201" s="907" t="s">
        <v>158</v>
      </c>
      <c r="D201" s="908">
        <v>48.55</v>
      </c>
    </row>
    <row r="202" spans="1:4" ht="23.25" x14ac:dyDescent="0.25">
      <c r="A202" s="905">
        <v>51402</v>
      </c>
      <c r="B202" s="906" t="s">
        <v>18444</v>
      </c>
      <c r="C202" s="907" t="s">
        <v>158</v>
      </c>
      <c r="D202" s="908">
        <v>50.03</v>
      </c>
    </row>
    <row r="203" spans="1:4" ht="23.25" x14ac:dyDescent="0.25">
      <c r="A203" s="905">
        <v>51403</v>
      </c>
      <c r="B203" s="906" t="s">
        <v>18445</v>
      </c>
      <c r="C203" s="907" t="s">
        <v>158</v>
      </c>
      <c r="D203" s="908">
        <v>54.61</v>
      </c>
    </row>
    <row r="204" spans="1:4" ht="34.5" x14ac:dyDescent="0.25">
      <c r="A204" s="905">
        <v>51404</v>
      </c>
      <c r="B204" s="906" t="s">
        <v>18446</v>
      </c>
      <c r="C204" s="907" t="s">
        <v>227</v>
      </c>
      <c r="D204" s="908">
        <v>329.17</v>
      </c>
    </row>
    <row r="205" spans="1:4" ht="34.5" x14ac:dyDescent="0.25">
      <c r="A205" s="905">
        <v>51405</v>
      </c>
      <c r="B205" s="906" t="s">
        <v>18447</v>
      </c>
      <c r="C205" s="907" t="s">
        <v>227</v>
      </c>
      <c r="D205" s="908">
        <v>329.17</v>
      </c>
    </row>
    <row r="206" spans="1:4" ht="34.5" x14ac:dyDescent="0.25">
      <c r="A206" s="905">
        <v>51406</v>
      </c>
      <c r="B206" s="906" t="s">
        <v>18448</v>
      </c>
      <c r="C206" s="907" t="s">
        <v>227</v>
      </c>
      <c r="D206" s="908">
        <v>329.17</v>
      </c>
    </row>
    <row r="207" spans="1:4" ht="23.25" x14ac:dyDescent="0.25">
      <c r="A207" s="905">
        <v>51600</v>
      </c>
      <c r="B207" s="906" t="s">
        <v>18449</v>
      </c>
      <c r="C207" s="907" t="s">
        <v>158</v>
      </c>
      <c r="D207" s="908">
        <v>30.37</v>
      </c>
    </row>
    <row r="208" spans="1:4" ht="15" x14ac:dyDescent="0.25">
      <c r="A208" s="905">
        <v>51700</v>
      </c>
      <c r="B208" s="906" t="s">
        <v>18450</v>
      </c>
      <c r="C208" s="907" t="s">
        <v>158</v>
      </c>
      <c r="D208" s="908">
        <v>33.81</v>
      </c>
    </row>
    <row r="209" spans="1:4" ht="23.25" x14ac:dyDescent="0.25">
      <c r="A209" s="905">
        <v>51800</v>
      </c>
      <c r="B209" s="906" t="s">
        <v>18451</v>
      </c>
      <c r="C209" s="907" t="s">
        <v>226</v>
      </c>
      <c r="D209" s="908">
        <v>36.869999999999997</v>
      </c>
    </row>
    <row r="210" spans="1:4" ht="15" x14ac:dyDescent="0.25">
      <c r="A210" s="905">
        <v>51900</v>
      </c>
      <c r="B210" s="906" t="s">
        <v>18452</v>
      </c>
      <c r="C210" s="907" t="s">
        <v>18269</v>
      </c>
      <c r="D210" s="908" t="s">
        <v>18269</v>
      </c>
    </row>
    <row r="211" spans="1:4" ht="15" x14ac:dyDescent="0.25">
      <c r="A211" s="905">
        <v>51901</v>
      </c>
      <c r="B211" s="906" t="s">
        <v>18453</v>
      </c>
      <c r="C211" s="907" t="s">
        <v>159</v>
      </c>
      <c r="D211" s="908">
        <v>590.1</v>
      </c>
    </row>
    <row r="212" spans="1:4" ht="15" x14ac:dyDescent="0.25">
      <c r="A212" s="905">
        <v>51902</v>
      </c>
      <c r="B212" s="906" t="s">
        <v>18454</v>
      </c>
      <c r="C212" s="907" t="s">
        <v>159</v>
      </c>
      <c r="D212" s="908">
        <v>571.09</v>
      </c>
    </row>
    <row r="213" spans="1:4" ht="15" x14ac:dyDescent="0.25">
      <c r="A213" s="905">
        <v>52000</v>
      </c>
      <c r="B213" s="906" t="s">
        <v>18455</v>
      </c>
      <c r="C213" s="907" t="s">
        <v>159</v>
      </c>
      <c r="D213" s="908">
        <v>212.49</v>
      </c>
    </row>
    <row r="214" spans="1:4" ht="15" x14ac:dyDescent="0.25">
      <c r="A214" s="905">
        <v>52100</v>
      </c>
      <c r="B214" s="906" t="s">
        <v>18456</v>
      </c>
      <c r="C214" s="907" t="s">
        <v>18269</v>
      </c>
      <c r="D214" s="908" t="s">
        <v>18269</v>
      </c>
    </row>
    <row r="215" spans="1:4" ht="15" x14ac:dyDescent="0.25">
      <c r="A215" s="905">
        <v>52101</v>
      </c>
      <c r="B215" s="906" t="s">
        <v>18456</v>
      </c>
      <c r="C215" s="907" t="s">
        <v>159</v>
      </c>
      <c r="D215" s="908">
        <v>311.81</v>
      </c>
    </row>
    <row r="216" spans="1:4" ht="15" x14ac:dyDescent="0.25">
      <c r="A216" s="905">
        <v>52102</v>
      </c>
      <c r="B216" s="906" t="s">
        <v>18457</v>
      </c>
      <c r="C216" s="907" t="s">
        <v>159</v>
      </c>
      <c r="D216" s="908">
        <v>207.97</v>
      </c>
    </row>
    <row r="217" spans="1:4" ht="15" x14ac:dyDescent="0.25">
      <c r="A217" s="905">
        <v>52200</v>
      </c>
      <c r="B217" s="906" t="s">
        <v>18458</v>
      </c>
      <c r="C217" s="907" t="s">
        <v>159</v>
      </c>
      <c r="D217" s="908">
        <v>188.48</v>
      </c>
    </row>
    <row r="218" spans="1:4" ht="15" x14ac:dyDescent="0.25">
      <c r="A218" s="905">
        <v>52300</v>
      </c>
      <c r="B218" s="906" t="s">
        <v>18459</v>
      </c>
      <c r="C218" s="907" t="s">
        <v>159</v>
      </c>
      <c r="D218" s="908">
        <v>465.21</v>
      </c>
    </row>
    <row r="219" spans="1:4" ht="15" x14ac:dyDescent="0.25">
      <c r="A219" s="905">
        <v>52400</v>
      </c>
      <c r="B219" s="906" t="s">
        <v>18460</v>
      </c>
      <c r="C219" s="907" t="s">
        <v>18269</v>
      </c>
      <c r="D219" s="908" t="s">
        <v>18269</v>
      </c>
    </row>
    <row r="220" spans="1:4" ht="15" x14ac:dyDescent="0.25">
      <c r="A220" s="905">
        <v>52401</v>
      </c>
      <c r="B220" s="906" t="s">
        <v>18460</v>
      </c>
      <c r="C220" s="907" t="s">
        <v>159</v>
      </c>
      <c r="D220" s="908">
        <v>1021.3</v>
      </c>
    </row>
    <row r="221" spans="1:4" ht="15" x14ac:dyDescent="0.25">
      <c r="A221" s="905">
        <v>52402</v>
      </c>
      <c r="B221" s="906" t="s">
        <v>18461</v>
      </c>
      <c r="C221" s="907" t="s">
        <v>159</v>
      </c>
      <c r="D221" s="908">
        <v>957.27</v>
      </c>
    </row>
    <row r="222" spans="1:4" ht="15" x14ac:dyDescent="0.25">
      <c r="A222" s="905">
        <v>52500</v>
      </c>
      <c r="B222" s="906" t="s">
        <v>18462</v>
      </c>
      <c r="C222" s="907" t="s">
        <v>18269</v>
      </c>
      <c r="D222" s="908" t="s">
        <v>18269</v>
      </c>
    </row>
    <row r="223" spans="1:4" s="913" customFormat="1" ht="15" x14ac:dyDescent="0.25">
      <c r="A223" s="909">
        <v>52501</v>
      </c>
      <c r="B223" s="910" t="s">
        <v>18463</v>
      </c>
      <c r="C223" s="911" t="s">
        <v>159</v>
      </c>
      <c r="D223" s="912">
        <v>1133.3800000000001</v>
      </c>
    </row>
    <row r="224" spans="1:4" s="913" customFormat="1" ht="15" x14ac:dyDescent="0.25">
      <c r="A224" s="909">
        <v>52502</v>
      </c>
      <c r="B224" s="910" t="s">
        <v>18464</v>
      </c>
      <c r="C224" s="911" t="s">
        <v>159</v>
      </c>
      <c r="D224" s="912">
        <v>1345.45</v>
      </c>
    </row>
    <row r="225" spans="1:4" ht="15" x14ac:dyDescent="0.25">
      <c r="A225" s="905">
        <v>52600</v>
      </c>
      <c r="B225" s="906" t="s">
        <v>18465</v>
      </c>
      <c r="C225" s="907" t="s">
        <v>227</v>
      </c>
      <c r="D225" s="908">
        <v>8.0299999999999994</v>
      </c>
    </row>
    <row r="226" spans="1:4" ht="15" x14ac:dyDescent="0.25">
      <c r="A226" s="905">
        <v>52700</v>
      </c>
      <c r="B226" s="906" t="s">
        <v>18466</v>
      </c>
      <c r="C226" s="907" t="s">
        <v>227</v>
      </c>
      <c r="D226" s="908">
        <v>16.18</v>
      </c>
    </row>
    <row r="227" spans="1:4" ht="15" x14ac:dyDescent="0.25">
      <c r="A227" s="905">
        <v>52800</v>
      </c>
      <c r="B227" s="906" t="s">
        <v>18467</v>
      </c>
      <c r="C227" s="907" t="s">
        <v>159</v>
      </c>
      <c r="D227" s="908">
        <v>1610.11</v>
      </c>
    </row>
    <row r="228" spans="1:4" ht="23.25" x14ac:dyDescent="0.25">
      <c r="A228" s="905">
        <v>52801</v>
      </c>
      <c r="B228" s="906" t="s">
        <v>18468</v>
      </c>
      <c r="C228" s="907" t="s">
        <v>159</v>
      </c>
      <c r="D228" s="908">
        <v>174.01</v>
      </c>
    </row>
    <row r="229" spans="1:4" ht="15" x14ac:dyDescent="0.25">
      <c r="A229" s="905">
        <v>52900</v>
      </c>
      <c r="B229" s="906" t="s">
        <v>18469</v>
      </c>
      <c r="C229" s="907" t="s">
        <v>159</v>
      </c>
      <c r="D229" s="908">
        <v>1550.49</v>
      </c>
    </row>
    <row r="230" spans="1:4" ht="15" x14ac:dyDescent="0.25">
      <c r="A230" s="905">
        <v>53000</v>
      </c>
      <c r="B230" s="906" t="s">
        <v>18470</v>
      </c>
      <c r="C230" s="907" t="s">
        <v>159</v>
      </c>
      <c r="D230" s="908">
        <v>1645.44</v>
      </c>
    </row>
    <row r="231" spans="1:4" ht="15" x14ac:dyDescent="0.25">
      <c r="A231" s="905">
        <v>53100</v>
      </c>
      <c r="B231" s="906" t="s">
        <v>18471</v>
      </c>
      <c r="C231" s="907" t="s">
        <v>227</v>
      </c>
      <c r="D231" s="908">
        <v>86.68</v>
      </c>
    </row>
    <row r="232" spans="1:4" ht="23.25" x14ac:dyDescent="0.25">
      <c r="A232" s="905">
        <v>53200</v>
      </c>
      <c r="B232" s="906" t="s">
        <v>18472</v>
      </c>
      <c r="C232" s="907" t="s">
        <v>227</v>
      </c>
      <c r="D232" s="908">
        <v>269.02</v>
      </c>
    </row>
    <row r="233" spans="1:4" ht="23.25" x14ac:dyDescent="0.25">
      <c r="A233" s="905">
        <v>53300</v>
      </c>
      <c r="B233" s="906" t="s">
        <v>18473</v>
      </c>
      <c r="C233" s="907" t="s">
        <v>227</v>
      </c>
      <c r="D233" s="908">
        <v>287.61</v>
      </c>
    </row>
    <row r="234" spans="1:4" ht="23.25" x14ac:dyDescent="0.25">
      <c r="A234" s="905">
        <v>53400</v>
      </c>
      <c r="B234" s="906" t="s">
        <v>18474</v>
      </c>
      <c r="C234" s="907" t="s">
        <v>227</v>
      </c>
      <c r="D234" s="908">
        <v>70.58</v>
      </c>
    </row>
    <row r="235" spans="1:4" ht="23.25" x14ac:dyDescent="0.25">
      <c r="A235" s="905">
        <v>53500</v>
      </c>
      <c r="B235" s="906" t="s">
        <v>18475</v>
      </c>
      <c r="C235" s="907" t="s">
        <v>227</v>
      </c>
      <c r="D235" s="908">
        <v>49.56</v>
      </c>
    </row>
    <row r="236" spans="1:4" ht="15" x14ac:dyDescent="0.25">
      <c r="A236" s="905">
        <v>53600</v>
      </c>
      <c r="B236" s="906" t="s">
        <v>18476</v>
      </c>
      <c r="C236" s="907" t="s">
        <v>227</v>
      </c>
      <c r="D236" s="908">
        <v>13.19</v>
      </c>
    </row>
    <row r="237" spans="1:4" ht="15" x14ac:dyDescent="0.25">
      <c r="A237" s="905">
        <v>53700</v>
      </c>
      <c r="B237" s="906" t="s">
        <v>18477</v>
      </c>
      <c r="C237" s="907" t="s">
        <v>227</v>
      </c>
      <c r="D237" s="908">
        <v>16.23</v>
      </c>
    </row>
    <row r="238" spans="1:4" ht="23.25" x14ac:dyDescent="0.25">
      <c r="A238" s="905">
        <v>53800</v>
      </c>
      <c r="B238" s="906" t="s">
        <v>18478</v>
      </c>
      <c r="C238" s="907" t="s">
        <v>227</v>
      </c>
      <c r="D238" s="908">
        <v>17.48</v>
      </c>
    </row>
    <row r="239" spans="1:4" ht="15" x14ac:dyDescent="0.25">
      <c r="A239" s="905">
        <v>53900</v>
      </c>
      <c r="B239" s="906" t="s">
        <v>18479</v>
      </c>
      <c r="C239" s="907" t="s">
        <v>227</v>
      </c>
      <c r="D239" s="908">
        <v>56.69</v>
      </c>
    </row>
    <row r="240" spans="1:4" ht="15" x14ac:dyDescent="0.25">
      <c r="A240" s="905">
        <v>54000</v>
      </c>
      <c r="B240" s="906" t="s">
        <v>18480</v>
      </c>
      <c r="C240" s="907" t="s">
        <v>16593</v>
      </c>
      <c r="D240" s="908">
        <v>0.74</v>
      </c>
    </row>
    <row r="241" spans="1:4" ht="23.25" x14ac:dyDescent="0.25">
      <c r="A241" s="905">
        <v>54200</v>
      </c>
      <c r="B241" s="906" t="s">
        <v>18481</v>
      </c>
      <c r="C241" s="907" t="s">
        <v>159</v>
      </c>
      <c r="D241" s="908">
        <v>719.69</v>
      </c>
    </row>
    <row r="242" spans="1:4" ht="23.25" x14ac:dyDescent="0.25">
      <c r="A242" s="905">
        <v>54300</v>
      </c>
      <c r="B242" s="906" t="s">
        <v>18482</v>
      </c>
      <c r="C242" s="907" t="s">
        <v>227</v>
      </c>
      <c r="D242" s="908">
        <v>255.09</v>
      </c>
    </row>
    <row r="243" spans="1:4" ht="23.25" x14ac:dyDescent="0.25">
      <c r="A243" s="905">
        <v>54400</v>
      </c>
      <c r="B243" s="906" t="s">
        <v>18483</v>
      </c>
      <c r="C243" s="907" t="s">
        <v>227</v>
      </c>
      <c r="D243" s="908">
        <v>232.94</v>
      </c>
    </row>
    <row r="244" spans="1:4" ht="15" x14ac:dyDescent="0.25">
      <c r="A244" s="905">
        <v>54500</v>
      </c>
      <c r="B244" s="906" t="s">
        <v>18484</v>
      </c>
      <c r="C244" s="907" t="s">
        <v>227</v>
      </c>
      <c r="D244" s="908">
        <v>21.51</v>
      </c>
    </row>
    <row r="245" spans="1:4" ht="34.5" x14ac:dyDescent="0.25">
      <c r="A245" s="905">
        <v>54600</v>
      </c>
      <c r="B245" s="906" t="s">
        <v>18485</v>
      </c>
      <c r="C245" s="907" t="s">
        <v>159</v>
      </c>
      <c r="D245" s="908">
        <v>133.38999999999999</v>
      </c>
    </row>
    <row r="246" spans="1:4" ht="15" x14ac:dyDescent="0.25">
      <c r="A246" s="905">
        <v>54700</v>
      </c>
      <c r="B246" s="906" t="s">
        <v>18486</v>
      </c>
      <c r="C246" s="907" t="s">
        <v>159</v>
      </c>
      <c r="D246" s="908">
        <v>205.01</v>
      </c>
    </row>
    <row r="247" spans="1:4" ht="15" x14ac:dyDescent="0.25">
      <c r="A247" s="905">
        <v>54800</v>
      </c>
      <c r="B247" s="906" t="s">
        <v>18487</v>
      </c>
      <c r="C247" s="907" t="s">
        <v>159</v>
      </c>
      <c r="D247" s="908">
        <v>212.26</v>
      </c>
    </row>
    <row r="248" spans="1:4" ht="23.25" x14ac:dyDescent="0.25">
      <c r="A248" s="905">
        <v>55000</v>
      </c>
      <c r="B248" s="906" t="s">
        <v>18488</v>
      </c>
      <c r="C248" s="907" t="s">
        <v>159</v>
      </c>
      <c r="D248" s="908">
        <v>78.25</v>
      </c>
    </row>
    <row r="249" spans="1:4" ht="23.25" x14ac:dyDescent="0.25">
      <c r="A249" s="905">
        <v>55100</v>
      </c>
      <c r="B249" s="906" t="s">
        <v>18489</v>
      </c>
      <c r="C249" s="907" t="s">
        <v>159</v>
      </c>
      <c r="D249" s="908">
        <v>84.37</v>
      </c>
    </row>
    <row r="250" spans="1:4" ht="23.25" x14ac:dyDescent="0.25">
      <c r="A250" s="905">
        <v>55200</v>
      </c>
      <c r="B250" s="906" t="s">
        <v>18490</v>
      </c>
      <c r="C250" s="907" t="s">
        <v>159</v>
      </c>
      <c r="D250" s="908">
        <v>90.49</v>
      </c>
    </row>
    <row r="251" spans="1:4" ht="23.25" x14ac:dyDescent="0.25">
      <c r="A251" s="905">
        <v>55400</v>
      </c>
      <c r="B251" s="906" t="s">
        <v>18491</v>
      </c>
      <c r="C251" s="907" t="s">
        <v>159</v>
      </c>
      <c r="D251" s="908">
        <v>67.41</v>
      </c>
    </row>
    <row r="252" spans="1:4" ht="23.25" x14ac:dyDescent="0.25">
      <c r="A252" s="905">
        <v>55500</v>
      </c>
      <c r="B252" s="906" t="s">
        <v>18492</v>
      </c>
      <c r="C252" s="907" t="s">
        <v>159</v>
      </c>
      <c r="D252" s="908">
        <v>78.81</v>
      </c>
    </row>
    <row r="253" spans="1:4" ht="23.25" x14ac:dyDescent="0.25">
      <c r="A253" s="905">
        <v>55600</v>
      </c>
      <c r="B253" s="906" t="s">
        <v>18493</v>
      </c>
      <c r="C253" s="907" t="s">
        <v>159</v>
      </c>
      <c r="D253" s="908">
        <v>90.19</v>
      </c>
    </row>
    <row r="254" spans="1:4" ht="23.25" x14ac:dyDescent="0.25">
      <c r="A254" s="905">
        <v>55700</v>
      </c>
      <c r="B254" s="906" t="s">
        <v>18494</v>
      </c>
      <c r="C254" s="907" t="s">
        <v>159</v>
      </c>
      <c r="D254" s="908">
        <v>101.59</v>
      </c>
    </row>
    <row r="255" spans="1:4" ht="23.25" x14ac:dyDescent="0.25">
      <c r="A255" s="905">
        <v>55900</v>
      </c>
      <c r="B255" s="906" t="s">
        <v>18495</v>
      </c>
      <c r="C255" s="907" t="s">
        <v>159</v>
      </c>
      <c r="D255" s="908">
        <v>77.489999999999995</v>
      </c>
    </row>
    <row r="256" spans="1:4" ht="23.25" x14ac:dyDescent="0.25">
      <c r="A256" s="905">
        <v>56000</v>
      </c>
      <c r="B256" s="906" t="s">
        <v>18496</v>
      </c>
      <c r="C256" s="907" t="s">
        <v>159</v>
      </c>
      <c r="D256" s="908">
        <v>92.25</v>
      </c>
    </row>
    <row r="257" spans="1:4" ht="23.25" x14ac:dyDescent="0.25">
      <c r="A257" s="905">
        <v>56100</v>
      </c>
      <c r="B257" s="906" t="s">
        <v>18497</v>
      </c>
      <c r="C257" s="907" t="s">
        <v>159</v>
      </c>
      <c r="D257" s="908">
        <v>106.99</v>
      </c>
    </row>
    <row r="258" spans="1:4" ht="23.25" x14ac:dyDescent="0.25">
      <c r="A258" s="905">
        <v>56200</v>
      </c>
      <c r="B258" s="906" t="s">
        <v>18498</v>
      </c>
      <c r="C258" s="907" t="s">
        <v>159</v>
      </c>
      <c r="D258" s="908">
        <v>121.75</v>
      </c>
    </row>
    <row r="259" spans="1:4" ht="23.25" x14ac:dyDescent="0.25">
      <c r="A259" s="905">
        <v>56300</v>
      </c>
      <c r="B259" s="906" t="s">
        <v>18499</v>
      </c>
      <c r="C259" s="907" t="s">
        <v>159</v>
      </c>
      <c r="D259" s="908">
        <v>74.040000000000006</v>
      </c>
    </row>
    <row r="260" spans="1:4" ht="23.25" x14ac:dyDescent="0.25">
      <c r="A260" s="905">
        <v>56400</v>
      </c>
      <c r="B260" s="906" t="s">
        <v>18500</v>
      </c>
      <c r="C260" s="907" t="s">
        <v>159</v>
      </c>
      <c r="D260" s="908">
        <v>88.01</v>
      </c>
    </row>
    <row r="261" spans="1:4" ht="23.25" x14ac:dyDescent="0.25">
      <c r="A261" s="905">
        <v>56500</v>
      </c>
      <c r="B261" s="906" t="s">
        <v>18501</v>
      </c>
      <c r="C261" s="907" t="s">
        <v>159</v>
      </c>
      <c r="D261" s="908">
        <v>101.98</v>
      </c>
    </row>
    <row r="262" spans="1:4" ht="23.25" x14ac:dyDescent="0.25">
      <c r="A262" s="905">
        <v>56600</v>
      </c>
      <c r="B262" s="906" t="s">
        <v>18502</v>
      </c>
      <c r="C262" s="907" t="s">
        <v>159</v>
      </c>
      <c r="D262" s="908">
        <v>115.95</v>
      </c>
    </row>
    <row r="263" spans="1:4" ht="15" x14ac:dyDescent="0.25">
      <c r="A263" s="905">
        <v>56700</v>
      </c>
      <c r="B263" s="906" t="s">
        <v>18503</v>
      </c>
      <c r="C263" s="907" t="s">
        <v>16593</v>
      </c>
      <c r="D263" s="908">
        <v>0.98</v>
      </c>
    </row>
    <row r="264" spans="1:4" ht="15" x14ac:dyDescent="0.25">
      <c r="A264" s="905">
        <v>56800</v>
      </c>
      <c r="B264" s="906" t="s">
        <v>18504</v>
      </c>
      <c r="C264" s="907" t="s">
        <v>16593</v>
      </c>
      <c r="D264" s="908">
        <v>0.32</v>
      </c>
    </row>
    <row r="265" spans="1:4" ht="15" x14ac:dyDescent="0.25">
      <c r="A265" s="905">
        <v>56900</v>
      </c>
      <c r="B265" s="906" t="s">
        <v>18505</v>
      </c>
      <c r="C265" s="907" t="s">
        <v>227</v>
      </c>
      <c r="D265" s="908">
        <v>0.51</v>
      </c>
    </row>
    <row r="266" spans="1:4" ht="23.25" x14ac:dyDescent="0.25">
      <c r="A266" s="905">
        <v>57000</v>
      </c>
      <c r="B266" s="906" t="s">
        <v>18506</v>
      </c>
      <c r="C266" s="907" t="s">
        <v>227</v>
      </c>
      <c r="D266" s="908">
        <v>60.9</v>
      </c>
    </row>
    <row r="267" spans="1:4" ht="15" x14ac:dyDescent="0.25">
      <c r="A267" s="905">
        <v>57100</v>
      </c>
      <c r="B267" s="906" t="s">
        <v>18507</v>
      </c>
      <c r="C267" s="907" t="s">
        <v>227</v>
      </c>
      <c r="D267" s="908">
        <v>42.31</v>
      </c>
    </row>
    <row r="268" spans="1:4" ht="15" x14ac:dyDescent="0.25">
      <c r="A268" s="905">
        <v>57200</v>
      </c>
      <c r="B268" s="906" t="s">
        <v>18508</v>
      </c>
      <c r="C268" s="907" t="s">
        <v>227</v>
      </c>
      <c r="D268" s="908">
        <v>108.28</v>
      </c>
    </row>
    <row r="269" spans="1:4" ht="23.25" x14ac:dyDescent="0.25">
      <c r="A269" s="905">
        <v>57300</v>
      </c>
      <c r="B269" s="906" t="s">
        <v>18509</v>
      </c>
      <c r="C269" s="907" t="s">
        <v>158</v>
      </c>
      <c r="D269" s="908">
        <v>18.86</v>
      </c>
    </row>
    <row r="270" spans="1:4" ht="15" x14ac:dyDescent="0.25">
      <c r="A270" s="905">
        <v>57400</v>
      </c>
      <c r="B270" s="906" t="s">
        <v>18510</v>
      </c>
      <c r="C270" s="907" t="s">
        <v>158</v>
      </c>
      <c r="D270" s="908">
        <v>7.71</v>
      </c>
    </row>
    <row r="271" spans="1:4" ht="15" x14ac:dyDescent="0.25">
      <c r="A271" s="905">
        <v>57500</v>
      </c>
      <c r="B271" s="906" t="s">
        <v>18511</v>
      </c>
      <c r="C271" s="907" t="s">
        <v>158</v>
      </c>
      <c r="D271" s="908">
        <v>16.78</v>
      </c>
    </row>
    <row r="272" spans="1:4" ht="15" x14ac:dyDescent="0.25">
      <c r="A272" s="905">
        <v>57600</v>
      </c>
      <c r="B272" s="906" t="s">
        <v>18512</v>
      </c>
      <c r="C272" s="907" t="s">
        <v>16557</v>
      </c>
      <c r="D272" s="908">
        <v>12.12</v>
      </c>
    </row>
    <row r="273" spans="1:4" ht="15" x14ac:dyDescent="0.25">
      <c r="A273" s="905">
        <v>57700</v>
      </c>
      <c r="B273" s="906" t="s">
        <v>18513</v>
      </c>
      <c r="C273" s="907" t="s">
        <v>18269</v>
      </c>
      <c r="D273" s="908" t="s">
        <v>18269</v>
      </c>
    </row>
    <row r="274" spans="1:4" ht="23.25" x14ac:dyDescent="0.25">
      <c r="A274" s="905">
        <v>57701</v>
      </c>
      <c r="B274" s="906" t="s">
        <v>18514</v>
      </c>
      <c r="C274" s="907" t="s">
        <v>159</v>
      </c>
      <c r="D274" s="908">
        <v>21.3</v>
      </c>
    </row>
    <row r="275" spans="1:4" ht="15" x14ac:dyDescent="0.25">
      <c r="A275" s="905">
        <v>57707</v>
      </c>
      <c r="B275" s="906" t="s">
        <v>18515</v>
      </c>
      <c r="C275" s="907" t="s">
        <v>16557</v>
      </c>
      <c r="D275" s="908">
        <v>3.2</v>
      </c>
    </row>
    <row r="276" spans="1:4" ht="15" x14ac:dyDescent="0.25">
      <c r="A276" s="905">
        <v>57800</v>
      </c>
      <c r="B276" s="906" t="s">
        <v>18516</v>
      </c>
      <c r="C276" s="907" t="s">
        <v>18269</v>
      </c>
      <c r="D276" s="908" t="s">
        <v>18269</v>
      </c>
    </row>
    <row r="277" spans="1:4" ht="23.25" x14ac:dyDescent="0.25">
      <c r="A277" s="905">
        <v>57801</v>
      </c>
      <c r="B277" s="906" t="s">
        <v>18517</v>
      </c>
      <c r="C277" s="907" t="s">
        <v>159</v>
      </c>
      <c r="D277" s="908">
        <v>21.99</v>
      </c>
    </row>
    <row r="278" spans="1:4" ht="15" x14ac:dyDescent="0.25">
      <c r="A278" s="905">
        <v>57807</v>
      </c>
      <c r="B278" s="906" t="s">
        <v>18518</v>
      </c>
      <c r="C278" s="907" t="s">
        <v>16557</v>
      </c>
      <c r="D278" s="908">
        <v>3.89</v>
      </c>
    </row>
    <row r="279" spans="1:4" ht="15" x14ac:dyDescent="0.25">
      <c r="A279" s="905">
        <v>57900</v>
      </c>
      <c r="B279" s="906" t="s">
        <v>18519</v>
      </c>
      <c r="C279" s="907" t="s">
        <v>18269</v>
      </c>
      <c r="D279" s="908" t="s">
        <v>18269</v>
      </c>
    </row>
    <row r="280" spans="1:4" ht="23.25" x14ac:dyDescent="0.25">
      <c r="A280" s="905">
        <v>57901</v>
      </c>
      <c r="B280" s="906" t="s">
        <v>18520</v>
      </c>
      <c r="C280" s="907" t="s">
        <v>159</v>
      </c>
      <c r="D280" s="908">
        <v>21.99</v>
      </c>
    </row>
    <row r="281" spans="1:4" ht="15" x14ac:dyDescent="0.25">
      <c r="A281" s="905">
        <v>57907</v>
      </c>
      <c r="B281" s="906" t="s">
        <v>18521</v>
      </c>
      <c r="C281" s="907" t="s">
        <v>16557</v>
      </c>
      <c r="D281" s="908">
        <v>3.89</v>
      </c>
    </row>
    <row r="282" spans="1:4" ht="15" x14ac:dyDescent="0.25">
      <c r="A282" s="905">
        <v>58000</v>
      </c>
      <c r="B282" s="906" t="s">
        <v>18522</v>
      </c>
      <c r="C282" s="907" t="s">
        <v>18269</v>
      </c>
      <c r="D282" s="908" t="s">
        <v>18269</v>
      </c>
    </row>
    <row r="283" spans="1:4" ht="23.25" x14ac:dyDescent="0.25">
      <c r="A283" s="905">
        <v>58001</v>
      </c>
      <c r="B283" s="906" t="s">
        <v>18523</v>
      </c>
      <c r="C283" s="907" t="s">
        <v>159</v>
      </c>
      <c r="D283" s="908">
        <v>21.3</v>
      </c>
    </row>
    <row r="284" spans="1:4" ht="15" x14ac:dyDescent="0.25">
      <c r="A284" s="905">
        <v>58007</v>
      </c>
      <c r="B284" s="906" t="s">
        <v>18524</v>
      </c>
      <c r="C284" s="907" t="s">
        <v>16557</v>
      </c>
      <c r="D284" s="908">
        <v>3.2</v>
      </c>
    </row>
    <row r="285" spans="1:4" ht="15" x14ac:dyDescent="0.25">
      <c r="A285" s="905">
        <v>58100</v>
      </c>
      <c r="B285" s="906" t="s">
        <v>18525</v>
      </c>
      <c r="C285" s="907" t="s">
        <v>16593</v>
      </c>
      <c r="D285" s="908">
        <v>1.19</v>
      </c>
    </row>
    <row r="286" spans="1:4" ht="15" x14ac:dyDescent="0.25">
      <c r="A286" s="905">
        <v>58200</v>
      </c>
      <c r="B286" s="906" t="s">
        <v>18526</v>
      </c>
      <c r="C286" s="907" t="s">
        <v>16631</v>
      </c>
      <c r="D286" s="908">
        <v>0.38</v>
      </c>
    </row>
    <row r="287" spans="1:4" ht="23.25" x14ac:dyDescent="0.25">
      <c r="A287" s="905">
        <v>58400</v>
      </c>
      <c r="B287" s="906" t="s">
        <v>18527</v>
      </c>
      <c r="C287" s="907" t="s">
        <v>159</v>
      </c>
      <c r="D287" s="908">
        <v>46.1</v>
      </c>
    </row>
    <row r="288" spans="1:4" ht="23.25" x14ac:dyDescent="0.25">
      <c r="A288" s="905">
        <v>58500</v>
      </c>
      <c r="B288" s="906" t="s">
        <v>18528</v>
      </c>
      <c r="C288" s="907" t="s">
        <v>159</v>
      </c>
      <c r="D288" s="908">
        <v>60.07</v>
      </c>
    </row>
    <row r="289" spans="1:4" ht="15" x14ac:dyDescent="0.25">
      <c r="A289" s="905">
        <v>58600</v>
      </c>
      <c r="B289" s="906" t="s">
        <v>18529</v>
      </c>
      <c r="C289" s="907" t="s">
        <v>18269</v>
      </c>
      <c r="D289" s="908" t="s">
        <v>18269</v>
      </c>
    </row>
    <row r="290" spans="1:4" ht="23.25" x14ac:dyDescent="0.25">
      <c r="A290" s="905">
        <v>58601</v>
      </c>
      <c r="B290" s="906" t="s">
        <v>18530</v>
      </c>
      <c r="C290" s="907" t="s">
        <v>227</v>
      </c>
      <c r="D290" s="908">
        <v>93.59</v>
      </c>
    </row>
    <row r="291" spans="1:4" ht="23.25" x14ac:dyDescent="0.25">
      <c r="A291" s="905">
        <v>58602</v>
      </c>
      <c r="B291" s="906" t="s">
        <v>18531</v>
      </c>
      <c r="C291" s="907" t="s">
        <v>227</v>
      </c>
      <c r="D291" s="908">
        <v>97.7</v>
      </c>
    </row>
    <row r="292" spans="1:4" ht="23.25" x14ac:dyDescent="0.25">
      <c r="A292" s="905">
        <v>58603</v>
      </c>
      <c r="B292" s="906" t="s">
        <v>18532</v>
      </c>
      <c r="C292" s="907" t="s">
        <v>227</v>
      </c>
      <c r="D292" s="908">
        <v>157.02000000000001</v>
      </c>
    </row>
    <row r="293" spans="1:4" ht="23.25" x14ac:dyDescent="0.25">
      <c r="A293" s="905">
        <v>58700</v>
      </c>
      <c r="B293" s="906" t="s">
        <v>18533</v>
      </c>
      <c r="C293" s="907" t="s">
        <v>158</v>
      </c>
      <c r="D293" s="908">
        <v>429.67</v>
      </c>
    </row>
    <row r="294" spans="1:4" ht="15" x14ac:dyDescent="0.25">
      <c r="A294" s="905">
        <v>58800</v>
      </c>
      <c r="B294" s="906" t="s">
        <v>18534</v>
      </c>
      <c r="C294" s="907" t="s">
        <v>158</v>
      </c>
      <c r="D294" s="908">
        <v>36.19</v>
      </c>
    </row>
    <row r="295" spans="1:4" ht="15" x14ac:dyDescent="0.25">
      <c r="A295" s="905">
        <v>58900</v>
      </c>
      <c r="B295" s="906" t="s">
        <v>18535</v>
      </c>
      <c r="C295" s="907" t="s">
        <v>158</v>
      </c>
      <c r="D295" s="908">
        <v>78.87</v>
      </c>
    </row>
    <row r="296" spans="1:4" ht="15" x14ac:dyDescent="0.25">
      <c r="A296" s="905">
        <v>59000</v>
      </c>
      <c r="B296" s="906" t="s">
        <v>18536</v>
      </c>
      <c r="C296" s="907" t="s">
        <v>159</v>
      </c>
      <c r="D296" s="908">
        <v>277.89</v>
      </c>
    </row>
    <row r="297" spans="1:4" ht="34.5" x14ac:dyDescent="0.25">
      <c r="A297" s="905">
        <v>59101</v>
      </c>
      <c r="B297" s="906" t="s">
        <v>18537</v>
      </c>
      <c r="C297" s="907" t="s">
        <v>227</v>
      </c>
      <c r="D297" s="908">
        <v>147.31</v>
      </c>
    </row>
    <row r="298" spans="1:4" ht="34.5" x14ac:dyDescent="0.25">
      <c r="A298" s="905">
        <v>59102</v>
      </c>
      <c r="B298" s="906" t="s">
        <v>18538</v>
      </c>
      <c r="C298" s="907" t="s">
        <v>227</v>
      </c>
      <c r="D298" s="908">
        <v>149.13999999999999</v>
      </c>
    </row>
    <row r="299" spans="1:4" ht="45.75" x14ac:dyDescent="0.25">
      <c r="A299" s="905">
        <v>59201</v>
      </c>
      <c r="B299" s="906" t="s">
        <v>18539</v>
      </c>
      <c r="C299" s="907" t="s">
        <v>159</v>
      </c>
      <c r="D299" s="908">
        <v>316.95</v>
      </c>
    </row>
    <row r="300" spans="1:4" ht="45.75" x14ac:dyDescent="0.25">
      <c r="A300" s="905">
        <v>59202</v>
      </c>
      <c r="B300" s="906" t="s">
        <v>18540</v>
      </c>
      <c r="C300" s="907" t="s">
        <v>159</v>
      </c>
      <c r="D300" s="908">
        <v>907.51</v>
      </c>
    </row>
    <row r="301" spans="1:4" ht="23.25" x14ac:dyDescent="0.25">
      <c r="A301" s="905">
        <v>59300</v>
      </c>
      <c r="B301" s="906" t="s">
        <v>18541</v>
      </c>
      <c r="C301" s="907" t="s">
        <v>159</v>
      </c>
      <c r="D301" s="908">
        <v>2055.2399999999998</v>
      </c>
    </row>
    <row r="302" spans="1:4" ht="23.25" x14ac:dyDescent="0.25">
      <c r="A302" s="905">
        <v>59400</v>
      </c>
      <c r="B302" s="906" t="s">
        <v>18542</v>
      </c>
      <c r="C302" s="907" t="s">
        <v>159</v>
      </c>
      <c r="D302" s="908">
        <v>1373.47</v>
      </c>
    </row>
    <row r="303" spans="1:4" ht="23.25" x14ac:dyDescent="0.25">
      <c r="A303" s="905">
        <v>59500</v>
      </c>
      <c r="B303" s="906" t="s">
        <v>18543</v>
      </c>
      <c r="C303" s="907" t="s">
        <v>159</v>
      </c>
      <c r="D303" s="908">
        <v>1303.3699999999999</v>
      </c>
    </row>
    <row r="304" spans="1:4" ht="23.25" x14ac:dyDescent="0.25">
      <c r="A304" s="905">
        <v>59600</v>
      </c>
      <c r="B304" s="906" t="s">
        <v>18544</v>
      </c>
      <c r="C304" s="907" t="s">
        <v>159</v>
      </c>
      <c r="D304" s="908">
        <v>1692.8</v>
      </c>
    </row>
    <row r="305" spans="1:4" ht="23.25" x14ac:dyDescent="0.25">
      <c r="A305" s="905">
        <v>59700</v>
      </c>
      <c r="B305" s="906" t="s">
        <v>18545</v>
      </c>
      <c r="C305" s="907" t="s">
        <v>159</v>
      </c>
      <c r="D305" s="908">
        <v>1600.54</v>
      </c>
    </row>
    <row r="306" spans="1:4" ht="45.75" x14ac:dyDescent="0.25">
      <c r="A306" s="905">
        <v>59901</v>
      </c>
      <c r="B306" s="906" t="s">
        <v>18546</v>
      </c>
      <c r="C306" s="907" t="s">
        <v>159</v>
      </c>
      <c r="D306" s="908">
        <v>593.45000000000005</v>
      </c>
    </row>
    <row r="307" spans="1:4" ht="45.75" x14ac:dyDescent="0.25">
      <c r="A307" s="905">
        <v>59902</v>
      </c>
      <c r="B307" s="906" t="s">
        <v>18547</v>
      </c>
      <c r="C307" s="907" t="s">
        <v>159</v>
      </c>
      <c r="D307" s="908">
        <v>701.18</v>
      </c>
    </row>
    <row r="308" spans="1:4" ht="23.25" x14ac:dyDescent="0.25">
      <c r="A308" s="905">
        <v>59903</v>
      </c>
      <c r="B308" s="906" t="s">
        <v>18548</v>
      </c>
      <c r="C308" s="907" t="s">
        <v>159</v>
      </c>
      <c r="D308" s="908">
        <v>1675.99</v>
      </c>
    </row>
    <row r="309" spans="1:4" ht="23.25" x14ac:dyDescent="0.25">
      <c r="A309" s="905">
        <v>59904</v>
      </c>
      <c r="B309" s="906" t="s">
        <v>18549</v>
      </c>
      <c r="C309" s="907" t="s">
        <v>159</v>
      </c>
      <c r="D309" s="908">
        <v>1335.93</v>
      </c>
    </row>
    <row r="310" spans="1:4" ht="34.5" x14ac:dyDescent="0.25">
      <c r="A310" s="905">
        <v>59905</v>
      </c>
      <c r="B310" s="906" t="s">
        <v>18550</v>
      </c>
      <c r="C310" s="907" t="s">
        <v>227</v>
      </c>
      <c r="D310" s="908">
        <v>20.309999999999999</v>
      </c>
    </row>
    <row r="311" spans="1:4" ht="23.25" x14ac:dyDescent="0.25">
      <c r="A311" s="905">
        <v>59906</v>
      </c>
      <c r="B311" s="906" t="s">
        <v>18551</v>
      </c>
      <c r="C311" s="907" t="s">
        <v>6008</v>
      </c>
      <c r="D311" s="908">
        <v>44.55</v>
      </c>
    </row>
    <row r="312" spans="1:4" x14ac:dyDescent="0.2">
      <c r="A312" s="901">
        <v>60000</v>
      </c>
      <c r="B312" s="902" t="s">
        <v>18552</v>
      </c>
      <c r="C312" s="903"/>
      <c r="D312" s="904"/>
    </row>
    <row r="313" spans="1:4" ht="15" x14ac:dyDescent="0.25">
      <c r="A313" s="905">
        <v>60100</v>
      </c>
      <c r="B313" s="906" t="s">
        <v>18553</v>
      </c>
      <c r="C313" s="907" t="s">
        <v>158</v>
      </c>
      <c r="D313" s="908">
        <v>123.04</v>
      </c>
    </row>
    <row r="314" spans="1:4" ht="15" x14ac:dyDescent="0.25">
      <c r="A314" s="905">
        <v>60200</v>
      </c>
      <c r="B314" s="906" t="s">
        <v>18554</v>
      </c>
      <c r="C314" s="907" t="s">
        <v>158</v>
      </c>
      <c r="D314" s="908">
        <v>301.14</v>
      </c>
    </row>
    <row r="315" spans="1:4" ht="15" x14ac:dyDescent="0.25">
      <c r="A315" s="905">
        <v>60300</v>
      </c>
      <c r="B315" s="906" t="s">
        <v>18555</v>
      </c>
      <c r="C315" s="907" t="s">
        <v>227</v>
      </c>
      <c r="D315" s="908">
        <v>68.510000000000005</v>
      </c>
    </row>
    <row r="316" spans="1:4" ht="15" x14ac:dyDescent="0.25">
      <c r="A316" s="905">
        <v>60400</v>
      </c>
      <c r="B316" s="906" t="s">
        <v>18556</v>
      </c>
      <c r="C316" s="907" t="s">
        <v>227</v>
      </c>
      <c r="D316" s="908">
        <v>117.38</v>
      </c>
    </row>
    <row r="317" spans="1:4" ht="15" x14ac:dyDescent="0.25">
      <c r="A317" s="905">
        <v>60500</v>
      </c>
      <c r="B317" s="906" t="s">
        <v>18557</v>
      </c>
      <c r="C317" s="907" t="s">
        <v>159</v>
      </c>
      <c r="D317" s="908">
        <v>215.02</v>
      </c>
    </row>
    <row r="318" spans="1:4" ht="15" x14ac:dyDescent="0.25">
      <c r="A318" s="905">
        <v>60600</v>
      </c>
      <c r="B318" s="906" t="s">
        <v>2925</v>
      </c>
      <c r="C318" s="907" t="s">
        <v>159</v>
      </c>
      <c r="D318" s="908">
        <v>421.07</v>
      </c>
    </row>
    <row r="319" spans="1:4" ht="23.25" x14ac:dyDescent="0.25">
      <c r="A319" s="905">
        <v>60700</v>
      </c>
      <c r="B319" s="906" t="s">
        <v>18558</v>
      </c>
      <c r="C319" s="907" t="s">
        <v>158</v>
      </c>
      <c r="D319" s="908">
        <v>63.35</v>
      </c>
    </row>
    <row r="320" spans="1:4" ht="23.25" x14ac:dyDescent="0.25">
      <c r="A320" s="905">
        <v>60800</v>
      </c>
      <c r="B320" s="906" t="s">
        <v>18559</v>
      </c>
      <c r="C320" s="907" t="s">
        <v>158</v>
      </c>
      <c r="D320" s="908">
        <v>87.8</v>
      </c>
    </row>
    <row r="321" spans="1:4" ht="23.25" x14ac:dyDescent="0.25">
      <c r="A321" s="905">
        <v>60900</v>
      </c>
      <c r="B321" s="906" t="s">
        <v>18560</v>
      </c>
      <c r="C321" s="907" t="s">
        <v>158</v>
      </c>
      <c r="D321" s="908">
        <v>118.68</v>
      </c>
    </row>
    <row r="322" spans="1:4" ht="23.25" x14ac:dyDescent="0.25">
      <c r="A322" s="905">
        <v>61000</v>
      </c>
      <c r="B322" s="906" t="s">
        <v>18561</v>
      </c>
      <c r="C322" s="907" t="s">
        <v>18269</v>
      </c>
      <c r="D322" s="908" t="s">
        <v>18269</v>
      </c>
    </row>
    <row r="323" spans="1:4" ht="23.25" x14ac:dyDescent="0.25">
      <c r="A323" s="905">
        <v>61001</v>
      </c>
      <c r="B323" s="906" t="s">
        <v>18562</v>
      </c>
      <c r="C323" s="907" t="s">
        <v>158</v>
      </c>
      <c r="D323" s="908">
        <v>181.46</v>
      </c>
    </row>
    <row r="324" spans="1:4" ht="23.25" x14ac:dyDescent="0.25">
      <c r="A324" s="905">
        <v>61002</v>
      </c>
      <c r="B324" s="906" t="s">
        <v>18563</v>
      </c>
      <c r="C324" s="907" t="s">
        <v>158</v>
      </c>
      <c r="D324" s="908">
        <v>253.06</v>
      </c>
    </row>
    <row r="325" spans="1:4" ht="23.25" x14ac:dyDescent="0.25">
      <c r="A325" s="905">
        <v>61100</v>
      </c>
      <c r="B325" s="906" t="s">
        <v>18564</v>
      </c>
      <c r="C325" s="907" t="s">
        <v>18269</v>
      </c>
      <c r="D325" s="908" t="s">
        <v>18269</v>
      </c>
    </row>
    <row r="326" spans="1:4" ht="23.25" x14ac:dyDescent="0.25">
      <c r="A326" s="905">
        <v>61101</v>
      </c>
      <c r="B326" s="906" t="s">
        <v>18565</v>
      </c>
      <c r="C326" s="907" t="s">
        <v>158</v>
      </c>
      <c r="D326" s="908">
        <v>239.57</v>
      </c>
    </row>
    <row r="327" spans="1:4" ht="23.25" x14ac:dyDescent="0.25">
      <c r="A327" s="905">
        <v>61102</v>
      </c>
      <c r="B327" s="906" t="s">
        <v>18566</v>
      </c>
      <c r="C327" s="907" t="s">
        <v>158</v>
      </c>
      <c r="D327" s="908">
        <v>276.05</v>
      </c>
    </row>
    <row r="328" spans="1:4" ht="23.25" x14ac:dyDescent="0.25">
      <c r="A328" s="905">
        <v>61200</v>
      </c>
      <c r="B328" s="906" t="s">
        <v>18567</v>
      </c>
      <c r="C328" s="907" t="s">
        <v>18269</v>
      </c>
      <c r="D328" s="908" t="s">
        <v>18269</v>
      </c>
    </row>
    <row r="329" spans="1:4" ht="23.25" x14ac:dyDescent="0.25">
      <c r="A329" s="905">
        <v>61201</v>
      </c>
      <c r="B329" s="906" t="s">
        <v>18568</v>
      </c>
      <c r="C329" s="907" t="s">
        <v>158</v>
      </c>
      <c r="D329" s="908">
        <v>359.43</v>
      </c>
    </row>
    <row r="330" spans="1:4" ht="23.25" x14ac:dyDescent="0.25">
      <c r="A330" s="905">
        <v>61202</v>
      </c>
      <c r="B330" s="906" t="s">
        <v>18569</v>
      </c>
      <c r="C330" s="907" t="s">
        <v>158</v>
      </c>
      <c r="D330" s="908">
        <v>443.92</v>
      </c>
    </row>
    <row r="331" spans="1:4" ht="23.25" x14ac:dyDescent="0.25">
      <c r="A331" s="905">
        <v>61300</v>
      </c>
      <c r="B331" s="906" t="s">
        <v>18570</v>
      </c>
      <c r="C331" s="907" t="s">
        <v>18269</v>
      </c>
      <c r="D331" s="908" t="s">
        <v>18269</v>
      </c>
    </row>
    <row r="332" spans="1:4" ht="23.25" x14ac:dyDescent="0.25">
      <c r="A332" s="905">
        <v>61301</v>
      </c>
      <c r="B332" s="906" t="s">
        <v>18571</v>
      </c>
      <c r="C332" s="907" t="s">
        <v>158</v>
      </c>
      <c r="D332" s="908">
        <v>399.88</v>
      </c>
    </row>
    <row r="333" spans="1:4" ht="23.25" x14ac:dyDescent="0.25">
      <c r="A333" s="905">
        <v>61302</v>
      </c>
      <c r="B333" s="906" t="s">
        <v>18572</v>
      </c>
      <c r="C333" s="907" t="s">
        <v>158</v>
      </c>
      <c r="D333" s="908">
        <v>482.28</v>
      </c>
    </row>
    <row r="334" spans="1:4" ht="23.25" x14ac:dyDescent="0.25">
      <c r="A334" s="905">
        <v>61400</v>
      </c>
      <c r="B334" s="906" t="s">
        <v>18573</v>
      </c>
      <c r="C334" s="907" t="s">
        <v>18269</v>
      </c>
      <c r="D334" s="908" t="s">
        <v>18269</v>
      </c>
    </row>
    <row r="335" spans="1:4" ht="23.25" x14ac:dyDescent="0.25">
      <c r="A335" s="905">
        <v>61401</v>
      </c>
      <c r="B335" s="906" t="s">
        <v>18574</v>
      </c>
      <c r="C335" s="907" t="s">
        <v>158</v>
      </c>
      <c r="D335" s="908">
        <v>498.26</v>
      </c>
    </row>
    <row r="336" spans="1:4" ht="23.25" x14ac:dyDescent="0.25">
      <c r="A336" s="905">
        <v>61402</v>
      </c>
      <c r="B336" s="906" t="s">
        <v>18575</v>
      </c>
      <c r="C336" s="907" t="s">
        <v>158</v>
      </c>
      <c r="D336" s="908">
        <v>652.11</v>
      </c>
    </row>
    <row r="337" spans="1:4" ht="23.25" x14ac:dyDescent="0.25">
      <c r="A337" s="905">
        <v>61600</v>
      </c>
      <c r="B337" s="906" t="s">
        <v>18576</v>
      </c>
      <c r="C337" s="907" t="s">
        <v>18269</v>
      </c>
      <c r="D337" s="908" t="s">
        <v>18269</v>
      </c>
    </row>
    <row r="338" spans="1:4" ht="23.25" x14ac:dyDescent="0.25">
      <c r="A338" s="905">
        <v>61601</v>
      </c>
      <c r="B338" s="906" t="s">
        <v>18577</v>
      </c>
      <c r="C338" s="907" t="s">
        <v>158</v>
      </c>
      <c r="D338" s="908">
        <v>728.43</v>
      </c>
    </row>
    <row r="339" spans="1:4" ht="23.25" x14ac:dyDescent="0.25">
      <c r="A339" s="905">
        <v>61602</v>
      </c>
      <c r="B339" s="906" t="s">
        <v>18578</v>
      </c>
      <c r="C339" s="907" t="s">
        <v>158</v>
      </c>
      <c r="D339" s="908">
        <v>951.65</v>
      </c>
    </row>
    <row r="340" spans="1:4" ht="23.25" x14ac:dyDescent="0.25">
      <c r="A340" s="905">
        <v>61700</v>
      </c>
      <c r="B340" s="906" t="s">
        <v>18579</v>
      </c>
      <c r="C340" s="907" t="s">
        <v>18269</v>
      </c>
      <c r="D340" s="908" t="s">
        <v>18269</v>
      </c>
    </row>
    <row r="341" spans="1:4" ht="23.25" x14ac:dyDescent="0.25">
      <c r="A341" s="905">
        <v>61701</v>
      </c>
      <c r="B341" s="906" t="s">
        <v>18580</v>
      </c>
      <c r="C341" s="907" t="s">
        <v>158</v>
      </c>
      <c r="D341" s="908">
        <v>1018.46</v>
      </c>
    </row>
    <row r="342" spans="1:4" ht="23.25" x14ac:dyDescent="0.25">
      <c r="A342" s="905">
        <v>61702</v>
      </c>
      <c r="B342" s="906" t="s">
        <v>18581</v>
      </c>
      <c r="C342" s="907" t="s">
        <v>158</v>
      </c>
      <c r="D342" s="908">
        <v>1375.85</v>
      </c>
    </row>
    <row r="343" spans="1:4" ht="23.25" x14ac:dyDescent="0.25">
      <c r="A343" s="905">
        <v>61703</v>
      </c>
      <c r="B343" s="906" t="s">
        <v>18582</v>
      </c>
      <c r="C343" s="907" t="s">
        <v>158</v>
      </c>
      <c r="D343" s="908">
        <v>122.02</v>
      </c>
    </row>
    <row r="344" spans="1:4" ht="23.25" x14ac:dyDescent="0.25">
      <c r="A344" s="905">
        <v>61704</v>
      </c>
      <c r="B344" s="906" t="s">
        <v>18583</v>
      </c>
      <c r="C344" s="907" t="s">
        <v>158</v>
      </c>
      <c r="D344" s="908">
        <v>217.65</v>
      </c>
    </row>
    <row r="345" spans="1:4" ht="23.25" x14ac:dyDescent="0.25">
      <c r="A345" s="905">
        <v>61705</v>
      </c>
      <c r="B345" s="906" t="s">
        <v>18584</v>
      </c>
      <c r="C345" s="907" t="s">
        <v>158</v>
      </c>
      <c r="D345" s="908">
        <v>315.31</v>
      </c>
    </row>
    <row r="346" spans="1:4" ht="23.25" x14ac:dyDescent="0.25">
      <c r="A346" s="905">
        <v>61706</v>
      </c>
      <c r="B346" s="906" t="s">
        <v>18585</v>
      </c>
      <c r="C346" s="907" t="s">
        <v>158</v>
      </c>
      <c r="D346" s="908">
        <v>483.01</v>
      </c>
    </row>
    <row r="347" spans="1:4" ht="23.25" x14ac:dyDescent="0.25">
      <c r="A347" s="905">
        <v>61707</v>
      </c>
      <c r="B347" s="906" t="s">
        <v>18586</v>
      </c>
      <c r="C347" s="907" t="s">
        <v>158</v>
      </c>
      <c r="D347" s="908">
        <v>762.68</v>
      </c>
    </row>
    <row r="348" spans="1:4" ht="23.25" x14ac:dyDescent="0.25">
      <c r="A348" s="905">
        <v>61708</v>
      </c>
      <c r="B348" s="906" t="s">
        <v>18587</v>
      </c>
      <c r="C348" s="907" t="s">
        <v>158</v>
      </c>
      <c r="D348" s="908">
        <v>1181.44</v>
      </c>
    </row>
    <row r="349" spans="1:4" ht="23.25" x14ac:dyDescent="0.25">
      <c r="A349" s="905">
        <v>61709</v>
      </c>
      <c r="B349" s="906" t="s">
        <v>18588</v>
      </c>
      <c r="C349" s="907" t="s">
        <v>158</v>
      </c>
      <c r="D349" s="908">
        <v>1659.94</v>
      </c>
    </row>
    <row r="350" spans="1:4" ht="15" x14ac:dyDescent="0.25">
      <c r="A350" s="905">
        <v>61800</v>
      </c>
      <c r="B350" s="906" t="s">
        <v>319</v>
      </c>
      <c r="C350" s="907" t="s">
        <v>18269</v>
      </c>
      <c r="D350" s="908" t="s">
        <v>18269</v>
      </c>
    </row>
    <row r="351" spans="1:4" ht="15" x14ac:dyDescent="0.25">
      <c r="A351" s="905">
        <v>61801</v>
      </c>
      <c r="B351" s="906" t="s">
        <v>18589</v>
      </c>
      <c r="C351" s="907" t="s">
        <v>226</v>
      </c>
      <c r="D351" s="908">
        <v>5083.5200000000004</v>
      </c>
    </row>
    <row r="352" spans="1:4" ht="15" x14ac:dyDescent="0.25">
      <c r="A352" s="905">
        <v>61802</v>
      </c>
      <c r="B352" s="906" t="s">
        <v>18590</v>
      </c>
      <c r="C352" s="907" t="s">
        <v>226</v>
      </c>
      <c r="D352" s="908">
        <v>6147.04</v>
      </c>
    </row>
    <row r="353" spans="1:4" ht="15" x14ac:dyDescent="0.25">
      <c r="A353" s="905">
        <v>61803</v>
      </c>
      <c r="B353" s="906" t="s">
        <v>18591</v>
      </c>
      <c r="C353" s="907" t="s">
        <v>226</v>
      </c>
      <c r="D353" s="908">
        <v>10134.14</v>
      </c>
    </row>
    <row r="354" spans="1:4" ht="15" x14ac:dyDescent="0.25">
      <c r="A354" s="905">
        <v>61900</v>
      </c>
      <c r="B354" s="906" t="s">
        <v>18592</v>
      </c>
      <c r="C354" s="907" t="s">
        <v>158</v>
      </c>
      <c r="D354" s="908">
        <v>1061.42</v>
      </c>
    </row>
    <row r="355" spans="1:4" ht="15" x14ac:dyDescent="0.25">
      <c r="A355" s="905">
        <v>62000</v>
      </c>
      <c r="B355" s="906" t="s">
        <v>18593</v>
      </c>
      <c r="C355" s="907" t="s">
        <v>18269</v>
      </c>
      <c r="D355" s="908" t="s">
        <v>18269</v>
      </c>
    </row>
    <row r="356" spans="1:4" ht="23.25" x14ac:dyDescent="0.25">
      <c r="A356" s="905">
        <v>62003</v>
      </c>
      <c r="B356" s="906" t="s">
        <v>18594</v>
      </c>
      <c r="C356" s="907" t="s">
        <v>226</v>
      </c>
      <c r="D356" s="908">
        <v>134.65</v>
      </c>
    </row>
    <row r="357" spans="1:4" ht="23.25" x14ac:dyDescent="0.25">
      <c r="A357" s="905">
        <v>62004</v>
      </c>
      <c r="B357" s="906" t="s">
        <v>18595</v>
      </c>
      <c r="C357" s="907" t="s">
        <v>226</v>
      </c>
      <c r="D357" s="908">
        <v>134.65</v>
      </c>
    </row>
    <row r="358" spans="1:4" ht="23.25" x14ac:dyDescent="0.25">
      <c r="A358" s="905">
        <v>62021</v>
      </c>
      <c r="B358" s="906" t="s">
        <v>18596</v>
      </c>
      <c r="C358" s="907" t="s">
        <v>226</v>
      </c>
      <c r="D358" s="908">
        <v>419.41</v>
      </c>
    </row>
    <row r="359" spans="1:4" ht="23.25" x14ac:dyDescent="0.25">
      <c r="A359" s="905">
        <v>62022</v>
      </c>
      <c r="B359" s="906" t="s">
        <v>18597</v>
      </c>
      <c r="C359" s="907" t="s">
        <v>226</v>
      </c>
      <c r="D359" s="908">
        <v>386.67</v>
      </c>
    </row>
    <row r="360" spans="1:4" ht="23.25" x14ac:dyDescent="0.25">
      <c r="A360" s="905">
        <v>62023</v>
      </c>
      <c r="B360" s="906" t="s">
        <v>18598</v>
      </c>
      <c r="C360" s="907" t="s">
        <v>226</v>
      </c>
      <c r="D360" s="908">
        <v>708.32</v>
      </c>
    </row>
    <row r="361" spans="1:4" ht="34.5" x14ac:dyDescent="0.25">
      <c r="A361" s="905">
        <v>62024</v>
      </c>
      <c r="B361" s="906" t="s">
        <v>18599</v>
      </c>
      <c r="C361" s="907" t="s">
        <v>226</v>
      </c>
      <c r="D361" s="908">
        <v>648.03</v>
      </c>
    </row>
    <row r="362" spans="1:4" ht="23.25" x14ac:dyDescent="0.25">
      <c r="A362" s="905">
        <v>62025</v>
      </c>
      <c r="B362" s="906" t="s">
        <v>18600</v>
      </c>
      <c r="C362" s="907" t="s">
        <v>226</v>
      </c>
      <c r="D362" s="908">
        <v>1440.36</v>
      </c>
    </row>
    <row r="363" spans="1:4" ht="15" x14ac:dyDescent="0.25">
      <c r="A363" s="905">
        <v>62100</v>
      </c>
      <c r="B363" s="906" t="s">
        <v>18601</v>
      </c>
      <c r="C363" s="907" t="s">
        <v>226</v>
      </c>
      <c r="D363" s="908">
        <v>172.72</v>
      </c>
    </row>
    <row r="364" spans="1:4" ht="15" x14ac:dyDescent="0.25">
      <c r="A364" s="905">
        <v>62200</v>
      </c>
      <c r="B364" s="906" t="s">
        <v>18602</v>
      </c>
      <c r="C364" s="907" t="s">
        <v>18269</v>
      </c>
      <c r="D364" s="908" t="s">
        <v>18269</v>
      </c>
    </row>
    <row r="365" spans="1:4" ht="15" x14ac:dyDescent="0.25">
      <c r="A365" s="905">
        <v>62203</v>
      </c>
      <c r="B365" s="906" t="s">
        <v>18603</v>
      </c>
      <c r="C365" s="907" t="s">
        <v>226</v>
      </c>
      <c r="D365" s="908">
        <v>2203.5700000000002</v>
      </c>
    </row>
    <row r="366" spans="1:4" ht="15" x14ac:dyDescent="0.25">
      <c r="A366" s="905">
        <v>62204</v>
      </c>
      <c r="B366" s="906" t="s">
        <v>18604</v>
      </c>
      <c r="C366" s="907" t="s">
        <v>226</v>
      </c>
      <c r="D366" s="908">
        <v>3933.1</v>
      </c>
    </row>
    <row r="367" spans="1:4" ht="15" x14ac:dyDescent="0.25">
      <c r="A367" s="905">
        <v>62205</v>
      </c>
      <c r="B367" s="906" t="s">
        <v>18605</v>
      </c>
      <c r="C367" s="907" t="s">
        <v>226</v>
      </c>
      <c r="D367" s="908">
        <v>5680.87</v>
      </c>
    </row>
    <row r="368" spans="1:4" ht="15" x14ac:dyDescent="0.25">
      <c r="A368" s="905">
        <v>62206</v>
      </c>
      <c r="B368" s="906" t="s">
        <v>18606</v>
      </c>
      <c r="C368" s="907" t="s">
        <v>226</v>
      </c>
      <c r="D368" s="908">
        <v>7415.85</v>
      </c>
    </row>
    <row r="369" spans="1:4" ht="15" x14ac:dyDescent="0.25">
      <c r="A369" s="905">
        <v>62300</v>
      </c>
      <c r="B369" s="906" t="s">
        <v>18607</v>
      </c>
      <c r="C369" s="907" t="s">
        <v>18269</v>
      </c>
      <c r="D369" s="908" t="s">
        <v>18269</v>
      </c>
    </row>
    <row r="370" spans="1:4" ht="15" x14ac:dyDescent="0.25">
      <c r="A370" s="905">
        <v>62301</v>
      </c>
      <c r="B370" s="906" t="s">
        <v>18608</v>
      </c>
      <c r="C370" s="907" t="s">
        <v>226</v>
      </c>
      <c r="D370" s="908">
        <v>925.46</v>
      </c>
    </row>
    <row r="371" spans="1:4" ht="15" x14ac:dyDescent="0.25">
      <c r="A371" s="905">
        <v>62302</v>
      </c>
      <c r="B371" s="906" t="s">
        <v>18609</v>
      </c>
      <c r="C371" s="907" t="s">
        <v>226</v>
      </c>
      <c r="D371" s="908">
        <v>1024.96</v>
      </c>
    </row>
    <row r="372" spans="1:4" ht="15" x14ac:dyDescent="0.25">
      <c r="A372" s="905">
        <v>62303</v>
      </c>
      <c r="B372" s="906" t="s">
        <v>18610</v>
      </c>
      <c r="C372" s="907" t="s">
        <v>226</v>
      </c>
      <c r="D372" s="908">
        <v>1124.46</v>
      </c>
    </row>
    <row r="373" spans="1:4" ht="15" x14ac:dyDescent="0.25">
      <c r="A373" s="905">
        <v>62304</v>
      </c>
      <c r="B373" s="906" t="s">
        <v>18611</v>
      </c>
      <c r="C373" s="907" t="s">
        <v>226</v>
      </c>
      <c r="D373" s="908">
        <v>83.4</v>
      </c>
    </row>
    <row r="374" spans="1:4" ht="15" x14ac:dyDescent="0.25">
      <c r="A374" s="905">
        <v>62305</v>
      </c>
      <c r="B374" s="906" t="s">
        <v>18612</v>
      </c>
      <c r="C374" s="907" t="s">
        <v>226</v>
      </c>
      <c r="D374" s="908">
        <v>304.45</v>
      </c>
    </row>
    <row r="375" spans="1:4" ht="15" x14ac:dyDescent="0.25">
      <c r="A375" s="905">
        <v>62400</v>
      </c>
      <c r="B375" s="906" t="s">
        <v>18613</v>
      </c>
      <c r="C375" s="907" t="s">
        <v>159</v>
      </c>
      <c r="D375" s="908">
        <v>187.63</v>
      </c>
    </row>
    <row r="376" spans="1:4" ht="15" x14ac:dyDescent="0.25">
      <c r="A376" s="905">
        <v>62500</v>
      </c>
      <c r="B376" s="906" t="s">
        <v>18614</v>
      </c>
      <c r="C376" s="907" t="s">
        <v>159</v>
      </c>
      <c r="D376" s="908">
        <v>188.48</v>
      </c>
    </row>
    <row r="377" spans="1:4" ht="23.25" x14ac:dyDescent="0.25">
      <c r="A377" s="905">
        <v>62600</v>
      </c>
      <c r="B377" s="906" t="s">
        <v>18615</v>
      </c>
      <c r="C377" s="907" t="s">
        <v>158</v>
      </c>
      <c r="D377" s="908">
        <v>44.77</v>
      </c>
    </row>
    <row r="378" spans="1:4" ht="34.5" x14ac:dyDescent="0.25">
      <c r="A378" s="905">
        <v>62901</v>
      </c>
      <c r="B378" s="906" t="s">
        <v>18616</v>
      </c>
      <c r="C378" s="907" t="s">
        <v>158</v>
      </c>
      <c r="D378" s="908">
        <v>20.99</v>
      </c>
    </row>
    <row r="379" spans="1:4" ht="34.5" x14ac:dyDescent="0.25">
      <c r="A379" s="905">
        <v>62902</v>
      </c>
      <c r="B379" s="906" t="s">
        <v>18617</v>
      </c>
      <c r="C379" s="907" t="s">
        <v>158</v>
      </c>
      <c r="D379" s="908">
        <v>23.81</v>
      </c>
    </row>
    <row r="380" spans="1:4" ht="34.5" x14ac:dyDescent="0.25">
      <c r="A380" s="905">
        <v>62903</v>
      </c>
      <c r="B380" s="906" t="s">
        <v>18618</v>
      </c>
      <c r="C380" s="907" t="s">
        <v>158</v>
      </c>
      <c r="D380" s="908">
        <v>28.49</v>
      </c>
    </row>
    <row r="381" spans="1:4" ht="34.5" x14ac:dyDescent="0.25">
      <c r="A381" s="905">
        <v>62904</v>
      </c>
      <c r="B381" s="906" t="s">
        <v>18619</v>
      </c>
      <c r="C381" s="907" t="s">
        <v>158</v>
      </c>
      <c r="D381" s="908">
        <v>55.93</v>
      </c>
    </row>
    <row r="382" spans="1:4" ht="23.25" x14ac:dyDescent="0.25">
      <c r="A382" s="905">
        <v>63100</v>
      </c>
      <c r="B382" s="906" t="s">
        <v>18620</v>
      </c>
      <c r="C382" s="907" t="s">
        <v>158</v>
      </c>
      <c r="D382" s="908">
        <v>25.52</v>
      </c>
    </row>
    <row r="383" spans="1:4" ht="23.25" x14ac:dyDescent="0.25">
      <c r="A383" s="905">
        <v>63200</v>
      </c>
      <c r="B383" s="906" t="s">
        <v>18621</v>
      </c>
      <c r="C383" s="907" t="s">
        <v>158</v>
      </c>
      <c r="D383" s="908">
        <v>28.77</v>
      </c>
    </row>
    <row r="384" spans="1:4" ht="23.25" x14ac:dyDescent="0.25">
      <c r="A384" s="905">
        <v>63300</v>
      </c>
      <c r="B384" s="906" t="s">
        <v>18622</v>
      </c>
      <c r="C384" s="907" t="s">
        <v>158</v>
      </c>
      <c r="D384" s="908">
        <v>45.11</v>
      </c>
    </row>
    <row r="385" spans="1:4" ht="23.25" x14ac:dyDescent="0.25">
      <c r="A385" s="905">
        <v>63400</v>
      </c>
      <c r="B385" s="906" t="s">
        <v>18623</v>
      </c>
      <c r="C385" s="907" t="s">
        <v>158</v>
      </c>
      <c r="D385" s="908">
        <v>134.13</v>
      </c>
    </row>
    <row r="386" spans="1:4" ht="23.25" x14ac:dyDescent="0.25">
      <c r="A386" s="905">
        <v>63500</v>
      </c>
      <c r="B386" s="906" t="s">
        <v>18624</v>
      </c>
      <c r="C386" s="907" t="s">
        <v>158</v>
      </c>
      <c r="D386" s="908">
        <v>76.540000000000006</v>
      </c>
    </row>
    <row r="387" spans="1:4" ht="15" x14ac:dyDescent="0.25">
      <c r="A387" s="905">
        <v>63700</v>
      </c>
      <c r="B387" s="906" t="s">
        <v>18625</v>
      </c>
      <c r="C387" s="907" t="s">
        <v>158</v>
      </c>
      <c r="D387" s="908">
        <v>8.1</v>
      </c>
    </row>
    <row r="388" spans="1:4" ht="15" x14ac:dyDescent="0.25">
      <c r="A388" s="905">
        <v>63800</v>
      </c>
      <c r="B388" s="906" t="s">
        <v>18626</v>
      </c>
      <c r="C388" s="907" t="s">
        <v>158</v>
      </c>
      <c r="D388" s="908">
        <v>8.24</v>
      </c>
    </row>
    <row r="389" spans="1:4" ht="15" x14ac:dyDescent="0.25">
      <c r="A389" s="905">
        <v>63900</v>
      </c>
      <c r="B389" s="906" t="s">
        <v>18627</v>
      </c>
      <c r="C389" s="907" t="s">
        <v>158</v>
      </c>
      <c r="D389" s="908">
        <v>10.34</v>
      </c>
    </row>
    <row r="390" spans="1:4" ht="15" x14ac:dyDescent="0.25">
      <c r="A390" s="905">
        <v>64000</v>
      </c>
      <c r="B390" s="906" t="s">
        <v>18628</v>
      </c>
      <c r="C390" s="907" t="s">
        <v>158</v>
      </c>
      <c r="D390" s="908">
        <v>10.63</v>
      </c>
    </row>
    <row r="391" spans="1:4" ht="23.25" x14ac:dyDescent="0.25">
      <c r="A391" s="905">
        <v>64100</v>
      </c>
      <c r="B391" s="906" t="s">
        <v>18629</v>
      </c>
      <c r="C391" s="907" t="s">
        <v>158</v>
      </c>
      <c r="D391" s="908">
        <v>10.76</v>
      </c>
    </row>
    <row r="392" spans="1:4" ht="23.25" x14ac:dyDescent="0.25">
      <c r="A392" s="905">
        <v>64200</v>
      </c>
      <c r="B392" s="906" t="s">
        <v>18630</v>
      </c>
      <c r="C392" s="907" t="s">
        <v>158</v>
      </c>
      <c r="D392" s="908">
        <v>12.22</v>
      </c>
    </row>
    <row r="393" spans="1:4" ht="23.25" x14ac:dyDescent="0.25">
      <c r="A393" s="905">
        <v>64400</v>
      </c>
      <c r="B393" s="906" t="s">
        <v>18631</v>
      </c>
      <c r="C393" s="907" t="s">
        <v>227</v>
      </c>
      <c r="D393" s="908">
        <v>162.25</v>
      </c>
    </row>
    <row r="394" spans="1:4" ht="23.25" x14ac:dyDescent="0.25">
      <c r="A394" s="905">
        <v>64500</v>
      </c>
      <c r="B394" s="906" t="s">
        <v>18632</v>
      </c>
      <c r="C394" s="907" t="s">
        <v>227</v>
      </c>
      <c r="D394" s="908">
        <v>270.29000000000002</v>
      </c>
    </row>
    <row r="395" spans="1:4" ht="23.25" x14ac:dyDescent="0.25">
      <c r="A395" s="905">
        <v>64600</v>
      </c>
      <c r="B395" s="906" t="s">
        <v>18633</v>
      </c>
      <c r="C395" s="907" t="s">
        <v>158</v>
      </c>
      <c r="D395" s="908">
        <v>36.979999999999997</v>
      </c>
    </row>
    <row r="396" spans="1:4" ht="23.25" x14ac:dyDescent="0.25">
      <c r="A396" s="905">
        <v>64700</v>
      </c>
      <c r="B396" s="906" t="s">
        <v>18634</v>
      </c>
      <c r="C396" s="907" t="s">
        <v>158</v>
      </c>
      <c r="D396" s="908">
        <v>41.55</v>
      </c>
    </row>
    <row r="397" spans="1:4" ht="23.25" x14ac:dyDescent="0.25">
      <c r="A397" s="905">
        <v>64800</v>
      </c>
      <c r="B397" s="906" t="s">
        <v>18635</v>
      </c>
      <c r="C397" s="907" t="s">
        <v>158</v>
      </c>
      <c r="D397" s="908">
        <v>55.97</v>
      </c>
    </row>
    <row r="398" spans="1:4" ht="15" x14ac:dyDescent="0.25">
      <c r="A398" s="905">
        <v>64900</v>
      </c>
      <c r="B398" s="906" t="s">
        <v>18636</v>
      </c>
      <c r="C398" s="907" t="s">
        <v>18637</v>
      </c>
      <c r="D398" s="908">
        <v>1.97</v>
      </c>
    </row>
    <row r="399" spans="1:4" ht="15" x14ac:dyDescent="0.25">
      <c r="A399" s="905">
        <v>65000</v>
      </c>
      <c r="B399" s="906" t="s">
        <v>18638</v>
      </c>
      <c r="C399" s="907" t="s">
        <v>158</v>
      </c>
      <c r="D399" s="908">
        <v>4.4400000000000004</v>
      </c>
    </row>
    <row r="400" spans="1:4" ht="15" x14ac:dyDescent="0.25">
      <c r="A400" s="905">
        <v>65100</v>
      </c>
      <c r="B400" s="906" t="s">
        <v>18639</v>
      </c>
      <c r="C400" s="907" t="s">
        <v>158</v>
      </c>
      <c r="D400" s="908">
        <v>16.18</v>
      </c>
    </row>
    <row r="401" spans="1:4" ht="15" x14ac:dyDescent="0.25">
      <c r="A401" s="905">
        <v>65200</v>
      </c>
      <c r="B401" s="906" t="s">
        <v>18640</v>
      </c>
      <c r="C401" s="907" t="s">
        <v>158</v>
      </c>
      <c r="D401" s="908">
        <v>22.23</v>
      </c>
    </row>
    <row r="402" spans="1:4" ht="15" x14ac:dyDescent="0.25">
      <c r="A402" s="905">
        <v>65300</v>
      </c>
      <c r="B402" s="906" t="s">
        <v>18641</v>
      </c>
      <c r="C402" s="907" t="s">
        <v>158</v>
      </c>
      <c r="D402" s="908">
        <v>28.21</v>
      </c>
    </row>
    <row r="403" spans="1:4" ht="15" x14ac:dyDescent="0.25">
      <c r="A403" s="905">
        <v>65400</v>
      </c>
      <c r="B403" s="906" t="s">
        <v>18642</v>
      </c>
      <c r="C403" s="907" t="s">
        <v>158</v>
      </c>
      <c r="D403" s="908">
        <v>34.28</v>
      </c>
    </row>
    <row r="404" spans="1:4" ht="15" x14ac:dyDescent="0.25">
      <c r="A404" s="905">
        <v>65500</v>
      </c>
      <c r="B404" s="906" t="s">
        <v>18643</v>
      </c>
      <c r="C404" s="907" t="s">
        <v>158</v>
      </c>
      <c r="D404" s="908">
        <v>42.92</v>
      </c>
    </row>
    <row r="405" spans="1:4" ht="15" x14ac:dyDescent="0.25">
      <c r="A405" s="905">
        <v>65600</v>
      </c>
      <c r="B405" s="906" t="s">
        <v>18644</v>
      </c>
      <c r="C405" s="907" t="s">
        <v>158</v>
      </c>
      <c r="D405" s="908">
        <v>41.62</v>
      </c>
    </row>
    <row r="406" spans="1:4" ht="15" x14ac:dyDescent="0.25">
      <c r="A406" s="905">
        <v>65700</v>
      </c>
      <c r="B406" s="906" t="s">
        <v>18645</v>
      </c>
      <c r="C406" s="907" t="s">
        <v>158</v>
      </c>
      <c r="D406" s="908">
        <v>57.94</v>
      </c>
    </row>
    <row r="407" spans="1:4" ht="15" x14ac:dyDescent="0.25">
      <c r="A407" s="905">
        <v>65800</v>
      </c>
      <c r="B407" s="906" t="s">
        <v>18646</v>
      </c>
      <c r="C407" s="907" t="s">
        <v>158</v>
      </c>
      <c r="D407" s="908">
        <v>76.3</v>
      </c>
    </row>
    <row r="408" spans="1:4" ht="15" x14ac:dyDescent="0.25">
      <c r="A408" s="905">
        <v>65900</v>
      </c>
      <c r="B408" s="906" t="s">
        <v>18647</v>
      </c>
      <c r="C408" s="907" t="s">
        <v>158</v>
      </c>
      <c r="D408" s="908">
        <v>94.66</v>
      </c>
    </row>
    <row r="409" spans="1:4" ht="15" x14ac:dyDescent="0.25">
      <c r="A409" s="905">
        <v>66000</v>
      </c>
      <c r="B409" s="906" t="s">
        <v>18648</v>
      </c>
      <c r="C409" s="907" t="s">
        <v>158</v>
      </c>
      <c r="D409" s="908">
        <v>114.4</v>
      </c>
    </row>
    <row r="410" spans="1:4" ht="15" x14ac:dyDescent="0.25">
      <c r="A410" s="905">
        <v>66500</v>
      </c>
      <c r="B410" s="906" t="s">
        <v>18649</v>
      </c>
      <c r="C410" s="907" t="s">
        <v>18269</v>
      </c>
      <c r="D410" s="908" t="s">
        <v>18269</v>
      </c>
    </row>
    <row r="411" spans="1:4" ht="23.25" x14ac:dyDescent="0.25">
      <c r="A411" s="905">
        <v>66505</v>
      </c>
      <c r="B411" s="906" t="s">
        <v>18650</v>
      </c>
      <c r="C411" s="907" t="s">
        <v>226</v>
      </c>
      <c r="D411" s="908">
        <v>2412.52</v>
      </c>
    </row>
    <row r="412" spans="1:4" ht="23.25" x14ac:dyDescent="0.25">
      <c r="A412" s="905">
        <v>66506</v>
      </c>
      <c r="B412" s="906" t="s">
        <v>18651</v>
      </c>
      <c r="C412" s="907" t="s">
        <v>226</v>
      </c>
      <c r="D412" s="908">
        <v>2412.5100000000002</v>
      </c>
    </row>
    <row r="413" spans="1:4" ht="23.25" x14ac:dyDescent="0.25">
      <c r="A413" s="905">
        <v>66507</v>
      </c>
      <c r="B413" s="906" t="s">
        <v>18652</v>
      </c>
      <c r="C413" s="907" t="s">
        <v>226</v>
      </c>
      <c r="D413" s="908">
        <v>3850.73</v>
      </c>
    </row>
    <row r="414" spans="1:4" ht="23.25" x14ac:dyDescent="0.25">
      <c r="A414" s="905">
        <v>66508</v>
      </c>
      <c r="B414" s="906" t="s">
        <v>18653</v>
      </c>
      <c r="C414" s="907" t="s">
        <v>226</v>
      </c>
      <c r="D414" s="908">
        <v>3850.73</v>
      </c>
    </row>
    <row r="415" spans="1:4" ht="34.5" x14ac:dyDescent="0.25">
      <c r="A415" s="905">
        <v>66521</v>
      </c>
      <c r="B415" s="906" t="s">
        <v>18654</v>
      </c>
      <c r="C415" s="907" t="s">
        <v>226</v>
      </c>
      <c r="D415" s="908">
        <v>353.08</v>
      </c>
    </row>
    <row r="416" spans="1:4" ht="34.5" x14ac:dyDescent="0.25">
      <c r="A416" s="905">
        <v>66522</v>
      </c>
      <c r="B416" s="906" t="s">
        <v>18655</v>
      </c>
      <c r="C416" s="907" t="s">
        <v>226</v>
      </c>
      <c r="D416" s="908">
        <v>346.42</v>
      </c>
    </row>
    <row r="417" spans="1:4" ht="34.5" x14ac:dyDescent="0.25">
      <c r="A417" s="905">
        <v>66523</v>
      </c>
      <c r="B417" s="906" t="s">
        <v>18656</v>
      </c>
      <c r="C417" s="907" t="s">
        <v>226</v>
      </c>
      <c r="D417" s="908">
        <v>445.5</v>
      </c>
    </row>
    <row r="418" spans="1:4" ht="34.5" x14ac:dyDescent="0.25">
      <c r="A418" s="905">
        <v>66524</v>
      </c>
      <c r="B418" s="906" t="s">
        <v>18657</v>
      </c>
      <c r="C418" s="907" t="s">
        <v>226</v>
      </c>
      <c r="D418" s="908">
        <v>430.82</v>
      </c>
    </row>
    <row r="419" spans="1:4" ht="34.5" x14ac:dyDescent="0.25">
      <c r="A419" s="905">
        <v>66525</v>
      </c>
      <c r="B419" s="906" t="s">
        <v>18658</v>
      </c>
      <c r="C419" s="907" t="s">
        <v>226</v>
      </c>
      <c r="D419" s="908">
        <v>537.29999999999995</v>
      </c>
    </row>
    <row r="420" spans="1:4" ht="23.25" x14ac:dyDescent="0.25">
      <c r="A420" s="905">
        <v>66527</v>
      </c>
      <c r="B420" s="906" t="s">
        <v>18659</v>
      </c>
      <c r="C420" s="907" t="s">
        <v>226</v>
      </c>
      <c r="D420" s="908">
        <v>1145.7</v>
      </c>
    </row>
    <row r="421" spans="1:4" ht="15" x14ac:dyDescent="0.25">
      <c r="A421" s="905">
        <v>66600</v>
      </c>
      <c r="B421" s="906" t="s">
        <v>18660</v>
      </c>
      <c r="C421" s="907" t="s">
        <v>18269</v>
      </c>
      <c r="D421" s="908" t="s">
        <v>18269</v>
      </c>
    </row>
    <row r="422" spans="1:4" ht="15" x14ac:dyDescent="0.25">
      <c r="A422" s="905">
        <v>66601</v>
      </c>
      <c r="B422" s="906" t="s">
        <v>18661</v>
      </c>
      <c r="C422" s="907" t="s">
        <v>226</v>
      </c>
      <c r="D422" s="908">
        <v>1078.1600000000001</v>
      </c>
    </row>
    <row r="423" spans="1:4" ht="15" x14ac:dyDescent="0.25">
      <c r="A423" s="905">
        <v>66602</v>
      </c>
      <c r="B423" s="906" t="s">
        <v>18662</v>
      </c>
      <c r="C423" s="907" t="s">
        <v>226</v>
      </c>
      <c r="D423" s="908">
        <v>1236.3599999999999</v>
      </c>
    </row>
    <row r="424" spans="1:4" ht="23.25" x14ac:dyDescent="0.25">
      <c r="A424" s="905">
        <v>66605</v>
      </c>
      <c r="B424" s="906" t="s">
        <v>18663</v>
      </c>
      <c r="C424" s="907" t="s">
        <v>226</v>
      </c>
      <c r="D424" s="908">
        <v>79.400000000000006</v>
      </c>
    </row>
    <row r="425" spans="1:4" ht="23.25" x14ac:dyDescent="0.25">
      <c r="A425" s="905">
        <v>66606</v>
      </c>
      <c r="B425" s="906" t="s">
        <v>18664</v>
      </c>
      <c r="C425" s="907" t="s">
        <v>226</v>
      </c>
      <c r="D425" s="908">
        <v>79.400000000000006</v>
      </c>
    </row>
    <row r="426" spans="1:4" ht="23.25" x14ac:dyDescent="0.25">
      <c r="A426" s="905">
        <v>66800</v>
      </c>
      <c r="B426" s="906" t="s">
        <v>18665</v>
      </c>
      <c r="C426" s="907" t="s">
        <v>18269</v>
      </c>
      <c r="D426" s="908" t="s">
        <v>18269</v>
      </c>
    </row>
    <row r="427" spans="1:4" ht="23.25" x14ac:dyDescent="0.25">
      <c r="A427" s="905">
        <v>66801</v>
      </c>
      <c r="B427" s="906" t="s">
        <v>18666</v>
      </c>
      <c r="C427" s="907" t="s">
        <v>158</v>
      </c>
      <c r="D427" s="908">
        <v>28.32</v>
      </c>
    </row>
    <row r="428" spans="1:4" ht="23.25" x14ac:dyDescent="0.25">
      <c r="A428" s="905">
        <v>66802</v>
      </c>
      <c r="B428" s="906" t="s">
        <v>18667</v>
      </c>
      <c r="C428" s="907" t="s">
        <v>158</v>
      </c>
      <c r="D428" s="908">
        <v>39.700000000000003</v>
      </c>
    </row>
    <row r="429" spans="1:4" ht="23.25" x14ac:dyDescent="0.25">
      <c r="A429" s="905">
        <v>66803</v>
      </c>
      <c r="B429" s="906" t="s">
        <v>18668</v>
      </c>
      <c r="C429" s="907" t="s">
        <v>158</v>
      </c>
      <c r="D429" s="908">
        <v>43.89</v>
      </c>
    </row>
    <row r="430" spans="1:4" ht="23.25" x14ac:dyDescent="0.25">
      <c r="A430" s="905">
        <v>66901</v>
      </c>
      <c r="B430" s="906" t="s">
        <v>18669</v>
      </c>
      <c r="C430" s="907" t="s">
        <v>227</v>
      </c>
      <c r="D430" s="908">
        <v>4.5599999999999996</v>
      </c>
    </row>
    <row r="431" spans="1:4" ht="23.25" x14ac:dyDescent="0.25">
      <c r="A431" s="905">
        <v>66902</v>
      </c>
      <c r="B431" s="906" t="s">
        <v>18670</v>
      </c>
      <c r="C431" s="907" t="s">
        <v>227</v>
      </c>
      <c r="D431" s="908">
        <v>4.95</v>
      </c>
    </row>
    <row r="432" spans="1:4" ht="23.25" x14ac:dyDescent="0.25">
      <c r="A432" s="905">
        <v>66903</v>
      </c>
      <c r="B432" s="906" t="s">
        <v>18671</v>
      </c>
      <c r="C432" s="907" t="s">
        <v>227</v>
      </c>
      <c r="D432" s="908">
        <v>5.74</v>
      </c>
    </row>
    <row r="433" spans="1:4" ht="23.25" x14ac:dyDescent="0.25">
      <c r="A433" s="905">
        <v>66904</v>
      </c>
      <c r="B433" s="906" t="s">
        <v>18672</v>
      </c>
      <c r="C433" s="907" t="s">
        <v>227</v>
      </c>
      <c r="D433" s="908">
        <v>6.18</v>
      </c>
    </row>
    <row r="434" spans="1:4" ht="23.25" x14ac:dyDescent="0.25">
      <c r="A434" s="905">
        <v>66905</v>
      </c>
      <c r="B434" s="906" t="s">
        <v>18673</v>
      </c>
      <c r="C434" s="907" t="s">
        <v>227</v>
      </c>
      <c r="D434" s="908">
        <v>7.75</v>
      </c>
    </row>
    <row r="435" spans="1:4" ht="23.25" x14ac:dyDescent="0.25">
      <c r="A435" s="905">
        <v>66906</v>
      </c>
      <c r="B435" s="906" t="s">
        <v>18674</v>
      </c>
      <c r="C435" s="907" t="s">
        <v>227</v>
      </c>
      <c r="D435" s="908">
        <v>9.0399999999999991</v>
      </c>
    </row>
    <row r="436" spans="1:4" ht="23.25" x14ac:dyDescent="0.25">
      <c r="A436" s="905">
        <v>66907</v>
      </c>
      <c r="B436" s="906" t="s">
        <v>18675</v>
      </c>
      <c r="C436" s="907" t="s">
        <v>227</v>
      </c>
      <c r="D436" s="908">
        <v>11.82</v>
      </c>
    </row>
    <row r="437" spans="1:4" ht="23.25" x14ac:dyDescent="0.25">
      <c r="A437" s="905">
        <v>66908</v>
      </c>
      <c r="B437" s="906" t="s">
        <v>18676</v>
      </c>
      <c r="C437" s="907" t="s">
        <v>227</v>
      </c>
      <c r="D437" s="908">
        <v>12.5</v>
      </c>
    </row>
    <row r="438" spans="1:4" ht="23.25" x14ac:dyDescent="0.25">
      <c r="A438" s="905">
        <v>66909</v>
      </c>
      <c r="B438" s="906" t="s">
        <v>18677</v>
      </c>
      <c r="C438" s="907" t="s">
        <v>227</v>
      </c>
      <c r="D438" s="908">
        <v>17.260000000000002</v>
      </c>
    </row>
    <row r="439" spans="1:4" ht="23.25" x14ac:dyDescent="0.25">
      <c r="A439" s="905">
        <v>67001</v>
      </c>
      <c r="B439" s="906" t="s">
        <v>18678</v>
      </c>
      <c r="C439" s="907" t="s">
        <v>227</v>
      </c>
      <c r="D439" s="908">
        <v>40.18</v>
      </c>
    </row>
    <row r="440" spans="1:4" ht="34.5" x14ac:dyDescent="0.25">
      <c r="A440" s="905">
        <v>67002</v>
      </c>
      <c r="B440" s="906" t="s">
        <v>18679</v>
      </c>
      <c r="C440" s="907" t="s">
        <v>227</v>
      </c>
      <c r="D440" s="908">
        <v>31.45</v>
      </c>
    </row>
    <row r="441" spans="1:4" ht="34.5" x14ac:dyDescent="0.25">
      <c r="A441" s="905">
        <v>67003</v>
      </c>
      <c r="B441" s="906" t="s">
        <v>18680</v>
      </c>
      <c r="C441" s="907" t="s">
        <v>227</v>
      </c>
      <c r="D441" s="908">
        <v>35.26</v>
      </c>
    </row>
    <row r="442" spans="1:4" ht="34.5" x14ac:dyDescent="0.25">
      <c r="A442" s="905">
        <v>67100</v>
      </c>
      <c r="B442" s="906" t="s">
        <v>18681</v>
      </c>
      <c r="C442" s="907" t="s">
        <v>4341</v>
      </c>
      <c r="D442" s="908">
        <v>470.46</v>
      </c>
    </row>
    <row r="443" spans="1:4" ht="34.5" x14ac:dyDescent="0.25">
      <c r="A443" s="905">
        <v>67200</v>
      </c>
      <c r="B443" s="906" t="s">
        <v>18682</v>
      </c>
      <c r="C443" s="907" t="s">
        <v>4341</v>
      </c>
      <c r="D443" s="908">
        <v>553.35</v>
      </c>
    </row>
    <row r="444" spans="1:4" ht="15" x14ac:dyDescent="0.25">
      <c r="A444" s="905">
        <v>70000</v>
      </c>
      <c r="B444" s="906" t="s">
        <v>18683</v>
      </c>
      <c r="C444" s="907"/>
      <c r="D444" s="908"/>
    </row>
    <row r="445" spans="1:4" ht="23.25" x14ac:dyDescent="0.25">
      <c r="A445" s="905">
        <v>70100</v>
      </c>
      <c r="B445" s="906" t="s">
        <v>18684</v>
      </c>
      <c r="C445" s="907" t="s">
        <v>227</v>
      </c>
      <c r="D445" s="908">
        <v>126.62</v>
      </c>
    </row>
    <row r="446" spans="1:4" ht="23.25" x14ac:dyDescent="0.25">
      <c r="A446" s="905">
        <v>70300</v>
      </c>
      <c r="B446" s="906" t="s">
        <v>18685</v>
      </c>
      <c r="C446" s="907" t="s">
        <v>18269</v>
      </c>
      <c r="D446" s="908" t="s">
        <v>18269</v>
      </c>
    </row>
    <row r="447" spans="1:4" ht="32.25" x14ac:dyDescent="0.2">
      <c r="A447" s="901">
        <v>70301</v>
      </c>
      <c r="B447" s="902" t="s">
        <v>18686</v>
      </c>
      <c r="C447" s="903" t="s">
        <v>227</v>
      </c>
      <c r="D447" s="904">
        <v>365.32</v>
      </c>
    </row>
    <row r="448" spans="1:4" ht="34.5" x14ac:dyDescent="0.25">
      <c r="A448" s="905">
        <v>70302</v>
      </c>
      <c r="B448" s="906" t="s">
        <v>18687</v>
      </c>
      <c r="C448" s="907" t="s">
        <v>227</v>
      </c>
      <c r="D448" s="908">
        <v>401.13</v>
      </c>
    </row>
    <row r="449" spans="1:4" ht="34.5" x14ac:dyDescent="0.25">
      <c r="A449" s="905">
        <v>70303</v>
      </c>
      <c r="B449" s="906" t="s">
        <v>18688</v>
      </c>
      <c r="C449" s="907" t="s">
        <v>227</v>
      </c>
      <c r="D449" s="908">
        <v>389.22</v>
      </c>
    </row>
    <row r="450" spans="1:4" ht="34.5" x14ac:dyDescent="0.25">
      <c r="A450" s="905">
        <v>70304</v>
      </c>
      <c r="B450" s="906" t="s">
        <v>18689</v>
      </c>
      <c r="C450" s="907" t="s">
        <v>227</v>
      </c>
      <c r="D450" s="908">
        <v>426.77</v>
      </c>
    </row>
    <row r="451" spans="1:4" ht="34.5" x14ac:dyDescent="0.25">
      <c r="A451" s="905">
        <v>70305</v>
      </c>
      <c r="B451" s="906" t="s">
        <v>18690</v>
      </c>
      <c r="C451" s="907" t="s">
        <v>227</v>
      </c>
      <c r="D451" s="908">
        <v>554.27</v>
      </c>
    </row>
    <row r="452" spans="1:4" ht="34.5" x14ac:dyDescent="0.25">
      <c r="A452" s="905">
        <v>70306</v>
      </c>
      <c r="B452" s="906" t="s">
        <v>18691</v>
      </c>
      <c r="C452" s="907" t="s">
        <v>227</v>
      </c>
      <c r="D452" s="908">
        <v>632.44000000000005</v>
      </c>
    </row>
    <row r="453" spans="1:4" ht="23.25" x14ac:dyDescent="0.25">
      <c r="A453" s="905">
        <v>70500</v>
      </c>
      <c r="B453" s="906" t="s">
        <v>18692</v>
      </c>
      <c r="C453" s="907" t="s">
        <v>227</v>
      </c>
      <c r="D453" s="908">
        <v>480.85</v>
      </c>
    </row>
    <row r="454" spans="1:4" ht="15" x14ac:dyDescent="0.25">
      <c r="A454" s="905">
        <v>70600</v>
      </c>
      <c r="B454" s="906" t="s">
        <v>18693</v>
      </c>
      <c r="C454" s="907" t="s">
        <v>159</v>
      </c>
      <c r="D454" s="908">
        <v>60.43</v>
      </c>
    </row>
    <row r="455" spans="1:4" ht="15" x14ac:dyDescent="0.25">
      <c r="A455" s="905">
        <v>70700</v>
      </c>
      <c r="B455" s="906" t="s">
        <v>18694</v>
      </c>
      <c r="C455" s="907" t="s">
        <v>227</v>
      </c>
      <c r="D455" s="908">
        <v>66.95</v>
      </c>
    </row>
    <row r="456" spans="1:4" ht="15" x14ac:dyDescent="0.25">
      <c r="A456" s="905">
        <v>70800</v>
      </c>
      <c r="B456" s="906" t="s">
        <v>18695</v>
      </c>
      <c r="C456" s="907" t="s">
        <v>6008</v>
      </c>
      <c r="D456" s="908">
        <v>16.41</v>
      </c>
    </row>
    <row r="457" spans="1:4" ht="15" x14ac:dyDescent="0.25">
      <c r="A457" s="905">
        <v>70900</v>
      </c>
      <c r="B457" s="906" t="s">
        <v>18696</v>
      </c>
      <c r="C457" s="907" t="s">
        <v>6008</v>
      </c>
      <c r="D457" s="908">
        <v>13.49</v>
      </c>
    </row>
    <row r="458" spans="1:4" ht="15" x14ac:dyDescent="0.25">
      <c r="A458" s="905">
        <v>71000</v>
      </c>
      <c r="B458" s="906" t="s">
        <v>18697</v>
      </c>
      <c r="C458" s="907" t="s">
        <v>6008</v>
      </c>
      <c r="D458" s="908">
        <v>13.15</v>
      </c>
    </row>
    <row r="459" spans="1:4" ht="15" x14ac:dyDescent="0.25">
      <c r="A459" s="905">
        <v>71100</v>
      </c>
      <c r="B459" s="906" t="s">
        <v>18698</v>
      </c>
      <c r="C459" s="907" t="s">
        <v>6008</v>
      </c>
      <c r="D459" s="908">
        <v>15.23</v>
      </c>
    </row>
    <row r="460" spans="1:4" ht="15" x14ac:dyDescent="0.25">
      <c r="A460" s="905">
        <v>71200</v>
      </c>
      <c r="B460" s="906" t="s">
        <v>18699</v>
      </c>
      <c r="C460" s="907" t="s">
        <v>6008</v>
      </c>
      <c r="D460" s="908">
        <v>16.350000000000001</v>
      </c>
    </row>
    <row r="461" spans="1:4" ht="15" x14ac:dyDescent="0.25">
      <c r="A461" s="905">
        <v>71300</v>
      </c>
      <c r="B461" s="906" t="s">
        <v>18700</v>
      </c>
      <c r="C461" s="907" t="s">
        <v>159</v>
      </c>
      <c r="D461" s="908">
        <v>456.39</v>
      </c>
    </row>
    <row r="462" spans="1:4" ht="15" x14ac:dyDescent="0.25">
      <c r="A462" s="905">
        <v>71400</v>
      </c>
      <c r="B462" s="906" t="s">
        <v>18701</v>
      </c>
      <c r="C462" s="907" t="s">
        <v>159</v>
      </c>
      <c r="D462" s="908">
        <v>473.79</v>
      </c>
    </row>
    <row r="463" spans="1:4" ht="15" x14ac:dyDescent="0.25">
      <c r="A463" s="905">
        <v>71500</v>
      </c>
      <c r="B463" s="906" t="s">
        <v>18702</v>
      </c>
      <c r="C463" s="907" t="s">
        <v>159</v>
      </c>
      <c r="D463" s="908">
        <v>491.96</v>
      </c>
    </row>
    <row r="464" spans="1:4" ht="15" x14ac:dyDescent="0.25">
      <c r="A464" s="905">
        <v>71600</v>
      </c>
      <c r="B464" s="906" t="s">
        <v>18703</v>
      </c>
      <c r="C464" s="907" t="s">
        <v>159</v>
      </c>
      <c r="D464" s="908">
        <v>510.97</v>
      </c>
    </row>
    <row r="465" spans="1:4" ht="15" x14ac:dyDescent="0.25">
      <c r="A465" s="905">
        <v>71700</v>
      </c>
      <c r="B465" s="906" t="s">
        <v>18704</v>
      </c>
      <c r="C465" s="907" t="s">
        <v>159</v>
      </c>
      <c r="D465" s="908">
        <v>530.83000000000004</v>
      </c>
    </row>
    <row r="466" spans="1:4" ht="15" x14ac:dyDescent="0.25">
      <c r="A466" s="905">
        <v>71800</v>
      </c>
      <c r="B466" s="906" t="s">
        <v>18705</v>
      </c>
      <c r="C466" s="907" t="s">
        <v>159</v>
      </c>
      <c r="D466" s="908">
        <v>400.3</v>
      </c>
    </row>
    <row r="467" spans="1:4" ht="15" x14ac:dyDescent="0.25">
      <c r="A467" s="905">
        <v>71900</v>
      </c>
      <c r="B467" s="906" t="s">
        <v>18706</v>
      </c>
      <c r="C467" s="907" t="s">
        <v>226</v>
      </c>
      <c r="D467" s="908">
        <v>52.5</v>
      </c>
    </row>
    <row r="468" spans="1:4" ht="15" x14ac:dyDescent="0.25">
      <c r="A468" s="905">
        <v>72000</v>
      </c>
      <c r="B468" s="906" t="s">
        <v>18707</v>
      </c>
      <c r="C468" s="907" t="s">
        <v>159</v>
      </c>
      <c r="D468" s="908">
        <v>760.63</v>
      </c>
    </row>
    <row r="469" spans="1:4" ht="23.25" x14ac:dyDescent="0.25">
      <c r="A469" s="905">
        <v>72200</v>
      </c>
      <c r="B469" s="906" t="s">
        <v>18708</v>
      </c>
      <c r="C469" s="907" t="s">
        <v>159</v>
      </c>
      <c r="D469" s="908">
        <v>222.6</v>
      </c>
    </row>
    <row r="470" spans="1:4" ht="23.25" x14ac:dyDescent="0.25">
      <c r="A470" s="905">
        <v>72300</v>
      </c>
      <c r="B470" s="906" t="s">
        <v>18709</v>
      </c>
      <c r="C470" s="907" t="s">
        <v>159</v>
      </c>
      <c r="D470" s="908">
        <v>977.57</v>
      </c>
    </row>
    <row r="471" spans="1:4" ht="23.25" x14ac:dyDescent="0.25">
      <c r="A471" s="905">
        <v>72400</v>
      </c>
      <c r="B471" s="906" t="s">
        <v>18710</v>
      </c>
      <c r="C471" s="907" t="s">
        <v>159</v>
      </c>
      <c r="D471" s="908">
        <v>761.79</v>
      </c>
    </row>
    <row r="472" spans="1:4" ht="23.25" x14ac:dyDescent="0.25">
      <c r="A472" s="905">
        <v>72500</v>
      </c>
      <c r="B472" s="906" t="s">
        <v>18711</v>
      </c>
      <c r="C472" s="907" t="s">
        <v>159</v>
      </c>
      <c r="D472" s="908">
        <v>926.08</v>
      </c>
    </row>
    <row r="473" spans="1:4" ht="23.25" x14ac:dyDescent="0.25">
      <c r="A473" s="905">
        <v>72600</v>
      </c>
      <c r="B473" s="906" t="s">
        <v>18712</v>
      </c>
      <c r="C473" s="907" t="s">
        <v>159</v>
      </c>
      <c r="D473" s="908">
        <v>809.86</v>
      </c>
    </row>
    <row r="474" spans="1:4" ht="23.25" x14ac:dyDescent="0.25">
      <c r="A474" s="905">
        <v>73000</v>
      </c>
      <c r="B474" s="906" t="s">
        <v>18713</v>
      </c>
      <c r="C474" s="907" t="s">
        <v>227</v>
      </c>
      <c r="D474" s="908">
        <v>264.2</v>
      </c>
    </row>
    <row r="475" spans="1:4" ht="23.25" x14ac:dyDescent="0.25">
      <c r="A475" s="905">
        <v>73100</v>
      </c>
      <c r="B475" s="906" t="s">
        <v>18714</v>
      </c>
      <c r="C475" s="907" t="s">
        <v>227</v>
      </c>
      <c r="D475" s="908">
        <v>297.98</v>
      </c>
    </row>
    <row r="476" spans="1:4" ht="23.25" x14ac:dyDescent="0.25">
      <c r="A476" s="905">
        <v>73200</v>
      </c>
      <c r="B476" s="906" t="s">
        <v>18715</v>
      </c>
      <c r="C476" s="907" t="s">
        <v>227</v>
      </c>
      <c r="D476" s="908">
        <v>320.19</v>
      </c>
    </row>
    <row r="477" spans="1:4" ht="23.25" x14ac:dyDescent="0.25">
      <c r="A477" s="905">
        <v>73400</v>
      </c>
      <c r="B477" s="906" t="s">
        <v>18716</v>
      </c>
      <c r="C477" s="907" t="s">
        <v>159</v>
      </c>
      <c r="D477" s="908">
        <v>757.69</v>
      </c>
    </row>
    <row r="478" spans="1:4" ht="15" x14ac:dyDescent="0.25">
      <c r="A478" s="905">
        <v>73500</v>
      </c>
      <c r="B478" s="906" t="s">
        <v>18636</v>
      </c>
      <c r="C478" s="907" t="s">
        <v>18637</v>
      </c>
      <c r="D478" s="908">
        <v>1.97</v>
      </c>
    </row>
    <row r="479" spans="1:4" ht="34.5" x14ac:dyDescent="0.25">
      <c r="A479" s="905">
        <v>74001</v>
      </c>
      <c r="B479" s="906" t="s">
        <v>18717</v>
      </c>
      <c r="C479" s="907" t="s">
        <v>227</v>
      </c>
      <c r="D479" s="908">
        <v>12.74</v>
      </c>
    </row>
    <row r="480" spans="1:4" ht="34.5" x14ac:dyDescent="0.25">
      <c r="A480" s="905">
        <v>74002</v>
      </c>
      <c r="B480" s="906" t="s">
        <v>18718</v>
      </c>
      <c r="C480" s="907" t="s">
        <v>227</v>
      </c>
      <c r="D480" s="908">
        <v>13.14</v>
      </c>
    </row>
    <row r="481" spans="1:4" ht="34.5" x14ac:dyDescent="0.25">
      <c r="A481" s="905">
        <v>74003</v>
      </c>
      <c r="B481" s="906" t="s">
        <v>18719</v>
      </c>
      <c r="C481" s="907" t="s">
        <v>227</v>
      </c>
      <c r="D481" s="908">
        <v>13.95</v>
      </c>
    </row>
    <row r="482" spans="1:4" ht="34.5" x14ac:dyDescent="0.25">
      <c r="A482" s="905">
        <v>74004</v>
      </c>
      <c r="B482" s="906" t="s">
        <v>18720</v>
      </c>
      <c r="C482" s="907" t="s">
        <v>227</v>
      </c>
      <c r="D482" s="908">
        <v>14.39</v>
      </c>
    </row>
    <row r="483" spans="1:4" ht="34.5" x14ac:dyDescent="0.25">
      <c r="A483" s="905">
        <v>74005</v>
      </c>
      <c r="B483" s="906" t="s">
        <v>18721</v>
      </c>
      <c r="C483" s="907" t="s">
        <v>227</v>
      </c>
      <c r="D483" s="908">
        <v>16</v>
      </c>
    </row>
    <row r="484" spans="1:4" ht="34.5" x14ac:dyDescent="0.25">
      <c r="A484" s="905">
        <v>74006</v>
      </c>
      <c r="B484" s="906" t="s">
        <v>18722</v>
      </c>
      <c r="C484" s="907" t="s">
        <v>227</v>
      </c>
      <c r="D484" s="908">
        <v>17.309999999999999</v>
      </c>
    </row>
    <row r="485" spans="1:4" ht="34.5" x14ac:dyDescent="0.25">
      <c r="A485" s="905">
        <v>74007</v>
      </c>
      <c r="B485" s="906" t="s">
        <v>18723</v>
      </c>
      <c r="C485" s="907" t="s">
        <v>227</v>
      </c>
      <c r="D485" s="908">
        <v>20.14</v>
      </c>
    </row>
    <row r="486" spans="1:4" ht="34.5" x14ac:dyDescent="0.25">
      <c r="A486" s="905">
        <v>74008</v>
      </c>
      <c r="B486" s="906" t="s">
        <v>18724</v>
      </c>
      <c r="C486" s="907" t="s">
        <v>227</v>
      </c>
      <c r="D486" s="908">
        <v>20.84</v>
      </c>
    </row>
    <row r="487" spans="1:4" ht="34.5" x14ac:dyDescent="0.25">
      <c r="A487" s="905">
        <v>74009</v>
      </c>
      <c r="B487" s="906" t="s">
        <v>18725</v>
      </c>
      <c r="C487" s="907" t="s">
        <v>227</v>
      </c>
      <c r="D487" s="908">
        <v>25.69</v>
      </c>
    </row>
    <row r="488" spans="1:4" ht="15" x14ac:dyDescent="0.25">
      <c r="A488" s="905">
        <v>80000</v>
      </c>
      <c r="B488" s="906" t="s">
        <v>18726</v>
      </c>
      <c r="C488" s="907"/>
      <c r="D488" s="908"/>
    </row>
    <row r="489" spans="1:4" ht="23.25" x14ac:dyDescent="0.25">
      <c r="A489" s="905">
        <v>80100</v>
      </c>
      <c r="B489" s="906" t="s">
        <v>18727</v>
      </c>
      <c r="C489" s="907" t="s">
        <v>158</v>
      </c>
      <c r="D489" s="908">
        <v>133.06</v>
      </c>
    </row>
    <row r="490" spans="1:4" ht="23.25" x14ac:dyDescent="0.25">
      <c r="A490" s="905">
        <v>80600</v>
      </c>
      <c r="B490" s="906" t="s">
        <v>18728</v>
      </c>
      <c r="C490" s="907" t="s">
        <v>158</v>
      </c>
      <c r="D490" s="908">
        <v>471.54</v>
      </c>
    </row>
    <row r="491" spans="1:4" ht="23.25" x14ac:dyDescent="0.25">
      <c r="A491" s="905">
        <v>80700</v>
      </c>
      <c r="B491" s="906" t="s">
        <v>18729</v>
      </c>
      <c r="C491" s="907" t="s">
        <v>158</v>
      </c>
      <c r="D491" s="908">
        <v>685.25</v>
      </c>
    </row>
    <row r="492" spans="1:4" ht="15" x14ac:dyDescent="0.25">
      <c r="A492" s="905">
        <v>81300</v>
      </c>
      <c r="B492" s="906" t="s">
        <v>18730</v>
      </c>
      <c r="C492" s="907" t="s">
        <v>227</v>
      </c>
      <c r="D492" s="908">
        <v>72.34</v>
      </c>
    </row>
    <row r="493" spans="1:4" x14ac:dyDescent="0.2">
      <c r="A493" s="901">
        <v>81400</v>
      </c>
      <c r="B493" s="902" t="s">
        <v>18731</v>
      </c>
      <c r="C493" s="903" t="s">
        <v>18269</v>
      </c>
      <c r="D493" s="904" t="s">
        <v>18269</v>
      </c>
    </row>
    <row r="494" spans="1:4" ht="15" x14ac:dyDescent="0.25">
      <c r="A494" s="905">
        <v>81401</v>
      </c>
      <c r="B494" s="906" t="s">
        <v>18732</v>
      </c>
      <c r="C494" s="907" t="s">
        <v>227</v>
      </c>
      <c r="D494" s="908">
        <v>95.05</v>
      </c>
    </row>
    <row r="495" spans="1:4" ht="15" x14ac:dyDescent="0.25">
      <c r="A495" s="905">
        <v>81402</v>
      </c>
      <c r="B495" s="906" t="s">
        <v>18733</v>
      </c>
      <c r="C495" s="907" t="s">
        <v>227</v>
      </c>
      <c r="D495" s="908">
        <v>73.680000000000007</v>
      </c>
    </row>
    <row r="496" spans="1:4" ht="15" x14ac:dyDescent="0.25">
      <c r="A496" s="905">
        <v>81500</v>
      </c>
      <c r="B496" s="906" t="s">
        <v>18734</v>
      </c>
      <c r="C496" s="907" t="s">
        <v>18269</v>
      </c>
      <c r="D496" s="908" t="s">
        <v>18269</v>
      </c>
    </row>
    <row r="497" spans="1:4" ht="23.25" x14ac:dyDescent="0.25">
      <c r="A497" s="905">
        <v>81501</v>
      </c>
      <c r="B497" s="906" t="s">
        <v>18735</v>
      </c>
      <c r="C497" s="907" t="s">
        <v>227</v>
      </c>
      <c r="D497" s="908">
        <v>104.83</v>
      </c>
    </row>
    <row r="498" spans="1:4" ht="15" x14ac:dyDescent="0.25">
      <c r="A498" s="905">
        <v>81502</v>
      </c>
      <c r="B498" s="906" t="s">
        <v>18736</v>
      </c>
      <c r="C498" s="907" t="s">
        <v>227</v>
      </c>
      <c r="D498" s="908">
        <v>83.46</v>
      </c>
    </row>
    <row r="499" spans="1:4" ht="15" x14ac:dyDescent="0.25">
      <c r="A499" s="905">
        <v>81600</v>
      </c>
      <c r="B499" s="906" t="s">
        <v>18737</v>
      </c>
      <c r="C499" s="907" t="s">
        <v>227</v>
      </c>
      <c r="D499" s="908">
        <v>126.13</v>
      </c>
    </row>
    <row r="500" spans="1:4" ht="23.25" x14ac:dyDescent="0.25">
      <c r="A500" s="905">
        <v>81801</v>
      </c>
      <c r="B500" s="906" t="s">
        <v>18738</v>
      </c>
      <c r="C500" s="907" t="s">
        <v>18739</v>
      </c>
      <c r="D500" s="908">
        <v>9.1</v>
      </c>
    </row>
    <row r="501" spans="1:4" ht="23.25" x14ac:dyDescent="0.25">
      <c r="A501" s="905">
        <v>81802</v>
      </c>
      <c r="B501" s="906" t="s">
        <v>18740</v>
      </c>
      <c r="C501" s="907" t="s">
        <v>159</v>
      </c>
      <c r="D501" s="908">
        <v>31.14</v>
      </c>
    </row>
    <row r="502" spans="1:4" ht="15" x14ac:dyDescent="0.25">
      <c r="A502" s="905">
        <v>81900</v>
      </c>
      <c r="B502" s="906" t="s">
        <v>18695</v>
      </c>
      <c r="C502" s="907" t="s">
        <v>6008</v>
      </c>
      <c r="D502" s="908">
        <v>16.41</v>
      </c>
    </row>
    <row r="503" spans="1:4" ht="15" x14ac:dyDescent="0.25">
      <c r="A503" s="905">
        <v>82000</v>
      </c>
      <c r="B503" s="906" t="s">
        <v>18741</v>
      </c>
      <c r="C503" s="907" t="s">
        <v>6008</v>
      </c>
      <c r="D503" s="908">
        <v>13.49</v>
      </c>
    </row>
    <row r="504" spans="1:4" ht="23.25" x14ac:dyDescent="0.25">
      <c r="A504" s="905">
        <v>82100</v>
      </c>
      <c r="B504" s="906" t="s">
        <v>18742</v>
      </c>
      <c r="C504" s="907" t="s">
        <v>6008</v>
      </c>
      <c r="D504" s="908">
        <v>13.15</v>
      </c>
    </row>
    <row r="505" spans="1:4" ht="15" x14ac:dyDescent="0.25">
      <c r="A505" s="905">
        <v>82200</v>
      </c>
      <c r="B505" s="906" t="s">
        <v>18698</v>
      </c>
      <c r="C505" s="907" t="s">
        <v>6008</v>
      </c>
      <c r="D505" s="908">
        <v>15.23</v>
      </c>
    </row>
    <row r="506" spans="1:4" ht="15" x14ac:dyDescent="0.25">
      <c r="A506" s="905">
        <v>82300</v>
      </c>
      <c r="B506" s="906" t="s">
        <v>18699</v>
      </c>
      <c r="C506" s="907" t="s">
        <v>6008</v>
      </c>
      <c r="D506" s="908">
        <v>16.350000000000001</v>
      </c>
    </row>
    <row r="507" spans="1:4" ht="23.25" x14ac:dyDescent="0.25">
      <c r="A507" s="905">
        <v>82400</v>
      </c>
      <c r="B507" s="906" t="s">
        <v>18743</v>
      </c>
      <c r="C507" s="907" t="s">
        <v>159</v>
      </c>
      <c r="D507" s="908">
        <v>487.51</v>
      </c>
    </row>
    <row r="508" spans="1:4" ht="23.25" x14ac:dyDescent="0.25">
      <c r="A508" s="905">
        <v>82500</v>
      </c>
      <c r="B508" s="906" t="s">
        <v>18744</v>
      </c>
      <c r="C508" s="907" t="s">
        <v>159</v>
      </c>
      <c r="D508" s="908">
        <v>505.37</v>
      </c>
    </row>
    <row r="509" spans="1:4" ht="23.25" x14ac:dyDescent="0.25">
      <c r="A509" s="905">
        <v>82600</v>
      </c>
      <c r="B509" s="906" t="s">
        <v>18745</v>
      </c>
      <c r="C509" s="907" t="s">
        <v>159</v>
      </c>
      <c r="D509" s="908">
        <v>524.74</v>
      </c>
    </row>
    <row r="510" spans="1:4" ht="23.25" x14ac:dyDescent="0.25">
      <c r="A510" s="905">
        <v>82700</v>
      </c>
      <c r="B510" s="906" t="s">
        <v>18746</v>
      </c>
      <c r="C510" s="907" t="s">
        <v>159</v>
      </c>
      <c r="D510" s="908">
        <v>543.57000000000005</v>
      </c>
    </row>
    <row r="511" spans="1:4" ht="23.25" x14ac:dyDescent="0.25">
      <c r="A511" s="905">
        <v>82800</v>
      </c>
      <c r="B511" s="906" t="s">
        <v>18747</v>
      </c>
      <c r="C511" s="907" t="s">
        <v>159</v>
      </c>
      <c r="D511" s="908">
        <v>563.96</v>
      </c>
    </row>
    <row r="512" spans="1:4" ht="23.25" x14ac:dyDescent="0.25">
      <c r="A512" s="905">
        <v>82900</v>
      </c>
      <c r="B512" s="906" t="s">
        <v>18748</v>
      </c>
      <c r="C512" s="907" t="s">
        <v>159</v>
      </c>
      <c r="D512" s="908">
        <v>684.07</v>
      </c>
    </row>
    <row r="513" spans="1:4" ht="15" x14ac:dyDescent="0.25">
      <c r="A513" s="905">
        <v>83000</v>
      </c>
      <c r="B513" s="906" t="s">
        <v>18749</v>
      </c>
      <c r="C513" s="907" t="s">
        <v>159</v>
      </c>
      <c r="D513" s="908">
        <v>970.13</v>
      </c>
    </row>
    <row r="514" spans="1:4" ht="15" x14ac:dyDescent="0.25">
      <c r="A514" s="905">
        <v>83100</v>
      </c>
      <c r="B514" s="906" t="s">
        <v>18750</v>
      </c>
      <c r="C514" s="907" t="s">
        <v>227</v>
      </c>
      <c r="D514" s="908">
        <v>236.21</v>
      </c>
    </row>
    <row r="515" spans="1:4" ht="15" x14ac:dyDescent="0.25">
      <c r="A515" s="905">
        <v>83200</v>
      </c>
      <c r="B515" s="906" t="s">
        <v>18751</v>
      </c>
      <c r="C515" s="907" t="s">
        <v>227</v>
      </c>
      <c r="D515" s="908">
        <v>136.43</v>
      </c>
    </row>
    <row r="516" spans="1:4" ht="15" x14ac:dyDescent="0.25">
      <c r="A516" s="905">
        <v>83300</v>
      </c>
      <c r="B516" s="906" t="s">
        <v>18752</v>
      </c>
      <c r="C516" s="907" t="s">
        <v>227</v>
      </c>
      <c r="D516" s="908">
        <v>73.540000000000006</v>
      </c>
    </row>
    <row r="517" spans="1:4" ht="15" x14ac:dyDescent="0.25">
      <c r="A517" s="905">
        <v>83400</v>
      </c>
      <c r="B517" s="906" t="s">
        <v>18753</v>
      </c>
      <c r="C517" s="907" t="s">
        <v>227</v>
      </c>
      <c r="D517" s="908">
        <v>100.33</v>
      </c>
    </row>
    <row r="518" spans="1:4" ht="15" x14ac:dyDescent="0.25">
      <c r="A518" s="905">
        <v>83500</v>
      </c>
      <c r="B518" s="906" t="s">
        <v>18754</v>
      </c>
      <c r="C518" s="907" t="s">
        <v>159</v>
      </c>
      <c r="D518" s="908">
        <v>417.88</v>
      </c>
    </row>
    <row r="519" spans="1:4" ht="15" x14ac:dyDescent="0.25">
      <c r="A519" s="905">
        <v>83600</v>
      </c>
      <c r="B519" s="906" t="s">
        <v>18755</v>
      </c>
      <c r="C519" s="907" t="s">
        <v>159</v>
      </c>
      <c r="D519" s="908">
        <v>683.58</v>
      </c>
    </row>
    <row r="520" spans="1:4" ht="15" x14ac:dyDescent="0.25">
      <c r="A520" s="905">
        <v>83700</v>
      </c>
      <c r="B520" s="906" t="s">
        <v>18756</v>
      </c>
      <c r="C520" s="907" t="s">
        <v>227</v>
      </c>
      <c r="D520" s="908">
        <v>10.89</v>
      </c>
    </row>
    <row r="521" spans="1:4" ht="15" x14ac:dyDescent="0.25">
      <c r="A521" s="905">
        <v>83800</v>
      </c>
      <c r="B521" s="906" t="s">
        <v>18757</v>
      </c>
      <c r="C521" s="907" t="s">
        <v>227</v>
      </c>
      <c r="D521" s="908">
        <v>55.25</v>
      </c>
    </row>
    <row r="522" spans="1:4" ht="15" x14ac:dyDescent="0.25">
      <c r="A522" s="905">
        <v>83900</v>
      </c>
      <c r="B522" s="906" t="s">
        <v>18758</v>
      </c>
      <c r="C522" s="907" t="s">
        <v>227</v>
      </c>
      <c r="D522" s="908">
        <v>31.43</v>
      </c>
    </row>
    <row r="523" spans="1:4" ht="15" x14ac:dyDescent="0.25">
      <c r="A523" s="905">
        <v>84000</v>
      </c>
      <c r="B523" s="906" t="s">
        <v>18759</v>
      </c>
      <c r="C523" s="907" t="s">
        <v>227</v>
      </c>
      <c r="D523" s="908">
        <v>19.420000000000002</v>
      </c>
    </row>
    <row r="524" spans="1:4" ht="15" x14ac:dyDescent="0.25">
      <c r="A524" s="905">
        <v>84100</v>
      </c>
      <c r="B524" s="906" t="s">
        <v>18760</v>
      </c>
      <c r="C524" s="907" t="s">
        <v>227</v>
      </c>
      <c r="D524" s="908">
        <v>73.819999999999993</v>
      </c>
    </row>
    <row r="525" spans="1:4" ht="15" x14ac:dyDescent="0.25">
      <c r="A525" s="905">
        <v>84200</v>
      </c>
      <c r="B525" s="906" t="s">
        <v>18761</v>
      </c>
      <c r="C525" s="907" t="s">
        <v>227</v>
      </c>
      <c r="D525" s="908">
        <v>199.82</v>
      </c>
    </row>
    <row r="526" spans="1:4" ht="15" x14ac:dyDescent="0.25">
      <c r="A526" s="905">
        <v>84300</v>
      </c>
      <c r="B526" s="906" t="s">
        <v>18762</v>
      </c>
      <c r="C526" s="907" t="s">
        <v>158</v>
      </c>
      <c r="D526" s="908">
        <v>58.37</v>
      </c>
    </row>
    <row r="527" spans="1:4" ht="15" x14ac:dyDescent="0.25">
      <c r="A527" s="905">
        <v>84400</v>
      </c>
      <c r="B527" s="906" t="s">
        <v>18763</v>
      </c>
      <c r="C527" s="907" t="s">
        <v>158</v>
      </c>
      <c r="D527" s="908">
        <v>117.93</v>
      </c>
    </row>
    <row r="528" spans="1:4" ht="15" x14ac:dyDescent="0.25">
      <c r="A528" s="905">
        <v>84500</v>
      </c>
      <c r="B528" s="906" t="s">
        <v>18764</v>
      </c>
      <c r="C528" s="907" t="s">
        <v>18765</v>
      </c>
      <c r="D528" s="908">
        <v>92.46</v>
      </c>
    </row>
    <row r="529" spans="1:4" ht="15" x14ac:dyDescent="0.25">
      <c r="A529" s="905">
        <v>84600</v>
      </c>
      <c r="B529" s="906" t="s">
        <v>18766</v>
      </c>
      <c r="C529" s="907" t="s">
        <v>18765</v>
      </c>
      <c r="D529" s="908">
        <v>142.43</v>
      </c>
    </row>
    <row r="530" spans="1:4" ht="15" x14ac:dyDescent="0.25">
      <c r="A530" s="905">
        <v>84800</v>
      </c>
      <c r="B530" s="906" t="s">
        <v>18767</v>
      </c>
      <c r="C530" s="907" t="s">
        <v>18269</v>
      </c>
      <c r="D530" s="908" t="s">
        <v>18269</v>
      </c>
    </row>
    <row r="531" spans="1:4" ht="15" x14ac:dyDescent="0.25">
      <c r="A531" s="905">
        <v>84801</v>
      </c>
      <c r="B531" s="906" t="s">
        <v>18768</v>
      </c>
      <c r="C531" s="907" t="s">
        <v>158</v>
      </c>
      <c r="D531" s="908">
        <v>1236.58</v>
      </c>
    </row>
    <row r="532" spans="1:4" ht="15" x14ac:dyDescent="0.25">
      <c r="A532" s="905">
        <v>84802</v>
      </c>
      <c r="B532" s="906" t="s">
        <v>18769</v>
      </c>
      <c r="C532" s="907" t="s">
        <v>227</v>
      </c>
      <c r="D532" s="908">
        <v>70.02</v>
      </c>
    </row>
    <row r="533" spans="1:4" ht="15" x14ac:dyDescent="0.25">
      <c r="A533" s="905">
        <v>84900</v>
      </c>
      <c r="B533" s="906" t="s">
        <v>18770</v>
      </c>
      <c r="C533" s="907" t="s">
        <v>159</v>
      </c>
      <c r="D533" s="908">
        <v>208.55</v>
      </c>
    </row>
    <row r="534" spans="1:4" ht="15" x14ac:dyDescent="0.25">
      <c r="A534" s="905">
        <v>85000</v>
      </c>
      <c r="B534" s="906" t="s">
        <v>18771</v>
      </c>
      <c r="C534" s="907" t="s">
        <v>159</v>
      </c>
      <c r="D534" s="908">
        <v>74.09</v>
      </c>
    </row>
    <row r="535" spans="1:4" ht="15" x14ac:dyDescent="0.25">
      <c r="A535" s="905">
        <v>85100</v>
      </c>
      <c r="B535" s="906" t="s">
        <v>18772</v>
      </c>
      <c r="C535" s="907" t="s">
        <v>159</v>
      </c>
      <c r="D535" s="908">
        <v>417.11</v>
      </c>
    </row>
    <row r="536" spans="1:4" ht="15" x14ac:dyDescent="0.25">
      <c r="A536" s="905">
        <v>85300</v>
      </c>
      <c r="B536" s="906" t="s">
        <v>18773</v>
      </c>
      <c r="C536" s="907" t="s">
        <v>226</v>
      </c>
      <c r="D536" s="908">
        <v>130.6</v>
      </c>
    </row>
    <row r="537" spans="1:4" ht="15" x14ac:dyDescent="0.25">
      <c r="A537" s="905">
        <v>85400</v>
      </c>
      <c r="B537" s="906" t="s">
        <v>18774</v>
      </c>
      <c r="C537" s="907" t="s">
        <v>226</v>
      </c>
      <c r="D537" s="908">
        <v>158.63</v>
      </c>
    </row>
    <row r="538" spans="1:4" ht="15" x14ac:dyDescent="0.25">
      <c r="A538" s="905">
        <v>85500</v>
      </c>
      <c r="B538" s="906" t="s">
        <v>18775</v>
      </c>
      <c r="C538" s="907" t="s">
        <v>226</v>
      </c>
      <c r="D538" s="908">
        <v>530.26</v>
      </c>
    </row>
    <row r="539" spans="1:4" ht="15" x14ac:dyDescent="0.25">
      <c r="A539" s="905">
        <v>85600</v>
      </c>
      <c r="B539" s="906" t="s">
        <v>18776</v>
      </c>
      <c r="C539" s="907" t="s">
        <v>226</v>
      </c>
      <c r="D539" s="908">
        <v>554.16999999999996</v>
      </c>
    </row>
    <row r="540" spans="1:4" ht="23.25" x14ac:dyDescent="0.25">
      <c r="A540" s="905">
        <v>85700</v>
      </c>
      <c r="B540" s="906" t="s">
        <v>18777</v>
      </c>
      <c r="C540" s="907" t="s">
        <v>158</v>
      </c>
      <c r="D540" s="908">
        <v>521.20000000000005</v>
      </c>
    </row>
    <row r="541" spans="1:4" ht="23.25" x14ac:dyDescent="0.25">
      <c r="A541" s="905">
        <v>85800</v>
      </c>
      <c r="B541" s="906" t="s">
        <v>18778</v>
      </c>
      <c r="C541" s="907" t="s">
        <v>158</v>
      </c>
      <c r="D541" s="908">
        <v>960</v>
      </c>
    </row>
    <row r="542" spans="1:4" ht="23.25" x14ac:dyDescent="0.25">
      <c r="A542" s="905">
        <v>86200</v>
      </c>
      <c r="B542" s="906" t="s">
        <v>18779</v>
      </c>
      <c r="C542" s="907" t="s">
        <v>6008</v>
      </c>
      <c r="D542" s="908">
        <v>38.840000000000003</v>
      </c>
    </row>
    <row r="543" spans="1:4" ht="23.25" x14ac:dyDescent="0.25">
      <c r="A543" s="905">
        <v>86300</v>
      </c>
      <c r="B543" s="906" t="s">
        <v>18780</v>
      </c>
      <c r="C543" s="907" t="s">
        <v>6008</v>
      </c>
      <c r="D543" s="908">
        <v>34.979999999999997</v>
      </c>
    </row>
    <row r="544" spans="1:4" ht="23.25" x14ac:dyDescent="0.25">
      <c r="A544" s="905">
        <v>86400</v>
      </c>
      <c r="B544" s="906" t="s">
        <v>18781</v>
      </c>
      <c r="C544" s="907" t="s">
        <v>6008</v>
      </c>
      <c r="D544" s="908">
        <v>31.38</v>
      </c>
    </row>
    <row r="545" spans="1:4" ht="15" x14ac:dyDescent="0.25">
      <c r="A545" s="905">
        <v>86500</v>
      </c>
      <c r="B545" s="906" t="s">
        <v>18782</v>
      </c>
      <c r="C545" s="907" t="s">
        <v>226</v>
      </c>
      <c r="D545" s="908">
        <v>496.43</v>
      </c>
    </row>
    <row r="546" spans="1:4" ht="15" x14ac:dyDescent="0.25">
      <c r="A546" s="905">
        <v>86600</v>
      </c>
      <c r="B546" s="906" t="s">
        <v>18783</v>
      </c>
      <c r="C546" s="907" t="s">
        <v>226</v>
      </c>
      <c r="D546" s="908">
        <v>833.02</v>
      </c>
    </row>
    <row r="547" spans="1:4" ht="15" x14ac:dyDescent="0.25">
      <c r="A547" s="905">
        <v>86700</v>
      </c>
      <c r="B547" s="906" t="s">
        <v>18784</v>
      </c>
      <c r="C547" s="907" t="s">
        <v>226</v>
      </c>
      <c r="D547" s="908">
        <v>1437.04</v>
      </c>
    </row>
    <row r="548" spans="1:4" ht="15" x14ac:dyDescent="0.25">
      <c r="A548" s="905">
        <v>86800</v>
      </c>
      <c r="B548" s="906" t="s">
        <v>18785</v>
      </c>
      <c r="C548" s="907" t="s">
        <v>158</v>
      </c>
      <c r="D548" s="908">
        <v>88.45</v>
      </c>
    </row>
    <row r="549" spans="1:4" ht="15" x14ac:dyDescent="0.25">
      <c r="A549" s="905">
        <v>87000</v>
      </c>
      <c r="B549" s="906" t="s">
        <v>18786</v>
      </c>
      <c r="C549" s="907" t="s">
        <v>227</v>
      </c>
      <c r="D549" s="908">
        <v>84.15</v>
      </c>
    </row>
    <row r="550" spans="1:4" ht="23.25" x14ac:dyDescent="0.25">
      <c r="A550" s="905">
        <v>87100</v>
      </c>
      <c r="B550" s="906" t="s">
        <v>18787</v>
      </c>
      <c r="C550" s="907" t="s">
        <v>158</v>
      </c>
      <c r="D550" s="908">
        <v>1110.83</v>
      </c>
    </row>
    <row r="551" spans="1:4" ht="23.25" x14ac:dyDescent="0.25">
      <c r="A551" s="905">
        <v>87200</v>
      </c>
      <c r="B551" s="906" t="s">
        <v>18788</v>
      </c>
      <c r="C551" s="907" t="s">
        <v>158</v>
      </c>
      <c r="D551" s="908">
        <v>1316.55</v>
      </c>
    </row>
    <row r="552" spans="1:4" ht="23.25" x14ac:dyDescent="0.25">
      <c r="A552" s="905">
        <v>87300</v>
      </c>
      <c r="B552" s="906" t="s">
        <v>18789</v>
      </c>
      <c r="C552" s="907" t="s">
        <v>6008</v>
      </c>
      <c r="D552" s="908">
        <v>30.76</v>
      </c>
    </row>
    <row r="553" spans="1:4" ht="23.25" x14ac:dyDescent="0.25">
      <c r="A553" s="905">
        <v>87600</v>
      </c>
      <c r="B553" s="906" t="s">
        <v>18790</v>
      </c>
      <c r="C553" s="907" t="s">
        <v>158</v>
      </c>
      <c r="D553" s="908">
        <v>37.69</v>
      </c>
    </row>
    <row r="554" spans="1:4" ht="23.25" x14ac:dyDescent="0.25">
      <c r="A554" s="905">
        <v>87700</v>
      </c>
      <c r="B554" s="906" t="s">
        <v>18791</v>
      </c>
      <c r="C554" s="907" t="s">
        <v>158</v>
      </c>
      <c r="D554" s="908">
        <v>164</v>
      </c>
    </row>
    <row r="555" spans="1:4" ht="23.25" x14ac:dyDescent="0.25">
      <c r="A555" s="905">
        <v>87800</v>
      </c>
      <c r="B555" s="906" t="s">
        <v>18792</v>
      </c>
      <c r="C555" s="907" t="s">
        <v>158</v>
      </c>
      <c r="D555" s="908">
        <v>987.67</v>
      </c>
    </row>
    <row r="556" spans="1:4" ht="15" x14ac:dyDescent="0.25">
      <c r="A556" s="905">
        <v>87900</v>
      </c>
      <c r="B556" s="906" t="s">
        <v>18793</v>
      </c>
      <c r="C556" s="907" t="s">
        <v>226</v>
      </c>
      <c r="D556" s="908">
        <v>2699.95</v>
      </c>
    </row>
    <row r="557" spans="1:4" ht="23.25" x14ac:dyDescent="0.25">
      <c r="A557" s="905">
        <v>88000</v>
      </c>
      <c r="B557" s="906" t="s">
        <v>18794</v>
      </c>
      <c r="C557" s="907" t="s">
        <v>159</v>
      </c>
      <c r="D557" s="908">
        <v>14.76</v>
      </c>
    </row>
    <row r="558" spans="1:4" ht="15" x14ac:dyDescent="0.25">
      <c r="A558" s="905">
        <v>88600</v>
      </c>
      <c r="B558" s="906" t="s">
        <v>18795</v>
      </c>
      <c r="C558" s="907" t="s">
        <v>16557</v>
      </c>
      <c r="D558" s="908">
        <v>2.52</v>
      </c>
    </row>
    <row r="559" spans="1:4" ht="23.25" x14ac:dyDescent="0.25">
      <c r="A559" s="905">
        <v>88700</v>
      </c>
      <c r="B559" s="906" t="s">
        <v>18796</v>
      </c>
      <c r="C559" s="907" t="s">
        <v>159</v>
      </c>
      <c r="D559" s="908">
        <v>29.65</v>
      </c>
    </row>
    <row r="560" spans="1:4" ht="15" x14ac:dyDescent="0.25">
      <c r="A560" s="905">
        <v>90000</v>
      </c>
      <c r="B560" s="906" t="s">
        <v>18797</v>
      </c>
      <c r="C560" s="907"/>
      <c r="D560" s="908"/>
    </row>
    <row r="561" spans="1:4" ht="34.5" x14ac:dyDescent="0.25">
      <c r="A561" s="905">
        <v>90100</v>
      </c>
      <c r="B561" s="906" t="s">
        <v>18798</v>
      </c>
      <c r="C561" s="907" t="s">
        <v>227</v>
      </c>
      <c r="D561" s="908">
        <v>12.9</v>
      </c>
    </row>
    <row r="562" spans="1:4" ht="34.5" x14ac:dyDescent="0.25">
      <c r="A562" s="905">
        <v>90200</v>
      </c>
      <c r="B562" s="906" t="s">
        <v>18799</v>
      </c>
      <c r="C562" s="907" t="s">
        <v>227</v>
      </c>
      <c r="D562" s="908">
        <v>15.08</v>
      </c>
    </row>
    <row r="563" spans="1:4" ht="34.5" x14ac:dyDescent="0.25">
      <c r="A563" s="905">
        <v>90300</v>
      </c>
      <c r="B563" s="906" t="s">
        <v>18800</v>
      </c>
      <c r="C563" s="907" t="s">
        <v>227</v>
      </c>
      <c r="D563" s="908">
        <v>16.54</v>
      </c>
    </row>
    <row r="564" spans="1:4" ht="34.5" x14ac:dyDescent="0.25">
      <c r="A564" s="905">
        <v>90400</v>
      </c>
      <c r="B564" s="906" t="s">
        <v>18801</v>
      </c>
      <c r="C564" s="907" t="s">
        <v>227</v>
      </c>
      <c r="D564" s="908">
        <v>18.16</v>
      </c>
    </row>
    <row r="565" spans="1:4" ht="15" x14ac:dyDescent="0.25">
      <c r="A565" s="905">
        <v>100000</v>
      </c>
      <c r="B565" s="906" t="s">
        <v>18802</v>
      </c>
      <c r="C565" s="907"/>
      <c r="D565" s="908"/>
    </row>
    <row r="566" spans="1:4" ht="15" x14ac:dyDescent="0.25">
      <c r="A566" s="905">
        <v>100100</v>
      </c>
      <c r="B566" s="906" t="s">
        <v>18803</v>
      </c>
      <c r="C566" s="907" t="s">
        <v>18269</v>
      </c>
      <c r="D566" s="908" t="s">
        <v>18269</v>
      </c>
    </row>
    <row r="567" spans="1:4" ht="15" x14ac:dyDescent="0.25">
      <c r="A567" s="905">
        <v>100101</v>
      </c>
      <c r="B567" s="906" t="s">
        <v>18804</v>
      </c>
      <c r="C567" s="907" t="s">
        <v>18805</v>
      </c>
      <c r="D567" s="908">
        <v>9.7200000000000006</v>
      </c>
    </row>
    <row r="568" spans="1:4" ht="15" x14ac:dyDescent="0.25">
      <c r="A568" s="905">
        <v>100102</v>
      </c>
      <c r="B568" s="906" t="s">
        <v>18806</v>
      </c>
      <c r="C568" s="907" t="s">
        <v>159</v>
      </c>
      <c r="D568" s="908">
        <v>6.04</v>
      </c>
    </row>
    <row r="569" spans="1:4" ht="21.75" x14ac:dyDescent="0.2">
      <c r="A569" s="901">
        <v>100200</v>
      </c>
      <c r="B569" s="902" t="s">
        <v>18807</v>
      </c>
      <c r="C569" s="903" t="s">
        <v>227</v>
      </c>
      <c r="D569" s="904">
        <v>10.93</v>
      </c>
    </row>
    <row r="570" spans="1:4" ht="23.25" x14ac:dyDescent="0.25">
      <c r="A570" s="905">
        <v>100300</v>
      </c>
      <c r="B570" s="906" t="s">
        <v>18808</v>
      </c>
      <c r="C570" s="907" t="s">
        <v>227</v>
      </c>
      <c r="D570" s="908">
        <v>43.2</v>
      </c>
    </row>
    <row r="571" spans="1:4" ht="15" x14ac:dyDescent="0.25">
      <c r="A571" s="905">
        <v>100400</v>
      </c>
      <c r="B571" s="906" t="s">
        <v>18809</v>
      </c>
      <c r="C571" s="907" t="s">
        <v>227</v>
      </c>
      <c r="D571" s="908">
        <v>89.32</v>
      </c>
    </row>
    <row r="572" spans="1:4" ht="15" x14ac:dyDescent="0.25">
      <c r="A572" s="905">
        <v>100500</v>
      </c>
      <c r="B572" s="906" t="s">
        <v>18810</v>
      </c>
      <c r="C572" s="907" t="s">
        <v>227</v>
      </c>
      <c r="D572" s="908">
        <v>128.97999999999999</v>
      </c>
    </row>
    <row r="573" spans="1:4" ht="23.25" x14ac:dyDescent="0.25">
      <c r="A573" s="905">
        <v>100600</v>
      </c>
      <c r="B573" s="906" t="s">
        <v>18811</v>
      </c>
      <c r="C573" s="907" t="s">
        <v>227</v>
      </c>
      <c r="D573" s="908">
        <v>55.21</v>
      </c>
    </row>
    <row r="574" spans="1:4" ht="21.75" x14ac:dyDescent="0.2">
      <c r="A574" s="901">
        <v>100700</v>
      </c>
      <c r="B574" s="902" t="s">
        <v>18812</v>
      </c>
      <c r="C574" s="903" t="s">
        <v>18269</v>
      </c>
      <c r="D574" s="904" t="s">
        <v>18269</v>
      </c>
    </row>
    <row r="575" spans="1:4" ht="23.25" x14ac:dyDescent="0.25">
      <c r="A575" s="905">
        <v>100702</v>
      </c>
      <c r="B575" s="906" t="s">
        <v>18813</v>
      </c>
      <c r="C575" s="907" t="s">
        <v>159</v>
      </c>
      <c r="D575" s="908">
        <v>937.38</v>
      </c>
    </row>
    <row r="576" spans="1:4" ht="23.25" x14ac:dyDescent="0.25">
      <c r="A576" s="905">
        <v>100703</v>
      </c>
      <c r="B576" s="906" t="s">
        <v>18814</v>
      </c>
      <c r="C576" s="907" t="s">
        <v>159</v>
      </c>
      <c r="D576" s="908">
        <v>960.82</v>
      </c>
    </row>
    <row r="577" spans="1:4" ht="23.25" x14ac:dyDescent="0.25">
      <c r="A577" s="905">
        <v>100704</v>
      </c>
      <c r="B577" s="906" t="s">
        <v>18815</v>
      </c>
      <c r="C577" s="907" t="s">
        <v>159</v>
      </c>
      <c r="D577" s="908">
        <v>998.37</v>
      </c>
    </row>
    <row r="578" spans="1:4" ht="15" x14ac:dyDescent="0.25">
      <c r="A578" s="905">
        <v>100800</v>
      </c>
      <c r="B578" s="906" t="s">
        <v>18816</v>
      </c>
      <c r="C578" s="907" t="s">
        <v>18269</v>
      </c>
      <c r="D578" s="908" t="s">
        <v>18269</v>
      </c>
    </row>
    <row r="579" spans="1:4" ht="15" x14ac:dyDescent="0.25">
      <c r="A579" s="905">
        <v>100801</v>
      </c>
      <c r="B579" s="906" t="s">
        <v>18817</v>
      </c>
      <c r="C579" s="907" t="s">
        <v>159</v>
      </c>
      <c r="D579" s="908">
        <v>4070.68</v>
      </c>
    </row>
    <row r="580" spans="1:4" ht="15" x14ac:dyDescent="0.25">
      <c r="A580" s="905">
        <v>100802</v>
      </c>
      <c r="B580" s="906" t="s">
        <v>18818</v>
      </c>
      <c r="C580" s="907" t="s">
        <v>159</v>
      </c>
      <c r="D580" s="908">
        <v>4398.07</v>
      </c>
    </row>
    <row r="581" spans="1:4" ht="23.25" x14ac:dyDescent="0.25">
      <c r="A581" s="905">
        <v>100900</v>
      </c>
      <c r="B581" s="906" t="s">
        <v>18819</v>
      </c>
      <c r="C581" s="907" t="s">
        <v>158</v>
      </c>
      <c r="D581" s="908">
        <v>25.26</v>
      </c>
    </row>
    <row r="582" spans="1:4" ht="23.25" x14ac:dyDescent="0.25">
      <c r="A582" s="905">
        <v>101000</v>
      </c>
      <c r="B582" s="906" t="s">
        <v>18820</v>
      </c>
      <c r="C582" s="907" t="s">
        <v>226</v>
      </c>
      <c r="D582" s="908">
        <v>8.4700000000000006</v>
      </c>
    </row>
    <row r="583" spans="1:4" ht="15" x14ac:dyDescent="0.25">
      <c r="A583" s="905">
        <v>101100</v>
      </c>
      <c r="B583" s="906" t="s">
        <v>18821</v>
      </c>
      <c r="C583" s="907" t="s">
        <v>6008</v>
      </c>
      <c r="D583" s="908">
        <v>184.04</v>
      </c>
    </row>
    <row r="584" spans="1:4" ht="23.25" x14ac:dyDescent="0.25">
      <c r="A584" s="905">
        <v>101200</v>
      </c>
      <c r="B584" s="906" t="s">
        <v>18822</v>
      </c>
      <c r="C584" s="907" t="s">
        <v>16628</v>
      </c>
      <c r="D584" s="908">
        <v>1.48</v>
      </c>
    </row>
    <row r="585" spans="1:4" ht="23.25" x14ac:dyDescent="0.25">
      <c r="A585" s="905">
        <v>101300</v>
      </c>
      <c r="B585" s="906" t="s">
        <v>18823</v>
      </c>
      <c r="C585" s="907" t="s">
        <v>6008</v>
      </c>
      <c r="D585" s="908">
        <v>175.92</v>
      </c>
    </row>
    <row r="586" spans="1:4" ht="15" x14ac:dyDescent="0.25">
      <c r="A586" s="905">
        <v>101500</v>
      </c>
      <c r="B586" s="906" t="s">
        <v>18824</v>
      </c>
      <c r="C586" s="907" t="s">
        <v>227</v>
      </c>
      <c r="D586" s="908">
        <v>2.25</v>
      </c>
    </row>
    <row r="587" spans="1:4" ht="15" x14ac:dyDescent="0.25">
      <c r="A587" s="905">
        <v>101600</v>
      </c>
      <c r="B587" s="906" t="s">
        <v>2441</v>
      </c>
      <c r="C587" s="907" t="s">
        <v>18269</v>
      </c>
      <c r="D587" s="908" t="s">
        <v>18269</v>
      </c>
    </row>
    <row r="588" spans="1:4" ht="15" x14ac:dyDescent="0.25">
      <c r="A588" s="905">
        <v>101601</v>
      </c>
      <c r="B588" s="906" t="s">
        <v>18825</v>
      </c>
      <c r="C588" s="907" t="s">
        <v>227</v>
      </c>
      <c r="D588" s="908">
        <v>63.15</v>
      </c>
    </row>
    <row r="589" spans="1:4" ht="15" x14ac:dyDescent="0.25">
      <c r="A589" s="905">
        <v>101602</v>
      </c>
      <c r="B589" s="906" t="s">
        <v>18826</v>
      </c>
      <c r="C589" s="907" t="s">
        <v>158</v>
      </c>
      <c r="D589" s="908">
        <v>14.89</v>
      </c>
    </row>
    <row r="590" spans="1:4" ht="15" x14ac:dyDescent="0.25">
      <c r="A590" s="905">
        <v>101603</v>
      </c>
      <c r="B590" s="906" t="s">
        <v>18827</v>
      </c>
      <c r="C590" s="907" t="s">
        <v>227</v>
      </c>
      <c r="D590" s="908">
        <v>405.62</v>
      </c>
    </row>
    <row r="591" spans="1:4" ht="15" x14ac:dyDescent="0.25">
      <c r="A591" s="905">
        <v>101700</v>
      </c>
      <c r="B591" s="906" t="s">
        <v>18828</v>
      </c>
      <c r="C591" s="907" t="s">
        <v>227</v>
      </c>
      <c r="D591" s="908">
        <v>6.92</v>
      </c>
    </row>
    <row r="592" spans="1:4" ht="15" x14ac:dyDescent="0.25">
      <c r="A592" s="905">
        <v>101800</v>
      </c>
      <c r="B592" s="906" t="s">
        <v>18829</v>
      </c>
      <c r="C592" s="907" t="s">
        <v>227</v>
      </c>
      <c r="D592" s="908">
        <v>4.03</v>
      </c>
    </row>
    <row r="593" spans="1:4" ht="15" x14ac:dyDescent="0.25">
      <c r="A593" s="905">
        <v>101900</v>
      </c>
      <c r="B593" s="906" t="s">
        <v>18830</v>
      </c>
      <c r="C593" s="907" t="s">
        <v>227</v>
      </c>
      <c r="D593" s="908">
        <v>8.92</v>
      </c>
    </row>
    <row r="594" spans="1:4" ht="23.25" x14ac:dyDescent="0.25">
      <c r="A594" s="905">
        <v>102000</v>
      </c>
      <c r="B594" s="906" t="s">
        <v>18831</v>
      </c>
      <c r="C594" s="907" t="s">
        <v>6008</v>
      </c>
      <c r="D594" s="908">
        <v>100.04</v>
      </c>
    </row>
    <row r="595" spans="1:4" ht="23.25" x14ac:dyDescent="0.25">
      <c r="A595" s="905">
        <v>102100</v>
      </c>
      <c r="B595" s="906" t="s">
        <v>18832</v>
      </c>
      <c r="C595" s="907" t="s">
        <v>227</v>
      </c>
      <c r="D595" s="908">
        <v>130.57</v>
      </c>
    </row>
    <row r="596" spans="1:4" ht="15" x14ac:dyDescent="0.25">
      <c r="A596" s="905">
        <v>102200</v>
      </c>
      <c r="B596" s="906" t="s">
        <v>18833</v>
      </c>
      <c r="C596" s="907" t="s">
        <v>227</v>
      </c>
      <c r="D596" s="908">
        <v>13.32</v>
      </c>
    </row>
    <row r="597" spans="1:4" ht="15" x14ac:dyDescent="0.25">
      <c r="A597" s="905">
        <v>102300</v>
      </c>
      <c r="B597" s="906" t="s">
        <v>18834</v>
      </c>
      <c r="C597" s="907" t="s">
        <v>227</v>
      </c>
      <c r="D597" s="908">
        <v>25.64</v>
      </c>
    </row>
    <row r="598" spans="1:4" ht="15" x14ac:dyDescent="0.25">
      <c r="A598" s="905">
        <v>102400</v>
      </c>
      <c r="B598" s="906" t="s">
        <v>18835</v>
      </c>
      <c r="C598" s="907" t="s">
        <v>18269</v>
      </c>
      <c r="D598" s="908" t="s">
        <v>18269</v>
      </c>
    </row>
    <row r="599" spans="1:4" ht="15" x14ac:dyDescent="0.25">
      <c r="A599" s="905">
        <v>102401</v>
      </c>
      <c r="B599" s="906" t="s">
        <v>18836</v>
      </c>
      <c r="C599" s="907" t="s">
        <v>18837</v>
      </c>
      <c r="D599" s="908">
        <v>0.83</v>
      </c>
    </row>
    <row r="600" spans="1:4" ht="15" x14ac:dyDescent="0.25">
      <c r="A600" s="905">
        <v>102402</v>
      </c>
      <c r="B600" s="906" t="s">
        <v>18838</v>
      </c>
      <c r="C600" s="907" t="s">
        <v>18837</v>
      </c>
      <c r="D600" s="908">
        <v>1.19</v>
      </c>
    </row>
    <row r="601" spans="1:4" ht="15" x14ac:dyDescent="0.25">
      <c r="A601" s="905">
        <v>102403</v>
      </c>
      <c r="B601" s="906" t="s">
        <v>18839</v>
      </c>
      <c r="C601" s="907" t="s">
        <v>18837</v>
      </c>
      <c r="D601" s="908">
        <v>1.6</v>
      </c>
    </row>
    <row r="602" spans="1:4" ht="15" x14ac:dyDescent="0.25">
      <c r="A602" s="905">
        <v>102404</v>
      </c>
      <c r="B602" s="906" t="s">
        <v>18840</v>
      </c>
      <c r="C602" s="907" t="s">
        <v>18837</v>
      </c>
      <c r="D602" s="908">
        <v>3.31</v>
      </c>
    </row>
    <row r="603" spans="1:4" ht="15" x14ac:dyDescent="0.25">
      <c r="A603" s="905">
        <v>102405</v>
      </c>
      <c r="B603" s="906" t="s">
        <v>18841</v>
      </c>
      <c r="C603" s="907" t="s">
        <v>18837</v>
      </c>
      <c r="D603" s="908">
        <v>3.46</v>
      </c>
    </row>
    <row r="604" spans="1:4" ht="15" x14ac:dyDescent="0.25">
      <c r="A604" s="905">
        <v>102406</v>
      </c>
      <c r="B604" s="906" t="s">
        <v>18842</v>
      </c>
      <c r="C604" s="907" t="s">
        <v>18837</v>
      </c>
      <c r="D604" s="908">
        <v>3.76</v>
      </c>
    </row>
    <row r="605" spans="1:4" ht="15" x14ac:dyDescent="0.25">
      <c r="A605" s="905">
        <v>102407</v>
      </c>
      <c r="B605" s="906" t="s">
        <v>18843</v>
      </c>
      <c r="C605" s="907" t="s">
        <v>18837</v>
      </c>
      <c r="D605" s="908">
        <v>4.25</v>
      </c>
    </row>
    <row r="606" spans="1:4" ht="15" x14ac:dyDescent="0.25">
      <c r="A606" s="905">
        <v>102408</v>
      </c>
      <c r="B606" s="906" t="s">
        <v>18844</v>
      </c>
      <c r="C606" s="907" t="s">
        <v>18837</v>
      </c>
      <c r="D606" s="908">
        <v>3.41</v>
      </c>
    </row>
    <row r="607" spans="1:4" ht="15" x14ac:dyDescent="0.25">
      <c r="A607" s="905">
        <v>102501</v>
      </c>
      <c r="B607" s="906" t="s">
        <v>18845</v>
      </c>
      <c r="C607" s="907" t="s">
        <v>227</v>
      </c>
      <c r="D607" s="908">
        <v>70.37</v>
      </c>
    </row>
    <row r="608" spans="1:4" ht="23.25" x14ac:dyDescent="0.25">
      <c r="A608" s="905">
        <v>102503</v>
      </c>
      <c r="B608" s="906" t="s">
        <v>18846</v>
      </c>
      <c r="C608" s="907" t="s">
        <v>227</v>
      </c>
      <c r="D608" s="908">
        <v>44.12</v>
      </c>
    </row>
    <row r="609" spans="1:4" ht="23.25" x14ac:dyDescent="0.25">
      <c r="A609" s="905">
        <v>110000</v>
      </c>
      <c r="B609" s="906" t="s">
        <v>18847</v>
      </c>
      <c r="C609" s="907"/>
      <c r="D609" s="908"/>
    </row>
    <row r="610" spans="1:4" ht="15" x14ac:dyDescent="0.25">
      <c r="A610" s="905">
        <v>110200</v>
      </c>
      <c r="B610" s="906" t="s">
        <v>18848</v>
      </c>
      <c r="C610" s="907" t="s">
        <v>4341</v>
      </c>
      <c r="D610" s="908">
        <v>229.13</v>
      </c>
    </row>
    <row r="611" spans="1:4" ht="15" x14ac:dyDescent="0.25">
      <c r="A611" s="905">
        <v>110300</v>
      </c>
      <c r="B611" s="906" t="s">
        <v>18849</v>
      </c>
      <c r="C611" s="907" t="s">
        <v>4341</v>
      </c>
      <c r="D611" s="908">
        <v>212.35</v>
      </c>
    </row>
    <row r="612" spans="1:4" ht="15" x14ac:dyDescent="0.25">
      <c r="A612" s="905">
        <v>110400</v>
      </c>
      <c r="B612" s="906" t="s">
        <v>18850</v>
      </c>
      <c r="C612" s="907" t="s">
        <v>4341</v>
      </c>
      <c r="D612" s="908">
        <v>242.45</v>
      </c>
    </row>
    <row r="613" spans="1:4" ht="15" x14ac:dyDescent="0.25">
      <c r="A613" s="905">
        <v>110500</v>
      </c>
      <c r="B613" s="906" t="s">
        <v>18851</v>
      </c>
      <c r="C613" s="907" t="s">
        <v>4341</v>
      </c>
      <c r="D613" s="908">
        <v>223.45</v>
      </c>
    </row>
    <row r="614" spans="1:4" ht="15" x14ac:dyDescent="0.25">
      <c r="A614" s="905">
        <v>110600</v>
      </c>
      <c r="B614" s="906" t="s">
        <v>18852</v>
      </c>
      <c r="C614" s="907" t="s">
        <v>4341</v>
      </c>
      <c r="D614" s="908">
        <v>481.16</v>
      </c>
    </row>
    <row r="615" spans="1:4" ht="15" x14ac:dyDescent="0.25">
      <c r="A615" s="905">
        <v>110700</v>
      </c>
      <c r="B615" s="906" t="s">
        <v>18853</v>
      </c>
      <c r="C615" s="907" t="s">
        <v>4341</v>
      </c>
      <c r="D615" s="908">
        <v>101.22</v>
      </c>
    </row>
    <row r="616" spans="1:4" ht="15" x14ac:dyDescent="0.25">
      <c r="A616" s="905">
        <v>110800</v>
      </c>
      <c r="B616" s="906" t="s">
        <v>18854</v>
      </c>
      <c r="C616" s="907" t="s">
        <v>4341</v>
      </c>
      <c r="D616" s="908">
        <v>53.64</v>
      </c>
    </row>
    <row r="617" spans="1:4" ht="15" x14ac:dyDescent="0.25">
      <c r="A617" s="905">
        <v>110900</v>
      </c>
      <c r="B617" s="906" t="s">
        <v>18855</v>
      </c>
      <c r="C617" s="907" t="s">
        <v>4341</v>
      </c>
      <c r="D617" s="908">
        <v>376.81</v>
      </c>
    </row>
    <row r="618" spans="1:4" x14ac:dyDescent="0.2">
      <c r="A618" s="914">
        <v>111000</v>
      </c>
      <c r="B618" s="915" t="s">
        <v>18856</v>
      </c>
      <c r="C618" s="916" t="s">
        <v>4341</v>
      </c>
      <c r="D618" s="904">
        <v>355.26</v>
      </c>
    </row>
    <row r="619" spans="1:4" ht="15" x14ac:dyDescent="0.25">
      <c r="A619" s="905">
        <v>111100</v>
      </c>
      <c r="B619" s="906" t="s">
        <v>18857</v>
      </c>
      <c r="C619" s="907" t="s">
        <v>4341</v>
      </c>
      <c r="D619" s="908">
        <v>308.58999999999997</v>
      </c>
    </row>
    <row r="620" spans="1:4" ht="15" x14ac:dyDescent="0.25">
      <c r="A620" s="905">
        <v>111400</v>
      </c>
      <c r="B620" s="906" t="s">
        <v>18858</v>
      </c>
      <c r="C620" s="907" t="s">
        <v>4341</v>
      </c>
      <c r="D620" s="908">
        <v>195.34</v>
      </c>
    </row>
    <row r="621" spans="1:4" ht="15" x14ac:dyDescent="0.25">
      <c r="A621" s="905">
        <v>111500</v>
      </c>
      <c r="B621" s="906" t="s">
        <v>18859</v>
      </c>
      <c r="C621" s="907" t="s">
        <v>4341</v>
      </c>
      <c r="D621" s="908">
        <v>135.19</v>
      </c>
    </row>
    <row r="622" spans="1:4" ht="15" x14ac:dyDescent="0.25">
      <c r="A622" s="905">
        <v>111700</v>
      </c>
      <c r="B622" s="906" t="s">
        <v>18860</v>
      </c>
      <c r="C622" s="907" t="s">
        <v>4341</v>
      </c>
      <c r="D622" s="908">
        <v>318.66000000000003</v>
      </c>
    </row>
    <row r="623" spans="1:4" ht="15" x14ac:dyDescent="0.25">
      <c r="A623" s="905">
        <v>111800</v>
      </c>
      <c r="B623" s="906" t="s">
        <v>18861</v>
      </c>
      <c r="C623" s="907" t="s">
        <v>4341</v>
      </c>
      <c r="D623" s="908">
        <v>161.38999999999999</v>
      </c>
    </row>
    <row r="624" spans="1:4" ht="15" x14ac:dyDescent="0.25">
      <c r="A624" s="905">
        <v>111900</v>
      </c>
      <c r="B624" s="906" t="s">
        <v>18862</v>
      </c>
      <c r="C624" s="907" t="s">
        <v>4341</v>
      </c>
      <c r="D624" s="908">
        <v>341.09</v>
      </c>
    </row>
    <row r="625" spans="1:4" ht="15" x14ac:dyDescent="0.25">
      <c r="A625" s="905">
        <v>112000</v>
      </c>
      <c r="B625" s="906" t="s">
        <v>18863</v>
      </c>
      <c r="C625" s="907" t="s">
        <v>4341</v>
      </c>
      <c r="D625" s="908">
        <v>442.31</v>
      </c>
    </row>
    <row r="626" spans="1:4" ht="15" x14ac:dyDescent="0.25">
      <c r="A626" s="905">
        <v>112200</v>
      </c>
      <c r="B626" s="906" t="s">
        <v>18864</v>
      </c>
      <c r="C626" s="907" t="s">
        <v>4341</v>
      </c>
      <c r="D626" s="908">
        <v>89.21</v>
      </c>
    </row>
    <row r="627" spans="1:4" ht="15" x14ac:dyDescent="0.25">
      <c r="A627" s="905">
        <v>112300</v>
      </c>
      <c r="B627" s="906" t="s">
        <v>18865</v>
      </c>
      <c r="C627" s="907" t="s">
        <v>4341</v>
      </c>
      <c r="D627" s="908">
        <v>340.17</v>
      </c>
    </row>
    <row r="628" spans="1:4" ht="15" x14ac:dyDescent="0.25">
      <c r="A628" s="905">
        <v>112400</v>
      </c>
      <c r="B628" s="906" t="s">
        <v>18866</v>
      </c>
      <c r="C628" s="907" t="s">
        <v>4341</v>
      </c>
      <c r="D628" s="908">
        <v>31.67</v>
      </c>
    </row>
    <row r="629" spans="1:4" ht="15" x14ac:dyDescent="0.25">
      <c r="A629" s="905">
        <v>112500</v>
      </c>
      <c r="B629" s="906" t="s">
        <v>18867</v>
      </c>
      <c r="C629" s="907" t="s">
        <v>4341</v>
      </c>
      <c r="D629" s="908">
        <v>278.48</v>
      </c>
    </row>
    <row r="630" spans="1:4" ht="15" x14ac:dyDescent="0.25">
      <c r="A630" s="905">
        <v>112600</v>
      </c>
      <c r="B630" s="906" t="s">
        <v>18868</v>
      </c>
      <c r="C630" s="907" t="s">
        <v>4341</v>
      </c>
      <c r="D630" s="908">
        <v>305.36</v>
      </c>
    </row>
    <row r="631" spans="1:4" ht="15" x14ac:dyDescent="0.25">
      <c r="A631" s="905">
        <v>112700</v>
      </c>
      <c r="B631" s="906" t="s">
        <v>18869</v>
      </c>
      <c r="C631" s="907" t="s">
        <v>4341</v>
      </c>
      <c r="D631" s="908">
        <v>147.02000000000001</v>
      </c>
    </row>
    <row r="632" spans="1:4" ht="15" x14ac:dyDescent="0.25">
      <c r="A632" s="905">
        <v>112800</v>
      </c>
      <c r="B632" s="906" t="s">
        <v>18870</v>
      </c>
      <c r="C632" s="907" t="s">
        <v>4341</v>
      </c>
      <c r="D632" s="908">
        <v>482.61</v>
      </c>
    </row>
    <row r="633" spans="1:4" ht="23.25" x14ac:dyDescent="0.25">
      <c r="A633" s="905">
        <v>120000</v>
      </c>
      <c r="B633" s="906" t="s">
        <v>18871</v>
      </c>
      <c r="C633" s="907"/>
      <c r="D633" s="908"/>
    </row>
    <row r="634" spans="1:4" ht="15" x14ac:dyDescent="0.25">
      <c r="A634" s="905">
        <v>120200</v>
      </c>
      <c r="B634" s="906" t="s">
        <v>18872</v>
      </c>
      <c r="C634" s="907" t="s">
        <v>4341</v>
      </c>
      <c r="D634" s="908">
        <v>26.78</v>
      </c>
    </row>
    <row r="635" spans="1:4" ht="15" x14ac:dyDescent="0.25">
      <c r="A635" s="905">
        <v>120300</v>
      </c>
      <c r="B635" s="906" t="s">
        <v>18873</v>
      </c>
      <c r="C635" s="907" t="s">
        <v>4341</v>
      </c>
      <c r="D635" s="908">
        <v>27.71</v>
      </c>
    </row>
    <row r="636" spans="1:4" ht="15" x14ac:dyDescent="0.25">
      <c r="A636" s="905">
        <v>120400</v>
      </c>
      <c r="B636" s="906" t="s">
        <v>18874</v>
      </c>
      <c r="C636" s="907" t="s">
        <v>4341</v>
      </c>
      <c r="D636" s="908">
        <v>30.72</v>
      </c>
    </row>
    <row r="637" spans="1:4" ht="15" x14ac:dyDescent="0.25">
      <c r="A637" s="905">
        <v>120500</v>
      </c>
      <c r="B637" s="906" t="s">
        <v>18875</v>
      </c>
      <c r="C637" s="907" t="s">
        <v>4341</v>
      </c>
      <c r="D637" s="908">
        <v>26.83</v>
      </c>
    </row>
    <row r="638" spans="1:4" ht="15" x14ac:dyDescent="0.25">
      <c r="A638" s="905">
        <v>120600</v>
      </c>
      <c r="B638" s="906" t="s">
        <v>18876</v>
      </c>
      <c r="C638" s="907" t="s">
        <v>4341</v>
      </c>
      <c r="D638" s="908">
        <v>27.66</v>
      </c>
    </row>
    <row r="639" spans="1:4" ht="15" x14ac:dyDescent="0.25">
      <c r="A639" s="905">
        <v>120700</v>
      </c>
      <c r="B639" s="906" t="s">
        <v>18877</v>
      </c>
      <c r="C639" s="907" t="s">
        <v>4341</v>
      </c>
      <c r="D639" s="908">
        <v>27.48</v>
      </c>
    </row>
    <row r="640" spans="1:4" ht="15" x14ac:dyDescent="0.25">
      <c r="A640" s="905">
        <v>120800</v>
      </c>
      <c r="B640" s="906" t="s">
        <v>18878</v>
      </c>
      <c r="C640" s="907" t="s">
        <v>4341</v>
      </c>
      <c r="D640" s="908">
        <v>33.17</v>
      </c>
    </row>
    <row r="641" spans="1:4" ht="15" x14ac:dyDescent="0.25">
      <c r="A641" s="905">
        <v>120900</v>
      </c>
      <c r="B641" s="906" t="s">
        <v>18879</v>
      </c>
      <c r="C641" s="907" t="s">
        <v>4341</v>
      </c>
      <c r="D641" s="908">
        <v>39.54</v>
      </c>
    </row>
    <row r="642" spans="1:4" x14ac:dyDescent="0.2">
      <c r="A642" s="901">
        <v>121000</v>
      </c>
      <c r="B642" s="902" t="s">
        <v>18880</v>
      </c>
      <c r="C642" s="917" t="s">
        <v>4341</v>
      </c>
      <c r="D642" s="904">
        <v>27.06</v>
      </c>
    </row>
    <row r="643" spans="1:4" ht="15" x14ac:dyDescent="0.25">
      <c r="A643" s="905">
        <v>121100</v>
      </c>
      <c r="B643" s="906" t="s">
        <v>18881</v>
      </c>
      <c r="C643" s="907" t="s">
        <v>4341</v>
      </c>
      <c r="D643" s="908">
        <v>21.99</v>
      </c>
    </row>
    <row r="644" spans="1:4" ht="15" x14ac:dyDescent="0.25">
      <c r="A644" s="905">
        <v>121200</v>
      </c>
      <c r="B644" s="906" t="s">
        <v>18882</v>
      </c>
      <c r="C644" s="907" t="s">
        <v>4341</v>
      </c>
      <c r="D644" s="908">
        <v>58.39</v>
      </c>
    </row>
    <row r="645" spans="1:4" ht="15" x14ac:dyDescent="0.25">
      <c r="A645" s="905">
        <v>121300</v>
      </c>
      <c r="B645" s="906" t="s">
        <v>18883</v>
      </c>
      <c r="C645" s="907" t="s">
        <v>4341</v>
      </c>
      <c r="D645" s="908">
        <v>161.07</v>
      </c>
    </row>
    <row r="646" spans="1:4" ht="15" x14ac:dyDescent="0.25">
      <c r="A646" s="905">
        <v>130000</v>
      </c>
      <c r="B646" s="906" t="s">
        <v>18884</v>
      </c>
      <c r="C646" s="907"/>
      <c r="D646" s="908"/>
    </row>
    <row r="647" spans="1:4" ht="15" x14ac:dyDescent="0.25">
      <c r="A647" s="905">
        <v>130100</v>
      </c>
      <c r="B647" s="906" t="s">
        <v>18885</v>
      </c>
      <c r="C647" s="907" t="s">
        <v>18269</v>
      </c>
      <c r="D647" s="908" t="s">
        <v>18269</v>
      </c>
    </row>
    <row r="648" spans="1:4" ht="15" x14ac:dyDescent="0.25">
      <c r="A648" s="905">
        <v>130101</v>
      </c>
      <c r="B648" s="906" t="s">
        <v>18886</v>
      </c>
      <c r="C648" s="907" t="s">
        <v>158</v>
      </c>
      <c r="D648" s="908">
        <v>149.32</v>
      </c>
    </row>
    <row r="649" spans="1:4" ht="15" x14ac:dyDescent="0.25">
      <c r="A649" s="905">
        <v>130102</v>
      </c>
      <c r="B649" s="906" t="s">
        <v>18887</v>
      </c>
      <c r="C649" s="907" t="s">
        <v>158</v>
      </c>
      <c r="D649" s="908">
        <v>475.15</v>
      </c>
    </row>
    <row r="650" spans="1:4" ht="15" x14ac:dyDescent="0.25">
      <c r="A650" s="905">
        <v>130103</v>
      </c>
      <c r="B650" s="906" t="s">
        <v>18888</v>
      </c>
      <c r="C650" s="907" t="s">
        <v>158</v>
      </c>
      <c r="D650" s="908">
        <v>150.78</v>
      </c>
    </row>
    <row r="651" spans="1:4" ht="15" x14ac:dyDescent="0.25">
      <c r="A651" s="905">
        <v>130104</v>
      </c>
      <c r="B651" s="906" t="s">
        <v>18889</v>
      </c>
      <c r="C651" s="907" t="s">
        <v>158</v>
      </c>
      <c r="D651" s="908">
        <v>530.84</v>
      </c>
    </row>
    <row r="652" spans="1:4" ht="15" x14ac:dyDescent="0.25">
      <c r="A652" s="905">
        <v>130105</v>
      </c>
      <c r="B652" s="906" t="s">
        <v>18890</v>
      </c>
      <c r="C652" s="907" t="s">
        <v>158</v>
      </c>
      <c r="D652" s="908">
        <v>177.37</v>
      </c>
    </row>
    <row r="653" spans="1:4" ht="15" x14ac:dyDescent="0.25">
      <c r="A653" s="905">
        <v>130106</v>
      </c>
      <c r="B653" s="906" t="s">
        <v>18891</v>
      </c>
      <c r="C653" s="907" t="s">
        <v>158</v>
      </c>
      <c r="D653" s="908">
        <v>582.71</v>
      </c>
    </row>
    <row r="654" spans="1:4" ht="15" x14ac:dyDescent="0.25">
      <c r="A654" s="905">
        <v>130107</v>
      </c>
      <c r="B654" s="906" t="s">
        <v>18892</v>
      </c>
      <c r="C654" s="907" t="s">
        <v>158</v>
      </c>
      <c r="D654" s="908">
        <v>180.34</v>
      </c>
    </row>
    <row r="655" spans="1:4" x14ac:dyDescent="0.2">
      <c r="A655" s="901">
        <v>130108</v>
      </c>
      <c r="B655" s="902" t="s">
        <v>18893</v>
      </c>
      <c r="C655" s="903" t="s">
        <v>158</v>
      </c>
      <c r="D655" s="904">
        <v>614.78</v>
      </c>
    </row>
    <row r="656" spans="1:4" ht="15" x14ac:dyDescent="0.25">
      <c r="A656" s="905">
        <v>130109</v>
      </c>
      <c r="B656" s="906" t="s">
        <v>18894</v>
      </c>
      <c r="C656" s="907" t="s">
        <v>158</v>
      </c>
      <c r="D656" s="908">
        <v>199.82</v>
      </c>
    </row>
    <row r="657" spans="1:4" ht="15" x14ac:dyDescent="0.25">
      <c r="A657" s="905">
        <v>130110</v>
      </c>
      <c r="B657" s="906" t="s">
        <v>18895</v>
      </c>
      <c r="C657" s="907" t="s">
        <v>158</v>
      </c>
      <c r="D657" s="908">
        <v>676.36</v>
      </c>
    </row>
    <row r="658" spans="1:4" ht="15" x14ac:dyDescent="0.25">
      <c r="A658" s="905">
        <v>130111</v>
      </c>
      <c r="B658" s="906" t="s">
        <v>18896</v>
      </c>
      <c r="C658" s="907" t="s">
        <v>158</v>
      </c>
      <c r="D658" s="908">
        <v>224.13</v>
      </c>
    </row>
    <row r="659" spans="1:4" ht="15" x14ac:dyDescent="0.25">
      <c r="A659" s="905">
        <v>130112</v>
      </c>
      <c r="B659" s="906" t="s">
        <v>18897</v>
      </c>
      <c r="C659" s="907" t="s">
        <v>158</v>
      </c>
      <c r="D659" s="908">
        <v>775.7</v>
      </c>
    </row>
    <row r="660" spans="1:4" ht="15" x14ac:dyDescent="0.25">
      <c r="A660" s="905">
        <v>130113</v>
      </c>
      <c r="B660" s="906" t="s">
        <v>18898</v>
      </c>
      <c r="C660" s="907" t="s">
        <v>158</v>
      </c>
      <c r="D660" s="908">
        <v>256.25</v>
      </c>
    </row>
    <row r="661" spans="1:4" ht="15" x14ac:dyDescent="0.25">
      <c r="A661" s="905">
        <v>130114</v>
      </c>
      <c r="B661" s="906" t="s">
        <v>18899</v>
      </c>
      <c r="C661" s="907" t="s">
        <v>158</v>
      </c>
      <c r="D661" s="908">
        <v>868.13</v>
      </c>
    </row>
    <row r="662" spans="1:4" ht="15" x14ac:dyDescent="0.25">
      <c r="A662" s="905">
        <v>130115</v>
      </c>
      <c r="B662" s="906" t="s">
        <v>18900</v>
      </c>
      <c r="C662" s="907" t="s">
        <v>158</v>
      </c>
      <c r="D662" s="908">
        <v>328.34</v>
      </c>
    </row>
    <row r="663" spans="1:4" ht="15" x14ac:dyDescent="0.25">
      <c r="A663" s="905">
        <v>130116</v>
      </c>
      <c r="B663" s="906" t="s">
        <v>18901</v>
      </c>
      <c r="C663" s="907" t="s">
        <v>158</v>
      </c>
      <c r="D663" s="908">
        <v>1183.22</v>
      </c>
    </row>
    <row r="664" spans="1:4" ht="23.25" x14ac:dyDescent="0.25">
      <c r="A664" s="905">
        <v>130200</v>
      </c>
      <c r="B664" s="906" t="s">
        <v>18902</v>
      </c>
      <c r="C664" s="907" t="s">
        <v>18269</v>
      </c>
      <c r="D664" s="908" t="s">
        <v>18269</v>
      </c>
    </row>
    <row r="665" spans="1:4" ht="23.25" x14ac:dyDescent="0.25">
      <c r="A665" s="905">
        <v>130201</v>
      </c>
      <c r="B665" s="906" t="s">
        <v>18903</v>
      </c>
      <c r="C665" s="907" t="s">
        <v>6008</v>
      </c>
      <c r="D665" s="908">
        <v>0.69</v>
      </c>
    </row>
    <row r="666" spans="1:4" ht="23.25" x14ac:dyDescent="0.25">
      <c r="A666" s="905">
        <v>130202</v>
      </c>
      <c r="B666" s="906" t="s">
        <v>18904</v>
      </c>
      <c r="C666" s="907" t="s">
        <v>159</v>
      </c>
      <c r="D666" s="908">
        <v>139.36000000000001</v>
      </c>
    </row>
    <row r="667" spans="1:4" ht="34.5" x14ac:dyDescent="0.25">
      <c r="A667" s="905">
        <v>130203</v>
      </c>
      <c r="B667" s="906" t="s">
        <v>18905</v>
      </c>
      <c r="C667" s="907" t="s">
        <v>6008</v>
      </c>
      <c r="D667" s="908">
        <v>8.0500000000000007</v>
      </c>
    </row>
    <row r="668" spans="1:4" ht="34.5" x14ac:dyDescent="0.25">
      <c r="A668" s="905">
        <v>130204</v>
      </c>
      <c r="B668" s="906" t="s">
        <v>18906</v>
      </c>
      <c r="C668" s="907" t="s">
        <v>6008</v>
      </c>
      <c r="D668" s="908">
        <v>8.36</v>
      </c>
    </row>
    <row r="669" spans="1:4" ht="23.25" x14ac:dyDescent="0.25">
      <c r="A669" s="905">
        <v>130205</v>
      </c>
      <c r="B669" s="906" t="s">
        <v>18907</v>
      </c>
      <c r="C669" s="907" t="s">
        <v>159</v>
      </c>
      <c r="D669" s="908">
        <v>31.39</v>
      </c>
    </row>
    <row r="670" spans="1:4" ht="23.25" x14ac:dyDescent="0.25">
      <c r="A670" s="905">
        <v>130206</v>
      </c>
      <c r="B670" s="906" t="s">
        <v>18908</v>
      </c>
      <c r="C670" s="907" t="s">
        <v>6008</v>
      </c>
      <c r="D670" s="908">
        <v>17.14</v>
      </c>
    </row>
    <row r="671" spans="1:4" ht="15" x14ac:dyDescent="0.25">
      <c r="A671" s="905">
        <v>140000</v>
      </c>
      <c r="B671" s="906" t="s">
        <v>18909</v>
      </c>
      <c r="C671" s="907"/>
      <c r="D671" s="908"/>
    </row>
    <row r="672" spans="1:4" ht="15" x14ac:dyDescent="0.25">
      <c r="A672" s="905">
        <v>140100</v>
      </c>
      <c r="B672" s="906" t="s">
        <v>18910</v>
      </c>
      <c r="C672" s="907" t="s">
        <v>18269</v>
      </c>
      <c r="D672" s="908" t="s">
        <v>18269</v>
      </c>
    </row>
    <row r="673" spans="1:4" ht="15" x14ac:dyDescent="0.25">
      <c r="A673" s="905">
        <v>140101</v>
      </c>
      <c r="B673" s="906" t="s">
        <v>18455</v>
      </c>
      <c r="C673" s="907" t="s">
        <v>159</v>
      </c>
      <c r="D673" s="908">
        <v>58.36</v>
      </c>
    </row>
    <row r="674" spans="1:4" ht="45.75" x14ac:dyDescent="0.25">
      <c r="A674" s="905">
        <v>140102</v>
      </c>
      <c r="B674" s="906" t="s">
        <v>18911</v>
      </c>
      <c r="C674" s="907" t="s">
        <v>159</v>
      </c>
      <c r="D674" s="908">
        <v>86.82</v>
      </c>
    </row>
    <row r="675" spans="1:4" ht="15" x14ac:dyDescent="0.25">
      <c r="A675" s="905">
        <v>140103</v>
      </c>
      <c r="B675" s="906" t="s">
        <v>18912</v>
      </c>
      <c r="C675" s="907" t="s">
        <v>159</v>
      </c>
      <c r="D675" s="908">
        <v>40.78</v>
      </c>
    </row>
    <row r="676" spans="1:4" ht="23.25" x14ac:dyDescent="0.25">
      <c r="A676" s="905">
        <v>140104</v>
      </c>
      <c r="B676" s="906" t="s">
        <v>18913</v>
      </c>
      <c r="C676" s="907" t="s">
        <v>159</v>
      </c>
      <c r="D676" s="908">
        <v>32.130000000000003</v>
      </c>
    </row>
    <row r="677" spans="1:4" ht="23.25" x14ac:dyDescent="0.25">
      <c r="A677" s="905">
        <v>140105</v>
      </c>
      <c r="B677" s="906" t="s">
        <v>18914</v>
      </c>
      <c r="C677" s="907" t="s">
        <v>159</v>
      </c>
      <c r="D677" s="908">
        <v>32.130000000000003</v>
      </c>
    </row>
    <row r="678" spans="1:4" ht="23.25" x14ac:dyDescent="0.25">
      <c r="A678" s="905">
        <v>140106</v>
      </c>
      <c r="B678" s="906" t="s">
        <v>18915</v>
      </c>
      <c r="C678" s="907" t="s">
        <v>159</v>
      </c>
      <c r="D678" s="908">
        <v>32.130000000000003</v>
      </c>
    </row>
    <row r="679" spans="1:4" ht="23.25" x14ac:dyDescent="0.25">
      <c r="A679" s="905">
        <v>140107</v>
      </c>
      <c r="B679" s="906" t="s">
        <v>18916</v>
      </c>
      <c r="C679" s="907" t="s">
        <v>159</v>
      </c>
      <c r="D679" s="908">
        <v>32.130000000000003</v>
      </c>
    </row>
    <row r="680" spans="1:4" ht="32.25" x14ac:dyDescent="0.2">
      <c r="A680" s="901">
        <v>140108</v>
      </c>
      <c r="B680" s="902" t="s">
        <v>18917</v>
      </c>
      <c r="C680" s="903" t="s">
        <v>159</v>
      </c>
      <c r="D680" s="904">
        <v>32.130000000000003</v>
      </c>
    </row>
    <row r="681" spans="1:4" ht="23.25" x14ac:dyDescent="0.25">
      <c r="A681" s="905">
        <v>140109</v>
      </c>
      <c r="B681" s="906" t="s">
        <v>18918</v>
      </c>
      <c r="C681" s="907" t="s">
        <v>159</v>
      </c>
      <c r="D681" s="908">
        <v>32.130000000000003</v>
      </c>
    </row>
    <row r="682" spans="1:4" ht="15" x14ac:dyDescent="0.25">
      <c r="A682" s="905">
        <v>140110</v>
      </c>
      <c r="B682" s="906" t="s">
        <v>18919</v>
      </c>
      <c r="C682" s="907" t="s">
        <v>159</v>
      </c>
      <c r="D682" s="908">
        <v>24.33</v>
      </c>
    </row>
    <row r="683" spans="1:4" ht="15" x14ac:dyDescent="0.25">
      <c r="A683" s="905">
        <v>140111</v>
      </c>
      <c r="B683" s="906" t="s">
        <v>18920</v>
      </c>
      <c r="C683" s="907" t="s">
        <v>159</v>
      </c>
      <c r="D683" s="908">
        <v>43.98</v>
      </c>
    </row>
    <row r="684" spans="1:4" ht="15" x14ac:dyDescent="0.25">
      <c r="A684" s="905">
        <v>140200</v>
      </c>
      <c r="B684" s="906" t="s">
        <v>18921</v>
      </c>
      <c r="C684" s="907" t="s">
        <v>18269</v>
      </c>
      <c r="D684" s="908" t="s">
        <v>18269</v>
      </c>
    </row>
    <row r="685" spans="1:4" ht="15" x14ac:dyDescent="0.25">
      <c r="A685" s="905">
        <v>140201</v>
      </c>
      <c r="B685" s="906" t="s">
        <v>18922</v>
      </c>
      <c r="C685" s="907" t="s">
        <v>159</v>
      </c>
      <c r="D685" s="908">
        <v>135.29</v>
      </c>
    </row>
    <row r="686" spans="1:4" ht="23.25" x14ac:dyDescent="0.25">
      <c r="A686" s="905">
        <v>140202</v>
      </c>
      <c r="B686" s="906" t="s">
        <v>18923</v>
      </c>
      <c r="C686" s="907" t="s">
        <v>159</v>
      </c>
      <c r="D686" s="908">
        <v>111.43</v>
      </c>
    </row>
    <row r="687" spans="1:4" ht="15" x14ac:dyDescent="0.25">
      <c r="A687" s="905">
        <v>140203</v>
      </c>
      <c r="B687" s="906" t="s">
        <v>18924</v>
      </c>
      <c r="C687" s="907" t="s">
        <v>159</v>
      </c>
      <c r="D687" s="908">
        <v>114.62</v>
      </c>
    </row>
    <row r="688" spans="1:4" ht="23.25" x14ac:dyDescent="0.25">
      <c r="A688" s="905">
        <v>140204</v>
      </c>
      <c r="B688" s="906" t="s">
        <v>18925</v>
      </c>
      <c r="C688" s="907" t="s">
        <v>159</v>
      </c>
      <c r="D688" s="908">
        <v>39.51</v>
      </c>
    </row>
    <row r="689" spans="1:4" ht="23.25" x14ac:dyDescent="0.25">
      <c r="A689" s="905">
        <v>140205</v>
      </c>
      <c r="B689" s="906" t="s">
        <v>18926</v>
      </c>
      <c r="C689" s="907" t="s">
        <v>159</v>
      </c>
      <c r="D689" s="908">
        <v>46.9</v>
      </c>
    </row>
    <row r="690" spans="1:4" ht="23.25" x14ac:dyDescent="0.25">
      <c r="A690" s="905">
        <v>140206</v>
      </c>
      <c r="B690" s="906" t="s">
        <v>18927</v>
      </c>
      <c r="C690" s="907" t="s">
        <v>159</v>
      </c>
      <c r="D690" s="908">
        <v>54.28</v>
      </c>
    </row>
    <row r="691" spans="1:4" ht="23.25" x14ac:dyDescent="0.25">
      <c r="A691" s="905">
        <v>140207</v>
      </c>
      <c r="B691" s="906" t="s">
        <v>18928</v>
      </c>
      <c r="C691" s="907" t="s">
        <v>159</v>
      </c>
      <c r="D691" s="908">
        <v>61.67</v>
      </c>
    </row>
    <row r="692" spans="1:4" ht="23.25" x14ac:dyDescent="0.25">
      <c r="A692" s="905">
        <v>140208</v>
      </c>
      <c r="B692" s="906" t="s">
        <v>18929</v>
      </c>
      <c r="C692" s="907" t="s">
        <v>159</v>
      </c>
      <c r="D692" s="908">
        <v>69.05</v>
      </c>
    </row>
    <row r="693" spans="1:4" ht="23.25" x14ac:dyDescent="0.25">
      <c r="A693" s="905">
        <v>140209</v>
      </c>
      <c r="B693" s="906" t="s">
        <v>18930</v>
      </c>
      <c r="C693" s="907" t="s">
        <v>159</v>
      </c>
      <c r="D693" s="908">
        <v>76.44</v>
      </c>
    </row>
    <row r="694" spans="1:4" ht="15" x14ac:dyDescent="0.25">
      <c r="A694" s="905">
        <v>140210</v>
      </c>
      <c r="B694" s="906" t="s">
        <v>18931</v>
      </c>
      <c r="C694" s="907" t="s">
        <v>159</v>
      </c>
      <c r="D694" s="908">
        <v>98.18</v>
      </c>
    </row>
    <row r="695" spans="1:4" ht="15" x14ac:dyDescent="0.25">
      <c r="A695" s="905">
        <v>140211</v>
      </c>
      <c r="B695" s="906" t="s">
        <v>18932</v>
      </c>
      <c r="C695" s="907" t="s">
        <v>159</v>
      </c>
      <c r="D695" s="908">
        <v>117.82</v>
      </c>
    </row>
    <row r="696" spans="1:4" ht="15" x14ac:dyDescent="0.25">
      <c r="A696" s="905">
        <v>150000</v>
      </c>
      <c r="B696" s="906" t="s">
        <v>18933</v>
      </c>
      <c r="C696" s="907"/>
      <c r="D696" s="908"/>
    </row>
    <row r="697" spans="1:4" ht="34.5" x14ac:dyDescent="0.25">
      <c r="A697" s="905">
        <v>150100</v>
      </c>
      <c r="B697" s="906" t="s">
        <v>18934</v>
      </c>
      <c r="C697" s="907" t="s">
        <v>159</v>
      </c>
      <c r="D697" s="908">
        <v>353.02</v>
      </c>
    </row>
    <row r="698" spans="1:4" ht="15" x14ac:dyDescent="0.25">
      <c r="A698" s="905">
        <v>150200</v>
      </c>
      <c r="B698" s="906" t="s">
        <v>18935</v>
      </c>
      <c r="C698" s="907" t="s">
        <v>159</v>
      </c>
      <c r="D698" s="908">
        <v>157.75</v>
      </c>
    </row>
    <row r="699" spans="1:4" ht="23.25" x14ac:dyDescent="0.25">
      <c r="A699" s="905">
        <v>150300</v>
      </c>
      <c r="B699" s="906" t="s">
        <v>18936</v>
      </c>
      <c r="C699" s="907" t="s">
        <v>158</v>
      </c>
      <c r="D699" s="908">
        <v>98.33</v>
      </c>
    </row>
    <row r="700" spans="1:4" ht="34.5" x14ac:dyDescent="0.25">
      <c r="A700" s="905">
        <v>150400</v>
      </c>
      <c r="B700" s="906" t="s">
        <v>18937</v>
      </c>
      <c r="C700" s="907" t="s">
        <v>18269</v>
      </c>
      <c r="D700" s="908" t="s">
        <v>18269</v>
      </c>
    </row>
    <row r="701" spans="1:4" ht="45.75" x14ac:dyDescent="0.25">
      <c r="A701" s="905">
        <v>150401</v>
      </c>
      <c r="B701" s="906" t="s">
        <v>18938</v>
      </c>
      <c r="C701" s="907" t="s">
        <v>158</v>
      </c>
      <c r="D701" s="908">
        <v>322.95</v>
      </c>
    </row>
    <row r="702" spans="1:4" ht="45.75" x14ac:dyDescent="0.25">
      <c r="A702" s="905">
        <v>150402</v>
      </c>
      <c r="B702" s="906" t="s">
        <v>18939</v>
      </c>
      <c r="C702" s="907" t="s">
        <v>158</v>
      </c>
      <c r="D702" s="908">
        <v>355.54</v>
      </c>
    </row>
    <row r="703" spans="1:4" ht="45.75" x14ac:dyDescent="0.25">
      <c r="A703" s="905">
        <v>150403</v>
      </c>
      <c r="B703" s="906" t="s">
        <v>18940</v>
      </c>
      <c r="C703" s="907" t="s">
        <v>158</v>
      </c>
      <c r="D703" s="908">
        <v>387.16</v>
      </c>
    </row>
    <row r="704" spans="1:4" ht="45.75" x14ac:dyDescent="0.25">
      <c r="A704" s="905">
        <v>150404</v>
      </c>
      <c r="B704" s="906" t="s">
        <v>18941</v>
      </c>
      <c r="C704" s="907" t="s">
        <v>158</v>
      </c>
      <c r="D704" s="908">
        <v>419.74</v>
      </c>
    </row>
    <row r="705" spans="1:4" ht="42.75" x14ac:dyDescent="0.2">
      <c r="A705" s="901">
        <v>150405</v>
      </c>
      <c r="B705" s="902" t="s">
        <v>18942</v>
      </c>
      <c r="C705" s="903" t="s">
        <v>158</v>
      </c>
      <c r="D705" s="904">
        <v>452.33</v>
      </c>
    </row>
    <row r="706" spans="1:4" ht="34.5" x14ac:dyDescent="0.25">
      <c r="A706" s="905">
        <v>150500</v>
      </c>
      <c r="B706" s="906" t="s">
        <v>18943</v>
      </c>
      <c r="C706" s="907" t="s">
        <v>18269</v>
      </c>
      <c r="D706" s="908" t="s">
        <v>18269</v>
      </c>
    </row>
    <row r="707" spans="1:4" ht="34.5" x14ac:dyDescent="0.25">
      <c r="A707" s="905">
        <v>150501</v>
      </c>
      <c r="B707" s="906" t="s">
        <v>18944</v>
      </c>
      <c r="C707" s="907" t="s">
        <v>158</v>
      </c>
      <c r="D707" s="908">
        <v>328.78</v>
      </c>
    </row>
    <row r="708" spans="1:4" ht="34.5" x14ac:dyDescent="0.25">
      <c r="A708" s="905">
        <v>150502</v>
      </c>
      <c r="B708" s="906" t="s">
        <v>18945</v>
      </c>
      <c r="C708" s="907" t="s">
        <v>158</v>
      </c>
      <c r="D708" s="908">
        <v>362.34</v>
      </c>
    </row>
    <row r="709" spans="1:4" ht="34.5" x14ac:dyDescent="0.25">
      <c r="A709" s="905">
        <v>150503</v>
      </c>
      <c r="B709" s="906" t="s">
        <v>18946</v>
      </c>
      <c r="C709" s="907" t="s">
        <v>158</v>
      </c>
      <c r="D709" s="908">
        <v>394.93</v>
      </c>
    </row>
    <row r="710" spans="1:4" ht="34.5" x14ac:dyDescent="0.25">
      <c r="A710" s="905">
        <v>150504</v>
      </c>
      <c r="B710" s="906" t="s">
        <v>18947</v>
      </c>
      <c r="C710" s="907" t="s">
        <v>158</v>
      </c>
      <c r="D710" s="908">
        <v>427.52</v>
      </c>
    </row>
    <row r="711" spans="1:4" ht="23.25" x14ac:dyDescent="0.25">
      <c r="A711" s="905">
        <v>150600</v>
      </c>
      <c r="B711" s="906" t="s">
        <v>18948</v>
      </c>
      <c r="C711" s="907" t="s">
        <v>18269</v>
      </c>
      <c r="D711" s="908" t="s">
        <v>18269</v>
      </c>
    </row>
    <row r="712" spans="1:4" ht="23.25" x14ac:dyDescent="0.25">
      <c r="A712" s="905">
        <v>150601</v>
      </c>
      <c r="B712" s="906" t="s">
        <v>18949</v>
      </c>
      <c r="C712" s="907" t="s">
        <v>158</v>
      </c>
      <c r="D712" s="908">
        <v>5607.79</v>
      </c>
    </row>
    <row r="713" spans="1:4" ht="23.25" x14ac:dyDescent="0.25">
      <c r="A713" s="905">
        <v>150602</v>
      </c>
      <c r="B713" s="906" t="s">
        <v>18950</v>
      </c>
      <c r="C713" s="907" t="s">
        <v>158</v>
      </c>
      <c r="D713" s="908">
        <v>6403.96</v>
      </c>
    </row>
    <row r="714" spans="1:4" ht="23.25" x14ac:dyDescent="0.25">
      <c r="A714" s="905">
        <v>150603</v>
      </c>
      <c r="B714" s="906" t="s">
        <v>18951</v>
      </c>
      <c r="C714" s="907" t="s">
        <v>158</v>
      </c>
      <c r="D714" s="908">
        <v>7027.05</v>
      </c>
    </row>
    <row r="715" spans="1:4" ht="23.25" x14ac:dyDescent="0.25">
      <c r="A715" s="905">
        <v>150604</v>
      </c>
      <c r="B715" s="906" t="s">
        <v>18952</v>
      </c>
      <c r="C715" s="907" t="s">
        <v>158</v>
      </c>
      <c r="D715" s="908">
        <v>7788.6</v>
      </c>
    </row>
    <row r="716" spans="1:4" ht="23.25" x14ac:dyDescent="0.25">
      <c r="A716" s="905">
        <v>150605</v>
      </c>
      <c r="B716" s="906" t="s">
        <v>18953</v>
      </c>
      <c r="C716" s="907" t="s">
        <v>158</v>
      </c>
      <c r="D716" s="908">
        <v>8446.31</v>
      </c>
    </row>
    <row r="717" spans="1:4" ht="23.25" x14ac:dyDescent="0.25">
      <c r="A717" s="905">
        <v>150606</v>
      </c>
      <c r="B717" s="906" t="s">
        <v>18954</v>
      </c>
      <c r="C717" s="907" t="s">
        <v>158</v>
      </c>
      <c r="D717" s="908">
        <v>9207.86</v>
      </c>
    </row>
    <row r="718" spans="1:4" ht="23.25" x14ac:dyDescent="0.25">
      <c r="A718" s="905">
        <v>150607</v>
      </c>
      <c r="B718" s="906" t="s">
        <v>18955</v>
      </c>
      <c r="C718" s="907" t="s">
        <v>158</v>
      </c>
      <c r="D718" s="908">
        <v>9830.9500000000007</v>
      </c>
    </row>
    <row r="719" spans="1:4" ht="23.25" x14ac:dyDescent="0.25">
      <c r="A719" s="905">
        <v>150608</v>
      </c>
      <c r="B719" s="906" t="s">
        <v>18956</v>
      </c>
      <c r="C719" s="907" t="s">
        <v>158</v>
      </c>
      <c r="D719" s="908">
        <v>10592.5</v>
      </c>
    </row>
    <row r="720" spans="1:4" ht="23.25" x14ac:dyDescent="0.25">
      <c r="A720" s="905">
        <v>150609</v>
      </c>
      <c r="B720" s="906" t="s">
        <v>18957</v>
      </c>
      <c r="C720" s="907" t="s">
        <v>158</v>
      </c>
      <c r="D720" s="908">
        <v>11250.2</v>
      </c>
    </row>
    <row r="721" spans="1:4" ht="23.25" x14ac:dyDescent="0.25">
      <c r="A721" s="905">
        <v>150610</v>
      </c>
      <c r="B721" s="906" t="s">
        <v>18958</v>
      </c>
      <c r="C721" s="907" t="s">
        <v>158</v>
      </c>
      <c r="D721" s="908">
        <v>8256.41</v>
      </c>
    </row>
    <row r="722" spans="1:4" ht="23.25" x14ac:dyDescent="0.25">
      <c r="A722" s="905">
        <v>150611</v>
      </c>
      <c r="B722" s="906" t="s">
        <v>18959</v>
      </c>
      <c r="C722" s="907" t="s">
        <v>158</v>
      </c>
      <c r="D722" s="908">
        <v>9148.1</v>
      </c>
    </row>
    <row r="723" spans="1:4" ht="23.25" x14ac:dyDescent="0.25">
      <c r="A723" s="905">
        <v>150612</v>
      </c>
      <c r="B723" s="906" t="s">
        <v>18960</v>
      </c>
      <c r="C723" s="907" t="s">
        <v>158</v>
      </c>
      <c r="D723" s="908">
        <v>9907.69</v>
      </c>
    </row>
    <row r="724" spans="1:4" ht="23.25" x14ac:dyDescent="0.25">
      <c r="A724" s="905">
        <v>150613</v>
      </c>
      <c r="B724" s="906" t="s">
        <v>18961</v>
      </c>
      <c r="C724" s="907" t="s">
        <v>158</v>
      </c>
      <c r="D724" s="908">
        <v>10799.39</v>
      </c>
    </row>
    <row r="725" spans="1:4" ht="23.25" x14ac:dyDescent="0.25">
      <c r="A725" s="905">
        <v>150614</v>
      </c>
      <c r="B725" s="906" t="s">
        <v>18962</v>
      </c>
      <c r="C725" s="907" t="s">
        <v>158</v>
      </c>
      <c r="D725" s="908">
        <v>11558.98</v>
      </c>
    </row>
    <row r="726" spans="1:4" ht="23.25" x14ac:dyDescent="0.25">
      <c r="A726" s="905">
        <v>150615</v>
      </c>
      <c r="B726" s="906" t="s">
        <v>18963</v>
      </c>
      <c r="C726" s="907" t="s">
        <v>158</v>
      </c>
      <c r="D726" s="908">
        <v>12450.67</v>
      </c>
    </row>
    <row r="727" spans="1:4" ht="23.25" x14ac:dyDescent="0.25">
      <c r="A727" s="905">
        <v>150616</v>
      </c>
      <c r="B727" s="906" t="s">
        <v>18964</v>
      </c>
      <c r="C727" s="907" t="s">
        <v>158</v>
      </c>
      <c r="D727" s="908">
        <v>13210.26</v>
      </c>
    </row>
    <row r="728" spans="1:4" ht="23.25" x14ac:dyDescent="0.25">
      <c r="A728" s="905">
        <v>150700</v>
      </c>
      <c r="B728" s="906" t="s">
        <v>18965</v>
      </c>
      <c r="C728" s="907" t="s">
        <v>18269</v>
      </c>
      <c r="D728" s="908" t="s">
        <v>18269</v>
      </c>
    </row>
    <row r="729" spans="1:4" ht="23.25" x14ac:dyDescent="0.25">
      <c r="A729" s="905">
        <v>150701</v>
      </c>
      <c r="B729" s="906" t="s">
        <v>18966</v>
      </c>
      <c r="C729" s="907" t="s">
        <v>158</v>
      </c>
      <c r="D729" s="908">
        <v>3537.67</v>
      </c>
    </row>
    <row r="730" spans="1:4" ht="23.25" x14ac:dyDescent="0.25">
      <c r="A730" s="905">
        <v>150702</v>
      </c>
      <c r="B730" s="906" t="s">
        <v>18967</v>
      </c>
      <c r="C730" s="907" t="s">
        <v>158</v>
      </c>
      <c r="D730" s="908">
        <v>4039.79</v>
      </c>
    </row>
    <row r="731" spans="1:4" ht="23.25" x14ac:dyDescent="0.25">
      <c r="A731" s="905">
        <v>150703</v>
      </c>
      <c r="B731" s="906" t="s">
        <v>18968</v>
      </c>
      <c r="C731" s="907" t="s">
        <v>158</v>
      </c>
      <c r="D731" s="908">
        <v>4450.62</v>
      </c>
    </row>
    <row r="732" spans="1:4" ht="23.25" x14ac:dyDescent="0.25">
      <c r="A732" s="905">
        <v>150704</v>
      </c>
      <c r="B732" s="906" t="s">
        <v>18969</v>
      </c>
      <c r="C732" s="907" t="s">
        <v>158</v>
      </c>
      <c r="D732" s="908">
        <v>4952.74</v>
      </c>
    </row>
    <row r="733" spans="1:4" ht="23.25" x14ac:dyDescent="0.25">
      <c r="A733" s="905">
        <v>150705</v>
      </c>
      <c r="B733" s="906" t="s">
        <v>18970</v>
      </c>
      <c r="C733" s="907" t="s">
        <v>158</v>
      </c>
      <c r="D733" s="908">
        <v>5340.75</v>
      </c>
    </row>
    <row r="734" spans="1:4" ht="23.25" x14ac:dyDescent="0.25">
      <c r="A734" s="905">
        <v>150706</v>
      </c>
      <c r="B734" s="906" t="s">
        <v>18971</v>
      </c>
      <c r="C734" s="907" t="s">
        <v>158</v>
      </c>
      <c r="D734" s="908">
        <v>5797.22</v>
      </c>
    </row>
    <row r="735" spans="1:4" ht="23.25" x14ac:dyDescent="0.25">
      <c r="A735" s="905">
        <v>150707</v>
      </c>
      <c r="B735" s="906" t="s">
        <v>18972</v>
      </c>
      <c r="C735" s="907" t="s">
        <v>158</v>
      </c>
      <c r="D735" s="908">
        <v>6185.22</v>
      </c>
    </row>
    <row r="736" spans="1:4" ht="23.25" x14ac:dyDescent="0.25">
      <c r="A736" s="905">
        <v>150708</v>
      </c>
      <c r="B736" s="906" t="s">
        <v>18973</v>
      </c>
      <c r="C736" s="907" t="s">
        <v>158</v>
      </c>
      <c r="D736" s="908">
        <v>6687.35</v>
      </c>
    </row>
    <row r="737" spans="1:4" ht="23.25" x14ac:dyDescent="0.25">
      <c r="A737" s="905">
        <v>150709</v>
      </c>
      <c r="B737" s="906" t="s">
        <v>18974</v>
      </c>
      <c r="C737" s="907" t="s">
        <v>158</v>
      </c>
      <c r="D737" s="908">
        <v>7098.17</v>
      </c>
    </row>
    <row r="738" spans="1:4" ht="23.25" x14ac:dyDescent="0.25">
      <c r="A738" s="905">
        <v>150710</v>
      </c>
      <c r="B738" s="906" t="s">
        <v>18975</v>
      </c>
      <c r="C738" s="907" t="s">
        <v>158</v>
      </c>
      <c r="D738" s="908">
        <v>5376.99</v>
      </c>
    </row>
    <row r="739" spans="1:4" ht="23.25" x14ac:dyDescent="0.25">
      <c r="A739" s="905">
        <v>150711</v>
      </c>
      <c r="B739" s="906" t="s">
        <v>18976</v>
      </c>
      <c r="C739" s="907" t="s">
        <v>158</v>
      </c>
      <c r="D739" s="908">
        <v>5957.08</v>
      </c>
    </row>
    <row r="740" spans="1:4" ht="23.25" x14ac:dyDescent="0.25">
      <c r="A740" s="905">
        <v>150712</v>
      </c>
      <c r="B740" s="906" t="s">
        <v>18977</v>
      </c>
      <c r="C740" s="907" t="s">
        <v>158</v>
      </c>
      <c r="D740" s="908">
        <v>6447.93</v>
      </c>
    </row>
    <row r="741" spans="1:4" ht="23.25" x14ac:dyDescent="0.25">
      <c r="A741" s="905">
        <v>150713</v>
      </c>
      <c r="B741" s="906" t="s">
        <v>18978</v>
      </c>
      <c r="C741" s="907" t="s">
        <v>158</v>
      </c>
      <c r="D741" s="908">
        <v>7028.02</v>
      </c>
    </row>
    <row r="742" spans="1:4" ht="23.25" x14ac:dyDescent="0.25">
      <c r="A742" s="905">
        <v>150714</v>
      </c>
      <c r="B742" s="906" t="s">
        <v>18979</v>
      </c>
      <c r="C742" s="907" t="s">
        <v>158</v>
      </c>
      <c r="D742" s="908">
        <v>7518.86</v>
      </c>
    </row>
    <row r="743" spans="1:4" ht="23.25" x14ac:dyDescent="0.25">
      <c r="A743" s="905">
        <v>150715</v>
      </c>
      <c r="B743" s="906" t="s">
        <v>18980</v>
      </c>
      <c r="C743" s="907" t="s">
        <v>158</v>
      </c>
      <c r="D743" s="908">
        <v>8098.96</v>
      </c>
    </row>
    <row r="744" spans="1:4" ht="23.25" x14ac:dyDescent="0.25">
      <c r="A744" s="905">
        <v>150716</v>
      </c>
      <c r="B744" s="906" t="s">
        <v>18981</v>
      </c>
      <c r="C744" s="907" t="s">
        <v>158</v>
      </c>
      <c r="D744" s="908">
        <v>8589.7999999999993</v>
      </c>
    </row>
    <row r="745" spans="1:4" ht="15" x14ac:dyDescent="0.25">
      <c r="A745" s="905">
        <v>150800</v>
      </c>
      <c r="B745" s="906" t="s">
        <v>18982</v>
      </c>
      <c r="C745" s="907" t="s">
        <v>6008</v>
      </c>
      <c r="D745" s="908">
        <v>17.61</v>
      </c>
    </row>
    <row r="746" spans="1:4" ht="34.5" x14ac:dyDescent="0.25">
      <c r="A746" s="905">
        <v>150900</v>
      </c>
      <c r="B746" s="906" t="s">
        <v>18983</v>
      </c>
      <c r="C746" s="907" t="s">
        <v>158</v>
      </c>
      <c r="D746" s="908">
        <v>152.44999999999999</v>
      </c>
    </row>
    <row r="747" spans="1:4" ht="34.5" x14ac:dyDescent="0.25">
      <c r="A747" s="905">
        <v>151000</v>
      </c>
      <c r="B747" s="906" t="s">
        <v>18984</v>
      </c>
      <c r="C747" s="907" t="s">
        <v>227</v>
      </c>
      <c r="D747" s="908">
        <v>47.31</v>
      </c>
    </row>
    <row r="748" spans="1:4" ht="15" x14ac:dyDescent="0.25">
      <c r="A748" s="905">
        <v>160101</v>
      </c>
      <c r="B748" s="906" t="s">
        <v>18985</v>
      </c>
      <c r="C748" s="907" t="s">
        <v>226</v>
      </c>
      <c r="D748" s="908">
        <v>22850.27</v>
      </c>
    </row>
    <row r="749" spans="1:4" ht="15" x14ac:dyDescent="0.25">
      <c r="A749" s="905">
        <v>160102</v>
      </c>
      <c r="B749" s="906" t="s">
        <v>18986</v>
      </c>
      <c r="C749" s="907" t="s">
        <v>226</v>
      </c>
      <c r="D749" s="908">
        <v>488690.66</v>
      </c>
    </row>
    <row r="750" spans="1:4" ht="15" x14ac:dyDescent="0.25">
      <c r="A750" s="905">
        <v>160103</v>
      </c>
      <c r="B750" s="906" t="s">
        <v>18987</v>
      </c>
      <c r="C750" s="907" t="s">
        <v>226</v>
      </c>
      <c r="D750" s="908">
        <v>618756.06999999995</v>
      </c>
    </row>
    <row r="751" spans="1:4" ht="15" x14ac:dyDescent="0.25">
      <c r="A751" s="905">
        <v>160104</v>
      </c>
      <c r="B751" s="906" t="s">
        <v>18988</v>
      </c>
      <c r="C751" s="907" t="s">
        <v>226</v>
      </c>
      <c r="D751" s="908">
        <v>61357.02</v>
      </c>
    </row>
    <row r="752" spans="1:4" ht="15" x14ac:dyDescent="0.25">
      <c r="A752" s="905">
        <v>160105</v>
      </c>
      <c r="B752" s="906" t="s">
        <v>18989</v>
      </c>
      <c r="C752" s="907" t="s">
        <v>226</v>
      </c>
      <c r="D752" s="908">
        <v>75881.2</v>
      </c>
    </row>
    <row r="753" spans="1:4" ht="15" x14ac:dyDescent="0.25">
      <c r="A753" s="905">
        <v>160106</v>
      </c>
      <c r="B753" s="906" t="s">
        <v>18990</v>
      </c>
      <c r="C753" s="907" t="s">
        <v>226</v>
      </c>
      <c r="D753" s="908">
        <v>482227.97</v>
      </c>
    </row>
    <row r="754" spans="1:4" ht="15" x14ac:dyDescent="0.25">
      <c r="A754" s="905">
        <v>160107</v>
      </c>
      <c r="B754" s="906" t="s">
        <v>18991</v>
      </c>
      <c r="C754" s="907" t="s">
        <v>226</v>
      </c>
      <c r="D754" s="908">
        <v>517068.63</v>
      </c>
    </row>
    <row r="755" spans="1:4" ht="23.25" x14ac:dyDescent="0.25">
      <c r="A755" s="905">
        <v>160108</v>
      </c>
      <c r="B755" s="906" t="s">
        <v>18992</v>
      </c>
      <c r="C755" s="907" t="s">
        <v>226</v>
      </c>
      <c r="D755" s="908">
        <v>550965.11</v>
      </c>
    </row>
    <row r="756" spans="1:4" ht="23.25" x14ac:dyDescent="0.25">
      <c r="A756" s="905">
        <v>160109</v>
      </c>
      <c r="B756" s="906" t="s">
        <v>18993</v>
      </c>
      <c r="C756" s="907" t="s">
        <v>226</v>
      </c>
      <c r="D756" s="908">
        <v>584861.57999999996</v>
      </c>
    </row>
    <row r="757" spans="1:4" ht="15" x14ac:dyDescent="0.25">
      <c r="A757" s="905">
        <v>160110</v>
      </c>
      <c r="B757" s="906" t="s">
        <v>18994</v>
      </c>
      <c r="C757" s="907" t="s">
        <v>226</v>
      </c>
      <c r="D757" s="908">
        <v>661027.76</v>
      </c>
    </row>
    <row r="758" spans="1:4" ht="15" x14ac:dyDescent="0.25">
      <c r="A758" s="905">
        <v>160111</v>
      </c>
      <c r="B758" s="906" t="s">
        <v>18995</v>
      </c>
      <c r="C758" s="907" t="s">
        <v>226</v>
      </c>
      <c r="D758" s="908">
        <v>698705.76</v>
      </c>
    </row>
    <row r="759" spans="1:4" ht="23.25" x14ac:dyDescent="0.25">
      <c r="A759" s="905">
        <v>160112</v>
      </c>
      <c r="B759" s="906" t="s">
        <v>18996</v>
      </c>
      <c r="C759" s="907" t="s">
        <v>226</v>
      </c>
      <c r="D759" s="908">
        <v>693470.23</v>
      </c>
    </row>
    <row r="760" spans="1:4" ht="23.25" x14ac:dyDescent="0.25">
      <c r="A760" s="905">
        <v>160113</v>
      </c>
      <c r="B760" s="906" t="s">
        <v>18997</v>
      </c>
      <c r="C760" s="907" t="s">
        <v>226</v>
      </c>
      <c r="D760" s="908">
        <v>809002.67</v>
      </c>
    </row>
    <row r="761" spans="1:4" ht="15" x14ac:dyDescent="0.25">
      <c r="A761" s="905">
        <v>160114</v>
      </c>
      <c r="B761" s="906" t="s">
        <v>18998</v>
      </c>
      <c r="C761" s="907" t="s">
        <v>226</v>
      </c>
      <c r="D761" s="908">
        <v>29400.33</v>
      </c>
    </row>
    <row r="762" spans="1:4" ht="15" x14ac:dyDescent="0.25">
      <c r="A762" s="905">
        <v>160115</v>
      </c>
      <c r="B762" s="906" t="s">
        <v>18999</v>
      </c>
      <c r="C762" s="907" t="s">
        <v>226</v>
      </c>
      <c r="D762" s="908">
        <v>82352.479999999996</v>
      </c>
    </row>
    <row r="763" spans="1:4" ht="15" x14ac:dyDescent="0.25">
      <c r="A763" s="905">
        <v>160116</v>
      </c>
      <c r="B763" s="906" t="s">
        <v>19000</v>
      </c>
      <c r="C763" s="907" t="s">
        <v>226</v>
      </c>
      <c r="D763" s="908">
        <v>72326.34</v>
      </c>
    </row>
    <row r="764" spans="1:4" ht="23.25" x14ac:dyDescent="0.25">
      <c r="A764" s="905">
        <v>160117</v>
      </c>
      <c r="B764" s="906" t="s">
        <v>19001</v>
      </c>
      <c r="C764" s="907" t="s">
        <v>226</v>
      </c>
      <c r="D764" s="908">
        <v>233747.25</v>
      </c>
    </row>
    <row r="765" spans="1:4" ht="23.25" x14ac:dyDescent="0.25">
      <c r="A765" s="905">
        <v>160118</v>
      </c>
      <c r="B765" s="906" t="s">
        <v>19002</v>
      </c>
      <c r="C765" s="907" t="s">
        <v>226</v>
      </c>
      <c r="D765" s="908">
        <v>278207.26</v>
      </c>
    </row>
    <row r="766" spans="1:4" ht="23.25" x14ac:dyDescent="0.25">
      <c r="A766" s="905">
        <v>160119</v>
      </c>
      <c r="B766" s="906" t="s">
        <v>19003</v>
      </c>
      <c r="C766" s="907" t="s">
        <v>226</v>
      </c>
      <c r="D766" s="908">
        <v>70137.03</v>
      </c>
    </row>
    <row r="767" spans="1:4" ht="23.25" x14ac:dyDescent="0.25">
      <c r="A767" s="905">
        <v>160120</v>
      </c>
      <c r="B767" s="906" t="s">
        <v>19004</v>
      </c>
      <c r="C767" s="907" t="s">
        <v>226</v>
      </c>
      <c r="D767" s="908">
        <v>36087.32</v>
      </c>
    </row>
    <row r="768" spans="1:4" ht="15" x14ac:dyDescent="0.25">
      <c r="A768" s="905">
        <v>160121</v>
      </c>
      <c r="B768" s="906" t="s">
        <v>19005</v>
      </c>
      <c r="C768" s="907" t="s">
        <v>226</v>
      </c>
      <c r="D768" s="908">
        <v>65638.990000000005</v>
      </c>
    </row>
    <row r="769" spans="1:4" ht="23.25" x14ac:dyDescent="0.25">
      <c r="A769" s="905">
        <v>160122</v>
      </c>
      <c r="B769" s="906" t="s">
        <v>19006</v>
      </c>
      <c r="C769" s="907" t="s">
        <v>226</v>
      </c>
      <c r="D769" s="908">
        <v>6188.46</v>
      </c>
    </row>
    <row r="770" spans="1:4" ht="23.25" x14ac:dyDescent="0.25">
      <c r="A770" s="905">
        <v>160123</v>
      </c>
      <c r="B770" s="906" t="s">
        <v>19007</v>
      </c>
      <c r="C770" s="907" t="s">
        <v>226</v>
      </c>
      <c r="D770" s="908">
        <v>15267.46</v>
      </c>
    </row>
    <row r="771" spans="1:4" ht="15" x14ac:dyDescent="0.25">
      <c r="A771" s="905">
        <v>160124</v>
      </c>
      <c r="B771" s="906" t="s">
        <v>19008</v>
      </c>
      <c r="C771" s="907" t="s">
        <v>226</v>
      </c>
      <c r="D771" s="908">
        <v>15988.18</v>
      </c>
    </row>
    <row r="772" spans="1:4" ht="15" x14ac:dyDescent="0.25">
      <c r="A772" s="905">
        <v>160125</v>
      </c>
      <c r="B772" s="906" t="s">
        <v>19009</v>
      </c>
      <c r="C772" s="907" t="s">
        <v>226</v>
      </c>
      <c r="D772" s="908">
        <v>15988.18</v>
      </c>
    </row>
    <row r="773" spans="1:4" ht="15" x14ac:dyDescent="0.25">
      <c r="A773" s="905">
        <v>160126</v>
      </c>
      <c r="B773" s="906" t="s">
        <v>19010</v>
      </c>
      <c r="C773" s="907" t="s">
        <v>226</v>
      </c>
      <c r="D773" s="908">
        <v>6828.74</v>
      </c>
    </row>
    <row r="774" spans="1:4" ht="15" x14ac:dyDescent="0.25">
      <c r="A774" s="905">
        <v>160127</v>
      </c>
      <c r="B774" s="906" t="s">
        <v>19009</v>
      </c>
      <c r="C774" s="907" t="s">
        <v>226</v>
      </c>
      <c r="D774" s="908">
        <v>15988.18</v>
      </c>
    </row>
    <row r="775" spans="1:4" ht="15" x14ac:dyDescent="0.25">
      <c r="A775" s="905">
        <v>160128</v>
      </c>
      <c r="B775" s="906" t="s">
        <v>19010</v>
      </c>
      <c r="C775" s="907" t="s">
        <v>226</v>
      </c>
      <c r="D775" s="908">
        <v>6828.74</v>
      </c>
    </row>
    <row r="776" spans="1:4" ht="23.25" x14ac:dyDescent="0.25">
      <c r="A776" s="905">
        <v>160129</v>
      </c>
      <c r="B776" s="906" t="s">
        <v>19011</v>
      </c>
      <c r="C776" s="907" t="s">
        <v>226</v>
      </c>
      <c r="D776" s="908">
        <v>15988.18</v>
      </c>
    </row>
    <row r="777" spans="1:4" ht="23.25" x14ac:dyDescent="0.25">
      <c r="A777" s="905">
        <v>160130</v>
      </c>
      <c r="B777" s="906" t="s">
        <v>19012</v>
      </c>
      <c r="C777" s="907" t="s">
        <v>226</v>
      </c>
      <c r="D777" s="908">
        <v>6828.74</v>
      </c>
    </row>
    <row r="778" spans="1:4" ht="15" x14ac:dyDescent="0.25">
      <c r="A778" s="905">
        <v>160131</v>
      </c>
      <c r="B778" s="906" t="s">
        <v>19013</v>
      </c>
      <c r="C778" s="907" t="s">
        <v>226</v>
      </c>
      <c r="D778" s="908">
        <v>15183.19</v>
      </c>
    </row>
    <row r="779" spans="1:4" ht="15" x14ac:dyDescent="0.25">
      <c r="A779" s="905">
        <v>160132</v>
      </c>
      <c r="B779" s="906" t="s">
        <v>19014</v>
      </c>
      <c r="C779" s="907" t="s">
        <v>226</v>
      </c>
      <c r="D779" s="908">
        <v>15267.46</v>
      </c>
    </row>
    <row r="780" spans="1:4" ht="15" x14ac:dyDescent="0.25">
      <c r="A780" s="905">
        <v>160133</v>
      </c>
      <c r="B780" s="906" t="s">
        <v>19015</v>
      </c>
      <c r="C780" s="907" t="s">
        <v>226</v>
      </c>
      <c r="D780" s="908">
        <v>15988.18</v>
      </c>
    </row>
    <row r="781" spans="1:4" ht="23.25" x14ac:dyDescent="0.25">
      <c r="A781" s="905">
        <v>160134</v>
      </c>
      <c r="B781" s="906" t="s">
        <v>19016</v>
      </c>
      <c r="C781" s="907" t="s">
        <v>226</v>
      </c>
      <c r="D781" s="908">
        <v>4469.08</v>
      </c>
    </row>
    <row r="782" spans="1:4" ht="15" x14ac:dyDescent="0.25">
      <c r="A782" s="905">
        <v>160135</v>
      </c>
      <c r="B782" s="906" t="s">
        <v>19017</v>
      </c>
      <c r="C782" s="907" t="s">
        <v>226</v>
      </c>
      <c r="D782" s="908">
        <v>6726.93</v>
      </c>
    </row>
    <row r="783" spans="1:4" ht="15" x14ac:dyDescent="0.25">
      <c r="A783" s="905">
        <v>160136</v>
      </c>
      <c r="B783" s="906" t="s">
        <v>19018</v>
      </c>
      <c r="C783" s="907" t="s">
        <v>226</v>
      </c>
      <c r="D783" s="908">
        <v>11692.65</v>
      </c>
    </row>
    <row r="784" spans="1:4" ht="15" x14ac:dyDescent="0.25">
      <c r="A784" s="905">
        <v>160137</v>
      </c>
      <c r="B784" s="906" t="s">
        <v>19019</v>
      </c>
      <c r="C784" s="907" t="s">
        <v>226</v>
      </c>
      <c r="D784" s="908">
        <v>20467.849999999999</v>
      </c>
    </row>
    <row r="785" spans="1:4" ht="15" x14ac:dyDescent="0.25">
      <c r="A785" s="905">
        <v>160138</v>
      </c>
      <c r="B785" s="906" t="s">
        <v>19020</v>
      </c>
      <c r="C785" s="907" t="s">
        <v>226</v>
      </c>
      <c r="D785" s="908">
        <v>27085.21</v>
      </c>
    </row>
    <row r="786" spans="1:4" ht="45.75" x14ac:dyDescent="0.25">
      <c r="A786" s="905">
        <v>160139</v>
      </c>
      <c r="B786" s="906" t="s">
        <v>19021</v>
      </c>
      <c r="C786" s="907" t="s">
        <v>226</v>
      </c>
      <c r="D786" s="908">
        <v>30716.45</v>
      </c>
    </row>
    <row r="787" spans="1:4" ht="45.75" x14ac:dyDescent="0.25">
      <c r="A787" s="905">
        <v>160140</v>
      </c>
      <c r="B787" s="906" t="s">
        <v>19022</v>
      </c>
      <c r="C787" s="907" t="s">
        <v>226</v>
      </c>
      <c r="D787" s="908">
        <v>53842.71</v>
      </c>
    </row>
    <row r="788" spans="1:4" ht="45.75" x14ac:dyDescent="0.25">
      <c r="A788" s="905">
        <v>160141</v>
      </c>
      <c r="B788" s="906" t="s">
        <v>19023</v>
      </c>
      <c r="C788" s="907" t="s">
        <v>226</v>
      </c>
      <c r="D788" s="908">
        <v>58965.97</v>
      </c>
    </row>
    <row r="789" spans="1:4" ht="15" x14ac:dyDescent="0.25">
      <c r="A789" s="905">
        <v>160142</v>
      </c>
      <c r="B789" s="906" t="s">
        <v>19024</v>
      </c>
      <c r="C789" s="907" t="s">
        <v>226</v>
      </c>
      <c r="D789" s="908">
        <v>29713.919999999998</v>
      </c>
    </row>
    <row r="790" spans="1:4" ht="23.25" x14ac:dyDescent="0.25">
      <c r="A790" s="905">
        <v>160143</v>
      </c>
      <c r="B790" s="906" t="s">
        <v>19025</v>
      </c>
      <c r="C790" s="907" t="s">
        <v>226</v>
      </c>
      <c r="D790" s="908">
        <v>27486.7</v>
      </c>
    </row>
    <row r="791" spans="1:4" ht="15" x14ac:dyDescent="0.25">
      <c r="A791" s="905">
        <v>160144</v>
      </c>
      <c r="B791" s="906" t="s">
        <v>19026</v>
      </c>
      <c r="C791" s="907" t="s">
        <v>226</v>
      </c>
      <c r="D791" s="908">
        <v>33268.22</v>
      </c>
    </row>
    <row r="792" spans="1:4" ht="23.25" x14ac:dyDescent="0.25">
      <c r="A792" s="905">
        <v>160145</v>
      </c>
      <c r="B792" s="906" t="s">
        <v>19027</v>
      </c>
      <c r="C792" s="907" t="s">
        <v>226</v>
      </c>
      <c r="D792" s="908">
        <v>65269.98</v>
      </c>
    </row>
    <row r="793" spans="1:4" ht="23.25" x14ac:dyDescent="0.25">
      <c r="A793" s="905">
        <v>160201</v>
      </c>
      <c r="B793" s="906" t="s">
        <v>19028</v>
      </c>
      <c r="C793" s="907" t="s">
        <v>226</v>
      </c>
      <c r="D793" s="908">
        <v>8303.36</v>
      </c>
    </row>
    <row r="794" spans="1:4" ht="23.25" x14ac:dyDescent="0.25">
      <c r="A794" s="905">
        <v>160202</v>
      </c>
      <c r="B794" s="906" t="s">
        <v>19029</v>
      </c>
      <c r="C794" s="907" t="s">
        <v>226</v>
      </c>
      <c r="D794" s="908">
        <v>9846.9599999999991</v>
      </c>
    </row>
    <row r="795" spans="1:4" ht="23.25" x14ac:dyDescent="0.25">
      <c r="A795" s="905">
        <v>160203</v>
      </c>
      <c r="B795" s="906" t="s">
        <v>19030</v>
      </c>
      <c r="C795" s="907" t="s">
        <v>226</v>
      </c>
      <c r="D795" s="908">
        <v>9524.9699999999993</v>
      </c>
    </row>
    <row r="796" spans="1:4" ht="23.25" x14ac:dyDescent="0.25">
      <c r="A796" s="905">
        <v>160204</v>
      </c>
      <c r="B796" s="906" t="s">
        <v>19031</v>
      </c>
      <c r="C796" s="907" t="s">
        <v>226</v>
      </c>
      <c r="D796" s="908">
        <v>10952.58</v>
      </c>
    </row>
    <row r="797" spans="1:4" ht="23.25" x14ac:dyDescent="0.25">
      <c r="A797" s="905">
        <v>160205</v>
      </c>
      <c r="B797" s="906" t="s">
        <v>19032</v>
      </c>
      <c r="C797" s="907" t="s">
        <v>226</v>
      </c>
      <c r="D797" s="908">
        <v>7748.36</v>
      </c>
    </row>
    <row r="798" spans="1:4" ht="23.25" x14ac:dyDescent="0.25">
      <c r="A798" s="905">
        <v>160206</v>
      </c>
      <c r="B798" s="906" t="s">
        <v>19033</v>
      </c>
      <c r="C798" s="907" t="s">
        <v>226</v>
      </c>
      <c r="D798" s="908">
        <v>11230.7</v>
      </c>
    </row>
    <row r="799" spans="1:4" ht="23.25" x14ac:dyDescent="0.25">
      <c r="A799" s="905">
        <v>160207</v>
      </c>
      <c r="B799" s="906" t="s">
        <v>19034</v>
      </c>
      <c r="C799" s="907" t="s">
        <v>226</v>
      </c>
      <c r="D799" s="908">
        <v>8024.1</v>
      </c>
    </row>
    <row r="800" spans="1:4" ht="23.25" x14ac:dyDescent="0.25">
      <c r="A800" s="905">
        <v>160208</v>
      </c>
      <c r="B800" s="906" t="s">
        <v>19035</v>
      </c>
      <c r="C800" s="907" t="s">
        <v>226</v>
      </c>
      <c r="D800" s="908">
        <v>8923.7099999999991</v>
      </c>
    </row>
    <row r="801" spans="1:4" ht="23.25" x14ac:dyDescent="0.25">
      <c r="A801" s="905">
        <v>160209</v>
      </c>
      <c r="B801" s="906" t="s">
        <v>19036</v>
      </c>
      <c r="C801" s="907" t="s">
        <v>226</v>
      </c>
      <c r="D801" s="908">
        <v>9461.66</v>
      </c>
    </row>
    <row r="802" spans="1:4" ht="23.25" x14ac:dyDescent="0.25">
      <c r="A802" s="905">
        <v>160210</v>
      </c>
      <c r="B802" s="906" t="s">
        <v>19037</v>
      </c>
      <c r="C802" s="907" t="s">
        <v>226</v>
      </c>
      <c r="D802" s="908">
        <v>8671.41</v>
      </c>
    </row>
    <row r="803" spans="1:4" ht="23.25" x14ac:dyDescent="0.25">
      <c r="A803" s="905">
        <v>160211</v>
      </c>
      <c r="B803" s="906" t="s">
        <v>19038</v>
      </c>
      <c r="C803" s="907" t="s">
        <v>226</v>
      </c>
      <c r="D803" s="908">
        <v>10215.01</v>
      </c>
    </row>
    <row r="804" spans="1:4" ht="23.25" x14ac:dyDescent="0.25">
      <c r="A804" s="905">
        <v>160212</v>
      </c>
      <c r="B804" s="906" t="s">
        <v>19039</v>
      </c>
      <c r="C804" s="907" t="s">
        <v>226</v>
      </c>
      <c r="D804" s="908">
        <v>10029.33</v>
      </c>
    </row>
    <row r="805" spans="1:4" ht="23.25" x14ac:dyDescent="0.25">
      <c r="A805" s="905">
        <v>160213</v>
      </c>
      <c r="B805" s="906" t="s">
        <v>19040</v>
      </c>
      <c r="C805" s="907" t="s">
        <v>226</v>
      </c>
      <c r="D805" s="908">
        <v>7397.68</v>
      </c>
    </row>
    <row r="806" spans="1:4" ht="34.5" x14ac:dyDescent="0.25">
      <c r="A806" s="905">
        <v>160214</v>
      </c>
      <c r="B806" s="906" t="s">
        <v>19041</v>
      </c>
      <c r="C806" s="907" t="s">
        <v>226</v>
      </c>
      <c r="D806" s="908">
        <v>8627.83</v>
      </c>
    </row>
    <row r="807" spans="1:4" ht="34.5" x14ac:dyDescent="0.25">
      <c r="A807" s="905">
        <v>160215</v>
      </c>
      <c r="B807" s="906" t="s">
        <v>19042</v>
      </c>
      <c r="C807" s="907" t="s">
        <v>226</v>
      </c>
      <c r="D807" s="908">
        <v>19649.68</v>
      </c>
    </row>
    <row r="808" spans="1:4" ht="34.5" x14ac:dyDescent="0.25">
      <c r="A808" s="905">
        <v>160216</v>
      </c>
      <c r="B808" s="906" t="s">
        <v>19043</v>
      </c>
      <c r="C808" s="907" t="s">
        <v>226</v>
      </c>
      <c r="D808" s="908">
        <v>18208.240000000002</v>
      </c>
    </row>
    <row r="809" spans="1:4" ht="15" x14ac:dyDescent="0.25">
      <c r="A809" s="905">
        <v>160217</v>
      </c>
      <c r="B809" s="906" t="s">
        <v>19044</v>
      </c>
      <c r="C809" s="907" t="s">
        <v>226</v>
      </c>
      <c r="D809" s="908">
        <v>9651.82</v>
      </c>
    </row>
    <row r="810" spans="1:4" ht="23.25" x14ac:dyDescent="0.25">
      <c r="A810" s="905">
        <v>160218</v>
      </c>
      <c r="B810" s="906" t="s">
        <v>19045</v>
      </c>
      <c r="C810" s="907" t="s">
        <v>226</v>
      </c>
      <c r="D810" s="908">
        <v>6655.12</v>
      </c>
    </row>
    <row r="811" spans="1:4" ht="23.25" x14ac:dyDescent="0.25">
      <c r="A811" s="905">
        <v>160219</v>
      </c>
      <c r="B811" s="906" t="s">
        <v>19046</v>
      </c>
      <c r="C811" s="907" t="s">
        <v>226</v>
      </c>
      <c r="D811" s="908">
        <v>6644.93</v>
      </c>
    </row>
    <row r="812" spans="1:4" ht="23.25" x14ac:dyDescent="0.25">
      <c r="A812" s="905">
        <v>160220</v>
      </c>
      <c r="B812" s="906" t="s">
        <v>19047</v>
      </c>
      <c r="C812" s="907" t="s">
        <v>226</v>
      </c>
      <c r="D812" s="908">
        <v>8741.34</v>
      </c>
    </row>
    <row r="813" spans="1:4" ht="23.25" x14ac:dyDescent="0.25">
      <c r="A813" s="905">
        <v>160221</v>
      </c>
      <c r="B813" s="906" t="s">
        <v>19048</v>
      </c>
      <c r="C813" s="907" t="s">
        <v>226</v>
      </c>
      <c r="D813" s="908">
        <v>8741.34</v>
      </c>
    </row>
    <row r="814" spans="1:4" ht="23.25" x14ac:dyDescent="0.25">
      <c r="A814" s="905">
        <v>160222</v>
      </c>
      <c r="B814" s="906" t="s">
        <v>19049</v>
      </c>
      <c r="C814" s="907" t="s">
        <v>226</v>
      </c>
      <c r="D814" s="908">
        <v>8741.34</v>
      </c>
    </row>
    <row r="815" spans="1:4" ht="23.25" x14ac:dyDescent="0.25">
      <c r="A815" s="905">
        <v>160223</v>
      </c>
      <c r="B815" s="906" t="s">
        <v>19050</v>
      </c>
      <c r="C815" s="907" t="s">
        <v>226</v>
      </c>
      <c r="D815" s="908">
        <v>7104.36</v>
      </c>
    </row>
    <row r="816" spans="1:4" ht="23.25" x14ac:dyDescent="0.25">
      <c r="A816" s="905">
        <v>160224</v>
      </c>
      <c r="B816" s="906" t="s">
        <v>19051</v>
      </c>
      <c r="C816" s="907" t="s">
        <v>226</v>
      </c>
      <c r="D816" s="908">
        <v>7748.36</v>
      </c>
    </row>
    <row r="817" spans="1:4" ht="23.25" x14ac:dyDescent="0.25">
      <c r="A817" s="905">
        <v>160225</v>
      </c>
      <c r="B817" s="906" t="s">
        <v>19052</v>
      </c>
      <c r="C817" s="907" t="s">
        <v>226</v>
      </c>
      <c r="D817" s="908">
        <v>7408.33</v>
      </c>
    </row>
    <row r="818" spans="1:4" ht="23.25" x14ac:dyDescent="0.25">
      <c r="A818" s="905">
        <v>160226</v>
      </c>
      <c r="B818" s="906" t="s">
        <v>19053</v>
      </c>
      <c r="C818" s="907" t="s">
        <v>226</v>
      </c>
      <c r="D818" s="908">
        <v>8307.93</v>
      </c>
    </row>
    <row r="819" spans="1:4" ht="23.25" x14ac:dyDescent="0.25">
      <c r="A819" s="905">
        <v>160227</v>
      </c>
      <c r="B819" s="906" t="s">
        <v>19054</v>
      </c>
      <c r="C819" s="907" t="s">
        <v>226</v>
      </c>
      <c r="D819" s="908">
        <v>8230.11</v>
      </c>
    </row>
    <row r="820" spans="1:4" ht="23.25" x14ac:dyDescent="0.25">
      <c r="A820" s="905">
        <v>160228</v>
      </c>
      <c r="B820" s="906" t="s">
        <v>19055</v>
      </c>
      <c r="C820" s="907" t="s">
        <v>226</v>
      </c>
      <c r="D820" s="908">
        <v>7748.36</v>
      </c>
    </row>
    <row r="821" spans="1:4" ht="23.25" x14ac:dyDescent="0.25">
      <c r="A821" s="905">
        <v>160229</v>
      </c>
      <c r="B821" s="906" t="s">
        <v>19056</v>
      </c>
      <c r="C821" s="907" t="s">
        <v>226</v>
      </c>
      <c r="D821" s="908">
        <v>8647.9599999999991</v>
      </c>
    </row>
    <row r="822" spans="1:4" ht="23.25" x14ac:dyDescent="0.25">
      <c r="A822" s="905">
        <v>160230</v>
      </c>
      <c r="B822" s="906" t="s">
        <v>19057</v>
      </c>
      <c r="C822" s="907" t="s">
        <v>226</v>
      </c>
      <c r="D822" s="908">
        <v>6092.12</v>
      </c>
    </row>
    <row r="823" spans="1:4" ht="15" x14ac:dyDescent="0.25">
      <c r="A823" s="905">
        <v>160231</v>
      </c>
      <c r="B823" s="906" t="s">
        <v>19058</v>
      </c>
      <c r="C823" s="907" t="s">
        <v>226</v>
      </c>
      <c r="D823" s="908">
        <v>6204.71</v>
      </c>
    </row>
    <row r="824" spans="1:4" ht="23.25" x14ac:dyDescent="0.25">
      <c r="A824" s="905">
        <v>160232</v>
      </c>
      <c r="B824" s="906" t="s">
        <v>19059</v>
      </c>
      <c r="C824" s="907" t="s">
        <v>226</v>
      </c>
      <c r="D824" s="908">
        <v>5256.58</v>
      </c>
    </row>
    <row r="825" spans="1:4" ht="23.25" x14ac:dyDescent="0.25">
      <c r="A825" s="905">
        <v>160233</v>
      </c>
      <c r="B825" s="906" t="s">
        <v>19060</v>
      </c>
      <c r="C825" s="907" t="s">
        <v>226</v>
      </c>
      <c r="D825" s="908">
        <v>5578.57</v>
      </c>
    </row>
    <row r="826" spans="1:4" ht="23.25" x14ac:dyDescent="0.25">
      <c r="A826" s="905">
        <v>160234</v>
      </c>
      <c r="B826" s="906" t="s">
        <v>19061</v>
      </c>
      <c r="C826" s="907" t="s">
        <v>226</v>
      </c>
      <c r="D826" s="908">
        <v>6866.56</v>
      </c>
    </row>
    <row r="827" spans="1:4" ht="23.25" x14ac:dyDescent="0.25">
      <c r="A827" s="905">
        <v>160235</v>
      </c>
      <c r="B827" s="906" t="s">
        <v>19062</v>
      </c>
      <c r="C827" s="907" t="s">
        <v>226</v>
      </c>
      <c r="D827" s="908">
        <v>5848.53</v>
      </c>
    </row>
    <row r="828" spans="1:4" ht="34.5" x14ac:dyDescent="0.25">
      <c r="A828" s="905">
        <v>160236</v>
      </c>
      <c r="B828" s="906" t="s">
        <v>19063</v>
      </c>
      <c r="C828" s="907" t="s">
        <v>226</v>
      </c>
      <c r="D828" s="908">
        <v>19649.68</v>
      </c>
    </row>
    <row r="829" spans="1:4" ht="34.5" x14ac:dyDescent="0.25">
      <c r="A829" s="905">
        <v>160237</v>
      </c>
      <c r="B829" s="906" t="s">
        <v>19064</v>
      </c>
      <c r="C829" s="907" t="s">
        <v>226</v>
      </c>
      <c r="D829" s="908">
        <v>19649.68</v>
      </c>
    </row>
    <row r="830" spans="1:4" ht="34.5" x14ac:dyDescent="0.25">
      <c r="A830" s="905">
        <v>160238</v>
      </c>
      <c r="B830" s="906" t="s">
        <v>19065</v>
      </c>
      <c r="C830" s="907" t="s">
        <v>226</v>
      </c>
      <c r="D830" s="908">
        <v>19649.68</v>
      </c>
    </row>
    <row r="831" spans="1:4" ht="23.25" x14ac:dyDescent="0.25">
      <c r="A831" s="905">
        <v>160239</v>
      </c>
      <c r="B831" s="906" t="s">
        <v>19066</v>
      </c>
      <c r="C831" s="907" t="s">
        <v>226</v>
      </c>
      <c r="D831" s="908">
        <v>11273.62</v>
      </c>
    </row>
    <row r="832" spans="1:4" ht="23.25" x14ac:dyDescent="0.25">
      <c r="A832" s="905">
        <v>160240</v>
      </c>
      <c r="B832" s="906" t="s">
        <v>19067</v>
      </c>
      <c r="C832" s="907" t="s">
        <v>226</v>
      </c>
      <c r="D832" s="908">
        <v>8024.1</v>
      </c>
    </row>
    <row r="833" spans="1:4" ht="15" x14ac:dyDescent="0.25">
      <c r="A833" s="905">
        <v>160241</v>
      </c>
      <c r="B833" s="906" t="s">
        <v>19068</v>
      </c>
      <c r="C833" s="907" t="s">
        <v>226</v>
      </c>
      <c r="D833" s="908">
        <v>6655.12</v>
      </c>
    </row>
    <row r="834" spans="1:4" ht="23.25" x14ac:dyDescent="0.25">
      <c r="A834" s="905">
        <v>160242</v>
      </c>
      <c r="B834" s="906" t="s">
        <v>19045</v>
      </c>
      <c r="C834" s="907" t="s">
        <v>226</v>
      </c>
      <c r="D834" s="908">
        <v>6655.12</v>
      </c>
    </row>
    <row r="835" spans="1:4" ht="23.25" x14ac:dyDescent="0.25">
      <c r="A835" s="905">
        <v>160243</v>
      </c>
      <c r="B835" s="906" t="s">
        <v>19069</v>
      </c>
      <c r="C835" s="907" t="s">
        <v>226</v>
      </c>
      <c r="D835" s="908">
        <v>5755.51</v>
      </c>
    </row>
    <row r="836" spans="1:4" ht="15" x14ac:dyDescent="0.25">
      <c r="A836" s="905">
        <v>160244</v>
      </c>
      <c r="B836" s="906" t="s">
        <v>19070</v>
      </c>
      <c r="C836" s="907" t="s">
        <v>226</v>
      </c>
      <c r="D836" s="908">
        <v>4262.3100000000004</v>
      </c>
    </row>
    <row r="837" spans="1:4" ht="15" x14ac:dyDescent="0.25">
      <c r="A837" s="905">
        <v>160245</v>
      </c>
      <c r="B837" s="906" t="s">
        <v>19071</v>
      </c>
      <c r="C837" s="907" t="s">
        <v>226</v>
      </c>
      <c r="D837" s="908">
        <v>5755.51</v>
      </c>
    </row>
    <row r="838" spans="1:4" ht="15" x14ac:dyDescent="0.25">
      <c r="A838" s="905">
        <v>160246</v>
      </c>
      <c r="B838" s="906" t="s">
        <v>19072</v>
      </c>
      <c r="C838" s="907" t="s">
        <v>19073</v>
      </c>
      <c r="D838" s="908">
        <v>2131.15</v>
      </c>
    </row>
    <row r="839" spans="1:4" ht="34.5" x14ac:dyDescent="0.25">
      <c r="A839" s="905">
        <v>160247</v>
      </c>
      <c r="B839" s="906" t="s">
        <v>19074</v>
      </c>
      <c r="C839" s="907" t="s">
        <v>226</v>
      </c>
      <c r="D839" s="908">
        <v>11337.12</v>
      </c>
    </row>
    <row r="840" spans="1:4" ht="23.25" x14ac:dyDescent="0.25">
      <c r="A840" s="905">
        <v>160248</v>
      </c>
      <c r="B840" s="906" t="s">
        <v>19075</v>
      </c>
      <c r="C840" s="907" t="s">
        <v>226</v>
      </c>
      <c r="D840" s="908">
        <v>7502.96</v>
      </c>
    </row>
    <row r="841" spans="1:4" ht="15" x14ac:dyDescent="0.25">
      <c r="A841" s="905">
        <v>160249</v>
      </c>
      <c r="B841" s="906" t="s">
        <v>19076</v>
      </c>
      <c r="C841" s="907" t="s">
        <v>226</v>
      </c>
      <c r="D841" s="908">
        <v>8259.83</v>
      </c>
    </row>
    <row r="842" spans="1:4" ht="15" x14ac:dyDescent="0.25">
      <c r="A842" s="918"/>
      <c r="B842" s="919"/>
      <c r="C842" s="920"/>
      <c r="D842" s="921"/>
    </row>
    <row r="843" spans="1:4" ht="15" x14ac:dyDescent="0.25">
      <c r="A843" s="918"/>
      <c r="B843" s="919"/>
      <c r="C843" s="920"/>
      <c r="D843" s="921"/>
    </row>
    <row r="844" spans="1:4" ht="15" x14ac:dyDescent="0.25">
      <c r="A844" s="918"/>
      <c r="B844" s="919"/>
      <c r="C844" s="920"/>
      <c r="D844" s="921"/>
    </row>
    <row r="845" spans="1:4" ht="15" x14ac:dyDescent="0.25">
      <c r="A845" s="918"/>
      <c r="B845" s="919"/>
      <c r="C845" s="920"/>
      <c r="D845" s="921"/>
    </row>
    <row r="846" spans="1:4" ht="15" x14ac:dyDescent="0.25">
      <c r="A846" s="922"/>
      <c r="B846" s="923"/>
      <c r="C846" s="924"/>
      <c r="D846" s="925"/>
    </row>
    <row r="847" spans="1:4" ht="15" x14ac:dyDescent="0.25">
      <c r="A847" s="926"/>
      <c r="B847" s="927"/>
      <c r="C847" s="928"/>
      <c r="D847" s="929"/>
    </row>
    <row r="848" spans="1:4" ht="15" x14ac:dyDescent="0.25">
      <c r="A848" s="918"/>
      <c r="B848" s="919"/>
      <c r="C848" s="920"/>
      <c r="D848" s="921"/>
    </row>
    <row r="849" spans="1:5" ht="15" x14ac:dyDescent="0.25">
      <c r="A849" s="918"/>
      <c r="B849" s="919"/>
      <c r="C849" s="920"/>
      <c r="D849" s="921"/>
    </row>
    <row r="850" spans="1:5" ht="15" x14ac:dyDescent="0.25">
      <c r="A850" s="918"/>
      <c r="B850" s="919"/>
      <c r="C850" s="920"/>
      <c r="D850" s="921"/>
    </row>
    <row r="851" spans="1:5" ht="15" customHeight="1" x14ac:dyDescent="0.2">
      <c r="A851" s="930"/>
      <c r="B851" s="930" t="s">
        <v>19077</v>
      </c>
      <c r="C851" s="930"/>
      <c r="D851" s="930"/>
      <c r="E851" s="895" t="s">
        <v>19078</v>
      </c>
    </row>
    <row r="852" spans="1:5" x14ac:dyDescent="0.2">
      <c r="A852" s="895">
        <v>10000</v>
      </c>
      <c r="B852" s="895" t="s">
        <v>19079</v>
      </c>
    </row>
    <row r="853" spans="1:5" x14ac:dyDescent="0.2">
      <c r="A853" s="895">
        <v>10100</v>
      </c>
      <c r="B853" s="895" t="s">
        <v>19080</v>
      </c>
      <c r="C853" s="895" t="s">
        <v>18269</v>
      </c>
      <c r="D853" s="895" t="s">
        <v>18269</v>
      </c>
    </row>
    <row r="854" spans="1:5" x14ac:dyDescent="0.2">
      <c r="A854" s="895">
        <v>10101</v>
      </c>
      <c r="B854" s="895" t="s">
        <v>19081</v>
      </c>
      <c r="C854" s="895" t="s">
        <v>227</v>
      </c>
      <c r="D854" s="895">
        <v>1.89</v>
      </c>
    </row>
    <row r="855" spans="1:5" x14ac:dyDescent="0.2">
      <c r="A855" s="895">
        <v>10102</v>
      </c>
      <c r="B855" s="895" t="s">
        <v>19082</v>
      </c>
      <c r="C855" s="895" t="s">
        <v>226</v>
      </c>
      <c r="D855" s="895">
        <v>61.06</v>
      </c>
    </row>
    <row r="856" spans="1:5" x14ac:dyDescent="0.2">
      <c r="A856" s="895">
        <v>10103</v>
      </c>
      <c r="B856" s="895" t="s">
        <v>19083</v>
      </c>
      <c r="C856" s="895" t="s">
        <v>226</v>
      </c>
      <c r="D856" s="895">
        <v>169.75</v>
      </c>
    </row>
    <row r="857" spans="1:5" x14ac:dyDescent="0.2">
      <c r="A857" s="895">
        <v>10104</v>
      </c>
      <c r="B857" s="895" t="s">
        <v>19084</v>
      </c>
      <c r="C857" s="895" t="s">
        <v>226</v>
      </c>
      <c r="D857" s="895">
        <v>202.23</v>
      </c>
    </row>
    <row r="858" spans="1:5" x14ac:dyDescent="0.2">
      <c r="A858" s="895">
        <v>10105</v>
      </c>
      <c r="B858" s="895" t="s">
        <v>19085</v>
      </c>
      <c r="C858" s="895" t="s">
        <v>159</v>
      </c>
      <c r="D858" s="895">
        <v>14.77</v>
      </c>
    </row>
    <row r="859" spans="1:5" x14ac:dyDescent="0.2">
      <c r="A859" s="895">
        <v>10106</v>
      </c>
      <c r="B859" s="895" t="s">
        <v>19086</v>
      </c>
      <c r="C859" s="895" t="s">
        <v>159</v>
      </c>
      <c r="D859" s="895">
        <v>36.53</v>
      </c>
    </row>
    <row r="860" spans="1:5" x14ac:dyDescent="0.2">
      <c r="A860" s="895">
        <v>10107</v>
      </c>
      <c r="B860" s="895" t="s">
        <v>19087</v>
      </c>
      <c r="C860" s="895" t="s">
        <v>159</v>
      </c>
      <c r="D860" s="895">
        <v>114.91</v>
      </c>
    </row>
    <row r="861" spans="1:5" x14ac:dyDescent="0.2">
      <c r="A861" s="895">
        <v>10108</v>
      </c>
      <c r="B861" s="895" t="s">
        <v>19088</v>
      </c>
      <c r="C861" s="895" t="s">
        <v>227</v>
      </c>
      <c r="D861" s="895">
        <v>5.5</v>
      </c>
    </row>
    <row r="862" spans="1:5" x14ac:dyDescent="0.2">
      <c r="A862" s="895">
        <v>10109</v>
      </c>
      <c r="B862" s="895" t="s">
        <v>19089</v>
      </c>
      <c r="C862" s="895" t="s">
        <v>226</v>
      </c>
      <c r="D862" s="895">
        <v>65.97</v>
      </c>
    </row>
    <row r="863" spans="1:5" x14ac:dyDescent="0.2">
      <c r="A863" s="895">
        <v>10110</v>
      </c>
      <c r="B863" s="895" t="s">
        <v>19090</v>
      </c>
      <c r="C863" s="895" t="s">
        <v>16557</v>
      </c>
      <c r="D863" s="895">
        <v>2.52</v>
      </c>
    </row>
    <row r="864" spans="1:5" x14ac:dyDescent="0.2">
      <c r="A864" s="895">
        <v>10120</v>
      </c>
      <c r="B864" s="895" t="s">
        <v>18423</v>
      </c>
      <c r="C864" s="895" t="s">
        <v>226</v>
      </c>
      <c r="D864" s="895">
        <v>198.8</v>
      </c>
    </row>
    <row r="865" spans="1:4" x14ac:dyDescent="0.2">
      <c r="A865" s="895">
        <v>10121</v>
      </c>
      <c r="B865" s="895" t="s">
        <v>18424</v>
      </c>
      <c r="C865" s="895" t="s">
        <v>226</v>
      </c>
      <c r="D865" s="895">
        <v>589.49</v>
      </c>
    </row>
    <row r="866" spans="1:4" x14ac:dyDescent="0.2">
      <c r="A866" s="895">
        <v>10122</v>
      </c>
      <c r="B866" s="895" t="s">
        <v>18425</v>
      </c>
      <c r="C866" s="895" t="s">
        <v>226</v>
      </c>
      <c r="D866" s="895">
        <v>736.86</v>
      </c>
    </row>
    <row r="867" spans="1:4" x14ac:dyDescent="0.2">
      <c r="A867" s="895">
        <v>10123</v>
      </c>
      <c r="B867" s="895" t="s">
        <v>19091</v>
      </c>
      <c r="C867" s="895" t="s">
        <v>226</v>
      </c>
      <c r="D867" s="895">
        <v>884.24</v>
      </c>
    </row>
    <row r="868" spans="1:4" x14ac:dyDescent="0.2">
      <c r="A868" s="895">
        <v>10124</v>
      </c>
      <c r="B868" s="895" t="s">
        <v>18427</v>
      </c>
      <c r="C868" s="895" t="s">
        <v>226</v>
      </c>
      <c r="D868" s="895">
        <v>1031.6099999999999</v>
      </c>
    </row>
    <row r="869" spans="1:4" x14ac:dyDescent="0.2">
      <c r="A869" s="895">
        <v>10200</v>
      </c>
      <c r="B869" s="895" t="s">
        <v>19092</v>
      </c>
      <c r="C869" s="895" t="s">
        <v>18269</v>
      </c>
      <c r="D869" s="895" t="s">
        <v>18269</v>
      </c>
    </row>
    <row r="870" spans="1:4" x14ac:dyDescent="0.2">
      <c r="A870" s="895">
        <v>10201</v>
      </c>
      <c r="B870" s="895" t="s">
        <v>19093</v>
      </c>
      <c r="C870" s="895" t="s">
        <v>159</v>
      </c>
      <c r="D870" s="895">
        <v>43.98</v>
      </c>
    </row>
    <row r="871" spans="1:4" x14ac:dyDescent="0.2">
      <c r="A871" s="895">
        <v>10202</v>
      </c>
      <c r="B871" s="895" t="s">
        <v>19094</v>
      </c>
      <c r="C871" s="895" t="s">
        <v>159</v>
      </c>
      <c r="D871" s="895">
        <v>54.98</v>
      </c>
    </row>
    <row r="872" spans="1:4" x14ac:dyDescent="0.2">
      <c r="A872" s="895">
        <v>10205</v>
      </c>
      <c r="B872" s="895" t="s">
        <v>19095</v>
      </c>
      <c r="C872" s="895" t="s">
        <v>159</v>
      </c>
      <c r="D872" s="895">
        <v>32.99</v>
      </c>
    </row>
    <row r="873" spans="1:4" x14ac:dyDescent="0.2">
      <c r="A873" s="895">
        <v>10210</v>
      </c>
      <c r="B873" s="895" t="s">
        <v>19096</v>
      </c>
      <c r="C873" s="895" t="s">
        <v>159</v>
      </c>
      <c r="D873" s="895">
        <v>18.149999999999999</v>
      </c>
    </row>
    <row r="874" spans="1:4" x14ac:dyDescent="0.2">
      <c r="A874" s="895">
        <v>10211</v>
      </c>
      <c r="B874" s="895" t="s">
        <v>19097</v>
      </c>
      <c r="C874" s="895" t="s">
        <v>159</v>
      </c>
      <c r="D874" s="895">
        <v>38.99</v>
      </c>
    </row>
    <row r="875" spans="1:4" x14ac:dyDescent="0.2">
      <c r="A875" s="895">
        <v>10300</v>
      </c>
      <c r="B875" s="895" t="s">
        <v>19098</v>
      </c>
      <c r="C875" s="895" t="s">
        <v>18269</v>
      </c>
      <c r="D875" s="895" t="s">
        <v>18269</v>
      </c>
    </row>
    <row r="876" spans="1:4" x14ac:dyDescent="0.2">
      <c r="A876" s="895">
        <v>10301</v>
      </c>
      <c r="B876" s="895" t="s">
        <v>19094</v>
      </c>
      <c r="C876" s="895" t="s">
        <v>159</v>
      </c>
      <c r="D876" s="895">
        <v>19.53</v>
      </c>
    </row>
    <row r="877" spans="1:4" x14ac:dyDescent="0.2">
      <c r="A877" s="895">
        <v>10302</v>
      </c>
      <c r="B877" s="895" t="s">
        <v>19099</v>
      </c>
      <c r="C877" s="895" t="s">
        <v>159</v>
      </c>
      <c r="D877" s="895">
        <v>22.47</v>
      </c>
    </row>
    <row r="878" spans="1:4" x14ac:dyDescent="0.2">
      <c r="A878" s="895">
        <v>10303</v>
      </c>
      <c r="B878" s="895" t="s">
        <v>19100</v>
      </c>
      <c r="C878" s="895" t="s">
        <v>159</v>
      </c>
      <c r="D878" s="895">
        <v>30.11</v>
      </c>
    </row>
    <row r="879" spans="1:4" x14ac:dyDescent="0.2">
      <c r="A879" s="895">
        <v>10305</v>
      </c>
      <c r="B879" s="895" t="s">
        <v>19101</v>
      </c>
      <c r="C879" s="895" t="s">
        <v>159</v>
      </c>
      <c r="D879" s="895">
        <v>34.19</v>
      </c>
    </row>
    <row r="880" spans="1:4" x14ac:dyDescent="0.2">
      <c r="A880" s="895">
        <v>10306</v>
      </c>
      <c r="B880" s="895" t="s">
        <v>19095</v>
      </c>
      <c r="C880" s="895" t="s">
        <v>159</v>
      </c>
      <c r="D880" s="895">
        <v>7.92</v>
      </c>
    </row>
    <row r="881" spans="1:4" x14ac:dyDescent="0.2">
      <c r="A881" s="895">
        <v>10310</v>
      </c>
      <c r="B881" s="895" t="s">
        <v>19102</v>
      </c>
      <c r="C881" s="895" t="s">
        <v>16557</v>
      </c>
      <c r="D881" s="895">
        <v>3.24</v>
      </c>
    </row>
    <row r="882" spans="1:4" x14ac:dyDescent="0.2">
      <c r="A882" s="895">
        <v>10400</v>
      </c>
      <c r="B882" s="895" t="s">
        <v>19103</v>
      </c>
      <c r="C882" s="895" t="s">
        <v>18269</v>
      </c>
      <c r="D882" s="895" t="s">
        <v>18269</v>
      </c>
    </row>
    <row r="883" spans="1:4" x14ac:dyDescent="0.2">
      <c r="A883" s="895">
        <v>10401</v>
      </c>
      <c r="B883" s="895" t="s">
        <v>19104</v>
      </c>
      <c r="C883" s="895" t="s">
        <v>159</v>
      </c>
      <c r="D883" s="895">
        <v>65.97</v>
      </c>
    </row>
    <row r="884" spans="1:4" x14ac:dyDescent="0.2">
      <c r="A884" s="895">
        <v>10402</v>
      </c>
      <c r="B884" s="895" t="s">
        <v>19105</v>
      </c>
      <c r="C884" s="895" t="s">
        <v>159</v>
      </c>
      <c r="D884" s="895">
        <v>76.97</v>
      </c>
    </row>
    <row r="885" spans="1:4" x14ac:dyDescent="0.2">
      <c r="A885" s="895">
        <v>10405</v>
      </c>
      <c r="B885" s="895" t="s">
        <v>19106</v>
      </c>
      <c r="C885" s="895" t="s">
        <v>227</v>
      </c>
      <c r="D885" s="895">
        <v>117.39</v>
      </c>
    </row>
    <row r="886" spans="1:4" x14ac:dyDescent="0.2">
      <c r="A886" s="895">
        <v>10406</v>
      </c>
      <c r="B886" s="895" t="s">
        <v>19107</v>
      </c>
      <c r="C886" s="895" t="s">
        <v>227</v>
      </c>
      <c r="D886" s="895">
        <v>68.52</v>
      </c>
    </row>
    <row r="887" spans="1:4" x14ac:dyDescent="0.2">
      <c r="A887" s="895">
        <v>10410</v>
      </c>
      <c r="B887" s="895" t="s">
        <v>19108</v>
      </c>
      <c r="C887" s="895" t="s">
        <v>227</v>
      </c>
      <c r="D887" s="895">
        <v>5.5</v>
      </c>
    </row>
    <row r="888" spans="1:4" x14ac:dyDescent="0.2">
      <c r="A888" s="895">
        <v>10414</v>
      </c>
      <c r="B888" s="895" t="s">
        <v>19109</v>
      </c>
      <c r="C888" s="895" t="s">
        <v>159</v>
      </c>
      <c r="D888" s="895">
        <v>117.83</v>
      </c>
    </row>
    <row r="889" spans="1:4" x14ac:dyDescent="0.2">
      <c r="A889" s="895">
        <v>10415</v>
      </c>
      <c r="B889" s="895" t="s">
        <v>19110</v>
      </c>
      <c r="C889" s="895" t="s">
        <v>159</v>
      </c>
      <c r="D889" s="895">
        <v>183.68</v>
      </c>
    </row>
    <row r="890" spans="1:4" x14ac:dyDescent="0.2">
      <c r="A890" s="895">
        <v>10416</v>
      </c>
      <c r="B890" s="895" t="s">
        <v>19111</v>
      </c>
      <c r="C890" s="895" t="s">
        <v>159</v>
      </c>
      <c r="D890" s="895">
        <v>478.71</v>
      </c>
    </row>
    <row r="891" spans="1:4" x14ac:dyDescent="0.2">
      <c r="A891" s="895">
        <v>10417</v>
      </c>
      <c r="B891" s="895" t="s">
        <v>19112</v>
      </c>
      <c r="C891" s="895" t="s">
        <v>159</v>
      </c>
      <c r="D891" s="895">
        <v>425.7</v>
      </c>
    </row>
    <row r="892" spans="1:4" x14ac:dyDescent="0.2">
      <c r="A892" s="895">
        <v>10420</v>
      </c>
      <c r="B892" s="895" t="s">
        <v>19113</v>
      </c>
      <c r="C892" s="895" t="s">
        <v>158</v>
      </c>
      <c r="D892" s="895">
        <v>20.99</v>
      </c>
    </row>
    <row r="893" spans="1:4" x14ac:dyDescent="0.2">
      <c r="A893" s="895">
        <v>10421</v>
      </c>
      <c r="B893" s="895" t="s">
        <v>19114</v>
      </c>
      <c r="C893" s="895" t="s">
        <v>158</v>
      </c>
      <c r="D893" s="895">
        <v>23.81</v>
      </c>
    </row>
    <row r="894" spans="1:4" x14ac:dyDescent="0.2">
      <c r="A894" s="895">
        <v>10422</v>
      </c>
      <c r="B894" s="895" t="s">
        <v>19115</v>
      </c>
      <c r="C894" s="895" t="s">
        <v>158</v>
      </c>
      <c r="D894" s="895">
        <v>28.5</v>
      </c>
    </row>
    <row r="895" spans="1:4" x14ac:dyDescent="0.2">
      <c r="A895" s="895">
        <v>10423</v>
      </c>
      <c r="B895" s="895" t="s">
        <v>19116</v>
      </c>
      <c r="C895" s="895" t="s">
        <v>158</v>
      </c>
      <c r="D895" s="895">
        <v>55.94</v>
      </c>
    </row>
    <row r="896" spans="1:4" x14ac:dyDescent="0.2">
      <c r="A896" s="895">
        <v>10426</v>
      </c>
      <c r="B896" s="895" t="s">
        <v>19117</v>
      </c>
      <c r="C896" s="895" t="s">
        <v>158</v>
      </c>
      <c r="D896" s="895">
        <v>70.42</v>
      </c>
    </row>
    <row r="897" spans="1:4" x14ac:dyDescent="0.2">
      <c r="A897" s="895">
        <v>10427</v>
      </c>
      <c r="B897" s="895" t="s">
        <v>19118</v>
      </c>
      <c r="C897" s="895" t="s">
        <v>158</v>
      </c>
      <c r="D897" s="895">
        <v>94.63</v>
      </c>
    </row>
    <row r="898" spans="1:4" x14ac:dyDescent="0.2">
      <c r="A898" s="895">
        <v>10430</v>
      </c>
      <c r="B898" s="895" t="s">
        <v>19119</v>
      </c>
      <c r="C898" s="895" t="s">
        <v>158</v>
      </c>
      <c r="D898" s="895">
        <v>63.36</v>
      </c>
    </row>
    <row r="899" spans="1:4" x14ac:dyDescent="0.2">
      <c r="A899" s="895">
        <v>10431</v>
      </c>
      <c r="B899" s="895" t="s">
        <v>19120</v>
      </c>
      <c r="C899" s="895" t="s">
        <v>158</v>
      </c>
      <c r="D899" s="895">
        <v>87.8</v>
      </c>
    </row>
    <row r="900" spans="1:4" x14ac:dyDescent="0.2">
      <c r="A900" s="895">
        <v>10432</v>
      </c>
      <c r="B900" s="895" t="s">
        <v>19121</v>
      </c>
      <c r="C900" s="895" t="s">
        <v>158</v>
      </c>
      <c r="D900" s="895">
        <v>118.68</v>
      </c>
    </row>
    <row r="901" spans="1:4" x14ac:dyDescent="0.2">
      <c r="A901" s="895">
        <v>10433</v>
      </c>
      <c r="B901" s="895" t="s">
        <v>19122</v>
      </c>
      <c r="C901" s="895" t="s">
        <v>158</v>
      </c>
      <c r="D901" s="895">
        <v>151.08000000000001</v>
      </c>
    </row>
    <row r="902" spans="1:4" x14ac:dyDescent="0.2">
      <c r="A902" s="895">
        <v>10435</v>
      </c>
      <c r="B902" s="895" t="s">
        <v>19123</v>
      </c>
      <c r="C902" s="895" t="s">
        <v>158</v>
      </c>
      <c r="D902" s="895">
        <v>359.44</v>
      </c>
    </row>
    <row r="903" spans="1:4" x14ac:dyDescent="0.2">
      <c r="A903" s="895">
        <v>10437</v>
      </c>
      <c r="B903" s="895" t="s">
        <v>19124</v>
      </c>
      <c r="C903" s="895" t="s">
        <v>158</v>
      </c>
      <c r="D903" s="895">
        <v>498.26</v>
      </c>
    </row>
    <row r="904" spans="1:4" x14ac:dyDescent="0.2">
      <c r="A904" s="895">
        <v>10439</v>
      </c>
      <c r="B904" s="895" t="s">
        <v>19125</v>
      </c>
      <c r="C904" s="895" t="s">
        <v>158</v>
      </c>
      <c r="D904" s="895">
        <v>728.43</v>
      </c>
    </row>
    <row r="905" spans="1:4" x14ac:dyDescent="0.2">
      <c r="A905" s="895">
        <v>10448</v>
      </c>
      <c r="B905" s="895" t="s">
        <v>19126</v>
      </c>
      <c r="C905" s="895" t="s">
        <v>159</v>
      </c>
      <c r="D905" s="895">
        <v>59.37</v>
      </c>
    </row>
    <row r="906" spans="1:4" x14ac:dyDescent="0.2">
      <c r="A906" s="895">
        <v>10449</v>
      </c>
      <c r="B906" s="895" t="s">
        <v>19127</v>
      </c>
      <c r="C906" s="895" t="s">
        <v>159</v>
      </c>
      <c r="D906" s="895">
        <v>516.65</v>
      </c>
    </row>
    <row r="907" spans="1:4" x14ac:dyDescent="0.2">
      <c r="A907" s="895">
        <v>10450</v>
      </c>
      <c r="B907" s="895" t="s">
        <v>19128</v>
      </c>
      <c r="C907" s="895" t="s">
        <v>227</v>
      </c>
      <c r="D907" s="895">
        <v>261.58</v>
      </c>
    </row>
    <row r="908" spans="1:4" x14ac:dyDescent="0.2">
      <c r="A908" s="895">
        <v>10451</v>
      </c>
      <c r="B908" s="895" t="s">
        <v>19129</v>
      </c>
      <c r="C908" s="895" t="s">
        <v>227</v>
      </c>
      <c r="D908" s="895">
        <v>369.05</v>
      </c>
    </row>
    <row r="909" spans="1:4" x14ac:dyDescent="0.2">
      <c r="A909" s="895">
        <v>10452</v>
      </c>
      <c r="B909" s="895" t="s">
        <v>19130</v>
      </c>
      <c r="C909" s="895" t="s">
        <v>227</v>
      </c>
      <c r="D909" s="895">
        <v>255.36</v>
      </c>
    </row>
    <row r="910" spans="1:4" x14ac:dyDescent="0.2">
      <c r="A910" s="895">
        <v>10470</v>
      </c>
      <c r="B910" s="895" t="s">
        <v>19131</v>
      </c>
      <c r="C910" s="895" t="s">
        <v>159</v>
      </c>
      <c r="D910" s="895">
        <v>194.68</v>
      </c>
    </row>
    <row r="911" spans="1:4" x14ac:dyDescent="0.2">
      <c r="A911" s="895">
        <v>10471</v>
      </c>
      <c r="B911" s="895" t="s">
        <v>19132</v>
      </c>
      <c r="C911" s="895" t="s">
        <v>159</v>
      </c>
      <c r="D911" s="895">
        <v>238.03</v>
      </c>
    </row>
    <row r="912" spans="1:4" x14ac:dyDescent="0.2">
      <c r="A912" s="895">
        <v>10475</v>
      </c>
      <c r="B912" s="895" t="s">
        <v>19133</v>
      </c>
      <c r="C912" s="895" t="s">
        <v>227</v>
      </c>
      <c r="D912" s="895">
        <v>9.36</v>
      </c>
    </row>
    <row r="913" spans="1:4" x14ac:dyDescent="0.2">
      <c r="A913" s="895">
        <v>10476</v>
      </c>
      <c r="B913" s="895" t="s">
        <v>18678</v>
      </c>
      <c r="C913" s="895" t="s">
        <v>227</v>
      </c>
      <c r="D913" s="895">
        <v>40.18</v>
      </c>
    </row>
    <row r="914" spans="1:4" x14ac:dyDescent="0.2">
      <c r="A914" s="895">
        <v>10477</v>
      </c>
      <c r="B914" s="895" t="s">
        <v>19134</v>
      </c>
      <c r="C914" s="895" t="s">
        <v>227</v>
      </c>
      <c r="D914" s="895">
        <v>31.45</v>
      </c>
    </row>
    <row r="915" spans="1:4" x14ac:dyDescent="0.2">
      <c r="A915" s="895">
        <v>10478</v>
      </c>
      <c r="B915" s="895" t="s">
        <v>18680</v>
      </c>
      <c r="C915" s="895" t="s">
        <v>227</v>
      </c>
      <c r="D915" s="895">
        <v>35.26</v>
      </c>
    </row>
    <row r="916" spans="1:4" x14ac:dyDescent="0.2">
      <c r="A916" s="895">
        <v>10480</v>
      </c>
      <c r="B916" s="895" t="s">
        <v>19135</v>
      </c>
      <c r="C916" s="895" t="s">
        <v>159</v>
      </c>
      <c r="D916" s="895">
        <v>13.67</v>
      </c>
    </row>
    <row r="917" spans="1:4" x14ac:dyDescent="0.2">
      <c r="A917" s="895">
        <v>10500</v>
      </c>
      <c r="B917" s="895" t="s">
        <v>19136</v>
      </c>
      <c r="C917" s="895" t="s">
        <v>18269</v>
      </c>
      <c r="D917" s="895" t="s">
        <v>18269</v>
      </c>
    </row>
    <row r="918" spans="1:4" x14ac:dyDescent="0.2">
      <c r="A918" s="895">
        <v>10501</v>
      </c>
      <c r="B918" s="895" t="s">
        <v>19137</v>
      </c>
      <c r="C918" s="895" t="s">
        <v>227</v>
      </c>
      <c r="D918" s="895">
        <v>84.27</v>
      </c>
    </row>
    <row r="919" spans="1:4" x14ac:dyDescent="0.2">
      <c r="A919" s="895">
        <v>10502</v>
      </c>
      <c r="B919" s="895" t="s">
        <v>19138</v>
      </c>
      <c r="C919" s="895" t="s">
        <v>227</v>
      </c>
      <c r="D919" s="895">
        <v>95.59</v>
      </c>
    </row>
    <row r="920" spans="1:4" x14ac:dyDescent="0.2">
      <c r="A920" s="895">
        <v>10505</v>
      </c>
      <c r="B920" s="895" t="s">
        <v>19139</v>
      </c>
      <c r="C920" s="895" t="s">
        <v>227</v>
      </c>
      <c r="D920" s="895">
        <v>156.76</v>
      </c>
    </row>
    <row r="921" spans="1:4" x14ac:dyDescent="0.2">
      <c r="A921" s="895">
        <v>10506</v>
      </c>
      <c r="B921" s="895" t="s">
        <v>19140</v>
      </c>
      <c r="C921" s="895" t="s">
        <v>227</v>
      </c>
      <c r="D921" s="895">
        <v>324.83</v>
      </c>
    </row>
    <row r="922" spans="1:4" x14ac:dyDescent="0.2">
      <c r="A922" s="895">
        <v>10507</v>
      </c>
      <c r="B922" s="895" t="s">
        <v>19141</v>
      </c>
      <c r="C922" s="895" t="s">
        <v>227</v>
      </c>
      <c r="D922" s="895">
        <v>254.86</v>
      </c>
    </row>
    <row r="923" spans="1:4" x14ac:dyDescent="0.2">
      <c r="A923" s="895">
        <v>10540</v>
      </c>
      <c r="B923" s="895" t="s">
        <v>19142</v>
      </c>
      <c r="C923" s="895" t="s">
        <v>227</v>
      </c>
      <c r="D923" s="895">
        <v>28.06</v>
      </c>
    </row>
    <row r="924" spans="1:4" x14ac:dyDescent="0.2">
      <c r="A924" s="895">
        <v>20000</v>
      </c>
      <c r="B924" s="895" t="s">
        <v>19143</v>
      </c>
    </row>
    <row r="925" spans="1:4" x14ac:dyDescent="0.2">
      <c r="A925" s="895">
        <v>20100</v>
      </c>
      <c r="B925" s="895" t="s">
        <v>19144</v>
      </c>
      <c r="C925" s="895" t="s">
        <v>18269</v>
      </c>
      <c r="D925" s="895" t="s">
        <v>18269</v>
      </c>
    </row>
    <row r="926" spans="1:4" x14ac:dyDescent="0.2">
      <c r="A926" s="895">
        <v>20101</v>
      </c>
      <c r="B926" s="895" t="s">
        <v>19145</v>
      </c>
      <c r="C926" s="895" t="s">
        <v>158</v>
      </c>
      <c r="D926" s="895">
        <v>58.28</v>
      </c>
    </row>
    <row r="927" spans="1:4" x14ac:dyDescent="0.2">
      <c r="A927" s="895">
        <v>20102</v>
      </c>
      <c r="B927" s="895" t="s">
        <v>19146</v>
      </c>
      <c r="C927" s="895" t="s">
        <v>158</v>
      </c>
      <c r="D927" s="895">
        <v>88.46</v>
      </c>
    </row>
    <row r="928" spans="1:4" x14ac:dyDescent="0.2">
      <c r="A928" s="895">
        <v>20103</v>
      </c>
      <c r="B928" s="895" t="s">
        <v>19147</v>
      </c>
      <c r="C928" s="895" t="s">
        <v>158</v>
      </c>
      <c r="D928" s="895">
        <v>131.29</v>
      </c>
    </row>
    <row r="929" spans="1:4" x14ac:dyDescent="0.2">
      <c r="A929" s="895">
        <v>20105</v>
      </c>
      <c r="B929" s="895" t="s">
        <v>19148</v>
      </c>
      <c r="C929" s="895" t="s">
        <v>158</v>
      </c>
      <c r="D929" s="895">
        <v>63.29</v>
      </c>
    </row>
    <row r="930" spans="1:4" x14ac:dyDescent="0.2">
      <c r="A930" s="895">
        <v>20106</v>
      </c>
      <c r="B930" s="895" t="s">
        <v>19149</v>
      </c>
      <c r="C930" s="895" t="s">
        <v>158</v>
      </c>
      <c r="D930" s="895">
        <v>80.69</v>
      </c>
    </row>
    <row r="931" spans="1:4" x14ac:dyDescent="0.2">
      <c r="A931" s="895">
        <v>20107</v>
      </c>
      <c r="B931" s="895" t="s">
        <v>19150</v>
      </c>
      <c r="C931" s="895" t="s">
        <v>158</v>
      </c>
      <c r="D931" s="895">
        <v>105.65</v>
      </c>
    </row>
    <row r="932" spans="1:4" x14ac:dyDescent="0.2">
      <c r="A932" s="895">
        <v>20108</v>
      </c>
      <c r="B932" s="895" t="s">
        <v>19151</v>
      </c>
      <c r="C932" s="895" t="s">
        <v>158</v>
      </c>
      <c r="D932" s="895">
        <v>145.41</v>
      </c>
    </row>
    <row r="933" spans="1:4" x14ac:dyDescent="0.2">
      <c r="A933" s="895">
        <v>20120</v>
      </c>
      <c r="B933" s="895" t="s">
        <v>19152</v>
      </c>
      <c r="C933" s="895" t="s">
        <v>159</v>
      </c>
      <c r="D933" s="895">
        <v>535.19000000000005</v>
      </c>
    </row>
    <row r="934" spans="1:4" x14ac:dyDescent="0.2">
      <c r="A934" s="895">
        <v>20134</v>
      </c>
      <c r="B934" s="895" t="s">
        <v>19153</v>
      </c>
      <c r="C934" s="895" t="s">
        <v>159</v>
      </c>
      <c r="D934" s="895">
        <v>726.68</v>
      </c>
    </row>
    <row r="935" spans="1:4" x14ac:dyDescent="0.2">
      <c r="A935" s="895">
        <v>20143</v>
      </c>
      <c r="B935" s="895" t="s">
        <v>19154</v>
      </c>
      <c r="C935" s="895" t="s">
        <v>226</v>
      </c>
      <c r="D935" s="895">
        <v>56.14</v>
      </c>
    </row>
    <row r="936" spans="1:4" x14ac:dyDescent="0.2">
      <c r="A936" s="895">
        <v>20144</v>
      </c>
      <c r="B936" s="895" t="s">
        <v>19155</v>
      </c>
      <c r="C936" s="895" t="s">
        <v>226</v>
      </c>
      <c r="D936" s="895">
        <v>64.64</v>
      </c>
    </row>
    <row r="937" spans="1:4" x14ac:dyDescent="0.2">
      <c r="A937" s="895">
        <v>20145</v>
      </c>
      <c r="B937" s="895" t="s">
        <v>19156</v>
      </c>
      <c r="C937" s="895" t="s">
        <v>226</v>
      </c>
      <c r="D937" s="895">
        <v>71.55</v>
      </c>
    </row>
    <row r="938" spans="1:4" x14ac:dyDescent="0.2">
      <c r="A938" s="895">
        <v>20146</v>
      </c>
      <c r="B938" s="895" t="s">
        <v>19157</v>
      </c>
      <c r="C938" s="895" t="s">
        <v>226</v>
      </c>
      <c r="D938" s="895">
        <v>71.17</v>
      </c>
    </row>
    <row r="939" spans="1:4" x14ac:dyDescent="0.2">
      <c r="A939" s="895">
        <v>20147</v>
      </c>
      <c r="B939" s="895" t="s">
        <v>19158</v>
      </c>
      <c r="C939" s="895" t="s">
        <v>226</v>
      </c>
      <c r="D939" s="895">
        <v>80.319999999999993</v>
      </c>
    </row>
    <row r="940" spans="1:4" x14ac:dyDescent="0.2">
      <c r="A940" s="895">
        <v>20148</v>
      </c>
      <c r="B940" s="895" t="s">
        <v>19159</v>
      </c>
      <c r="C940" s="895" t="s">
        <v>226</v>
      </c>
      <c r="D940" s="895">
        <v>61.74</v>
      </c>
    </row>
    <row r="941" spans="1:4" x14ac:dyDescent="0.2">
      <c r="A941" s="895">
        <v>20151</v>
      </c>
      <c r="B941" s="895" t="s">
        <v>19160</v>
      </c>
      <c r="C941" s="895" t="s">
        <v>158</v>
      </c>
      <c r="D941" s="895">
        <v>41.87</v>
      </c>
    </row>
    <row r="942" spans="1:4" x14ac:dyDescent="0.2">
      <c r="A942" s="895">
        <v>20152</v>
      </c>
      <c r="B942" s="895" t="s">
        <v>19161</v>
      </c>
      <c r="C942" s="895" t="s">
        <v>158</v>
      </c>
      <c r="D942" s="895">
        <v>54.84</v>
      </c>
    </row>
    <row r="943" spans="1:4" x14ac:dyDescent="0.2">
      <c r="A943" s="895">
        <v>20153</v>
      </c>
      <c r="B943" s="895" t="s">
        <v>19162</v>
      </c>
      <c r="C943" s="895" t="s">
        <v>158</v>
      </c>
      <c r="D943" s="895">
        <v>69.7</v>
      </c>
    </row>
    <row r="944" spans="1:4" x14ac:dyDescent="0.2">
      <c r="A944" s="895">
        <v>20155</v>
      </c>
      <c r="B944" s="895" t="s">
        <v>19163</v>
      </c>
      <c r="C944" s="895" t="s">
        <v>158</v>
      </c>
      <c r="D944" s="895">
        <v>96.29</v>
      </c>
    </row>
    <row r="945" spans="1:4" x14ac:dyDescent="0.2">
      <c r="A945" s="895">
        <v>20156</v>
      </c>
      <c r="B945" s="895" t="s">
        <v>19164</v>
      </c>
      <c r="C945" s="895" t="s">
        <v>158</v>
      </c>
      <c r="D945" s="895">
        <v>338.68</v>
      </c>
    </row>
    <row r="946" spans="1:4" x14ac:dyDescent="0.2">
      <c r="A946" s="895">
        <v>20160</v>
      </c>
      <c r="B946" s="895" t="s">
        <v>19165</v>
      </c>
      <c r="C946" s="895" t="s">
        <v>158</v>
      </c>
      <c r="D946" s="895">
        <v>311.33</v>
      </c>
    </row>
    <row r="947" spans="1:4" x14ac:dyDescent="0.2">
      <c r="A947" s="895">
        <v>20161</v>
      </c>
      <c r="B947" s="895" t="s">
        <v>19166</v>
      </c>
      <c r="C947" s="895" t="s">
        <v>158</v>
      </c>
      <c r="D947" s="895">
        <v>364.78</v>
      </c>
    </row>
    <row r="948" spans="1:4" x14ac:dyDescent="0.2">
      <c r="A948" s="895">
        <v>20162</v>
      </c>
      <c r="B948" s="895" t="s">
        <v>19167</v>
      </c>
      <c r="C948" s="895" t="s">
        <v>158</v>
      </c>
      <c r="D948" s="895">
        <v>430.09</v>
      </c>
    </row>
    <row r="949" spans="1:4" x14ac:dyDescent="0.2">
      <c r="A949" s="895">
        <v>20163</v>
      </c>
      <c r="B949" s="895" t="s">
        <v>19168</v>
      </c>
      <c r="C949" s="895" t="s">
        <v>158</v>
      </c>
      <c r="D949" s="895">
        <v>531.29</v>
      </c>
    </row>
    <row r="950" spans="1:4" x14ac:dyDescent="0.2">
      <c r="A950" s="895">
        <v>20170</v>
      </c>
      <c r="B950" s="895" t="s">
        <v>18728</v>
      </c>
      <c r="C950" s="895" t="s">
        <v>158</v>
      </c>
      <c r="D950" s="895">
        <v>470.66</v>
      </c>
    </row>
    <row r="951" spans="1:4" x14ac:dyDescent="0.2">
      <c r="A951" s="895">
        <v>20171</v>
      </c>
      <c r="B951" s="895" t="s">
        <v>18729</v>
      </c>
      <c r="C951" s="895" t="s">
        <v>158</v>
      </c>
      <c r="D951" s="895">
        <v>685.25</v>
      </c>
    </row>
    <row r="952" spans="1:4" x14ac:dyDescent="0.2">
      <c r="A952" s="895">
        <v>20172</v>
      </c>
      <c r="B952" s="895" t="s">
        <v>19169</v>
      </c>
      <c r="C952" s="895" t="s">
        <v>158</v>
      </c>
      <c r="D952" s="895">
        <v>1965.2</v>
      </c>
    </row>
    <row r="953" spans="1:4" x14ac:dyDescent="0.2">
      <c r="A953" s="895">
        <v>20173</v>
      </c>
      <c r="B953" s="895" t="s">
        <v>19170</v>
      </c>
      <c r="C953" s="895" t="s">
        <v>226</v>
      </c>
      <c r="D953" s="895">
        <v>130.6</v>
      </c>
    </row>
    <row r="954" spans="1:4" x14ac:dyDescent="0.2">
      <c r="A954" s="895">
        <v>20174</v>
      </c>
      <c r="B954" s="895" t="s">
        <v>19171</v>
      </c>
      <c r="C954" s="895" t="s">
        <v>226</v>
      </c>
      <c r="D954" s="895">
        <v>158.63</v>
      </c>
    </row>
    <row r="955" spans="1:4" x14ac:dyDescent="0.2">
      <c r="A955" s="895">
        <v>20175</v>
      </c>
      <c r="B955" s="895" t="s">
        <v>19172</v>
      </c>
      <c r="C955" s="895" t="s">
        <v>226</v>
      </c>
      <c r="D955" s="895">
        <v>172.77</v>
      </c>
    </row>
    <row r="956" spans="1:4" x14ac:dyDescent="0.2">
      <c r="A956" s="895">
        <v>20176</v>
      </c>
      <c r="B956" s="895" t="s">
        <v>19173</v>
      </c>
      <c r="C956" s="895" t="s">
        <v>226</v>
      </c>
      <c r="D956" s="895">
        <v>530.26</v>
      </c>
    </row>
    <row r="957" spans="1:4" x14ac:dyDescent="0.2">
      <c r="A957" s="895">
        <v>20177</v>
      </c>
      <c r="B957" s="895" t="s">
        <v>19174</v>
      </c>
      <c r="C957" s="895" t="s">
        <v>226</v>
      </c>
      <c r="D957" s="895">
        <v>554.16999999999996</v>
      </c>
    </row>
    <row r="958" spans="1:4" x14ac:dyDescent="0.2">
      <c r="A958" s="895">
        <v>20178</v>
      </c>
      <c r="B958" s="895" t="s">
        <v>19175</v>
      </c>
      <c r="C958" s="895" t="s">
        <v>226</v>
      </c>
      <c r="D958" s="895">
        <v>710.73</v>
      </c>
    </row>
    <row r="959" spans="1:4" x14ac:dyDescent="0.2">
      <c r="A959" s="895">
        <v>20180</v>
      </c>
      <c r="B959" s="895" t="s">
        <v>19176</v>
      </c>
      <c r="C959" s="895" t="s">
        <v>158</v>
      </c>
      <c r="D959" s="895">
        <v>62.52</v>
      </c>
    </row>
    <row r="960" spans="1:4" x14ac:dyDescent="0.2">
      <c r="A960" s="895">
        <v>20181</v>
      </c>
      <c r="B960" s="895" t="s">
        <v>19177</v>
      </c>
      <c r="C960" s="895" t="s">
        <v>158</v>
      </c>
      <c r="D960" s="895">
        <v>82.85</v>
      </c>
    </row>
    <row r="961" spans="1:4" x14ac:dyDescent="0.2">
      <c r="A961" s="895">
        <v>20182</v>
      </c>
      <c r="B961" s="895" t="s">
        <v>19178</v>
      </c>
      <c r="C961" s="895" t="s">
        <v>158</v>
      </c>
      <c r="D961" s="895">
        <v>105.39</v>
      </c>
    </row>
    <row r="962" spans="1:4" x14ac:dyDescent="0.2">
      <c r="A962" s="895">
        <v>20183</v>
      </c>
      <c r="B962" s="895" t="s">
        <v>19179</v>
      </c>
      <c r="C962" s="895" t="s">
        <v>158</v>
      </c>
      <c r="D962" s="895">
        <v>137.68</v>
      </c>
    </row>
    <row r="963" spans="1:4" x14ac:dyDescent="0.2">
      <c r="A963" s="895">
        <v>20184</v>
      </c>
      <c r="B963" s="895" t="s">
        <v>19180</v>
      </c>
      <c r="C963" s="895" t="s">
        <v>158</v>
      </c>
      <c r="D963" s="895">
        <v>190.37</v>
      </c>
    </row>
    <row r="964" spans="1:4" x14ac:dyDescent="0.2">
      <c r="A964" s="895">
        <v>20185</v>
      </c>
      <c r="B964" s="895" t="s">
        <v>19181</v>
      </c>
      <c r="C964" s="895" t="s">
        <v>158</v>
      </c>
      <c r="D964" s="895">
        <v>258.56</v>
      </c>
    </row>
    <row r="965" spans="1:4" x14ac:dyDescent="0.2">
      <c r="A965" s="895">
        <v>20190</v>
      </c>
      <c r="B965" s="895" t="s">
        <v>19182</v>
      </c>
      <c r="C965" s="895" t="s">
        <v>158</v>
      </c>
      <c r="D965" s="895">
        <v>34.200000000000003</v>
      </c>
    </row>
    <row r="966" spans="1:4" x14ac:dyDescent="0.2">
      <c r="A966" s="895">
        <v>20191</v>
      </c>
      <c r="B966" s="895" t="s">
        <v>19183</v>
      </c>
      <c r="C966" s="895" t="s">
        <v>158</v>
      </c>
      <c r="D966" s="895">
        <v>42.57</v>
      </c>
    </row>
    <row r="967" spans="1:4" x14ac:dyDescent="0.2">
      <c r="A967" s="895">
        <v>20192</v>
      </c>
      <c r="B967" s="895" t="s">
        <v>19184</v>
      </c>
      <c r="C967" s="895" t="s">
        <v>158</v>
      </c>
      <c r="D967" s="895">
        <v>50.92</v>
      </c>
    </row>
    <row r="968" spans="1:4" x14ac:dyDescent="0.2">
      <c r="A968" s="895">
        <v>20193</v>
      </c>
      <c r="B968" s="895" t="s">
        <v>19185</v>
      </c>
      <c r="C968" s="895" t="s">
        <v>158</v>
      </c>
      <c r="D968" s="895">
        <v>57.93</v>
      </c>
    </row>
    <row r="969" spans="1:4" x14ac:dyDescent="0.2">
      <c r="A969" s="895">
        <v>20194</v>
      </c>
      <c r="B969" s="895" t="s">
        <v>19186</v>
      </c>
      <c r="C969" s="895" t="s">
        <v>158</v>
      </c>
      <c r="D969" s="895">
        <v>66.17</v>
      </c>
    </row>
    <row r="970" spans="1:4" x14ac:dyDescent="0.2">
      <c r="A970" s="895">
        <v>20195</v>
      </c>
      <c r="B970" s="895" t="s">
        <v>19187</v>
      </c>
      <c r="C970" s="895" t="s">
        <v>158</v>
      </c>
      <c r="D970" s="895">
        <v>79.349999999999994</v>
      </c>
    </row>
    <row r="971" spans="1:4" x14ac:dyDescent="0.2">
      <c r="A971" s="895">
        <v>20200</v>
      </c>
      <c r="B971" s="895" t="s">
        <v>19188</v>
      </c>
      <c r="C971" s="895" t="s">
        <v>18269</v>
      </c>
      <c r="D971" s="895" t="s">
        <v>18269</v>
      </c>
    </row>
    <row r="972" spans="1:4" x14ac:dyDescent="0.2">
      <c r="A972" s="895">
        <v>20201</v>
      </c>
      <c r="B972" s="895" t="s">
        <v>19189</v>
      </c>
      <c r="C972" s="895" t="s">
        <v>159</v>
      </c>
      <c r="D972" s="895">
        <v>65.97</v>
      </c>
    </row>
    <row r="973" spans="1:4" x14ac:dyDescent="0.2">
      <c r="A973" s="895">
        <v>20202</v>
      </c>
      <c r="B973" s="895" t="s">
        <v>19190</v>
      </c>
      <c r="C973" s="895" t="s">
        <v>159</v>
      </c>
      <c r="D973" s="895">
        <v>76.97</v>
      </c>
    </row>
    <row r="974" spans="1:4" x14ac:dyDescent="0.2">
      <c r="A974" s="895">
        <v>20205</v>
      </c>
      <c r="B974" s="895" t="s">
        <v>19191</v>
      </c>
      <c r="C974" s="895" t="s">
        <v>227</v>
      </c>
      <c r="D974" s="895">
        <v>117.4</v>
      </c>
    </row>
    <row r="975" spans="1:4" x14ac:dyDescent="0.2">
      <c r="A975" s="895">
        <v>20206</v>
      </c>
      <c r="B975" s="895" t="s">
        <v>19192</v>
      </c>
      <c r="C975" s="895" t="s">
        <v>227</v>
      </c>
      <c r="D975" s="895">
        <v>68.52</v>
      </c>
    </row>
    <row r="976" spans="1:4" x14ac:dyDescent="0.2">
      <c r="A976" s="895">
        <v>20210</v>
      </c>
      <c r="B976" s="895" t="s">
        <v>19108</v>
      </c>
      <c r="C976" s="895" t="s">
        <v>227</v>
      </c>
      <c r="D976" s="895">
        <v>5.5</v>
      </c>
    </row>
    <row r="977" spans="1:7" x14ac:dyDescent="0.2">
      <c r="A977" s="895">
        <v>20211</v>
      </c>
      <c r="B977" s="895" t="s">
        <v>19193</v>
      </c>
      <c r="C977" s="895" t="s">
        <v>227</v>
      </c>
      <c r="D977" s="895">
        <v>3.71</v>
      </c>
    </row>
    <row r="978" spans="1:7" x14ac:dyDescent="0.2">
      <c r="A978" s="895">
        <v>20215</v>
      </c>
      <c r="B978" s="895" t="s">
        <v>19110</v>
      </c>
      <c r="C978" s="895" t="s">
        <v>159</v>
      </c>
      <c r="D978" s="895">
        <v>183.68</v>
      </c>
    </row>
    <row r="979" spans="1:7" x14ac:dyDescent="0.2">
      <c r="A979" s="895">
        <v>20216</v>
      </c>
      <c r="B979" s="895" t="s">
        <v>19194</v>
      </c>
      <c r="C979" s="895" t="s">
        <v>159</v>
      </c>
      <c r="D979" s="895">
        <v>478.71</v>
      </c>
      <c r="F979" s="895">
        <v>221.24</v>
      </c>
      <c r="G979" s="895">
        <f>F979*D318</f>
        <v>93157.526800000007</v>
      </c>
    </row>
    <row r="980" spans="1:7" x14ac:dyDescent="0.2">
      <c r="A980" s="895">
        <v>20217</v>
      </c>
      <c r="B980" s="895" t="s">
        <v>19195</v>
      </c>
      <c r="C980" s="895" t="s">
        <v>159</v>
      </c>
      <c r="D980" s="895">
        <v>425.7</v>
      </c>
    </row>
    <row r="981" spans="1:7" x14ac:dyDescent="0.2">
      <c r="A981" s="895">
        <v>20300</v>
      </c>
      <c r="B981" s="895" t="s">
        <v>19196</v>
      </c>
      <c r="C981" s="895" t="s">
        <v>18269</v>
      </c>
      <c r="D981" s="895" t="s">
        <v>18269</v>
      </c>
    </row>
    <row r="982" spans="1:7" x14ac:dyDescent="0.2">
      <c r="A982" s="895">
        <v>20301</v>
      </c>
      <c r="B982" s="895" t="s">
        <v>19197</v>
      </c>
      <c r="C982" s="895" t="s">
        <v>227</v>
      </c>
      <c r="D982" s="895">
        <v>80.78</v>
      </c>
    </row>
    <row r="983" spans="1:7" x14ac:dyDescent="0.2">
      <c r="A983" s="895">
        <v>20304</v>
      </c>
      <c r="B983" s="895" t="s">
        <v>19198</v>
      </c>
      <c r="C983" s="895" t="s">
        <v>227</v>
      </c>
      <c r="D983" s="895">
        <v>103.49</v>
      </c>
    </row>
    <row r="984" spans="1:7" x14ac:dyDescent="0.2">
      <c r="A984" s="895">
        <v>20400</v>
      </c>
      <c r="B984" s="895" t="s">
        <v>19199</v>
      </c>
      <c r="C984" s="895" t="s">
        <v>18269</v>
      </c>
      <c r="D984" s="895" t="s">
        <v>18269</v>
      </c>
    </row>
    <row r="985" spans="1:7" x14ac:dyDescent="0.2">
      <c r="A985" s="895">
        <v>20404</v>
      </c>
      <c r="B985" s="895" t="s">
        <v>19200</v>
      </c>
      <c r="C985" s="895" t="s">
        <v>6008</v>
      </c>
      <c r="D985" s="895">
        <v>13.39</v>
      </c>
    </row>
    <row r="986" spans="1:7" x14ac:dyDescent="0.2">
      <c r="A986" s="895">
        <v>20407</v>
      </c>
      <c r="B986" s="895" t="s">
        <v>19201</v>
      </c>
      <c r="C986" s="895" t="s">
        <v>6008</v>
      </c>
      <c r="D986" s="895">
        <v>14.15</v>
      </c>
    </row>
    <row r="987" spans="1:7" x14ac:dyDescent="0.2">
      <c r="A987" s="895">
        <v>20409</v>
      </c>
      <c r="B987" s="895" t="s">
        <v>19202</v>
      </c>
      <c r="C987" s="895" t="s">
        <v>6008</v>
      </c>
      <c r="D987" s="895">
        <v>16.36</v>
      </c>
    </row>
    <row r="988" spans="1:7" x14ac:dyDescent="0.2">
      <c r="A988" s="895">
        <v>20500</v>
      </c>
      <c r="B988" s="895" t="s">
        <v>19203</v>
      </c>
      <c r="C988" s="895" t="s">
        <v>18269</v>
      </c>
      <c r="D988" s="895" t="s">
        <v>18269</v>
      </c>
    </row>
    <row r="989" spans="1:7" x14ac:dyDescent="0.2">
      <c r="A989" s="895">
        <v>20505</v>
      </c>
      <c r="B989" s="895" t="s">
        <v>19204</v>
      </c>
      <c r="C989" s="895" t="s">
        <v>159</v>
      </c>
      <c r="D989" s="895">
        <v>578.66</v>
      </c>
    </row>
    <row r="990" spans="1:7" x14ac:dyDescent="0.2">
      <c r="A990" s="895">
        <v>20506</v>
      </c>
      <c r="B990" s="895" t="s">
        <v>19205</v>
      </c>
      <c r="C990" s="895" t="s">
        <v>159</v>
      </c>
      <c r="D990" s="895">
        <v>598.54999999999995</v>
      </c>
    </row>
    <row r="991" spans="1:7" x14ac:dyDescent="0.2">
      <c r="A991" s="895">
        <v>20508</v>
      </c>
      <c r="B991" s="895" t="s">
        <v>19206</v>
      </c>
      <c r="C991" s="895" t="s">
        <v>159</v>
      </c>
      <c r="D991" s="895">
        <v>473.79</v>
      </c>
    </row>
    <row r="992" spans="1:7" x14ac:dyDescent="0.2">
      <c r="A992" s="895">
        <v>20509</v>
      </c>
      <c r="B992" s="895" t="s">
        <v>19207</v>
      </c>
      <c r="C992" s="895" t="s">
        <v>159</v>
      </c>
      <c r="D992" s="895">
        <v>491.97</v>
      </c>
    </row>
    <row r="993" spans="1:4" x14ac:dyDescent="0.2">
      <c r="A993" s="895">
        <v>20510</v>
      </c>
      <c r="B993" s="895" t="s">
        <v>19208</v>
      </c>
      <c r="C993" s="895" t="s">
        <v>159</v>
      </c>
      <c r="D993" s="895">
        <v>510.97</v>
      </c>
    </row>
    <row r="994" spans="1:4" x14ac:dyDescent="0.2">
      <c r="A994" s="895">
        <v>20511</v>
      </c>
      <c r="B994" s="895" t="s">
        <v>19209</v>
      </c>
      <c r="C994" s="895" t="s">
        <v>159</v>
      </c>
      <c r="D994" s="895">
        <v>530.83000000000004</v>
      </c>
    </row>
    <row r="995" spans="1:4" x14ac:dyDescent="0.2">
      <c r="A995" s="895">
        <v>20600</v>
      </c>
      <c r="B995" s="895" t="s">
        <v>19210</v>
      </c>
      <c r="C995" s="895" t="s">
        <v>18269</v>
      </c>
      <c r="D995" s="895" t="s">
        <v>18269</v>
      </c>
    </row>
    <row r="996" spans="1:4" x14ac:dyDescent="0.2">
      <c r="A996" s="895">
        <v>20601</v>
      </c>
      <c r="B996" s="895" t="s">
        <v>19211</v>
      </c>
      <c r="C996" s="895" t="s">
        <v>159</v>
      </c>
      <c r="D996" s="895">
        <v>970.14</v>
      </c>
    </row>
    <row r="997" spans="1:4" x14ac:dyDescent="0.2">
      <c r="A997" s="895">
        <v>20605</v>
      </c>
      <c r="B997" s="895" t="s">
        <v>19212</v>
      </c>
      <c r="C997" s="895" t="s">
        <v>227</v>
      </c>
      <c r="D997" s="895">
        <v>116.62</v>
      </c>
    </row>
    <row r="998" spans="1:4" x14ac:dyDescent="0.2">
      <c r="A998" s="895">
        <v>20610</v>
      </c>
      <c r="B998" s="895" t="s">
        <v>19213</v>
      </c>
      <c r="C998" s="895" t="s">
        <v>159</v>
      </c>
      <c r="D998" s="895">
        <v>32.99</v>
      </c>
    </row>
    <row r="999" spans="1:4" x14ac:dyDescent="0.2">
      <c r="A999" s="895">
        <v>25000</v>
      </c>
      <c r="B999" s="895" t="s">
        <v>19214</v>
      </c>
      <c r="C999" s="895" t="s">
        <v>18269</v>
      </c>
      <c r="D999" s="895" t="s">
        <v>18269</v>
      </c>
    </row>
    <row r="1000" spans="1:4" x14ac:dyDescent="0.2">
      <c r="A1000" s="895">
        <v>25001</v>
      </c>
      <c r="B1000" s="895" t="s">
        <v>19215</v>
      </c>
      <c r="C1000" s="895" t="s">
        <v>159</v>
      </c>
      <c r="D1000" s="895">
        <v>74.09</v>
      </c>
    </row>
    <row r="1001" spans="1:4" x14ac:dyDescent="0.2">
      <c r="A1001" s="895">
        <v>25003</v>
      </c>
      <c r="B1001" s="895" t="s">
        <v>19216</v>
      </c>
      <c r="C1001" s="895" t="s">
        <v>159</v>
      </c>
      <c r="D1001" s="895">
        <v>241.89</v>
      </c>
    </row>
    <row r="1002" spans="1:4" x14ac:dyDescent="0.2">
      <c r="A1002" s="895">
        <v>25004</v>
      </c>
      <c r="B1002" s="895" t="s">
        <v>19217</v>
      </c>
      <c r="C1002" s="895" t="s">
        <v>159</v>
      </c>
      <c r="D1002" s="895">
        <v>439.81</v>
      </c>
    </row>
    <row r="1003" spans="1:4" x14ac:dyDescent="0.2">
      <c r="A1003" s="895">
        <v>25005</v>
      </c>
      <c r="B1003" s="895" t="s">
        <v>19218</v>
      </c>
      <c r="C1003" s="895" t="s">
        <v>159</v>
      </c>
      <c r="D1003" s="895">
        <v>207</v>
      </c>
    </row>
    <row r="1004" spans="1:4" x14ac:dyDescent="0.2">
      <c r="A1004" s="895">
        <v>25006</v>
      </c>
      <c r="B1004" s="895" t="s">
        <v>19219</v>
      </c>
      <c r="C1004" s="895" t="s">
        <v>159</v>
      </c>
      <c r="D1004" s="895">
        <v>414</v>
      </c>
    </row>
    <row r="1005" spans="1:4" x14ac:dyDescent="0.2">
      <c r="A1005" s="895">
        <v>29000</v>
      </c>
      <c r="B1005" s="895" t="s">
        <v>19220</v>
      </c>
      <c r="C1005" s="895" t="s">
        <v>18269</v>
      </c>
      <c r="D1005" s="895" t="s">
        <v>18269</v>
      </c>
    </row>
    <row r="1006" spans="1:4" x14ac:dyDescent="0.2">
      <c r="A1006" s="895">
        <v>29040</v>
      </c>
      <c r="B1006" s="895" t="s">
        <v>19221</v>
      </c>
      <c r="C1006" s="895" t="s">
        <v>226</v>
      </c>
      <c r="D1006" s="895">
        <v>13.55</v>
      </c>
    </row>
    <row r="1007" spans="1:4" x14ac:dyDescent="0.2">
      <c r="A1007" s="895">
        <v>30000</v>
      </c>
      <c r="B1007" s="895" t="s">
        <v>19222</v>
      </c>
    </row>
    <row r="1008" spans="1:4" x14ac:dyDescent="0.2">
      <c r="A1008" s="895">
        <v>30100</v>
      </c>
      <c r="B1008" s="895" t="s">
        <v>19223</v>
      </c>
      <c r="C1008" s="895" t="s">
        <v>18269</v>
      </c>
      <c r="D1008" s="895" t="s">
        <v>18269</v>
      </c>
    </row>
    <row r="1009" spans="1:4" x14ac:dyDescent="0.2">
      <c r="A1009" s="895">
        <v>30101</v>
      </c>
      <c r="B1009" s="895" t="s">
        <v>19224</v>
      </c>
      <c r="C1009" s="895" t="s">
        <v>227</v>
      </c>
      <c r="D1009" s="895">
        <v>88.76</v>
      </c>
    </row>
    <row r="1010" spans="1:4" x14ac:dyDescent="0.2">
      <c r="A1010" s="895">
        <v>30104</v>
      </c>
      <c r="B1010" s="895" t="s">
        <v>19198</v>
      </c>
      <c r="C1010" s="895" t="s">
        <v>227</v>
      </c>
      <c r="D1010" s="895">
        <v>103.49</v>
      </c>
    </row>
    <row r="1011" spans="1:4" x14ac:dyDescent="0.2">
      <c r="A1011" s="895">
        <v>30111</v>
      </c>
      <c r="B1011" s="895" t="s">
        <v>19225</v>
      </c>
      <c r="C1011" s="895" t="s">
        <v>227</v>
      </c>
      <c r="D1011" s="895">
        <v>127.09</v>
      </c>
    </row>
    <row r="1012" spans="1:4" x14ac:dyDescent="0.2">
      <c r="A1012" s="895">
        <v>30113</v>
      </c>
      <c r="B1012" s="895" t="s">
        <v>19226</v>
      </c>
      <c r="C1012" s="895" t="s">
        <v>227</v>
      </c>
      <c r="D1012" s="895">
        <v>136.54</v>
      </c>
    </row>
    <row r="1013" spans="1:4" x14ac:dyDescent="0.2">
      <c r="A1013" s="895">
        <v>30114</v>
      </c>
      <c r="B1013" s="895" t="s">
        <v>19227</v>
      </c>
      <c r="C1013" s="895" t="s">
        <v>227</v>
      </c>
      <c r="D1013" s="895">
        <v>108.58</v>
      </c>
    </row>
    <row r="1014" spans="1:4" x14ac:dyDescent="0.2">
      <c r="A1014" s="895">
        <v>30115</v>
      </c>
      <c r="B1014" s="895" t="s">
        <v>19228</v>
      </c>
      <c r="C1014" s="895" t="s">
        <v>227</v>
      </c>
      <c r="D1014" s="895">
        <v>111.18</v>
      </c>
    </row>
    <row r="1015" spans="1:4" x14ac:dyDescent="0.2">
      <c r="A1015" s="895">
        <v>30116</v>
      </c>
      <c r="B1015" s="895" t="s">
        <v>19229</v>
      </c>
      <c r="C1015" s="895" t="s">
        <v>227</v>
      </c>
      <c r="D1015" s="895">
        <v>117.53</v>
      </c>
    </row>
    <row r="1016" spans="1:4" x14ac:dyDescent="0.2">
      <c r="A1016" s="895">
        <v>30117</v>
      </c>
      <c r="B1016" s="895" t="s">
        <v>19230</v>
      </c>
      <c r="C1016" s="895" t="s">
        <v>227</v>
      </c>
      <c r="D1016" s="895">
        <v>120.56</v>
      </c>
    </row>
    <row r="1017" spans="1:4" x14ac:dyDescent="0.2">
      <c r="A1017" s="895">
        <v>30120</v>
      </c>
      <c r="B1017" s="895" t="s">
        <v>19231</v>
      </c>
      <c r="C1017" s="895" t="s">
        <v>158</v>
      </c>
      <c r="D1017" s="895">
        <v>155.91999999999999</v>
      </c>
    </row>
    <row r="1018" spans="1:4" x14ac:dyDescent="0.2">
      <c r="A1018" s="895">
        <v>30130</v>
      </c>
      <c r="B1018" s="895" t="s">
        <v>19232</v>
      </c>
      <c r="C1018" s="895" t="s">
        <v>159</v>
      </c>
      <c r="D1018" s="895">
        <v>41.84</v>
      </c>
    </row>
    <row r="1019" spans="1:4" x14ac:dyDescent="0.2">
      <c r="A1019" s="895">
        <v>30200</v>
      </c>
      <c r="B1019" s="895" t="s">
        <v>19233</v>
      </c>
      <c r="C1019" s="895" t="s">
        <v>18269</v>
      </c>
      <c r="D1019" s="895" t="s">
        <v>18269</v>
      </c>
    </row>
    <row r="1020" spans="1:4" x14ac:dyDescent="0.2">
      <c r="A1020" s="895">
        <v>30204</v>
      </c>
      <c r="B1020" s="895" t="s">
        <v>19200</v>
      </c>
      <c r="C1020" s="895" t="s">
        <v>6008</v>
      </c>
      <c r="D1020" s="895">
        <v>13.39</v>
      </c>
    </row>
    <row r="1021" spans="1:4" x14ac:dyDescent="0.2">
      <c r="A1021" s="895">
        <v>30207</v>
      </c>
      <c r="B1021" s="895" t="s">
        <v>19201</v>
      </c>
      <c r="C1021" s="895" t="s">
        <v>6008</v>
      </c>
      <c r="D1021" s="895">
        <v>14.15</v>
      </c>
    </row>
    <row r="1022" spans="1:4" x14ac:dyDescent="0.2">
      <c r="A1022" s="895">
        <v>30209</v>
      </c>
      <c r="B1022" s="895" t="s">
        <v>19202</v>
      </c>
      <c r="C1022" s="895" t="s">
        <v>6008</v>
      </c>
      <c r="D1022" s="895">
        <v>16.36</v>
      </c>
    </row>
    <row r="1023" spans="1:4" x14ac:dyDescent="0.2">
      <c r="A1023" s="895">
        <v>30300</v>
      </c>
      <c r="B1023" s="895" t="s">
        <v>19234</v>
      </c>
      <c r="C1023" s="895" t="s">
        <v>18269</v>
      </c>
      <c r="D1023" s="895" t="s">
        <v>18269</v>
      </c>
    </row>
    <row r="1024" spans="1:4" x14ac:dyDescent="0.2">
      <c r="A1024" s="895">
        <v>30305</v>
      </c>
      <c r="B1024" s="895" t="s">
        <v>19235</v>
      </c>
      <c r="C1024" s="895" t="s">
        <v>159</v>
      </c>
      <c r="D1024" s="895">
        <v>578.66</v>
      </c>
    </row>
    <row r="1025" spans="1:4" x14ac:dyDescent="0.2">
      <c r="A1025" s="895">
        <v>30307</v>
      </c>
      <c r="B1025" s="895" t="s">
        <v>19236</v>
      </c>
      <c r="C1025" s="895" t="s">
        <v>159</v>
      </c>
      <c r="D1025" s="895">
        <v>598.54999999999995</v>
      </c>
    </row>
    <row r="1026" spans="1:4" x14ac:dyDescent="0.2">
      <c r="A1026" s="895">
        <v>30308</v>
      </c>
      <c r="B1026" s="895" t="s">
        <v>19237</v>
      </c>
      <c r="C1026" s="895" t="s">
        <v>159</v>
      </c>
      <c r="D1026" s="895">
        <v>619.84</v>
      </c>
    </row>
    <row r="1027" spans="1:4" x14ac:dyDescent="0.2">
      <c r="A1027" s="895">
        <v>30309</v>
      </c>
      <c r="B1027" s="895" t="s">
        <v>19238</v>
      </c>
      <c r="C1027" s="895" t="s">
        <v>159</v>
      </c>
      <c r="D1027" s="895">
        <v>473.79</v>
      </c>
    </row>
    <row r="1028" spans="1:4" x14ac:dyDescent="0.2">
      <c r="A1028" s="895">
        <v>30315</v>
      </c>
      <c r="B1028" s="895" t="s">
        <v>19239</v>
      </c>
      <c r="C1028" s="895" t="s">
        <v>159</v>
      </c>
      <c r="D1028" s="895">
        <v>491.97</v>
      </c>
    </row>
    <row r="1029" spans="1:4" x14ac:dyDescent="0.2">
      <c r="A1029" s="895">
        <v>30316</v>
      </c>
      <c r="B1029" s="895" t="s">
        <v>19240</v>
      </c>
      <c r="C1029" s="895" t="s">
        <v>159</v>
      </c>
      <c r="D1029" s="895">
        <v>474.71</v>
      </c>
    </row>
    <row r="1030" spans="1:4" x14ac:dyDescent="0.2">
      <c r="A1030" s="895">
        <v>30317</v>
      </c>
      <c r="B1030" s="895" t="s">
        <v>19241</v>
      </c>
      <c r="C1030" s="895" t="s">
        <v>159</v>
      </c>
      <c r="D1030" s="895">
        <v>510.97</v>
      </c>
    </row>
    <row r="1031" spans="1:4" x14ac:dyDescent="0.2">
      <c r="A1031" s="895">
        <v>30318</v>
      </c>
      <c r="B1031" s="895" t="s">
        <v>19242</v>
      </c>
      <c r="C1031" s="895" t="s">
        <v>159</v>
      </c>
      <c r="D1031" s="895">
        <v>493.54</v>
      </c>
    </row>
    <row r="1032" spans="1:4" x14ac:dyDescent="0.2">
      <c r="A1032" s="895">
        <v>30319</v>
      </c>
      <c r="B1032" s="895" t="s">
        <v>19243</v>
      </c>
      <c r="C1032" s="895" t="s">
        <v>159</v>
      </c>
      <c r="D1032" s="895">
        <v>479.62</v>
      </c>
    </row>
    <row r="1033" spans="1:4" x14ac:dyDescent="0.2">
      <c r="A1033" s="895">
        <v>30320</v>
      </c>
      <c r="B1033" s="895" t="s">
        <v>19244</v>
      </c>
      <c r="C1033" s="895" t="s">
        <v>159</v>
      </c>
      <c r="D1033" s="895">
        <v>530.83000000000004</v>
      </c>
    </row>
    <row r="1034" spans="1:4" x14ac:dyDescent="0.2">
      <c r="A1034" s="895">
        <v>30321</v>
      </c>
      <c r="B1034" s="895" t="s">
        <v>19245</v>
      </c>
      <c r="C1034" s="895" t="s">
        <v>159</v>
      </c>
      <c r="D1034" s="895">
        <v>513.92999999999995</v>
      </c>
    </row>
    <row r="1035" spans="1:4" x14ac:dyDescent="0.2">
      <c r="A1035" s="895">
        <v>30322</v>
      </c>
      <c r="B1035" s="895" t="s">
        <v>19246</v>
      </c>
      <c r="C1035" s="895" t="s">
        <v>159</v>
      </c>
      <c r="D1035" s="895">
        <v>551.59</v>
      </c>
    </row>
    <row r="1036" spans="1:4" x14ac:dyDescent="0.2">
      <c r="A1036" s="895">
        <v>30323</v>
      </c>
      <c r="B1036" s="895" t="s">
        <v>19247</v>
      </c>
      <c r="C1036" s="895" t="s">
        <v>159</v>
      </c>
      <c r="D1036" s="895">
        <v>535.26</v>
      </c>
    </row>
    <row r="1037" spans="1:4" x14ac:dyDescent="0.2">
      <c r="A1037" s="895">
        <v>30324</v>
      </c>
      <c r="B1037" s="895" t="s">
        <v>19248</v>
      </c>
      <c r="C1037" s="895" t="s">
        <v>159</v>
      </c>
      <c r="D1037" s="895">
        <v>573.29</v>
      </c>
    </row>
    <row r="1038" spans="1:4" x14ac:dyDescent="0.2">
      <c r="A1038" s="895">
        <v>30325</v>
      </c>
      <c r="B1038" s="895" t="s">
        <v>19249</v>
      </c>
      <c r="C1038" s="895" t="s">
        <v>159</v>
      </c>
      <c r="D1038" s="895">
        <v>558.36</v>
      </c>
    </row>
    <row r="1039" spans="1:4" x14ac:dyDescent="0.2">
      <c r="A1039" s="895">
        <v>30330</v>
      </c>
      <c r="B1039" s="895" t="s">
        <v>19250</v>
      </c>
      <c r="C1039" s="895" t="s">
        <v>159</v>
      </c>
      <c r="D1039" s="895">
        <v>50.03</v>
      </c>
    </row>
    <row r="1040" spans="1:4" x14ac:dyDescent="0.2">
      <c r="A1040" s="895">
        <v>30400</v>
      </c>
      <c r="B1040" s="895" t="s">
        <v>19251</v>
      </c>
      <c r="C1040" s="895" t="s">
        <v>18269</v>
      </c>
      <c r="D1040" s="895" t="s">
        <v>18269</v>
      </c>
    </row>
    <row r="1041" spans="1:4" x14ac:dyDescent="0.2">
      <c r="A1041" s="895">
        <v>30419</v>
      </c>
      <c r="B1041" s="895" t="s">
        <v>19252</v>
      </c>
      <c r="C1041" s="895" t="s">
        <v>227</v>
      </c>
      <c r="D1041" s="895">
        <v>143.71</v>
      </c>
    </row>
    <row r="1042" spans="1:4" x14ac:dyDescent="0.2">
      <c r="A1042" s="895">
        <v>30420</v>
      </c>
      <c r="B1042" s="895" t="s">
        <v>19253</v>
      </c>
      <c r="C1042" s="895" t="s">
        <v>227</v>
      </c>
      <c r="D1042" s="895">
        <v>189.13</v>
      </c>
    </row>
    <row r="1043" spans="1:4" x14ac:dyDescent="0.2">
      <c r="A1043" s="895">
        <v>30421</v>
      </c>
      <c r="B1043" s="895" t="s">
        <v>19254</v>
      </c>
      <c r="C1043" s="895" t="s">
        <v>227</v>
      </c>
      <c r="D1043" s="895">
        <v>188.66</v>
      </c>
    </row>
    <row r="1044" spans="1:4" x14ac:dyDescent="0.2">
      <c r="A1044" s="895">
        <v>30422</v>
      </c>
      <c r="B1044" s="895" t="s">
        <v>19255</v>
      </c>
      <c r="C1044" s="895" t="s">
        <v>227</v>
      </c>
      <c r="D1044" s="895">
        <v>216.4</v>
      </c>
    </row>
    <row r="1045" spans="1:4" x14ac:dyDescent="0.2">
      <c r="A1045" s="895">
        <v>30423</v>
      </c>
      <c r="B1045" s="895" t="s">
        <v>19256</v>
      </c>
      <c r="C1045" s="895" t="s">
        <v>227</v>
      </c>
      <c r="D1045" s="895">
        <v>235.87</v>
      </c>
    </row>
    <row r="1046" spans="1:4" x14ac:dyDescent="0.2">
      <c r="A1046" s="895">
        <v>30424</v>
      </c>
      <c r="B1046" s="895" t="s">
        <v>19257</v>
      </c>
      <c r="C1046" s="895" t="s">
        <v>227</v>
      </c>
      <c r="D1046" s="895">
        <v>278.7</v>
      </c>
    </row>
    <row r="1047" spans="1:4" x14ac:dyDescent="0.2">
      <c r="A1047" s="895">
        <v>34000</v>
      </c>
      <c r="B1047" s="895" t="s">
        <v>19258</v>
      </c>
      <c r="C1047" s="895" t="s">
        <v>18269</v>
      </c>
      <c r="D1047" s="895" t="s">
        <v>18269</v>
      </c>
    </row>
    <row r="1048" spans="1:4" x14ac:dyDescent="0.2">
      <c r="A1048" s="895">
        <v>34002</v>
      </c>
      <c r="B1048" s="895" t="s">
        <v>19259</v>
      </c>
      <c r="C1048" s="895" t="s">
        <v>227</v>
      </c>
      <c r="D1048" s="895">
        <v>109.95</v>
      </c>
    </row>
    <row r="1049" spans="1:4" x14ac:dyDescent="0.2">
      <c r="A1049" s="895">
        <v>34005</v>
      </c>
      <c r="B1049" s="895" t="s">
        <v>19260</v>
      </c>
      <c r="C1049" s="895" t="s">
        <v>227</v>
      </c>
      <c r="D1049" s="895">
        <v>6.92</v>
      </c>
    </row>
    <row r="1050" spans="1:4" x14ac:dyDescent="0.2">
      <c r="A1050" s="895">
        <v>34010</v>
      </c>
      <c r="B1050" s="895" t="s">
        <v>19261</v>
      </c>
      <c r="C1050" s="895" t="s">
        <v>227</v>
      </c>
      <c r="D1050" s="895">
        <v>128.97999999999999</v>
      </c>
    </row>
    <row r="1051" spans="1:4" x14ac:dyDescent="0.2">
      <c r="A1051" s="895">
        <v>34015</v>
      </c>
      <c r="B1051" s="895" t="s">
        <v>19262</v>
      </c>
      <c r="C1051" s="895" t="s">
        <v>158</v>
      </c>
      <c r="D1051" s="895">
        <v>31.42</v>
      </c>
    </row>
    <row r="1052" spans="1:4" x14ac:dyDescent="0.2">
      <c r="A1052" s="895">
        <v>34018</v>
      </c>
      <c r="B1052" s="895" t="s">
        <v>19263</v>
      </c>
      <c r="C1052" s="895" t="s">
        <v>227</v>
      </c>
      <c r="D1052" s="895">
        <v>16.5</v>
      </c>
    </row>
    <row r="1053" spans="1:4" x14ac:dyDescent="0.2">
      <c r="A1053" s="895">
        <v>34022</v>
      </c>
      <c r="B1053" s="895" t="s">
        <v>19264</v>
      </c>
      <c r="C1053" s="895" t="s">
        <v>158</v>
      </c>
      <c r="D1053" s="895">
        <v>6.15</v>
      </c>
    </row>
    <row r="1054" spans="1:4" x14ac:dyDescent="0.2">
      <c r="A1054" s="895">
        <v>34024</v>
      </c>
      <c r="B1054" s="895" t="s">
        <v>19265</v>
      </c>
      <c r="C1054" s="895" t="s">
        <v>227</v>
      </c>
      <c r="D1054" s="895">
        <v>8.92</v>
      </c>
    </row>
    <row r="1055" spans="1:4" x14ac:dyDescent="0.2">
      <c r="A1055" s="895">
        <v>34025</v>
      </c>
      <c r="B1055" s="895" t="s">
        <v>19266</v>
      </c>
      <c r="C1055" s="895" t="s">
        <v>227</v>
      </c>
      <c r="D1055" s="895">
        <v>19.3</v>
      </c>
    </row>
    <row r="1056" spans="1:4" x14ac:dyDescent="0.2">
      <c r="A1056" s="895">
        <v>34026</v>
      </c>
      <c r="B1056" s="895" t="s">
        <v>19267</v>
      </c>
      <c r="C1056" s="895" t="s">
        <v>227</v>
      </c>
      <c r="D1056" s="895">
        <v>7.07</v>
      </c>
    </row>
    <row r="1057" spans="1:4" x14ac:dyDescent="0.2">
      <c r="A1057" s="895">
        <v>34050</v>
      </c>
      <c r="B1057" s="895" t="s">
        <v>19268</v>
      </c>
      <c r="C1057" s="895" t="s">
        <v>227</v>
      </c>
      <c r="D1057" s="895">
        <v>6.66</v>
      </c>
    </row>
    <row r="1058" spans="1:4" x14ac:dyDescent="0.2">
      <c r="A1058" s="895">
        <v>34051</v>
      </c>
      <c r="B1058" s="895" t="s">
        <v>19269</v>
      </c>
      <c r="C1058" s="895" t="s">
        <v>227</v>
      </c>
      <c r="D1058" s="895">
        <v>6.66</v>
      </c>
    </row>
    <row r="1059" spans="1:4" x14ac:dyDescent="0.2">
      <c r="A1059" s="895">
        <v>34060</v>
      </c>
      <c r="B1059" s="895" t="s">
        <v>19270</v>
      </c>
      <c r="C1059" s="895" t="s">
        <v>227</v>
      </c>
      <c r="D1059" s="895">
        <v>161.16</v>
      </c>
    </row>
    <row r="1060" spans="1:4" x14ac:dyDescent="0.2">
      <c r="A1060" s="895">
        <v>34070</v>
      </c>
      <c r="B1060" s="895" t="s">
        <v>19271</v>
      </c>
      <c r="C1060" s="895" t="s">
        <v>226</v>
      </c>
      <c r="D1060" s="895">
        <v>12.49</v>
      </c>
    </row>
    <row r="1061" spans="1:4" x14ac:dyDescent="0.2">
      <c r="A1061" s="895">
        <v>35000</v>
      </c>
      <c r="B1061" s="895" t="s">
        <v>19214</v>
      </c>
      <c r="C1061" s="895" t="s">
        <v>18269</v>
      </c>
      <c r="D1061" s="895" t="s">
        <v>18269</v>
      </c>
    </row>
    <row r="1062" spans="1:4" x14ac:dyDescent="0.2">
      <c r="A1062" s="895">
        <v>35001</v>
      </c>
      <c r="B1062" s="895" t="s">
        <v>19218</v>
      </c>
      <c r="C1062" s="895" t="s">
        <v>159</v>
      </c>
      <c r="D1062" s="895">
        <v>207</v>
      </c>
    </row>
    <row r="1063" spans="1:4" x14ac:dyDescent="0.2">
      <c r="A1063" s="895">
        <v>35002</v>
      </c>
      <c r="B1063" s="895" t="s">
        <v>19219</v>
      </c>
      <c r="C1063" s="895" t="s">
        <v>159</v>
      </c>
      <c r="D1063" s="895">
        <v>414</v>
      </c>
    </row>
    <row r="1064" spans="1:4" x14ac:dyDescent="0.2">
      <c r="A1064" s="895">
        <v>35003</v>
      </c>
      <c r="B1064" s="895" t="s">
        <v>19216</v>
      </c>
      <c r="C1064" s="895" t="s">
        <v>159</v>
      </c>
      <c r="D1064" s="895">
        <v>241.89</v>
      </c>
    </row>
    <row r="1065" spans="1:4" x14ac:dyDescent="0.2">
      <c r="A1065" s="895">
        <v>35004</v>
      </c>
      <c r="B1065" s="895" t="s">
        <v>19217</v>
      </c>
      <c r="C1065" s="895" t="s">
        <v>159</v>
      </c>
      <c r="D1065" s="895">
        <v>439.81</v>
      </c>
    </row>
    <row r="1066" spans="1:4" x14ac:dyDescent="0.2">
      <c r="A1066" s="895">
        <v>35005</v>
      </c>
      <c r="B1066" s="895" t="s">
        <v>19272</v>
      </c>
      <c r="C1066" s="895" t="s">
        <v>227</v>
      </c>
      <c r="D1066" s="895">
        <v>38.479999999999997</v>
      </c>
    </row>
    <row r="1067" spans="1:4" x14ac:dyDescent="0.2">
      <c r="A1067" s="895">
        <v>35006</v>
      </c>
      <c r="B1067" s="895" t="s">
        <v>19273</v>
      </c>
      <c r="C1067" s="895" t="s">
        <v>227</v>
      </c>
      <c r="D1067" s="895">
        <v>54.98</v>
      </c>
    </row>
    <row r="1068" spans="1:4" x14ac:dyDescent="0.2">
      <c r="A1068" s="895">
        <v>36000</v>
      </c>
      <c r="B1068" s="895" t="s">
        <v>19274</v>
      </c>
      <c r="C1068" s="895" t="s">
        <v>18269</v>
      </c>
      <c r="D1068" s="895" t="s">
        <v>18269</v>
      </c>
    </row>
    <row r="1069" spans="1:4" x14ac:dyDescent="0.2">
      <c r="A1069" s="895">
        <v>36001</v>
      </c>
      <c r="B1069" s="895" t="s">
        <v>19275</v>
      </c>
      <c r="C1069" s="895" t="s">
        <v>6008</v>
      </c>
      <c r="D1069" s="895">
        <v>22.77</v>
      </c>
    </row>
    <row r="1070" spans="1:4" x14ac:dyDescent="0.2">
      <c r="A1070" s="895">
        <v>36002</v>
      </c>
      <c r="B1070" s="895" t="s">
        <v>19276</v>
      </c>
      <c r="C1070" s="895" t="s">
        <v>6008</v>
      </c>
      <c r="D1070" s="895">
        <v>24.32</v>
      </c>
    </row>
    <row r="1071" spans="1:4" x14ac:dyDescent="0.2">
      <c r="A1071" s="895">
        <v>40000</v>
      </c>
      <c r="B1071" s="895" t="s">
        <v>19277</v>
      </c>
    </row>
    <row r="1072" spans="1:4" x14ac:dyDescent="0.2">
      <c r="A1072" s="895">
        <v>40100</v>
      </c>
      <c r="B1072" s="895" t="s">
        <v>19278</v>
      </c>
      <c r="C1072" s="895" t="s">
        <v>18269</v>
      </c>
      <c r="D1072" s="895" t="s">
        <v>18269</v>
      </c>
    </row>
    <row r="1073" spans="1:4" x14ac:dyDescent="0.2">
      <c r="A1073" s="895">
        <v>40101</v>
      </c>
      <c r="B1073" s="895" t="s">
        <v>19279</v>
      </c>
      <c r="C1073" s="895" t="s">
        <v>227</v>
      </c>
      <c r="D1073" s="895">
        <v>73.319999999999993</v>
      </c>
    </row>
    <row r="1074" spans="1:4" x14ac:dyDescent="0.2">
      <c r="A1074" s="895">
        <v>40102</v>
      </c>
      <c r="B1074" s="895" t="s">
        <v>19280</v>
      </c>
      <c r="C1074" s="895" t="s">
        <v>227</v>
      </c>
      <c r="D1074" s="895">
        <v>136.44</v>
      </c>
    </row>
    <row r="1075" spans="1:4" x14ac:dyDescent="0.2">
      <c r="A1075" s="895">
        <v>40104</v>
      </c>
      <c r="B1075" s="895" t="s">
        <v>19281</v>
      </c>
      <c r="C1075" s="895" t="s">
        <v>227</v>
      </c>
      <c r="D1075" s="895">
        <v>324.2</v>
      </c>
    </row>
    <row r="1076" spans="1:4" x14ac:dyDescent="0.2">
      <c r="A1076" s="895">
        <v>40111</v>
      </c>
      <c r="B1076" s="895" t="s">
        <v>19282</v>
      </c>
      <c r="C1076" s="895" t="s">
        <v>227</v>
      </c>
      <c r="D1076" s="895">
        <v>136.44</v>
      </c>
    </row>
    <row r="1077" spans="1:4" x14ac:dyDescent="0.2">
      <c r="A1077" s="895">
        <v>40112</v>
      </c>
      <c r="B1077" s="895" t="s">
        <v>19283</v>
      </c>
      <c r="C1077" s="895" t="s">
        <v>227</v>
      </c>
      <c r="D1077" s="895">
        <v>236.21</v>
      </c>
    </row>
    <row r="1078" spans="1:4" x14ac:dyDescent="0.2">
      <c r="A1078" s="895">
        <v>40115</v>
      </c>
      <c r="B1078" s="895" t="s">
        <v>19284</v>
      </c>
      <c r="C1078" s="895" t="s">
        <v>227</v>
      </c>
      <c r="D1078" s="895">
        <v>86.42</v>
      </c>
    </row>
    <row r="1079" spans="1:4" x14ac:dyDescent="0.2">
      <c r="A1079" s="895">
        <v>40116</v>
      </c>
      <c r="B1079" s="895" t="s">
        <v>19285</v>
      </c>
      <c r="C1079" s="895" t="s">
        <v>227</v>
      </c>
      <c r="D1079" s="895">
        <v>154.11000000000001</v>
      </c>
    </row>
    <row r="1080" spans="1:4" x14ac:dyDescent="0.2">
      <c r="A1080" s="895">
        <v>40120</v>
      </c>
      <c r="B1080" s="895" t="s">
        <v>19286</v>
      </c>
      <c r="C1080" s="895" t="s">
        <v>227</v>
      </c>
      <c r="D1080" s="895">
        <v>219.61</v>
      </c>
    </row>
    <row r="1081" spans="1:4" x14ac:dyDescent="0.2">
      <c r="A1081" s="895">
        <v>40121</v>
      </c>
      <c r="B1081" s="895" t="s">
        <v>19287</v>
      </c>
      <c r="C1081" s="895" t="s">
        <v>227</v>
      </c>
      <c r="D1081" s="895">
        <v>362.39</v>
      </c>
    </row>
    <row r="1082" spans="1:4" x14ac:dyDescent="0.2">
      <c r="A1082" s="895">
        <v>40122</v>
      </c>
      <c r="B1082" s="895" t="s">
        <v>19288</v>
      </c>
      <c r="C1082" s="895" t="s">
        <v>227</v>
      </c>
      <c r="D1082" s="895">
        <v>657.87</v>
      </c>
    </row>
    <row r="1083" spans="1:4" x14ac:dyDescent="0.2">
      <c r="A1083" s="895">
        <v>40125</v>
      </c>
      <c r="B1083" s="895" t="s">
        <v>19289</v>
      </c>
      <c r="C1083" s="895" t="s">
        <v>227</v>
      </c>
      <c r="D1083" s="895">
        <v>805.31</v>
      </c>
    </row>
    <row r="1084" spans="1:4" x14ac:dyDescent="0.2">
      <c r="A1084" s="895">
        <v>40126</v>
      </c>
      <c r="B1084" s="895" t="s">
        <v>19290</v>
      </c>
      <c r="C1084" s="895" t="s">
        <v>227</v>
      </c>
      <c r="D1084" s="895">
        <v>954.01</v>
      </c>
    </row>
    <row r="1085" spans="1:4" x14ac:dyDescent="0.2">
      <c r="A1085" s="895">
        <v>40127</v>
      </c>
      <c r="B1085" s="895" t="s">
        <v>19291</v>
      </c>
      <c r="C1085" s="895" t="s">
        <v>227</v>
      </c>
      <c r="D1085" s="895">
        <v>1044.01</v>
      </c>
    </row>
    <row r="1086" spans="1:4" x14ac:dyDescent="0.2">
      <c r="A1086" s="895">
        <v>40131</v>
      </c>
      <c r="B1086" s="895" t="s">
        <v>19292</v>
      </c>
      <c r="C1086" s="895" t="s">
        <v>227</v>
      </c>
      <c r="D1086" s="895">
        <v>102.12</v>
      </c>
    </row>
    <row r="1087" spans="1:4" x14ac:dyDescent="0.2">
      <c r="A1087" s="895">
        <v>40132</v>
      </c>
      <c r="B1087" s="895" t="s">
        <v>19293</v>
      </c>
      <c r="C1087" s="895" t="s">
        <v>227</v>
      </c>
      <c r="D1087" s="895">
        <v>106.96</v>
      </c>
    </row>
    <row r="1088" spans="1:4" x14ac:dyDescent="0.2">
      <c r="A1088" s="895">
        <v>40133</v>
      </c>
      <c r="B1088" s="895" t="s">
        <v>19294</v>
      </c>
      <c r="C1088" s="895" t="s">
        <v>227</v>
      </c>
      <c r="D1088" s="895">
        <v>110.89</v>
      </c>
    </row>
    <row r="1089" spans="1:4" x14ac:dyDescent="0.2">
      <c r="A1089" s="895">
        <v>40134</v>
      </c>
      <c r="B1089" s="895" t="s">
        <v>19295</v>
      </c>
      <c r="C1089" s="895" t="s">
        <v>227</v>
      </c>
      <c r="D1089" s="895">
        <v>113.25</v>
      </c>
    </row>
    <row r="1090" spans="1:4" x14ac:dyDescent="0.2">
      <c r="A1090" s="895">
        <v>40135</v>
      </c>
      <c r="B1090" s="895" t="s">
        <v>19296</v>
      </c>
      <c r="C1090" s="895" t="s">
        <v>227</v>
      </c>
      <c r="D1090" s="895">
        <v>121.47</v>
      </c>
    </row>
    <row r="1091" spans="1:4" x14ac:dyDescent="0.2">
      <c r="A1091" s="895">
        <v>40136</v>
      </c>
      <c r="B1091" s="895" t="s">
        <v>19297</v>
      </c>
      <c r="C1091" s="895" t="s">
        <v>227</v>
      </c>
      <c r="D1091" s="895">
        <v>129.33000000000001</v>
      </c>
    </row>
    <row r="1092" spans="1:4" x14ac:dyDescent="0.2">
      <c r="A1092" s="895">
        <v>40137</v>
      </c>
      <c r="B1092" s="895" t="s">
        <v>19298</v>
      </c>
      <c r="C1092" s="895" t="s">
        <v>227</v>
      </c>
      <c r="D1092" s="895">
        <v>132.6</v>
      </c>
    </row>
    <row r="1093" spans="1:4" x14ac:dyDescent="0.2">
      <c r="A1093" s="895">
        <v>40138</v>
      </c>
      <c r="B1093" s="895" t="s">
        <v>19299</v>
      </c>
      <c r="C1093" s="895" t="s">
        <v>227</v>
      </c>
      <c r="D1093" s="895">
        <v>137.84</v>
      </c>
    </row>
    <row r="1094" spans="1:4" x14ac:dyDescent="0.2">
      <c r="A1094" s="895">
        <v>40140</v>
      </c>
      <c r="B1094" s="895" t="s">
        <v>19300</v>
      </c>
      <c r="C1094" s="895" t="s">
        <v>227</v>
      </c>
      <c r="D1094" s="895">
        <v>73.540000000000006</v>
      </c>
    </row>
    <row r="1095" spans="1:4" x14ac:dyDescent="0.2">
      <c r="A1095" s="895">
        <v>40141</v>
      </c>
      <c r="B1095" s="895" t="s">
        <v>19301</v>
      </c>
      <c r="C1095" s="895" t="s">
        <v>227</v>
      </c>
      <c r="D1095" s="895">
        <v>84.16</v>
      </c>
    </row>
    <row r="1096" spans="1:4" x14ac:dyDescent="0.2">
      <c r="A1096" s="895">
        <v>40142</v>
      </c>
      <c r="B1096" s="895" t="s">
        <v>19302</v>
      </c>
      <c r="C1096" s="895" t="s">
        <v>227</v>
      </c>
      <c r="D1096" s="895">
        <v>100.33</v>
      </c>
    </row>
    <row r="1097" spans="1:4" x14ac:dyDescent="0.2">
      <c r="A1097" s="895">
        <v>40144</v>
      </c>
      <c r="B1097" s="895" t="s">
        <v>19303</v>
      </c>
      <c r="C1097" s="895" t="s">
        <v>227</v>
      </c>
      <c r="D1097" s="895">
        <v>168.11</v>
      </c>
    </row>
    <row r="1098" spans="1:4" x14ac:dyDescent="0.2">
      <c r="A1098" s="895">
        <v>40145</v>
      </c>
      <c r="B1098" s="895" t="s">
        <v>19304</v>
      </c>
      <c r="C1098" s="895" t="s">
        <v>227</v>
      </c>
      <c r="D1098" s="895">
        <v>211.99</v>
      </c>
    </row>
    <row r="1099" spans="1:4" x14ac:dyDescent="0.2">
      <c r="A1099" s="895">
        <v>40150</v>
      </c>
      <c r="B1099" s="895" t="s">
        <v>19305</v>
      </c>
      <c r="C1099" s="895" t="s">
        <v>227</v>
      </c>
      <c r="D1099" s="895">
        <v>83.24</v>
      </c>
    </row>
    <row r="1100" spans="1:4" x14ac:dyDescent="0.2">
      <c r="A1100" s="895">
        <v>40151</v>
      </c>
      <c r="B1100" s="895" t="s">
        <v>19306</v>
      </c>
      <c r="C1100" s="895" t="s">
        <v>227</v>
      </c>
      <c r="D1100" s="895">
        <v>94.94</v>
      </c>
    </row>
    <row r="1101" spans="1:4" x14ac:dyDescent="0.2">
      <c r="A1101" s="895">
        <v>40152</v>
      </c>
      <c r="B1101" s="895" t="s">
        <v>19307</v>
      </c>
      <c r="C1101" s="895" t="s">
        <v>227</v>
      </c>
      <c r="D1101" s="895">
        <v>111.61</v>
      </c>
    </row>
    <row r="1102" spans="1:4" x14ac:dyDescent="0.2">
      <c r="A1102" s="895">
        <v>40160</v>
      </c>
      <c r="B1102" s="895" t="s">
        <v>19308</v>
      </c>
      <c r="C1102" s="895" t="s">
        <v>227</v>
      </c>
      <c r="D1102" s="895">
        <v>97.01</v>
      </c>
    </row>
    <row r="1103" spans="1:4" x14ac:dyDescent="0.2">
      <c r="A1103" s="895">
        <v>40161</v>
      </c>
      <c r="B1103" s="895" t="s">
        <v>19309</v>
      </c>
      <c r="C1103" s="895" t="s">
        <v>227</v>
      </c>
      <c r="D1103" s="895">
        <v>117.27</v>
      </c>
    </row>
    <row r="1104" spans="1:4" x14ac:dyDescent="0.2">
      <c r="A1104" s="895">
        <v>40162</v>
      </c>
      <c r="B1104" s="895" t="s">
        <v>19310</v>
      </c>
      <c r="C1104" s="895" t="s">
        <v>227</v>
      </c>
      <c r="D1104" s="895">
        <v>100.66</v>
      </c>
    </row>
    <row r="1105" spans="1:4" x14ac:dyDescent="0.2">
      <c r="A1105" s="895">
        <v>40163</v>
      </c>
      <c r="B1105" s="895" t="s">
        <v>19311</v>
      </c>
      <c r="C1105" s="895" t="s">
        <v>227</v>
      </c>
      <c r="D1105" s="895">
        <v>119.98</v>
      </c>
    </row>
    <row r="1106" spans="1:4" x14ac:dyDescent="0.2">
      <c r="A1106" s="895">
        <v>40170</v>
      </c>
      <c r="B1106" s="895" t="s">
        <v>19312</v>
      </c>
      <c r="C1106" s="895" t="s">
        <v>227</v>
      </c>
      <c r="D1106" s="895">
        <v>116.9</v>
      </c>
    </row>
    <row r="1107" spans="1:4" x14ac:dyDescent="0.2">
      <c r="A1107" s="895">
        <v>40171</v>
      </c>
      <c r="B1107" s="895" t="s">
        <v>19313</v>
      </c>
      <c r="C1107" s="895" t="s">
        <v>227</v>
      </c>
      <c r="D1107" s="895">
        <v>126.61</v>
      </c>
    </row>
    <row r="1108" spans="1:4" x14ac:dyDescent="0.2">
      <c r="A1108" s="895">
        <v>40180</v>
      </c>
      <c r="B1108" s="895" t="s">
        <v>19314</v>
      </c>
      <c r="C1108" s="895" t="s">
        <v>227</v>
      </c>
      <c r="D1108" s="895">
        <v>6.19</v>
      </c>
    </row>
    <row r="1109" spans="1:4" x14ac:dyDescent="0.2">
      <c r="A1109" s="895">
        <v>40195</v>
      </c>
      <c r="B1109" s="895" t="s">
        <v>19315</v>
      </c>
      <c r="C1109" s="895" t="s">
        <v>6008</v>
      </c>
      <c r="D1109" s="895">
        <v>13.39</v>
      </c>
    </row>
    <row r="1110" spans="1:4" x14ac:dyDescent="0.2">
      <c r="A1110" s="895">
        <v>40196</v>
      </c>
      <c r="B1110" s="895" t="s">
        <v>19316</v>
      </c>
      <c r="C1110" s="895" t="s">
        <v>6008</v>
      </c>
      <c r="D1110" s="895">
        <v>14.15</v>
      </c>
    </row>
    <row r="1111" spans="1:4" x14ac:dyDescent="0.2">
      <c r="A1111" s="895">
        <v>40197</v>
      </c>
      <c r="B1111" s="895" t="s">
        <v>19317</v>
      </c>
      <c r="C1111" s="895" t="s">
        <v>159</v>
      </c>
      <c r="D1111" s="895">
        <v>902.2</v>
      </c>
    </row>
    <row r="1112" spans="1:4" x14ac:dyDescent="0.2">
      <c r="A1112" s="895">
        <v>40198</v>
      </c>
      <c r="B1112" s="895" t="s">
        <v>19318</v>
      </c>
      <c r="C1112" s="895" t="s">
        <v>159</v>
      </c>
      <c r="D1112" s="895">
        <v>1950.09</v>
      </c>
    </row>
    <row r="1113" spans="1:4" x14ac:dyDescent="0.2">
      <c r="A1113" s="895">
        <v>40200</v>
      </c>
      <c r="B1113" s="895" t="s">
        <v>19319</v>
      </c>
      <c r="C1113" s="895" t="s">
        <v>18269</v>
      </c>
      <c r="D1113" s="895" t="s">
        <v>18269</v>
      </c>
    </row>
    <row r="1114" spans="1:4" x14ac:dyDescent="0.2">
      <c r="A1114" s="895">
        <v>40204</v>
      </c>
      <c r="B1114" s="895" t="s">
        <v>19320</v>
      </c>
      <c r="C1114" s="895" t="s">
        <v>227</v>
      </c>
      <c r="D1114" s="895">
        <v>157.5</v>
      </c>
    </row>
    <row r="1115" spans="1:4" x14ac:dyDescent="0.2">
      <c r="A1115" s="895">
        <v>40300</v>
      </c>
      <c r="B1115" s="895" t="s">
        <v>19321</v>
      </c>
      <c r="C1115" s="895" t="s">
        <v>18269</v>
      </c>
      <c r="D1115" s="895" t="s">
        <v>18269</v>
      </c>
    </row>
    <row r="1116" spans="1:4" x14ac:dyDescent="0.2">
      <c r="A1116" s="895">
        <v>40330</v>
      </c>
      <c r="B1116" s="895" t="s">
        <v>19322</v>
      </c>
      <c r="C1116" s="895" t="s">
        <v>227</v>
      </c>
      <c r="D1116" s="895">
        <v>377.31</v>
      </c>
    </row>
    <row r="1117" spans="1:4" x14ac:dyDescent="0.2">
      <c r="A1117" s="895">
        <v>40331</v>
      </c>
      <c r="B1117" s="895" t="s">
        <v>19323</v>
      </c>
      <c r="C1117" s="895" t="s">
        <v>227</v>
      </c>
      <c r="D1117" s="895">
        <v>410.58</v>
      </c>
    </row>
    <row r="1118" spans="1:4" x14ac:dyDescent="0.2">
      <c r="A1118" s="895">
        <v>40332</v>
      </c>
      <c r="B1118" s="895" t="s">
        <v>19324</v>
      </c>
      <c r="C1118" s="895" t="s">
        <v>227</v>
      </c>
      <c r="D1118" s="895">
        <v>416.98</v>
      </c>
    </row>
    <row r="1119" spans="1:4" x14ac:dyDescent="0.2">
      <c r="A1119" s="895">
        <v>40335</v>
      </c>
      <c r="B1119" s="895" t="s">
        <v>19325</v>
      </c>
      <c r="C1119" s="895" t="s">
        <v>227</v>
      </c>
      <c r="D1119" s="895">
        <v>571.21</v>
      </c>
    </row>
    <row r="1120" spans="1:4" x14ac:dyDescent="0.2">
      <c r="A1120" s="895">
        <v>40351</v>
      </c>
      <c r="B1120" s="895" t="s">
        <v>19326</v>
      </c>
      <c r="C1120" s="895" t="s">
        <v>227</v>
      </c>
      <c r="D1120" s="895">
        <v>123.73</v>
      </c>
    </row>
    <row r="1121" spans="1:4" x14ac:dyDescent="0.2">
      <c r="A1121" s="895">
        <v>40352</v>
      </c>
      <c r="B1121" s="895" t="s">
        <v>19327</v>
      </c>
      <c r="C1121" s="895" t="s">
        <v>227</v>
      </c>
      <c r="D1121" s="895">
        <v>113.87</v>
      </c>
    </row>
    <row r="1122" spans="1:4" x14ac:dyDescent="0.2">
      <c r="A1122" s="895">
        <v>40353</v>
      </c>
      <c r="B1122" s="895" t="s">
        <v>19328</v>
      </c>
      <c r="C1122" s="895" t="s">
        <v>227</v>
      </c>
      <c r="D1122" s="895">
        <v>187.68</v>
      </c>
    </row>
    <row r="1123" spans="1:4" x14ac:dyDescent="0.2">
      <c r="A1123" s="895">
        <v>40354</v>
      </c>
      <c r="B1123" s="895" t="s">
        <v>19329</v>
      </c>
      <c r="C1123" s="895" t="s">
        <v>227</v>
      </c>
      <c r="D1123" s="895">
        <v>137.5</v>
      </c>
    </row>
    <row r="1124" spans="1:4" x14ac:dyDescent="0.2">
      <c r="A1124" s="895">
        <v>40355</v>
      </c>
      <c r="B1124" s="895" t="s">
        <v>19330</v>
      </c>
      <c r="C1124" s="895" t="s">
        <v>227</v>
      </c>
      <c r="D1124" s="895">
        <v>215.94</v>
      </c>
    </row>
    <row r="1125" spans="1:4" x14ac:dyDescent="0.2">
      <c r="A1125" s="895">
        <v>40356</v>
      </c>
      <c r="B1125" s="895" t="s">
        <v>19331</v>
      </c>
      <c r="C1125" s="895" t="s">
        <v>227</v>
      </c>
      <c r="D1125" s="895">
        <v>143</v>
      </c>
    </row>
    <row r="1126" spans="1:4" x14ac:dyDescent="0.2">
      <c r="A1126" s="895">
        <v>40357</v>
      </c>
      <c r="B1126" s="895" t="s">
        <v>19332</v>
      </c>
      <c r="C1126" s="895" t="s">
        <v>227</v>
      </c>
      <c r="D1126" s="895">
        <v>166.65</v>
      </c>
    </row>
    <row r="1127" spans="1:4" x14ac:dyDescent="0.2">
      <c r="A1127" s="895">
        <v>40358</v>
      </c>
      <c r="B1127" s="895" t="s">
        <v>19333</v>
      </c>
      <c r="C1127" s="895" t="s">
        <v>227</v>
      </c>
      <c r="D1127" s="895">
        <v>216.59</v>
      </c>
    </row>
    <row r="1128" spans="1:4" x14ac:dyDescent="0.2">
      <c r="A1128" s="895">
        <v>40359</v>
      </c>
      <c r="B1128" s="895" t="s">
        <v>19334</v>
      </c>
      <c r="C1128" s="895" t="s">
        <v>227</v>
      </c>
      <c r="D1128" s="895">
        <v>303.47000000000003</v>
      </c>
    </row>
    <row r="1129" spans="1:4" x14ac:dyDescent="0.2">
      <c r="A1129" s="895">
        <v>45000</v>
      </c>
      <c r="B1129" s="895" t="s">
        <v>19214</v>
      </c>
      <c r="C1129" s="895" t="s">
        <v>18269</v>
      </c>
      <c r="D1129" s="895" t="s">
        <v>18269</v>
      </c>
    </row>
    <row r="1130" spans="1:4" x14ac:dyDescent="0.2">
      <c r="A1130" s="895">
        <v>45001</v>
      </c>
      <c r="B1130" s="895" t="s">
        <v>19335</v>
      </c>
      <c r="C1130" s="895" t="s">
        <v>159</v>
      </c>
      <c r="D1130" s="895">
        <v>87.96</v>
      </c>
    </row>
    <row r="1131" spans="1:4" x14ac:dyDescent="0.2">
      <c r="A1131" s="895">
        <v>45004</v>
      </c>
      <c r="B1131" s="895" t="s">
        <v>19336</v>
      </c>
      <c r="C1131" s="895" t="s">
        <v>159</v>
      </c>
      <c r="D1131" s="895">
        <v>65.97</v>
      </c>
    </row>
    <row r="1132" spans="1:4" x14ac:dyDescent="0.2">
      <c r="A1132" s="895">
        <v>45007</v>
      </c>
      <c r="B1132" s="895" t="s">
        <v>19337</v>
      </c>
      <c r="C1132" s="895" t="s">
        <v>159</v>
      </c>
      <c r="D1132" s="895">
        <v>54.98</v>
      </c>
    </row>
    <row r="1133" spans="1:4" x14ac:dyDescent="0.2">
      <c r="A1133" s="895">
        <v>45009</v>
      </c>
      <c r="B1133" s="895" t="s">
        <v>19338</v>
      </c>
      <c r="C1133" s="895" t="s">
        <v>159</v>
      </c>
      <c r="D1133" s="895">
        <v>285.87</v>
      </c>
    </row>
    <row r="1134" spans="1:4" x14ac:dyDescent="0.2">
      <c r="A1134" s="895">
        <v>45010</v>
      </c>
      <c r="B1134" s="895" t="s">
        <v>19339</v>
      </c>
      <c r="C1134" s="895" t="s">
        <v>227</v>
      </c>
      <c r="D1134" s="895">
        <v>11</v>
      </c>
    </row>
    <row r="1135" spans="1:4" x14ac:dyDescent="0.2">
      <c r="A1135" s="895">
        <v>45015</v>
      </c>
      <c r="B1135" s="895" t="s">
        <v>19340</v>
      </c>
      <c r="C1135" s="895" t="s">
        <v>227</v>
      </c>
      <c r="D1135" s="895">
        <v>8.8000000000000007</v>
      </c>
    </row>
    <row r="1136" spans="1:4" x14ac:dyDescent="0.2">
      <c r="A1136" s="895">
        <v>46000</v>
      </c>
      <c r="B1136" s="895" t="s">
        <v>19341</v>
      </c>
      <c r="C1136" s="895" t="s">
        <v>18269</v>
      </c>
      <c r="D1136" s="895" t="s">
        <v>18269</v>
      </c>
    </row>
    <row r="1137" spans="1:4" x14ac:dyDescent="0.2">
      <c r="A1137" s="895">
        <v>46005</v>
      </c>
      <c r="B1137" s="895" t="s">
        <v>19342</v>
      </c>
      <c r="C1137" s="895" t="s">
        <v>159</v>
      </c>
      <c r="D1137" s="895">
        <v>142.94</v>
      </c>
    </row>
    <row r="1138" spans="1:4" x14ac:dyDescent="0.2">
      <c r="A1138" s="895">
        <v>46007</v>
      </c>
      <c r="B1138" s="895" t="s">
        <v>19343</v>
      </c>
      <c r="C1138" s="895" t="s">
        <v>227</v>
      </c>
      <c r="D1138" s="895">
        <v>21.99</v>
      </c>
    </row>
    <row r="1139" spans="1:4" x14ac:dyDescent="0.2">
      <c r="A1139" s="895">
        <v>46010</v>
      </c>
      <c r="B1139" s="895" t="s">
        <v>19344</v>
      </c>
      <c r="C1139" s="895" t="s">
        <v>227</v>
      </c>
      <c r="D1139" s="895">
        <v>21.99</v>
      </c>
    </row>
    <row r="1140" spans="1:4" x14ac:dyDescent="0.2">
      <c r="A1140" s="895">
        <v>46015</v>
      </c>
      <c r="B1140" s="895" t="s">
        <v>19345</v>
      </c>
      <c r="C1140" s="895" t="s">
        <v>227</v>
      </c>
      <c r="D1140" s="895">
        <v>10.86</v>
      </c>
    </row>
    <row r="1141" spans="1:4" x14ac:dyDescent="0.2">
      <c r="A1141" s="895">
        <v>46016</v>
      </c>
      <c r="B1141" s="895" t="s">
        <v>19346</v>
      </c>
      <c r="C1141" s="895" t="s">
        <v>227</v>
      </c>
      <c r="D1141" s="895">
        <v>21.72</v>
      </c>
    </row>
    <row r="1142" spans="1:4" x14ac:dyDescent="0.2">
      <c r="A1142" s="895">
        <v>46019</v>
      </c>
      <c r="B1142" s="895" t="s">
        <v>19347</v>
      </c>
      <c r="C1142" s="895" t="s">
        <v>227</v>
      </c>
      <c r="D1142" s="895">
        <v>32.58</v>
      </c>
    </row>
    <row r="1143" spans="1:4" x14ac:dyDescent="0.2">
      <c r="A1143" s="895">
        <v>47000</v>
      </c>
      <c r="B1143" s="895" t="s">
        <v>19348</v>
      </c>
      <c r="C1143" s="895" t="s">
        <v>18269</v>
      </c>
      <c r="D1143" s="895" t="s">
        <v>18269</v>
      </c>
    </row>
    <row r="1144" spans="1:4" x14ac:dyDescent="0.2">
      <c r="A1144" s="895">
        <v>47010</v>
      </c>
      <c r="B1144" s="895" t="s">
        <v>19349</v>
      </c>
      <c r="C1144" s="895" t="s">
        <v>227</v>
      </c>
      <c r="D1144" s="895">
        <v>67.67</v>
      </c>
    </row>
    <row r="1145" spans="1:4" x14ac:dyDescent="0.2">
      <c r="A1145" s="895">
        <v>47015</v>
      </c>
      <c r="B1145" s="895" t="s">
        <v>19350</v>
      </c>
      <c r="C1145" s="895" t="s">
        <v>227</v>
      </c>
      <c r="D1145" s="895">
        <v>20.97</v>
      </c>
    </row>
    <row r="1146" spans="1:4" x14ac:dyDescent="0.2">
      <c r="A1146" s="895">
        <v>47016</v>
      </c>
      <c r="B1146" s="895" t="s">
        <v>19351</v>
      </c>
      <c r="C1146" s="895" t="s">
        <v>227</v>
      </c>
      <c r="D1146" s="895">
        <v>42.6</v>
      </c>
    </row>
    <row r="1147" spans="1:4" x14ac:dyDescent="0.2">
      <c r="A1147" s="895">
        <v>47019</v>
      </c>
      <c r="B1147" s="895" t="s">
        <v>19352</v>
      </c>
      <c r="C1147" s="895" t="s">
        <v>227</v>
      </c>
      <c r="D1147" s="895">
        <v>58.96</v>
      </c>
    </row>
    <row r="1148" spans="1:4" x14ac:dyDescent="0.2">
      <c r="A1148" s="895">
        <v>50000</v>
      </c>
      <c r="B1148" s="895" t="s">
        <v>19353</v>
      </c>
    </row>
    <row r="1149" spans="1:4" x14ac:dyDescent="0.2">
      <c r="A1149" s="895">
        <v>50100</v>
      </c>
      <c r="B1149" s="895" t="s">
        <v>19354</v>
      </c>
      <c r="C1149" s="895" t="s">
        <v>18269</v>
      </c>
      <c r="D1149" s="895" t="s">
        <v>18269</v>
      </c>
    </row>
    <row r="1150" spans="1:4" x14ac:dyDescent="0.2">
      <c r="A1150" s="895">
        <v>50101</v>
      </c>
      <c r="B1150" s="895" t="s">
        <v>19355</v>
      </c>
      <c r="C1150" s="895" t="s">
        <v>227</v>
      </c>
      <c r="D1150" s="895">
        <v>59.3</v>
      </c>
    </row>
    <row r="1151" spans="1:4" x14ac:dyDescent="0.2">
      <c r="A1151" s="895">
        <v>50103</v>
      </c>
      <c r="B1151" s="895" t="s">
        <v>19356</v>
      </c>
      <c r="C1151" s="895" t="s">
        <v>227</v>
      </c>
      <c r="D1151" s="895">
        <v>60.22</v>
      </c>
    </row>
    <row r="1152" spans="1:4" x14ac:dyDescent="0.2">
      <c r="A1152" s="895">
        <v>50130</v>
      </c>
      <c r="B1152" s="895" t="s">
        <v>19357</v>
      </c>
      <c r="C1152" s="895" t="s">
        <v>227</v>
      </c>
      <c r="D1152" s="895">
        <v>66.290000000000006</v>
      </c>
    </row>
    <row r="1153" spans="1:4" x14ac:dyDescent="0.2">
      <c r="A1153" s="895">
        <v>50140</v>
      </c>
      <c r="B1153" s="895" t="s">
        <v>19358</v>
      </c>
      <c r="C1153" s="895" t="s">
        <v>227</v>
      </c>
      <c r="D1153" s="895">
        <v>44.67</v>
      </c>
    </row>
    <row r="1154" spans="1:4" x14ac:dyDescent="0.2">
      <c r="A1154" s="895">
        <v>50143</v>
      </c>
      <c r="B1154" s="895" t="s">
        <v>19359</v>
      </c>
      <c r="C1154" s="895" t="s">
        <v>227</v>
      </c>
      <c r="D1154" s="895">
        <v>17.600000000000001</v>
      </c>
    </row>
    <row r="1155" spans="1:4" x14ac:dyDescent="0.2">
      <c r="A1155" s="895">
        <v>50147</v>
      </c>
      <c r="B1155" s="895" t="s">
        <v>19360</v>
      </c>
      <c r="C1155" s="895" t="s">
        <v>227</v>
      </c>
      <c r="D1155" s="895">
        <v>40.61</v>
      </c>
    </row>
    <row r="1156" spans="1:4" x14ac:dyDescent="0.2">
      <c r="A1156" s="895">
        <v>50200</v>
      </c>
      <c r="B1156" s="895" t="s">
        <v>19361</v>
      </c>
      <c r="C1156" s="895" t="s">
        <v>18269</v>
      </c>
      <c r="D1156" s="895" t="s">
        <v>18269</v>
      </c>
    </row>
    <row r="1157" spans="1:4" x14ac:dyDescent="0.2">
      <c r="A1157" s="895">
        <v>50202</v>
      </c>
      <c r="B1157" s="895" t="s">
        <v>19362</v>
      </c>
      <c r="C1157" s="895" t="s">
        <v>227</v>
      </c>
      <c r="D1157" s="895">
        <v>124.97</v>
      </c>
    </row>
    <row r="1158" spans="1:4" x14ac:dyDescent="0.2">
      <c r="A1158" s="895">
        <v>50230</v>
      </c>
      <c r="B1158" s="895" t="s">
        <v>19363</v>
      </c>
      <c r="C1158" s="895" t="s">
        <v>227</v>
      </c>
      <c r="D1158" s="895">
        <v>63.64</v>
      </c>
    </row>
    <row r="1159" spans="1:4" x14ac:dyDescent="0.2">
      <c r="A1159" s="895">
        <v>50243</v>
      </c>
      <c r="B1159" s="895" t="s">
        <v>19364</v>
      </c>
      <c r="C1159" s="895" t="s">
        <v>227</v>
      </c>
      <c r="D1159" s="895">
        <v>17.600000000000001</v>
      </c>
    </row>
    <row r="1160" spans="1:4" x14ac:dyDescent="0.2">
      <c r="A1160" s="895">
        <v>50244</v>
      </c>
      <c r="B1160" s="895" t="s">
        <v>19365</v>
      </c>
      <c r="C1160" s="895" t="s">
        <v>227</v>
      </c>
      <c r="D1160" s="895">
        <v>169.47</v>
      </c>
    </row>
    <row r="1161" spans="1:4" x14ac:dyDescent="0.2">
      <c r="A1161" s="895">
        <v>50300</v>
      </c>
      <c r="B1161" s="895" t="s">
        <v>19366</v>
      </c>
      <c r="C1161" s="895" t="s">
        <v>18269</v>
      </c>
      <c r="D1161" s="895" t="s">
        <v>18269</v>
      </c>
    </row>
    <row r="1162" spans="1:4" x14ac:dyDescent="0.2">
      <c r="A1162" s="895">
        <v>50302</v>
      </c>
      <c r="B1162" s="895" t="s">
        <v>19367</v>
      </c>
      <c r="C1162" s="895" t="s">
        <v>227</v>
      </c>
      <c r="D1162" s="895">
        <v>124.97</v>
      </c>
    </row>
    <row r="1163" spans="1:4" x14ac:dyDescent="0.2">
      <c r="A1163" s="895">
        <v>50305</v>
      </c>
      <c r="B1163" s="895" t="s">
        <v>19368</v>
      </c>
      <c r="C1163" s="895" t="s">
        <v>227</v>
      </c>
      <c r="D1163" s="895">
        <v>203.16</v>
      </c>
    </row>
    <row r="1164" spans="1:4" x14ac:dyDescent="0.2">
      <c r="A1164" s="895">
        <v>50306</v>
      </c>
      <c r="B1164" s="895" t="s">
        <v>19369</v>
      </c>
      <c r="C1164" s="895" t="s">
        <v>227</v>
      </c>
      <c r="D1164" s="895">
        <v>347.47</v>
      </c>
    </row>
    <row r="1165" spans="1:4" x14ac:dyDescent="0.2">
      <c r="A1165" s="895">
        <v>50307</v>
      </c>
      <c r="B1165" s="895" t="s">
        <v>19370</v>
      </c>
      <c r="C1165" s="895" t="s">
        <v>227</v>
      </c>
      <c r="D1165" s="895">
        <v>574.66999999999996</v>
      </c>
    </row>
    <row r="1166" spans="1:4" x14ac:dyDescent="0.2">
      <c r="A1166" s="895">
        <v>50308</v>
      </c>
      <c r="B1166" s="895" t="s">
        <v>19371</v>
      </c>
      <c r="C1166" s="895" t="s">
        <v>227</v>
      </c>
      <c r="D1166" s="895">
        <v>93.3</v>
      </c>
    </row>
    <row r="1167" spans="1:4" x14ac:dyDescent="0.2">
      <c r="A1167" s="895">
        <v>50309</v>
      </c>
      <c r="B1167" s="895" t="s">
        <v>19372</v>
      </c>
      <c r="C1167" s="895" t="s">
        <v>227</v>
      </c>
      <c r="D1167" s="895">
        <v>91.35</v>
      </c>
    </row>
    <row r="1168" spans="1:4" x14ac:dyDescent="0.2">
      <c r="A1168" s="895">
        <v>50311</v>
      </c>
      <c r="B1168" s="895" t="s">
        <v>19373</v>
      </c>
      <c r="C1168" s="895" t="s">
        <v>227</v>
      </c>
      <c r="D1168" s="895">
        <v>108.92</v>
      </c>
    </row>
    <row r="1169" spans="1:4" x14ac:dyDescent="0.2">
      <c r="A1169" s="895">
        <v>50312</v>
      </c>
      <c r="B1169" s="895" t="s">
        <v>19374</v>
      </c>
      <c r="C1169" s="895" t="s">
        <v>227</v>
      </c>
      <c r="D1169" s="895">
        <v>97.87</v>
      </c>
    </row>
    <row r="1170" spans="1:4" x14ac:dyDescent="0.2">
      <c r="A1170" s="895">
        <v>50313</v>
      </c>
      <c r="B1170" s="895" t="s">
        <v>19375</v>
      </c>
      <c r="C1170" s="895" t="s">
        <v>227</v>
      </c>
      <c r="D1170" s="895">
        <v>110.91</v>
      </c>
    </row>
    <row r="1171" spans="1:4" x14ac:dyDescent="0.2">
      <c r="A1171" s="895">
        <v>50317</v>
      </c>
      <c r="B1171" s="895" t="s">
        <v>19376</v>
      </c>
      <c r="C1171" s="895" t="s">
        <v>227</v>
      </c>
      <c r="D1171" s="895">
        <v>116.66</v>
      </c>
    </row>
    <row r="1172" spans="1:4" x14ac:dyDescent="0.2">
      <c r="A1172" s="895">
        <v>50340</v>
      </c>
      <c r="B1172" s="895" t="s">
        <v>19358</v>
      </c>
      <c r="C1172" s="895" t="s">
        <v>227</v>
      </c>
      <c r="D1172" s="895">
        <v>44.67</v>
      </c>
    </row>
    <row r="1173" spans="1:4" x14ac:dyDescent="0.2">
      <c r="A1173" s="895">
        <v>50343</v>
      </c>
      <c r="B1173" s="895" t="s">
        <v>19364</v>
      </c>
      <c r="C1173" s="895" t="s">
        <v>227</v>
      </c>
      <c r="D1173" s="895">
        <v>17.600000000000001</v>
      </c>
    </row>
    <row r="1174" spans="1:4" x14ac:dyDescent="0.2">
      <c r="A1174" s="895">
        <v>50347</v>
      </c>
      <c r="B1174" s="895" t="s">
        <v>19360</v>
      </c>
      <c r="C1174" s="895" t="s">
        <v>227</v>
      </c>
      <c r="D1174" s="895">
        <v>40.61</v>
      </c>
    </row>
    <row r="1175" spans="1:4" x14ac:dyDescent="0.2">
      <c r="A1175" s="895">
        <v>50354</v>
      </c>
      <c r="B1175" s="895" t="s">
        <v>19377</v>
      </c>
      <c r="C1175" s="895" t="s">
        <v>159</v>
      </c>
      <c r="D1175" s="895">
        <v>611.17999999999995</v>
      </c>
    </row>
    <row r="1176" spans="1:4" x14ac:dyDescent="0.2">
      <c r="A1176" s="895">
        <v>50355</v>
      </c>
      <c r="B1176" s="895" t="s">
        <v>19378</v>
      </c>
      <c r="C1176" s="895" t="s">
        <v>227</v>
      </c>
      <c r="D1176" s="895">
        <v>76.28</v>
      </c>
    </row>
    <row r="1177" spans="1:4" x14ac:dyDescent="0.2">
      <c r="A1177" s="895">
        <v>50373</v>
      </c>
      <c r="B1177" s="895" t="s">
        <v>19379</v>
      </c>
      <c r="C1177" s="895" t="s">
        <v>227</v>
      </c>
      <c r="D1177" s="895">
        <v>43.26</v>
      </c>
    </row>
    <row r="1178" spans="1:4" x14ac:dyDescent="0.2">
      <c r="A1178" s="895">
        <v>50400</v>
      </c>
      <c r="B1178" s="895" t="s">
        <v>19380</v>
      </c>
      <c r="C1178" s="895" t="s">
        <v>18269</v>
      </c>
      <c r="D1178" s="895" t="s">
        <v>18269</v>
      </c>
    </row>
    <row r="1179" spans="1:4" x14ac:dyDescent="0.2">
      <c r="A1179" s="895">
        <v>50410</v>
      </c>
      <c r="B1179" s="895" t="s">
        <v>19381</v>
      </c>
      <c r="C1179" s="895" t="s">
        <v>18765</v>
      </c>
      <c r="D1179" s="895">
        <v>107.5</v>
      </c>
    </row>
    <row r="1180" spans="1:4" x14ac:dyDescent="0.2">
      <c r="A1180" s="895">
        <v>50430</v>
      </c>
      <c r="B1180" s="895" t="s">
        <v>19382</v>
      </c>
      <c r="C1180" s="895" t="s">
        <v>18765</v>
      </c>
      <c r="D1180" s="895">
        <v>202.67</v>
      </c>
    </row>
    <row r="1181" spans="1:4" x14ac:dyDescent="0.2">
      <c r="A1181" s="895">
        <v>50450</v>
      </c>
      <c r="B1181" s="895" t="s">
        <v>19383</v>
      </c>
      <c r="C1181" s="895" t="s">
        <v>158</v>
      </c>
      <c r="D1181" s="895">
        <v>521.20000000000005</v>
      </c>
    </row>
    <row r="1182" spans="1:4" x14ac:dyDescent="0.2">
      <c r="A1182" s="895">
        <v>55000</v>
      </c>
      <c r="B1182" s="895" t="s">
        <v>19214</v>
      </c>
      <c r="C1182" s="895" t="s">
        <v>18269</v>
      </c>
      <c r="D1182" s="895" t="s">
        <v>18269</v>
      </c>
    </row>
    <row r="1183" spans="1:4" x14ac:dyDescent="0.2">
      <c r="A1183" s="895">
        <v>55001</v>
      </c>
      <c r="B1183" s="895" t="s">
        <v>19384</v>
      </c>
      <c r="C1183" s="895" t="s">
        <v>227</v>
      </c>
      <c r="D1183" s="895">
        <v>11</v>
      </c>
    </row>
    <row r="1184" spans="1:4" x14ac:dyDescent="0.2">
      <c r="A1184" s="895">
        <v>55002</v>
      </c>
      <c r="B1184" s="895" t="s">
        <v>19385</v>
      </c>
      <c r="C1184" s="895" t="s">
        <v>227</v>
      </c>
      <c r="D1184" s="895">
        <v>4.4000000000000004</v>
      </c>
    </row>
    <row r="1185" spans="1:4" x14ac:dyDescent="0.2">
      <c r="A1185" s="895">
        <v>55005</v>
      </c>
      <c r="B1185" s="895" t="s">
        <v>19386</v>
      </c>
      <c r="C1185" s="895" t="s">
        <v>227</v>
      </c>
      <c r="D1185" s="895">
        <v>2.2000000000000002</v>
      </c>
    </row>
    <row r="1186" spans="1:4" x14ac:dyDescent="0.2">
      <c r="A1186" s="895">
        <v>55010</v>
      </c>
      <c r="B1186" s="895" t="s">
        <v>19387</v>
      </c>
      <c r="C1186" s="895" t="s">
        <v>227</v>
      </c>
      <c r="D1186" s="895">
        <v>6.6</v>
      </c>
    </row>
    <row r="1187" spans="1:4" x14ac:dyDescent="0.2">
      <c r="A1187" s="895">
        <v>55012</v>
      </c>
      <c r="B1187" s="895" t="s">
        <v>19388</v>
      </c>
      <c r="C1187" s="895" t="s">
        <v>227</v>
      </c>
      <c r="D1187" s="895">
        <v>13.19</v>
      </c>
    </row>
    <row r="1188" spans="1:4" x14ac:dyDescent="0.2">
      <c r="A1188" s="895">
        <v>55015</v>
      </c>
      <c r="B1188" s="895" t="s">
        <v>19389</v>
      </c>
      <c r="C1188" s="895" t="s">
        <v>227</v>
      </c>
      <c r="D1188" s="895">
        <v>11</v>
      </c>
    </row>
    <row r="1189" spans="1:4" x14ac:dyDescent="0.2">
      <c r="A1189" s="895">
        <v>56000</v>
      </c>
      <c r="B1189" s="895" t="s">
        <v>19341</v>
      </c>
      <c r="C1189" s="895" t="s">
        <v>18269</v>
      </c>
      <c r="D1189" s="895" t="s">
        <v>18269</v>
      </c>
    </row>
    <row r="1190" spans="1:4" x14ac:dyDescent="0.2">
      <c r="A1190" s="895">
        <v>56005</v>
      </c>
      <c r="B1190" s="895" t="s">
        <v>19390</v>
      </c>
      <c r="C1190" s="895" t="s">
        <v>227</v>
      </c>
      <c r="D1190" s="895">
        <v>6.6</v>
      </c>
    </row>
    <row r="1191" spans="1:4" x14ac:dyDescent="0.2">
      <c r="A1191" s="895">
        <v>56006</v>
      </c>
      <c r="B1191" s="895" t="s">
        <v>19391</v>
      </c>
      <c r="C1191" s="895" t="s">
        <v>159</v>
      </c>
      <c r="D1191" s="895">
        <v>43.98</v>
      </c>
    </row>
    <row r="1192" spans="1:4" x14ac:dyDescent="0.2">
      <c r="A1192" s="895">
        <v>57000</v>
      </c>
      <c r="B1192" s="895" t="s">
        <v>19341</v>
      </c>
      <c r="C1192" s="895" t="s">
        <v>18269</v>
      </c>
      <c r="D1192" s="895" t="s">
        <v>18269</v>
      </c>
    </row>
    <row r="1193" spans="1:4" x14ac:dyDescent="0.2">
      <c r="A1193" s="895">
        <v>57006</v>
      </c>
      <c r="B1193" s="895" t="s">
        <v>19392</v>
      </c>
      <c r="C1193" s="895" t="s">
        <v>159</v>
      </c>
      <c r="D1193" s="895">
        <v>98.96</v>
      </c>
    </row>
    <row r="1194" spans="1:4" x14ac:dyDescent="0.2">
      <c r="A1194" s="895">
        <v>58000</v>
      </c>
      <c r="B1194" s="895" t="s">
        <v>19393</v>
      </c>
      <c r="C1194" s="895" t="s">
        <v>18269</v>
      </c>
      <c r="D1194" s="895" t="s">
        <v>18269</v>
      </c>
    </row>
    <row r="1195" spans="1:4" x14ac:dyDescent="0.2">
      <c r="A1195" s="895">
        <v>59000</v>
      </c>
      <c r="B1195" s="895" t="s">
        <v>19394</v>
      </c>
      <c r="C1195" s="895" t="s">
        <v>18269</v>
      </c>
      <c r="D1195" s="895" t="s">
        <v>18269</v>
      </c>
    </row>
    <row r="1196" spans="1:4" x14ac:dyDescent="0.2">
      <c r="A1196" s="895">
        <v>60000</v>
      </c>
      <c r="B1196" s="895" t="s">
        <v>19395</v>
      </c>
    </row>
    <row r="1197" spans="1:4" x14ac:dyDescent="0.2">
      <c r="A1197" s="895">
        <v>60100</v>
      </c>
      <c r="B1197" s="895" t="s">
        <v>19396</v>
      </c>
      <c r="C1197" s="895" t="s">
        <v>18269</v>
      </c>
      <c r="D1197" s="895" t="s">
        <v>18269</v>
      </c>
    </row>
    <row r="1198" spans="1:4" x14ac:dyDescent="0.2">
      <c r="A1198" s="895">
        <v>60110</v>
      </c>
      <c r="B1198" s="895" t="s">
        <v>19397</v>
      </c>
      <c r="C1198" s="895" t="s">
        <v>227</v>
      </c>
      <c r="D1198" s="895">
        <v>63.23</v>
      </c>
    </row>
    <row r="1199" spans="1:4" x14ac:dyDescent="0.2">
      <c r="A1199" s="895">
        <v>60113</v>
      </c>
      <c r="B1199" s="895" t="s">
        <v>19398</v>
      </c>
      <c r="C1199" s="895" t="s">
        <v>227</v>
      </c>
      <c r="D1199" s="895">
        <v>223.64</v>
      </c>
    </row>
    <row r="1200" spans="1:4" x14ac:dyDescent="0.2">
      <c r="A1200" s="895">
        <v>60115</v>
      </c>
      <c r="B1200" s="895" t="s">
        <v>19399</v>
      </c>
      <c r="C1200" s="895" t="s">
        <v>227</v>
      </c>
      <c r="D1200" s="895">
        <v>143.37</v>
      </c>
    </row>
    <row r="1201" spans="1:4" x14ac:dyDescent="0.2">
      <c r="A1201" s="895">
        <v>60116</v>
      </c>
      <c r="B1201" s="895" t="s">
        <v>19400</v>
      </c>
      <c r="C1201" s="895" t="s">
        <v>227</v>
      </c>
      <c r="D1201" s="895">
        <v>157.83000000000001</v>
      </c>
    </row>
    <row r="1202" spans="1:4" x14ac:dyDescent="0.2">
      <c r="A1202" s="895">
        <v>60117</v>
      </c>
      <c r="B1202" s="895" t="s">
        <v>19401</v>
      </c>
      <c r="C1202" s="895" t="s">
        <v>227</v>
      </c>
      <c r="D1202" s="895">
        <v>186.56</v>
      </c>
    </row>
    <row r="1203" spans="1:4" x14ac:dyDescent="0.2">
      <c r="A1203" s="895">
        <v>60118</v>
      </c>
      <c r="B1203" s="895" t="s">
        <v>19402</v>
      </c>
      <c r="C1203" s="895" t="s">
        <v>227</v>
      </c>
      <c r="D1203" s="895">
        <v>221.54</v>
      </c>
    </row>
    <row r="1204" spans="1:4" x14ac:dyDescent="0.2">
      <c r="A1204" s="895">
        <v>60130</v>
      </c>
      <c r="B1204" s="895" t="s">
        <v>19403</v>
      </c>
      <c r="C1204" s="895" t="s">
        <v>6008</v>
      </c>
      <c r="D1204" s="895">
        <v>17.87</v>
      </c>
    </row>
    <row r="1205" spans="1:4" x14ac:dyDescent="0.2">
      <c r="A1205" s="895">
        <v>60131</v>
      </c>
      <c r="B1205" s="895" t="s">
        <v>19404</v>
      </c>
      <c r="C1205" s="895" t="s">
        <v>6008</v>
      </c>
      <c r="D1205" s="895">
        <v>3.34</v>
      </c>
    </row>
    <row r="1206" spans="1:4" x14ac:dyDescent="0.2">
      <c r="A1206" s="895">
        <v>60200</v>
      </c>
      <c r="B1206" s="895" t="s">
        <v>19405</v>
      </c>
      <c r="C1206" s="895" t="s">
        <v>18269</v>
      </c>
      <c r="D1206" s="895" t="s">
        <v>18269</v>
      </c>
    </row>
    <row r="1207" spans="1:4" x14ac:dyDescent="0.2">
      <c r="A1207" s="895">
        <v>60203</v>
      </c>
      <c r="B1207" s="895" t="s">
        <v>19406</v>
      </c>
      <c r="C1207" s="895" t="s">
        <v>227</v>
      </c>
      <c r="D1207" s="895">
        <v>159.63999999999999</v>
      </c>
    </row>
    <row r="1208" spans="1:4" x14ac:dyDescent="0.2">
      <c r="A1208" s="895">
        <v>60204</v>
      </c>
      <c r="B1208" s="895" t="s">
        <v>19407</v>
      </c>
      <c r="C1208" s="895" t="s">
        <v>227</v>
      </c>
      <c r="D1208" s="895">
        <v>147.65</v>
      </c>
    </row>
    <row r="1209" spans="1:4" x14ac:dyDescent="0.2">
      <c r="A1209" s="895">
        <v>60205</v>
      </c>
      <c r="B1209" s="895" t="s">
        <v>19408</v>
      </c>
      <c r="C1209" s="895" t="s">
        <v>227</v>
      </c>
      <c r="D1209" s="895">
        <v>92.3</v>
      </c>
    </row>
    <row r="1210" spans="1:4" x14ac:dyDescent="0.2">
      <c r="A1210" s="895">
        <v>60221</v>
      </c>
      <c r="B1210" s="895" t="s">
        <v>19409</v>
      </c>
      <c r="C1210" s="895" t="s">
        <v>227</v>
      </c>
      <c r="D1210" s="895">
        <v>56.98</v>
      </c>
    </row>
    <row r="1211" spans="1:4" x14ac:dyDescent="0.2">
      <c r="A1211" s="895">
        <v>60222</v>
      </c>
      <c r="B1211" s="895" t="s">
        <v>19410</v>
      </c>
      <c r="C1211" s="895" t="s">
        <v>227</v>
      </c>
      <c r="D1211" s="895">
        <v>81.42</v>
      </c>
    </row>
    <row r="1212" spans="1:4" x14ac:dyDescent="0.2">
      <c r="A1212" s="895">
        <v>60223</v>
      </c>
      <c r="B1212" s="895" t="s">
        <v>19411</v>
      </c>
      <c r="C1212" s="895" t="s">
        <v>227</v>
      </c>
      <c r="D1212" s="895">
        <v>146.55000000000001</v>
      </c>
    </row>
    <row r="1213" spans="1:4" x14ac:dyDescent="0.2">
      <c r="A1213" s="895">
        <v>60225</v>
      </c>
      <c r="B1213" s="895" t="s">
        <v>19412</v>
      </c>
      <c r="C1213" s="895" t="s">
        <v>227</v>
      </c>
      <c r="D1213" s="895">
        <v>127.55</v>
      </c>
    </row>
    <row r="1214" spans="1:4" x14ac:dyDescent="0.2">
      <c r="A1214" s="895">
        <v>60243</v>
      </c>
      <c r="B1214" s="895" t="s">
        <v>19413</v>
      </c>
      <c r="C1214" s="895" t="s">
        <v>227</v>
      </c>
      <c r="D1214" s="895">
        <v>374.18</v>
      </c>
    </row>
    <row r="1215" spans="1:4" x14ac:dyDescent="0.2">
      <c r="A1215" s="895">
        <v>60244</v>
      </c>
      <c r="B1215" s="895" t="s">
        <v>19414</v>
      </c>
      <c r="C1215" s="895" t="s">
        <v>227</v>
      </c>
      <c r="D1215" s="895">
        <v>102.05</v>
      </c>
    </row>
    <row r="1216" spans="1:4" x14ac:dyDescent="0.2">
      <c r="A1216" s="895">
        <v>60245</v>
      </c>
      <c r="B1216" s="895" t="s">
        <v>19415</v>
      </c>
      <c r="C1216" s="895" t="s">
        <v>227</v>
      </c>
      <c r="D1216" s="895">
        <v>95.24</v>
      </c>
    </row>
    <row r="1217" spans="1:4" x14ac:dyDescent="0.2">
      <c r="A1217" s="895">
        <v>60246</v>
      </c>
      <c r="B1217" s="895" t="s">
        <v>19416</v>
      </c>
      <c r="C1217" s="895" t="s">
        <v>227</v>
      </c>
      <c r="D1217" s="895">
        <v>229.66</v>
      </c>
    </row>
    <row r="1218" spans="1:4" x14ac:dyDescent="0.2">
      <c r="A1218" s="895">
        <v>60247</v>
      </c>
      <c r="B1218" s="895" t="s">
        <v>19417</v>
      </c>
      <c r="C1218" s="895" t="s">
        <v>227</v>
      </c>
      <c r="D1218" s="895">
        <v>95.28</v>
      </c>
    </row>
    <row r="1219" spans="1:4" x14ac:dyDescent="0.2">
      <c r="A1219" s="895">
        <v>60248</v>
      </c>
      <c r="B1219" s="895" t="s">
        <v>19418</v>
      </c>
      <c r="C1219" s="895" t="s">
        <v>227</v>
      </c>
      <c r="D1219" s="895">
        <v>93.85</v>
      </c>
    </row>
    <row r="1220" spans="1:4" x14ac:dyDescent="0.2">
      <c r="A1220" s="895">
        <v>60249</v>
      </c>
      <c r="B1220" s="895" t="s">
        <v>19419</v>
      </c>
      <c r="C1220" s="895" t="s">
        <v>227</v>
      </c>
      <c r="D1220" s="895">
        <v>265.67</v>
      </c>
    </row>
    <row r="1221" spans="1:4" x14ac:dyDescent="0.2">
      <c r="A1221" s="895">
        <v>60250</v>
      </c>
      <c r="B1221" s="895" t="s">
        <v>19420</v>
      </c>
      <c r="C1221" s="895" t="s">
        <v>227</v>
      </c>
      <c r="D1221" s="895">
        <v>518.20000000000005</v>
      </c>
    </row>
    <row r="1222" spans="1:4" x14ac:dyDescent="0.2">
      <c r="A1222" s="895">
        <v>60251</v>
      </c>
      <c r="B1222" s="895" t="s">
        <v>19421</v>
      </c>
      <c r="C1222" s="895" t="s">
        <v>158</v>
      </c>
      <c r="D1222" s="895">
        <v>36.04</v>
      </c>
    </row>
    <row r="1223" spans="1:4" x14ac:dyDescent="0.2">
      <c r="A1223" s="895">
        <v>60255</v>
      </c>
      <c r="B1223" s="895" t="s">
        <v>19422</v>
      </c>
      <c r="C1223" s="895" t="s">
        <v>158</v>
      </c>
      <c r="D1223" s="895">
        <v>74.45</v>
      </c>
    </row>
    <row r="1224" spans="1:4" x14ac:dyDescent="0.2">
      <c r="A1224" s="895">
        <v>60256</v>
      </c>
      <c r="B1224" s="895" t="s">
        <v>19423</v>
      </c>
      <c r="C1224" s="895" t="s">
        <v>158</v>
      </c>
      <c r="D1224" s="895">
        <v>102.29</v>
      </c>
    </row>
    <row r="1225" spans="1:4" x14ac:dyDescent="0.2">
      <c r="A1225" s="895">
        <v>60257</v>
      </c>
      <c r="B1225" s="895" t="s">
        <v>19424</v>
      </c>
      <c r="C1225" s="895" t="s">
        <v>158</v>
      </c>
      <c r="D1225" s="895">
        <v>402.94</v>
      </c>
    </row>
    <row r="1226" spans="1:4" x14ac:dyDescent="0.2">
      <c r="A1226" s="895">
        <v>60290</v>
      </c>
      <c r="B1226" s="895" t="s">
        <v>19425</v>
      </c>
      <c r="C1226" s="895" t="s">
        <v>158</v>
      </c>
      <c r="D1226" s="895">
        <v>103.68</v>
      </c>
    </row>
    <row r="1227" spans="1:4" x14ac:dyDescent="0.2">
      <c r="A1227" s="895">
        <v>60291</v>
      </c>
      <c r="B1227" s="895" t="s">
        <v>19426</v>
      </c>
      <c r="C1227" s="895" t="s">
        <v>158</v>
      </c>
      <c r="D1227" s="895">
        <v>112.94</v>
      </c>
    </row>
    <row r="1228" spans="1:4" x14ac:dyDescent="0.2">
      <c r="A1228" s="895">
        <v>60292</v>
      </c>
      <c r="B1228" s="895" t="s">
        <v>19427</v>
      </c>
      <c r="C1228" s="895" t="s">
        <v>158</v>
      </c>
      <c r="D1228" s="895">
        <v>138.69999999999999</v>
      </c>
    </row>
    <row r="1229" spans="1:4" x14ac:dyDescent="0.2">
      <c r="A1229" s="895">
        <v>60293</v>
      </c>
      <c r="B1229" s="895" t="s">
        <v>19428</v>
      </c>
      <c r="C1229" s="895" t="s">
        <v>158</v>
      </c>
      <c r="D1229" s="895">
        <v>127.5</v>
      </c>
    </row>
    <row r="1230" spans="1:4" x14ac:dyDescent="0.2">
      <c r="A1230" s="895">
        <v>60294</v>
      </c>
      <c r="B1230" s="895" t="s">
        <v>19429</v>
      </c>
      <c r="C1230" s="895" t="s">
        <v>158</v>
      </c>
      <c r="D1230" s="895">
        <v>76.34</v>
      </c>
    </row>
    <row r="1231" spans="1:4" x14ac:dyDescent="0.2">
      <c r="A1231" s="895">
        <v>60295</v>
      </c>
      <c r="B1231" s="895" t="s">
        <v>19430</v>
      </c>
      <c r="C1231" s="895" t="s">
        <v>158</v>
      </c>
      <c r="D1231" s="895">
        <v>85.7</v>
      </c>
    </row>
    <row r="1232" spans="1:4" x14ac:dyDescent="0.2">
      <c r="A1232" s="895">
        <v>60296</v>
      </c>
      <c r="B1232" s="895" t="s">
        <v>19431</v>
      </c>
      <c r="C1232" s="895" t="s">
        <v>158</v>
      </c>
      <c r="D1232" s="895">
        <v>93.33</v>
      </c>
    </row>
    <row r="1233" spans="1:4" x14ac:dyDescent="0.2">
      <c r="A1233" s="895">
        <v>60297</v>
      </c>
      <c r="B1233" s="895" t="s">
        <v>19432</v>
      </c>
      <c r="C1233" s="895" t="s">
        <v>158</v>
      </c>
      <c r="D1233" s="895">
        <v>100.83</v>
      </c>
    </row>
    <row r="1234" spans="1:4" x14ac:dyDescent="0.2">
      <c r="A1234" s="895">
        <v>60299</v>
      </c>
      <c r="B1234" s="895" t="s">
        <v>19433</v>
      </c>
      <c r="C1234" s="895" t="s">
        <v>227</v>
      </c>
      <c r="D1234" s="895">
        <v>12.67</v>
      </c>
    </row>
    <row r="1235" spans="1:4" x14ac:dyDescent="0.2">
      <c r="A1235" s="895">
        <v>60300</v>
      </c>
      <c r="B1235" s="895" t="s">
        <v>19434</v>
      </c>
      <c r="C1235" s="895" t="s">
        <v>18269</v>
      </c>
      <c r="D1235" s="895" t="s">
        <v>18269</v>
      </c>
    </row>
    <row r="1236" spans="1:4" x14ac:dyDescent="0.2">
      <c r="A1236" s="895">
        <v>60398</v>
      </c>
      <c r="B1236" s="895" t="s">
        <v>19435</v>
      </c>
      <c r="C1236" s="895" t="s">
        <v>227</v>
      </c>
      <c r="D1236" s="895">
        <v>793</v>
      </c>
    </row>
    <row r="1237" spans="1:4" x14ac:dyDescent="0.2">
      <c r="A1237" s="895">
        <v>65000</v>
      </c>
      <c r="B1237" s="895" t="s">
        <v>19214</v>
      </c>
      <c r="C1237" s="895" t="s">
        <v>18269</v>
      </c>
      <c r="D1237" s="895" t="s">
        <v>18269</v>
      </c>
    </row>
    <row r="1238" spans="1:4" x14ac:dyDescent="0.2">
      <c r="A1238" s="895">
        <v>65020</v>
      </c>
      <c r="B1238" s="895" t="s">
        <v>19436</v>
      </c>
      <c r="C1238" s="895" t="s">
        <v>227</v>
      </c>
      <c r="D1238" s="895">
        <v>13.19</v>
      </c>
    </row>
    <row r="1239" spans="1:4" x14ac:dyDescent="0.2">
      <c r="A1239" s="895">
        <v>65025</v>
      </c>
      <c r="B1239" s="895" t="s">
        <v>19437</v>
      </c>
      <c r="C1239" s="895" t="s">
        <v>227</v>
      </c>
      <c r="D1239" s="895">
        <v>5.5</v>
      </c>
    </row>
    <row r="1240" spans="1:4" x14ac:dyDescent="0.2">
      <c r="A1240" s="895">
        <v>66000</v>
      </c>
      <c r="B1240" s="895" t="s">
        <v>19341</v>
      </c>
      <c r="C1240" s="895" t="s">
        <v>18269</v>
      </c>
      <c r="D1240" s="895" t="s">
        <v>18269</v>
      </c>
    </row>
    <row r="1241" spans="1:4" x14ac:dyDescent="0.2">
      <c r="A1241" s="895">
        <v>66003</v>
      </c>
      <c r="B1241" s="895" t="s">
        <v>19438</v>
      </c>
      <c r="C1241" s="895" t="s">
        <v>227</v>
      </c>
      <c r="D1241" s="895">
        <v>14.74</v>
      </c>
    </row>
    <row r="1242" spans="1:4" x14ac:dyDescent="0.2">
      <c r="A1242" s="895">
        <v>66004</v>
      </c>
      <c r="B1242" s="895" t="s">
        <v>19439</v>
      </c>
      <c r="C1242" s="895" t="s">
        <v>227</v>
      </c>
      <c r="D1242" s="895">
        <v>9.83</v>
      </c>
    </row>
    <row r="1243" spans="1:4" x14ac:dyDescent="0.2">
      <c r="A1243" s="895">
        <v>66005</v>
      </c>
      <c r="B1243" s="895" t="s">
        <v>19440</v>
      </c>
      <c r="C1243" s="895" t="s">
        <v>227</v>
      </c>
      <c r="D1243" s="895">
        <v>24.57</v>
      </c>
    </row>
    <row r="1244" spans="1:4" x14ac:dyDescent="0.2">
      <c r="A1244" s="895">
        <v>66006</v>
      </c>
      <c r="B1244" s="895" t="s">
        <v>19441</v>
      </c>
      <c r="C1244" s="895" t="s">
        <v>227</v>
      </c>
      <c r="D1244" s="895">
        <v>19.649999999999999</v>
      </c>
    </row>
    <row r="1245" spans="1:4" x14ac:dyDescent="0.2">
      <c r="A1245" s="895">
        <v>66008</v>
      </c>
      <c r="B1245" s="895" t="s">
        <v>19442</v>
      </c>
      <c r="C1245" s="895" t="s">
        <v>6008</v>
      </c>
      <c r="D1245" s="895">
        <v>2.34</v>
      </c>
    </row>
    <row r="1246" spans="1:4" x14ac:dyDescent="0.2">
      <c r="A1246" s="895">
        <v>66010</v>
      </c>
      <c r="B1246" s="895" t="s">
        <v>19443</v>
      </c>
      <c r="C1246" s="895" t="s">
        <v>158</v>
      </c>
      <c r="D1246" s="895">
        <v>0.49</v>
      </c>
    </row>
    <row r="1247" spans="1:4" x14ac:dyDescent="0.2">
      <c r="A1247" s="895">
        <v>66011</v>
      </c>
      <c r="B1247" s="895" t="s">
        <v>19444</v>
      </c>
      <c r="C1247" s="895" t="s">
        <v>158</v>
      </c>
      <c r="D1247" s="895">
        <v>2.95</v>
      </c>
    </row>
    <row r="1248" spans="1:4" x14ac:dyDescent="0.2">
      <c r="A1248" s="895">
        <v>66012</v>
      </c>
      <c r="B1248" s="895" t="s">
        <v>19445</v>
      </c>
      <c r="C1248" s="895" t="s">
        <v>158</v>
      </c>
      <c r="D1248" s="895">
        <v>4.91</v>
      </c>
    </row>
    <row r="1249" spans="1:4" x14ac:dyDescent="0.2">
      <c r="A1249" s="895">
        <v>66015</v>
      </c>
      <c r="B1249" s="895" t="s">
        <v>19446</v>
      </c>
      <c r="C1249" s="895" t="s">
        <v>226</v>
      </c>
      <c r="D1249" s="895">
        <v>7.37</v>
      </c>
    </row>
    <row r="1250" spans="1:4" x14ac:dyDescent="0.2">
      <c r="A1250" s="895">
        <v>66020</v>
      </c>
      <c r="B1250" s="895" t="s">
        <v>19447</v>
      </c>
      <c r="C1250" s="895" t="s">
        <v>227</v>
      </c>
      <c r="D1250" s="895">
        <v>11</v>
      </c>
    </row>
    <row r="1251" spans="1:4" x14ac:dyDescent="0.2">
      <c r="A1251" s="895">
        <v>66021</v>
      </c>
      <c r="B1251" s="895" t="s">
        <v>19448</v>
      </c>
      <c r="C1251" s="895" t="s">
        <v>227</v>
      </c>
      <c r="D1251" s="895">
        <v>19.79</v>
      </c>
    </row>
    <row r="1252" spans="1:4" x14ac:dyDescent="0.2">
      <c r="A1252" s="895">
        <v>66022</v>
      </c>
      <c r="B1252" s="895" t="s">
        <v>19449</v>
      </c>
      <c r="C1252" s="895" t="s">
        <v>227</v>
      </c>
      <c r="D1252" s="895">
        <v>15.39</v>
      </c>
    </row>
    <row r="1253" spans="1:4" x14ac:dyDescent="0.2">
      <c r="A1253" s="895">
        <v>66025</v>
      </c>
      <c r="B1253" s="895" t="s">
        <v>19450</v>
      </c>
      <c r="C1253" s="895" t="s">
        <v>227</v>
      </c>
      <c r="D1253" s="895">
        <v>7.7</v>
      </c>
    </row>
    <row r="1254" spans="1:4" x14ac:dyDescent="0.2">
      <c r="A1254" s="895">
        <v>66028</v>
      </c>
      <c r="B1254" s="895" t="s">
        <v>19451</v>
      </c>
      <c r="C1254" s="895" t="s">
        <v>227</v>
      </c>
      <c r="D1254" s="895">
        <v>6.6</v>
      </c>
    </row>
    <row r="1255" spans="1:4" x14ac:dyDescent="0.2">
      <c r="A1255" s="895">
        <v>66029</v>
      </c>
      <c r="B1255" s="895" t="s">
        <v>19452</v>
      </c>
      <c r="C1255" s="895" t="s">
        <v>227</v>
      </c>
      <c r="D1255" s="895">
        <v>6.6</v>
      </c>
    </row>
    <row r="1256" spans="1:4" x14ac:dyDescent="0.2">
      <c r="A1256" s="895">
        <v>66040</v>
      </c>
      <c r="B1256" s="895" t="s">
        <v>19453</v>
      </c>
      <c r="C1256" s="895" t="s">
        <v>158</v>
      </c>
      <c r="D1256" s="895">
        <v>6.6</v>
      </c>
    </row>
    <row r="1257" spans="1:4" x14ac:dyDescent="0.2">
      <c r="A1257" s="895">
        <v>66090</v>
      </c>
      <c r="B1257" s="895" t="s">
        <v>19454</v>
      </c>
      <c r="C1257" s="895" t="s">
        <v>158</v>
      </c>
      <c r="D1257" s="895">
        <v>4.4000000000000004</v>
      </c>
    </row>
    <row r="1258" spans="1:4" x14ac:dyDescent="0.2">
      <c r="A1258" s="895">
        <v>67000</v>
      </c>
      <c r="B1258" s="895" t="s">
        <v>19348</v>
      </c>
      <c r="C1258" s="895" t="s">
        <v>18269</v>
      </c>
      <c r="D1258" s="895" t="s">
        <v>18269</v>
      </c>
    </row>
    <row r="1259" spans="1:4" x14ac:dyDescent="0.2">
      <c r="A1259" s="895">
        <v>67010</v>
      </c>
      <c r="B1259" s="895" t="s">
        <v>19455</v>
      </c>
      <c r="C1259" s="895" t="s">
        <v>158</v>
      </c>
      <c r="D1259" s="895">
        <v>2.4700000000000002</v>
      </c>
    </row>
    <row r="1260" spans="1:4" x14ac:dyDescent="0.2">
      <c r="A1260" s="895">
        <v>67011</v>
      </c>
      <c r="B1260" s="895" t="s">
        <v>19456</v>
      </c>
      <c r="C1260" s="895" t="s">
        <v>158</v>
      </c>
      <c r="D1260" s="895">
        <v>7.53</v>
      </c>
    </row>
    <row r="1261" spans="1:4" x14ac:dyDescent="0.2">
      <c r="A1261" s="895">
        <v>67012</v>
      </c>
      <c r="B1261" s="895" t="s">
        <v>19457</v>
      </c>
      <c r="C1261" s="895" t="s">
        <v>158</v>
      </c>
      <c r="D1261" s="895">
        <v>20.07</v>
      </c>
    </row>
    <row r="1262" spans="1:4" x14ac:dyDescent="0.2">
      <c r="A1262" s="895">
        <v>67015</v>
      </c>
      <c r="B1262" s="895" t="s">
        <v>19458</v>
      </c>
      <c r="C1262" s="895" t="s">
        <v>226</v>
      </c>
      <c r="D1262" s="895">
        <v>14.74</v>
      </c>
    </row>
    <row r="1263" spans="1:4" x14ac:dyDescent="0.2">
      <c r="A1263" s="895">
        <v>67020</v>
      </c>
      <c r="B1263" s="895" t="s">
        <v>19459</v>
      </c>
      <c r="C1263" s="895" t="s">
        <v>227</v>
      </c>
      <c r="D1263" s="895">
        <v>35.520000000000003</v>
      </c>
    </row>
    <row r="1264" spans="1:4" x14ac:dyDescent="0.2">
      <c r="A1264" s="895">
        <v>67021</v>
      </c>
      <c r="B1264" s="895" t="s">
        <v>19460</v>
      </c>
      <c r="C1264" s="895" t="s">
        <v>227</v>
      </c>
      <c r="D1264" s="895">
        <v>85.97</v>
      </c>
    </row>
    <row r="1265" spans="1:4" x14ac:dyDescent="0.2">
      <c r="A1265" s="895">
        <v>67022</v>
      </c>
      <c r="B1265" s="895" t="s">
        <v>19461</v>
      </c>
      <c r="C1265" s="895" t="s">
        <v>227</v>
      </c>
      <c r="D1265" s="895">
        <v>55.33</v>
      </c>
    </row>
    <row r="1266" spans="1:4" x14ac:dyDescent="0.2">
      <c r="A1266" s="895">
        <v>67025</v>
      </c>
      <c r="B1266" s="895" t="s">
        <v>19462</v>
      </c>
      <c r="C1266" s="895" t="s">
        <v>227</v>
      </c>
      <c r="D1266" s="895">
        <v>17.41</v>
      </c>
    </row>
    <row r="1267" spans="1:4" x14ac:dyDescent="0.2">
      <c r="A1267" s="895">
        <v>67028</v>
      </c>
      <c r="B1267" s="895" t="s">
        <v>19463</v>
      </c>
      <c r="C1267" s="895" t="s">
        <v>227</v>
      </c>
      <c r="D1267" s="895">
        <v>17.489999999999998</v>
      </c>
    </row>
    <row r="1268" spans="1:4" x14ac:dyDescent="0.2">
      <c r="A1268" s="895">
        <v>67029</v>
      </c>
      <c r="B1268" s="895" t="s">
        <v>19464</v>
      </c>
      <c r="C1268" s="895" t="s">
        <v>227</v>
      </c>
      <c r="D1268" s="895">
        <v>17.39</v>
      </c>
    </row>
    <row r="1269" spans="1:4" x14ac:dyDescent="0.2">
      <c r="A1269" s="895">
        <v>67040</v>
      </c>
      <c r="B1269" s="895" t="s">
        <v>19465</v>
      </c>
      <c r="C1269" s="895" t="s">
        <v>158</v>
      </c>
      <c r="D1269" s="895">
        <v>25.89</v>
      </c>
    </row>
    <row r="1270" spans="1:4" x14ac:dyDescent="0.2">
      <c r="A1270" s="895">
        <v>67090</v>
      </c>
      <c r="B1270" s="895" t="s">
        <v>19466</v>
      </c>
      <c r="C1270" s="895" t="s">
        <v>158</v>
      </c>
      <c r="D1270" s="895">
        <v>13.74</v>
      </c>
    </row>
    <row r="1271" spans="1:4" x14ac:dyDescent="0.2">
      <c r="A1271" s="895">
        <v>68000</v>
      </c>
      <c r="B1271" s="895" t="s">
        <v>19393</v>
      </c>
      <c r="C1271" s="895" t="s">
        <v>18269</v>
      </c>
      <c r="D1271" s="895" t="s">
        <v>18269</v>
      </c>
    </row>
    <row r="1272" spans="1:4" x14ac:dyDescent="0.2">
      <c r="A1272" s="895">
        <v>68001</v>
      </c>
      <c r="B1272" s="895" t="s">
        <v>19467</v>
      </c>
      <c r="C1272" s="895" t="s">
        <v>227</v>
      </c>
      <c r="D1272" s="895">
        <v>10.18</v>
      </c>
    </row>
    <row r="1273" spans="1:4" x14ac:dyDescent="0.2">
      <c r="A1273" s="895">
        <v>68002</v>
      </c>
      <c r="B1273" s="895" t="s">
        <v>19468</v>
      </c>
      <c r="C1273" s="895" t="s">
        <v>227</v>
      </c>
      <c r="D1273" s="895">
        <v>39.880000000000003</v>
      </c>
    </row>
    <row r="1274" spans="1:4" x14ac:dyDescent="0.2">
      <c r="A1274" s="895">
        <v>68003</v>
      </c>
      <c r="B1274" s="895" t="s">
        <v>19469</v>
      </c>
      <c r="C1274" s="895" t="s">
        <v>227</v>
      </c>
      <c r="D1274" s="895">
        <v>34.659999999999997</v>
      </c>
    </row>
    <row r="1275" spans="1:4" x14ac:dyDescent="0.2">
      <c r="A1275" s="895">
        <v>68010</v>
      </c>
      <c r="B1275" s="895" t="s">
        <v>19470</v>
      </c>
      <c r="C1275" s="895" t="s">
        <v>158</v>
      </c>
      <c r="D1275" s="895">
        <v>8.34</v>
      </c>
    </row>
    <row r="1276" spans="1:4" x14ac:dyDescent="0.2">
      <c r="A1276" s="895">
        <v>68012</v>
      </c>
      <c r="B1276" s="895" t="s">
        <v>19471</v>
      </c>
      <c r="C1276" s="895" t="s">
        <v>158</v>
      </c>
      <c r="D1276" s="895">
        <v>22.65</v>
      </c>
    </row>
    <row r="1277" spans="1:4" x14ac:dyDescent="0.2">
      <c r="A1277" s="895">
        <v>68016</v>
      </c>
      <c r="B1277" s="895" t="s">
        <v>19472</v>
      </c>
      <c r="C1277" s="895" t="s">
        <v>158</v>
      </c>
      <c r="D1277" s="895">
        <v>64.08</v>
      </c>
    </row>
    <row r="1278" spans="1:4" x14ac:dyDescent="0.2">
      <c r="A1278" s="895">
        <v>68047</v>
      </c>
      <c r="B1278" s="895" t="s">
        <v>19473</v>
      </c>
      <c r="C1278" s="895" t="s">
        <v>226</v>
      </c>
      <c r="D1278" s="895">
        <v>8.76</v>
      </c>
    </row>
    <row r="1279" spans="1:4" x14ac:dyDescent="0.2">
      <c r="A1279" s="895">
        <v>68049</v>
      </c>
      <c r="B1279" s="895" t="s">
        <v>19474</v>
      </c>
      <c r="C1279" s="895" t="s">
        <v>226</v>
      </c>
      <c r="D1279" s="895">
        <v>9.9600000000000009</v>
      </c>
    </row>
    <row r="1280" spans="1:4" x14ac:dyDescent="0.2">
      <c r="A1280" s="895">
        <v>68084</v>
      </c>
      <c r="B1280" s="895" t="s">
        <v>19475</v>
      </c>
      <c r="C1280" s="895" t="s">
        <v>226</v>
      </c>
      <c r="D1280" s="895">
        <v>18.54</v>
      </c>
    </row>
    <row r="1281" spans="1:4" x14ac:dyDescent="0.2">
      <c r="A1281" s="895">
        <v>70000</v>
      </c>
      <c r="B1281" s="895" t="s">
        <v>19476</v>
      </c>
    </row>
    <row r="1282" spans="1:4" x14ac:dyDescent="0.2">
      <c r="A1282" s="895">
        <v>70100</v>
      </c>
      <c r="B1282" s="895" t="s">
        <v>19477</v>
      </c>
      <c r="C1282" s="895" t="s">
        <v>18269</v>
      </c>
      <c r="D1282" s="895" t="s">
        <v>18269</v>
      </c>
    </row>
    <row r="1283" spans="1:4" x14ac:dyDescent="0.2">
      <c r="A1283" s="895">
        <v>70103</v>
      </c>
      <c r="B1283" s="895" t="s">
        <v>19478</v>
      </c>
      <c r="C1283" s="895" t="s">
        <v>226</v>
      </c>
      <c r="D1283" s="895">
        <v>854.32</v>
      </c>
    </row>
    <row r="1284" spans="1:4" x14ac:dyDescent="0.2">
      <c r="A1284" s="895">
        <v>70104</v>
      </c>
      <c r="B1284" s="895" t="s">
        <v>19479</v>
      </c>
      <c r="C1284" s="895" t="s">
        <v>226</v>
      </c>
      <c r="D1284" s="895">
        <v>869.63</v>
      </c>
    </row>
    <row r="1285" spans="1:4" x14ac:dyDescent="0.2">
      <c r="A1285" s="895">
        <v>70105</v>
      </c>
      <c r="B1285" s="895" t="s">
        <v>19480</v>
      </c>
      <c r="C1285" s="895" t="s">
        <v>226</v>
      </c>
      <c r="D1285" s="895">
        <v>548.96</v>
      </c>
    </row>
    <row r="1286" spans="1:4" x14ac:dyDescent="0.2">
      <c r="A1286" s="895">
        <v>70107</v>
      </c>
      <c r="B1286" s="895" t="s">
        <v>19481</v>
      </c>
      <c r="C1286" s="895" t="s">
        <v>226</v>
      </c>
      <c r="D1286" s="895">
        <v>570.66999999999996</v>
      </c>
    </row>
    <row r="1287" spans="1:4" x14ac:dyDescent="0.2">
      <c r="A1287" s="895">
        <v>70108</v>
      </c>
      <c r="B1287" s="895" t="s">
        <v>19482</v>
      </c>
      <c r="C1287" s="895" t="s">
        <v>226</v>
      </c>
      <c r="D1287" s="895">
        <v>618.62</v>
      </c>
    </row>
    <row r="1288" spans="1:4" x14ac:dyDescent="0.2">
      <c r="A1288" s="895">
        <v>70109</v>
      </c>
      <c r="B1288" s="895" t="s">
        <v>19483</v>
      </c>
      <c r="C1288" s="895" t="s">
        <v>226</v>
      </c>
      <c r="D1288" s="895">
        <v>697.92</v>
      </c>
    </row>
    <row r="1289" spans="1:4" x14ac:dyDescent="0.2">
      <c r="A1289" s="895">
        <v>70112</v>
      </c>
      <c r="B1289" s="895" t="s">
        <v>19484</v>
      </c>
      <c r="C1289" s="895" t="s">
        <v>226</v>
      </c>
      <c r="D1289" s="895">
        <v>393.43</v>
      </c>
    </row>
    <row r="1290" spans="1:4" x14ac:dyDescent="0.2">
      <c r="A1290" s="895">
        <v>70113</v>
      </c>
      <c r="B1290" s="895" t="s">
        <v>19485</v>
      </c>
      <c r="C1290" s="895" t="s">
        <v>226</v>
      </c>
      <c r="D1290" s="895">
        <v>447.67</v>
      </c>
    </row>
    <row r="1291" spans="1:4" x14ac:dyDescent="0.2">
      <c r="A1291" s="895">
        <v>70114</v>
      </c>
      <c r="B1291" s="895" t="s">
        <v>19486</v>
      </c>
      <c r="C1291" s="895" t="s">
        <v>226</v>
      </c>
      <c r="D1291" s="895">
        <v>539.01</v>
      </c>
    </row>
    <row r="1292" spans="1:4" x14ac:dyDescent="0.2">
      <c r="A1292" s="895">
        <v>70117</v>
      </c>
      <c r="B1292" s="895" t="s">
        <v>19487</v>
      </c>
      <c r="C1292" s="895" t="s">
        <v>226</v>
      </c>
      <c r="D1292" s="895">
        <v>822.76</v>
      </c>
    </row>
    <row r="1293" spans="1:4" x14ac:dyDescent="0.2">
      <c r="A1293" s="895">
        <v>70118</v>
      </c>
      <c r="B1293" s="895" t="s">
        <v>19488</v>
      </c>
      <c r="C1293" s="895" t="s">
        <v>226</v>
      </c>
      <c r="D1293" s="895">
        <v>941.88</v>
      </c>
    </row>
    <row r="1294" spans="1:4" x14ac:dyDescent="0.2">
      <c r="A1294" s="895">
        <v>70119</v>
      </c>
      <c r="B1294" s="895" t="s">
        <v>19489</v>
      </c>
      <c r="C1294" s="895" t="s">
        <v>226</v>
      </c>
      <c r="D1294" s="895">
        <v>1070.3</v>
      </c>
    </row>
    <row r="1295" spans="1:4" x14ac:dyDescent="0.2">
      <c r="A1295" s="895">
        <v>70137</v>
      </c>
      <c r="B1295" s="895" t="s">
        <v>19490</v>
      </c>
      <c r="C1295" s="895" t="s">
        <v>226</v>
      </c>
      <c r="D1295" s="895">
        <v>1000.86</v>
      </c>
    </row>
    <row r="1296" spans="1:4" x14ac:dyDescent="0.2">
      <c r="A1296" s="895">
        <v>70138</v>
      </c>
      <c r="B1296" s="895" t="s">
        <v>19491</v>
      </c>
      <c r="C1296" s="895" t="s">
        <v>226</v>
      </c>
      <c r="D1296" s="895">
        <v>1176.79</v>
      </c>
    </row>
    <row r="1297" spans="1:4" x14ac:dyDescent="0.2">
      <c r="A1297" s="895">
        <v>70139</v>
      </c>
      <c r="B1297" s="895" t="s">
        <v>19492</v>
      </c>
      <c r="C1297" s="895" t="s">
        <v>227</v>
      </c>
      <c r="D1297" s="895">
        <v>453.67</v>
      </c>
    </row>
    <row r="1298" spans="1:4" x14ac:dyDescent="0.2">
      <c r="A1298" s="895">
        <v>70145</v>
      </c>
      <c r="B1298" s="895" t="s">
        <v>19493</v>
      </c>
      <c r="C1298" s="895" t="s">
        <v>226</v>
      </c>
      <c r="D1298" s="895">
        <v>796.49</v>
      </c>
    </row>
    <row r="1299" spans="1:4" x14ac:dyDescent="0.2">
      <c r="A1299" s="895">
        <v>70146</v>
      </c>
      <c r="B1299" s="895" t="s">
        <v>19494</v>
      </c>
      <c r="C1299" s="895" t="s">
        <v>226</v>
      </c>
      <c r="D1299" s="895">
        <v>803.69</v>
      </c>
    </row>
    <row r="1300" spans="1:4" x14ac:dyDescent="0.2">
      <c r="A1300" s="895">
        <v>70147</v>
      </c>
      <c r="B1300" s="895" t="s">
        <v>19495</v>
      </c>
      <c r="C1300" s="895" t="s">
        <v>226</v>
      </c>
      <c r="D1300" s="895">
        <v>803.69</v>
      </c>
    </row>
    <row r="1301" spans="1:4" x14ac:dyDescent="0.2">
      <c r="A1301" s="895">
        <v>70148</v>
      </c>
      <c r="B1301" s="895" t="s">
        <v>19496</v>
      </c>
      <c r="C1301" s="895" t="s">
        <v>226</v>
      </c>
      <c r="D1301" s="895">
        <v>912.17</v>
      </c>
    </row>
    <row r="1302" spans="1:4" x14ac:dyDescent="0.2">
      <c r="A1302" s="895">
        <v>70149</v>
      </c>
      <c r="B1302" s="895" t="s">
        <v>19497</v>
      </c>
      <c r="C1302" s="895" t="s">
        <v>226</v>
      </c>
      <c r="D1302" s="895">
        <v>1094.8499999999999</v>
      </c>
    </row>
    <row r="1303" spans="1:4" x14ac:dyDescent="0.2">
      <c r="A1303" s="895">
        <v>70150</v>
      </c>
      <c r="B1303" s="895" t="s">
        <v>19498</v>
      </c>
      <c r="C1303" s="895" t="s">
        <v>19499</v>
      </c>
      <c r="D1303" s="895">
        <v>664.36</v>
      </c>
    </row>
    <row r="1304" spans="1:4" x14ac:dyDescent="0.2">
      <c r="A1304" s="895">
        <v>70151</v>
      </c>
      <c r="B1304" s="895" t="s">
        <v>19500</v>
      </c>
      <c r="C1304" s="895" t="s">
        <v>19499</v>
      </c>
      <c r="D1304" s="895">
        <v>750.87</v>
      </c>
    </row>
    <row r="1305" spans="1:4" x14ac:dyDescent="0.2">
      <c r="A1305" s="895">
        <v>70152</v>
      </c>
      <c r="B1305" s="895" t="s">
        <v>19501</v>
      </c>
      <c r="C1305" s="895" t="s">
        <v>19499</v>
      </c>
      <c r="D1305" s="895">
        <v>725.45</v>
      </c>
    </row>
    <row r="1306" spans="1:4" x14ac:dyDescent="0.2">
      <c r="A1306" s="895">
        <v>70153</v>
      </c>
      <c r="B1306" s="895" t="s">
        <v>19502</v>
      </c>
      <c r="C1306" s="895" t="s">
        <v>19499</v>
      </c>
      <c r="D1306" s="895">
        <v>662.66</v>
      </c>
    </row>
    <row r="1307" spans="1:4" x14ac:dyDescent="0.2">
      <c r="A1307" s="895">
        <v>70154</v>
      </c>
      <c r="B1307" s="895" t="s">
        <v>19503</v>
      </c>
      <c r="C1307" s="895" t="s">
        <v>19499</v>
      </c>
      <c r="D1307" s="895">
        <v>718.9</v>
      </c>
    </row>
    <row r="1308" spans="1:4" x14ac:dyDescent="0.2">
      <c r="A1308" s="895">
        <v>70155</v>
      </c>
      <c r="B1308" s="895" t="s">
        <v>19504</v>
      </c>
      <c r="C1308" s="895" t="s">
        <v>19499</v>
      </c>
      <c r="D1308" s="895">
        <v>1252.17</v>
      </c>
    </row>
    <row r="1309" spans="1:4" x14ac:dyDescent="0.2">
      <c r="A1309" s="895">
        <v>70156</v>
      </c>
      <c r="B1309" s="895" t="s">
        <v>19505</v>
      </c>
      <c r="C1309" s="895" t="s">
        <v>19499</v>
      </c>
      <c r="D1309" s="895">
        <v>1232.3800000000001</v>
      </c>
    </row>
    <row r="1310" spans="1:4" x14ac:dyDescent="0.2">
      <c r="A1310" s="895">
        <v>70157</v>
      </c>
      <c r="B1310" s="895" t="s">
        <v>19506</v>
      </c>
      <c r="C1310" s="895" t="s">
        <v>158</v>
      </c>
      <c r="D1310" s="895">
        <v>74.77</v>
      </c>
    </row>
    <row r="1311" spans="1:4" x14ac:dyDescent="0.2">
      <c r="A1311" s="895">
        <v>70175</v>
      </c>
      <c r="B1311" s="895" t="s">
        <v>19507</v>
      </c>
      <c r="C1311" s="895" t="s">
        <v>226</v>
      </c>
      <c r="D1311" s="895">
        <v>268.32</v>
      </c>
    </row>
    <row r="1312" spans="1:4" x14ac:dyDescent="0.2">
      <c r="A1312" s="895">
        <v>70180</v>
      </c>
      <c r="B1312" s="895" t="s">
        <v>19508</v>
      </c>
      <c r="C1312" s="895" t="s">
        <v>227</v>
      </c>
      <c r="D1312" s="895">
        <v>136.12</v>
      </c>
    </row>
    <row r="1313" spans="1:4" x14ac:dyDescent="0.2">
      <c r="A1313" s="895">
        <v>70200</v>
      </c>
      <c r="B1313" s="895" t="s">
        <v>19509</v>
      </c>
      <c r="C1313" s="895" t="s">
        <v>18269</v>
      </c>
      <c r="D1313" s="895" t="s">
        <v>18269</v>
      </c>
    </row>
    <row r="1314" spans="1:4" x14ac:dyDescent="0.2">
      <c r="A1314" s="895">
        <v>70202</v>
      </c>
      <c r="B1314" s="895" t="s">
        <v>19510</v>
      </c>
      <c r="C1314" s="895" t="s">
        <v>226</v>
      </c>
      <c r="D1314" s="895">
        <v>387.99</v>
      </c>
    </row>
    <row r="1315" spans="1:4" x14ac:dyDescent="0.2">
      <c r="A1315" s="895">
        <v>70208</v>
      </c>
      <c r="B1315" s="895" t="s">
        <v>19511</v>
      </c>
      <c r="C1315" s="895" t="s">
        <v>226</v>
      </c>
      <c r="D1315" s="895">
        <v>305.70999999999998</v>
      </c>
    </row>
    <row r="1316" spans="1:4" x14ac:dyDescent="0.2">
      <c r="A1316" s="895">
        <v>70210</v>
      </c>
      <c r="B1316" s="895" t="s">
        <v>19512</v>
      </c>
      <c r="C1316" s="895" t="s">
        <v>226</v>
      </c>
      <c r="D1316" s="895">
        <v>151.35</v>
      </c>
    </row>
    <row r="1317" spans="1:4" x14ac:dyDescent="0.2">
      <c r="A1317" s="895">
        <v>70212</v>
      </c>
      <c r="B1317" s="895" t="s">
        <v>19513</v>
      </c>
      <c r="C1317" s="895" t="s">
        <v>226</v>
      </c>
      <c r="D1317" s="895">
        <v>295.67</v>
      </c>
    </row>
    <row r="1318" spans="1:4" x14ac:dyDescent="0.2">
      <c r="A1318" s="895">
        <v>70216</v>
      </c>
      <c r="B1318" s="895" t="s">
        <v>19514</v>
      </c>
      <c r="C1318" s="895" t="s">
        <v>226</v>
      </c>
      <c r="D1318" s="895">
        <v>252.52</v>
      </c>
    </row>
    <row r="1319" spans="1:4" x14ac:dyDescent="0.2">
      <c r="A1319" s="895">
        <v>70219</v>
      </c>
      <c r="B1319" s="895" t="s">
        <v>19515</v>
      </c>
      <c r="C1319" s="895" t="s">
        <v>226</v>
      </c>
      <c r="D1319" s="895">
        <v>140.01</v>
      </c>
    </row>
    <row r="1320" spans="1:4" x14ac:dyDescent="0.2">
      <c r="A1320" s="895">
        <v>70231</v>
      </c>
      <c r="B1320" s="895" t="s">
        <v>19516</v>
      </c>
      <c r="C1320" s="895" t="s">
        <v>226</v>
      </c>
      <c r="D1320" s="895">
        <v>242.45</v>
      </c>
    </row>
    <row r="1321" spans="1:4" x14ac:dyDescent="0.2">
      <c r="A1321" s="895">
        <v>70240</v>
      </c>
      <c r="B1321" s="895" t="s">
        <v>19517</v>
      </c>
      <c r="C1321" s="895" t="s">
        <v>19518</v>
      </c>
      <c r="D1321" s="895">
        <v>134.22999999999999</v>
      </c>
    </row>
    <row r="1322" spans="1:4" x14ac:dyDescent="0.2">
      <c r="A1322" s="895">
        <v>70250</v>
      </c>
      <c r="B1322" s="895" t="s">
        <v>19519</v>
      </c>
      <c r="C1322" s="895" t="s">
        <v>226</v>
      </c>
      <c r="D1322" s="895">
        <v>176.07</v>
      </c>
    </row>
    <row r="1323" spans="1:4" x14ac:dyDescent="0.2">
      <c r="A1323" s="895">
        <v>70251</v>
      </c>
      <c r="B1323" s="895" t="s">
        <v>19520</v>
      </c>
      <c r="C1323" s="895" t="s">
        <v>226</v>
      </c>
      <c r="D1323" s="895">
        <v>256.05</v>
      </c>
    </row>
    <row r="1324" spans="1:4" x14ac:dyDescent="0.2">
      <c r="A1324" s="895">
        <v>70252</v>
      </c>
      <c r="B1324" s="895" t="s">
        <v>19521</v>
      </c>
      <c r="C1324" s="895" t="s">
        <v>226</v>
      </c>
      <c r="D1324" s="895">
        <v>162.22</v>
      </c>
    </row>
    <row r="1325" spans="1:4" x14ac:dyDescent="0.2">
      <c r="A1325" s="895">
        <v>70264</v>
      </c>
      <c r="B1325" s="895" t="s">
        <v>19522</v>
      </c>
      <c r="C1325" s="895" t="s">
        <v>226</v>
      </c>
      <c r="D1325" s="895">
        <v>260.2</v>
      </c>
    </row>
    <row r="1326" spans="1:4" x14ac:dyDescent="0.2">
      <c r="A1326" s="895">
        <v>70265</v>
      </c>
      <c r="B1326" s="895" t="s">
        <v>19523</v>
      </c>
      <c r="C1326" s="895" t="s">
        <v>226</v>
      </c>
      <c r="D1326" s="895">
        <v>311</v>
      </c>
    </row>
    <row r="1327" spans="1:4" x14ac:dyDescent="0.2">
      <c r="A1327" s="895">
        <v>70266</v>
      </c>
      <c r="B1327" s="895" t="s">
        <v>19524</v>
      </c>
      <c r="C1327" s="895" t="s">
        <v>226</v>
      </c>
      <c r="D1327" s="895">
        <v>511.41</v>
      </c>
    </row>
    <row r="1328" spans="1:4" x14ac:dyDescent="0.2">
      <c r="A1328" s="895">
        <v>70273</v>
      </c>
      <c r="B1328" s="895" t="s">
        <v>19525</v>
      </c>
      <c r="C1328" s="895" t="s">
        <v>226</v>
      </c>
      <c r="D1328" s="895">
        <v>32.03</v>
      </c>
    </row>
    <row r="1329" spans="1:4" x14ac:dyDescent="0.2">
      <c r="A1329" s="895">
        <v>70280</v>
      </c>
      <c r="B1329" s="895" t="s">
        <v>19526</v>
      </c>
      <c r="C1329" s="895" t="s">
        <v>226</v>
      </c>
      <c r="D1329" s="895">
        <v>11.62</v>
      </c>
    </row>
    <row r="1330" spans="1:4" x14ac:dyDescent="0.2">
      <c r="A1330" s="895">
        <v>70281</v>
      </c>
      <c r="B1330" s="895" t="s">
        <v>19527</v>
      </c>
      <c r="C1330" s="895" t="s">
        <v>226</v>
      </c>
      <c r="D1330" s="895">
        <v>16.329999999999998</v>
      </c>
    </row>
    <row r="1331" spans="1:4" x14ac:dyDescent="0.2">
      <c r="A1331" s="895">
        <v>70290</v>
      </c>
      <c r="B1331" s="895" t="s">
        <v>19528</v>
      </c>
      <c r="C1331" s="895" t="s">
        <v>226</v>
      </c>
      <c r="D1331" s="895">
        <v>916.06</v>
      </c>
    </row>
    <row r="1332" spans="1:4" x14ac:dyDescent="0.2">
      <c r="A1332" s="895">
        <v>70295</v>
      </c>
      <c r="B1332" s="895" t="s">
        <v>19529</v>
      </c>
      <c r="C1332" s="895" t="s">
        <v>226</v>
      </c>
      <c r="D1332" s="895">
        <v>55.52</v>
      </c>
    </row>
    <row r="1333" spans="1:4" x14ac:dyDescent="0.2">
      <c r="A1333" s="895">
        <v>70300</v>
      </c>
      <c r="B1333" s="895" t="s">
        <v>19530</v>
      </c>
      <c r="C1333" s="895" t="s">
        <v>18269</v>
      </c>
      <c r="D1333" s="895" t="s">
        <v>18269</v>
      </c>
    </row>
    <row r="1334" spans="1:4" x14ac:dyDescent="0.2">
      <c r="A1334" s="895">
        <v>70301</v>
      </c>
      <c r="B1334" s="895" t="s">
        <v>19531</v>
      </c>
      <c r="C1334" s="895" t="s">
        <v>226</v>
      </c>
      <c r="D1334" s="895">
        <v>1436.74</v>
      </c>
    </row>
    <row r="1335" spans="1:4" x14ac:dyDescent="0.2">
      <c r="A1335" s="895">
        <v>70302</v>
      </c>
      <c r="B1335" s="895" t="s">
        <v>19532</v>
      </c>
      <c r="C1335" s="895" t="s">
        <v>226</v>
      </c>
      <c r="D1335" s="895">
        <v>1527.36</v>
      </c>
    </row>
    <row r="1336" spans="1:4" x14ac:dyDescent="0.2">
      <c r="A1336" s="895">
        <v>70303</v>
      </c>
      <c r="B1336" s="895" t="s">
        <v>19533</v>
      </c>
      <c r="C1336" s="895" t="s">
        <v>226</v>
      </c>
      <c r="D1336" s="895">
        <v>1609.03</v>
      </c>
    </row>
    <row r="1337" spans="1:4" x14ac:dyDescent="0.2">
      <c r="A1337" s="895">
        <v>70304</v>
      </c>
      <c r="B1337" s="895" t="s">
        <v>19534</v>
      </c>
      <c r="C1337" s="895" t="s">
        <v>226</v>
      </c>
      <c r="D1337" s="895">
        <v>1797.17</v>
      </c>
    </row>
    <row r="1338" spans="1:4" x14ac:dyDescent="0.2">
      <c r="A1338" s="895">
        <v>70305</v>
      </c>
      <c r="B1338" s="895" t="s">
        <v>19535</v>
      </c>
      <c r="C1338" s="895" t="s">
        <v>226</v>
      </c>
      <c r="D1338" s="895">
        <v>2060.7600000000002</v>
      </c>
    </row>
    <row r="1339" spans="1:4" x14ac:dyDescent="0.2">
      <c r="A1339" s="895">
        <v>70322</v>
      </c>
      <c r="B1339" s="895" t="s">
        <v>19536</v>
      </c>
      <c r="C1339" s="895" t="s">
        <v>226</v>
      </c>
      <c r="D1339" s="895">
        <v>1224.25</v>
      </c>
    </row>
    <row r="1340" spans="1:4" x14ac:dyDescent="0.2">
      <c r="A1340" s="895">
        <v>70900</v>
      </c>
      <c r="B1340" s="895" t="s">
        <v>19537</v>
      </c>
      <c r="C1340" s="895" t="s">
        <v>18269</v>
      </c>
      <c r="D1340" s="895" t="s">
        <v>18269</v>
      </c>
    </row>
    <row r="1341" spans="1:4" x14ac:dyDescent="0.2">
      <c r="A1341" s="895">
        <v>70910</v>
      </c>
      <c r="B1341" s="895" t="s">
        <v>19538</v>
      </c>
      <c r="C1341" s="895" t="s">
        <v>227</v>
      </c>
      <c r="D1341" s="895">
        <v>1291.82</v>
      </c>
    </row>
    <row r="1342" spans="1:4" x14ac:dyDescent="0.2">
      <c r="A1342" s="895">
        <v>70912</v>
      </c>
      <c r="B1342" s="895" t="s">
        <v>19539</v>
      </c>
      <c r="C1342" s="895" t="s">
        <v>227</v>
      </c>
      <c r="D1342" s="895">
        <v>502.04</v>
      </c>
    </row>
    <row r="1343" spans="1:4" x14ac:dyDescent="0.2">
      <c r="A1343" s="895">
        <v>70914</v>
      </c>
      <c r="B1343" s="895" t="s">
        <v>19540</v>
      </c>
      <c r="C1343" s="895" t="s">
        <v>227</v>
      </c>
      <c r="D1343" s="895">
        <v>1726.47</v>
      </c>
    </row>
    <row r="1344" spans="1:4" x14ac:dyDescent="0.2">
      <c r="A1344" s="895">
        <v>70918</v>
      </c>
      <c r="B1344" s="895" t="s">
        <v>19541</v>
      </c>
      <c r="C1344" s="895" t="s">
        <v>227</v>
      </c>
      <c r="D1344" s="895">
        <v>124.53</v>
      </c>
    </row>
    <row r="1345" spans="1:4" x14ac:dyDescent="0.2">
      <c r="A1345" s="895">
        <v>70919</v>
      </c>
      <c r="B1345" s="895" t="s">
        <v>19542</v>
      </c>
      <c r="C1345" s="895" t="s">
        <v>227</v>
      </c>
      <c r="D1345" s="895">
        <v>281.64</v>
      </c>
    </row>
    <row r="1346" spans="1:4" x14ac:dyDescent="0.2">
      <c r="A1346" s="895">
        <v>70920</v>
      </c>
      <c r="B1346" s="895" t="s">
        <v>19543</v>
      </c>
      <c r="C1346" s="895" t="s">
        <v>227</v>
      </c>
      <c r="D1346" s="895">
        <v>434.65</v>
      </c>
    </row>
    <row r="1347" spans="1:4" x14ac:dyDescent="0.2">
      <c r="A1347" s="895">
        <v>70925</v>
      </c>
      <c r="B1347" s="895" t="s">
        <v>19544</v>
      </c>
      <c r="C1347" s="895" t="s">
        <v>227</v>
      </c>
      <c r="D1347" s="895">
        <v>104.25</v>
      </c>
    </row>
    <row r="1348" spans="1:4" x14ac:dyDescent="0.2">
      <c r="A1348" s="895">
        <v>70926</v>
      </c>
      <c r="B1348" s="895" t="s">
        <v>19545</v>
      </c>
      <c r="C1348" s="895" t="s">
        <v>227</v>
      </c>
      <c r="D1348" s="895">
        <v>261.37</v>
      </c>
    </row>
    <row r="1349" spans="1:4" x14ac:dyDescent="0.2">
      <c r="A1349" s="895">
        <v>70927</v>
      </c>
      <c r="B1349" s="895" t="s">
        <v>19546</v>
      </c>
      <c r="C1349" s="895" t="s">
        <v>227</v>
      </c>
      <c r="D1349" s="895">
        <v>414.38</v>
      </c>
    </row>
    <row r="1350" spans="1:4" x14ac:dyDescent="0.2">
      <c r="A1350" s="895">
        <v>70930</v>
      </c>
      <c r="B1350" s="895" t="s">
        <v>19547</v>
      </c>
      <c r="C1350" s="895" t="s">
        <v>226</v>
      </c>
      <c r="D1350" s="895">
        <v>51.76</v>
      </c>
    </row>
    <row r="1351" spans="1:4" x14ac:dyDescent="0.2">
      <c r="A1351" s="895">
        <v>70931</v>
      </c>
      <c r="B1351" s="895" t="s">
        <v>19548</v>
      </c>
      <c r="C1351" s="895" t="s">
        <v>226</v>
      </c>
      <c r="D1351" s="895">
        <v>101.57</v>
      </c>
    </row>
    <row r="1352" spans="1:4" x14ac:dyDescent="0.2">
      <c r="A1352" s="895">
        <v>70932</v>
      </c>
      <c r="B1352" s="895" t="s">
        <v>19549</v>
      </c>
      <c r="C1352" s="895" t="s">
        <v>226</v>
      </c>
      <c r="D1352" s="895">
        <v>191.02</v>
      </c>
    </row>
    <row r="1353" spans="1:4" x14ac:dyDescent="0.2">
      <c r="A1353" s="895">
        <v>71000</v>
      </c>
      <c r="B1353" s="895" t="s">
        <v>19537</v>
      </c>
      <c r="C1353" s="895" t="s">
        <v>18269</v>
      </c>
      <c r="D1353" s="895" t="s">
        <v>18269</v>
      </c>
    </row>
    <row r="1354" spans="1:4" x14ac:dyDescent="0.2">
      <c r="A1354" s="895">
        <v>71013</v>
      </c>
      <c r="B1354" s="895" t="s">
        <v>19550</v>
      </c>
      <c r="C1354" s="895" t="s">
        <v>226</v>
      </c>
      <c r="D1354" s="895">
        <v>2226.7800000000002</v>
      </c>
    </row>
    <row r="1355" spans="1:4" x14ac:dyDescent="0.2">
      <c r="A1355" s="895">
        <v>71014</v>
      </c>
      <c r="B1355" s="895" t="s">
        <v>19551</v>
      </c>
      <c r="C1355" s="895" t="s">
        <v>226</v>
      </c>
      <c r="D1355" s="895">
        <v>2704.49</v>
      </c>
    </row>
    <row r="1356" spans="1:4" x14ac:dyDescent="0.2">
      <c r="A1356" s="895">
        <v>71015</v>
      </c>
      <c r="B1356" s="895" t="s">
        <v>19552</v>
      </c>
      <c r="C1356" s="895" t="s">
        <v>226</v>
      </c>
      <c r="D1356" s="895">
        <v>2577.62</v>
      </c>
    </row>
    <row r="1357" spans="1:4" x14ac:dyDescent="0.2">
      <c r="A1357" s="895">
        <v>71020</v>
      </c>
      <c r="B1357" s="895" t="s">
        <v>19553</v>
      </c>
      <c r="C1357" s="895" t="s">
        <v>158</v>
      </c>
      <c r="D1357" s="895">
        <v>416.63</v>
      </c>
    </row>
    <row r="1358" spans="1:4" x14ac:dyDescent="0.2">
      <c r="A1358" s="895">
        <v>72010</v>
      </c>
      <c r="B1358" s="895" t="s">
        <v>19554</v>
      </c>
      <c r="C1358" s="895" t="s">
        <v>158</v>
      </c>
      <c r="D1358" s="895">
        <v>183.45</v>
      </c>
    </row>
    <row r="1359" spans="1:4" x14ac:dyDescent="0.2">
      <c r="A1359" s="895">
        <v>76000</v>
      </c>
      <c r="B1359" s="895" t="s">
        <v>19341</v>
      </c>
      <c r="C1359" s="895" t="s">
        <v>18269</v>
      </c>
      <c r="D1359" s="895" t="s">
        <v>18269</v>
      </c>
    </row>
    <row r="1360" spans="1:4" x14ac:dyDescent="0.2">
      <c r="A1360" s="895">
        <v>76001</v>
      </c>
      <c r="B1360" s="895" t="s">
        <v>19555</v>
      </c>
      <c r="C1360" s="895" t="s">
        <v>226</v>
      </c>
      <c r="D1360" s="895">
        <v>13.57</v>
      </c>
    </row>
    <row r="1361" spans="1:4" x14ac:dyDescent="0.2">
      <c r="A1361" s="895">
        <v>76002</v>
      </c>
      <c r="B1361" s="895" t="s">
        <v>19556</v>
      </c>
      <c r="C1361" s="895" t="s">
        <v>226</v>
      </c>
      <c r="D1361" s="895">
        <v>58.87</v>
      </c>
    </row>
    <row r="1362" spans="1:4" x14ac:dyDescent="0.2">
      <c r="A1362" s="895">
        <v>76008</v>
      </c>
      <c r="B1362" s="895" t="s">
        <v>19557</v>
      </c>
      <c r="C1362" s="895" t="s">
        <v>158</v>
      </c>
      <c r="D1362" s="895">
        <v>1.9</v>
      </c>
    </row>
    <row r="1363" spans="1:4" x14ac:dyDescent="0.2">
      <c r="A1363" s="895">
        <v>76010</v>
      </c>
      <c r="B1363" s="895" t="s">
        <v>19558</v>
      </c>
      <c r="C1363" s="895" t="s">
        <v>226</v>
      </c>
      <c r="D1363" s="895">
        <v>58.87</v>
      </c>
    </row>
    <row r="1364" spans="1:4" x14ac:dyDescent="0.2">
      <c r="A1364" s="895">
        <v>76050</v>
      </c>
      <c r="B1364" s="895" t="s">
        <v>19559</v>
      </c>
      <c r="C1364" s="895" t="s">
        <v>226</v>
      </c>
      <c r="D1364" s="895">
        <v>13.57</v>
      </c>
    </row>
    <row r="1365" spans="1:4" x14ac:dyDescent="0.2">
      <c r="A1365" s="895">
        <v>76051</v>
      </c>
      <c r="B1365" s="895" t="s">
        <v>19560</v>
      </c>
      <c r="C1365" s="895" t="s">
        <v>226</v>
      </c>
      <c r="D1365" s="895">
        <v>5.43</v>
      </c>
    </row>
    <row r="1366" spans="1:4" x14ac:dyDescent="0.2">
      <c r="A1366" s="895">
        <v>76065</v>
      </c>
      <c r="B1366" s="895" t="s">
        <v>19561</v>
      </c>
      <c r="C1366" s="895" t="s">
        <v>19562</v>
      </c>
      <c r="D1366" s="895">
        <v>7.33</v>
      </c>
    </row>
    <row r="1367" spans="1:4" x14ac:dyDescent="0.2">
      <c r="A1367" s="895">
        <v>76066</v>
      </c>
      <c r="B1367" s="895" t="s">
        <v>19563</v>
      </c>
      <c r="C1367" s="895" t="s">
        <v>19562</v>
      </c>
      <c r="D1367" s="895">
        <v>4.6100000000000003</v>
      </c>
    </row>
    <row r="1368" spans="1:4" x14ac:dyDescent="0.2">
      <c r="A1368" s="895">
        <v>76067</v>
      </c>
      <c r="B1368" s="895" t="s">
        <v>19564</v>
      </c>
      <c r="C1368" s="895" t="s">
        <v>19562</v>
      </c>
      <c r="D1368" s="895">
        <v>4.6100000000000003</v>
      </c>
    </row>
    <row r="1369" spans="1:4" x14ac:dyDescent="0.2">
      <c r="A1369" s="895">
        <v>76068</v>
      </c>
      <c r="B1369" s="895" t="s">
        <v>19565</v>
      </c>
      <c r="C1369" s="895" t="s">
        <v>226</v>
      </c>
      <c r="D1369" s="895">
        <v>3.66</v>
      </c>
    </row>
    <row r="1370" spans="1:4" x14ac:dyDescent="0.2">
      <c r="A1370" s="895">
        <v>76070</v>
      </c>
      <c r="B1370" s="895" t="s">
        <v>19566</v>
      </c>
      <c r="C1370" s="895" t="s">
        <v>226</v>
      </c>
      <c r="D1370" s="895">
        <v>5.43</v>
      </c>
    </row>
    <row r="1371" spans="1:4" x14ac:dyDescent="0.2">
      <c r="A1371" s="895">
        <v>77000</v>
      </c>
      <c r="B1371" s="895" t="s">
        <v>19348</v>
      </c>
      <c r="C1371" s="895" t="s">
        <v>18269</v>
      </c>
      <c r="D1371" s="895" t="s">
        <v>18269</v>
      </c>
    </row>
    <row r="1372" spans="1:4" x14ac:dyDescent="0.2">
      <c r="A1372" s="895">
        <v>77001</v>
      </c>
      <c r="B1372" s="895" t="s">
        <v>19567</v>
      </c>
      <c r="C1372" s="895" t="s">
        <v>226</v>
      </c>
      <c r="D1372" s="895">
        <v>108.1</v>
      </c>
    </row>
    <row r="1373" spans="1:4" x14ac:dyDescent="0.2">
      <c r="A1373" s="895">
        <v>77002</v>
      </c>
      <c r="B1373" s="895" t="s">
        <v>19568</v>
      </c>
      <c r="C1373" s="895" t="s">
        <v>226</v>
      </c>
      <c r="D1373" s="895">
        <v>67.06</v>
      </c>
    </row>
    <row r="1374" spans="1:4" x14ac:dyDescent="0.2">
      <c r="A1374" s="895">
        <v>77008</v>
      </c>
      <c r="B1374" s="895" t="s">
        <v>19569</v>
      </c>
      <c r="C1374" s="895" t="s">
        <v>158</v>
      </c>
      <c r="D1374" s="895">
        <v>2.46</v>
      </c>
    </row>
    <row r="1375" spans="1:4" x14ac:dyDescent="0.2">
      <c r="A1375" s="895">
        <v>77010</v>
      </c>
      <c r="B1375" s="895" t="s">
        <v>19570</v>
      </c>
      <c r="C1375" s="895" t="s">
        <v>226</v>
      </c>
      <c r="D1375" s="895">
        <v>93.31</v>
      </c>
    </row>
    <row r="1376" spans="1:4" x14ac:dyDescent="0.2">
      <c r="A1376" s="895">
        <v>77050</v>
      </c>
      <c r="B1376" s="895" t="s">
        <v>19571</v>
      </c>
      <c r="C1376" s="895" t="s">
        <v>226</v>
      </c>
      <c r="D1376" s="895">
        <v>43.16</v>
      </c>
    </row>
    <row r="1377" spans="1:4" x14ac:dyDescent="0.2">
      <c r="A1377" s="895">
        <v>77051</v>
      </c>
      <c r="B1377" s="895" t="s">
        <v>19572</v>
      </c>
      <c r="C1377" s="895" t="s">
        <v>226</v>
      </c>
      <c r="D1377" s="895">
        <v>21.72</v>
      </c>
    </row>
    <row r="1378" spans="1:4" x14ac:dyDescent="0.2">
      <c r="A1378" s="895">
        <v>77065</v>
      </c>
      <c r="B1378" s="895" t="s">
        <v>19573</v>
      </c>
      <c r="C1378" s="895" t="s">
        <v>19562</v>
      </c>
      <c r="D1378" s="895">
        <v>4.6100000000000003</v>
      </c>
    </row>
    <row r="1379" spans="1:4" x14ac:dyDescent="0.2">
      <c r="A1379" s="895">
        <v>77066</v>
      </c>
      <c r="B1379" s="895" t="s">
        <v>19574</v>
      </c>
      <c r="C1379" s="895" t="s">
        <v>19562</v>
      </c>
      <c r="D1379" s="895">
        <v>4.6100000000000003</v>
      </c>
    </row>
    <row r="1380" spans="1:4" x14ac:dyDescent="0.2">
      <c r="A1380" s="895">
        <v>77067</v>
      </c>
      <c r="B1380" s="895" t="s">
        <v>19575</v>
      </c>
      <c r="C1380" s="895" t="s">
        <v>19562</v>
      </c>
      <c r="D1380" s="895">
        <v>4.6100000000000003</v>
      </c>
    </row>
    <row r="1381" spans="1:4" x14ac:dyDescent="0.2">
      <c r="A1381" s="895">
        <v>77068</v>
      </c>
      <c r="B1381" s="895" t="s">
        <v>19576</v>
      </c>
      <c r="C1381" s="895" t="s">
        <v>226</v>
      </c>
      <c r="D1381" s="895">
        <v>3.39</v>
      </c>
    </row>
    <row r="1382" spans="1:4" x14ac:dyDescent="0.2">
      <c r="A1382" s="895">
        <v>77070</v>
      </c>
      <c r="B1382" s="895" t="s">
        <v>19577</v>
      </c>
      <c r="C1382" s="895" t="s">
        <v>226</v>
      </c>
      <c r="D1382" s="895">
        <v>4.6100000000000003</v>
      </c>
    </row>
    <row r="1383" spans="1:4" x14ac:dyDescent="0.2">
      <c r="A1383" s="895">
        <v>78000</v>
      </c>
      <c r="B1383" s="895" t="s">
        <v>19393</v>
      </c>
      <c r="C1383" s="895" t="s">
        <v>18269</v>
      </c>
      <c r="D1383" s="895" t="s">
        <v>18269</v>
      </c>
    </row>
    <row r="1384" spans="1:4" x14ac:dyDescent="0.2">
      <c r="A1384" s="895">
        <v>78001</v>
      </c>
      <c r="B1384" s="895" t="s">
        <v>19578</v>
      </c>
      <c r="C1384" s="895" t="s">
        <v>158</v>
      </c>
      <c r="D1384" s="895">
        <v>11.12</v>
      </c>
    </row>
    <row r="1385" spans="1:4" x14ac:dyDescent="0.2">
      <c r="A1385" s="895">
        <v>78002</v>
      </c>
      <c r="B1385" s="895" t="s">
        <v>19579</v>
      </c>
      <c r="C1385" s="895" t="s">
        <v>158</v>
      </c>
      <c r="D1385" s="895">
        <v>13.28</v>
      </c>
    </row>
    <row r="1386" spans="1:4" x14ac:dyDescent="0.2">
      <c r="A1386" s="895">
        <v>78003</v>
      </c>
      <c r="B1386" s="895" t="s">
        <v>19580</v>
      </c>
      <c r="C1386" s="895" t="s">
        <v>158</v>
      </c>
      <c r="D1386" s="895">
        <v>16.93</v>
      </c>
    </row>
    <row r="1387" spans="1:4" x14ac:dyDescent="0.2">
      <c r="A1387" s="895">
        <v>78004</v>
      </c>
      <c r="B1387" s="895" t="s">
        <v>19581</v>
      </c>
      <c r="C1387" s="895" t="s">
        <v>158</v>
      </c>
      <c r="D1387" s="895">
        <v>63.75</v>
      </c>
    </row>
    <row r="1388" spans="1:4" x14ac:dyDescent="0.2">
      <c r="A1388" s="895">
        <v>78010</v>
      </c>
      <c r="B1388" s="895" t="s">
        <v>19582</v>
      </c>
      <c r="C1388" s="895" t="s">
        <v>226</v>
      </c>
      <c r="D1388" s="895">
        <v>378.49</v>
      </c>
    </row>
    <row r="1389" spans="1:4" x14ac:dyDescent="0.2">
      <c r="A1389" s="895">
        <v>78012</v>
      </c>
      <c r="B1389" s="895" t="s">
        <v>19583</v>
      </c>
      <c r="C1389" s="895" t="s">
        <v>226</v>
      </c>
      <c r="D1389" s="895">
        <v>297.02</v>
      </c>
    </row>
    <row r="1390" spans="1:4" x14ac:dyDescent="0.2">
      <c r="A1390" s="895">
        <v>78013</v>
      </c>
      <c r="B1390" s="895" t="s">
        <v>19584</v>
      </c>
      <c r="C1390" s="895" t="s">
        <v>226</v>
      </c>
      <c r="D1390" s="895">
        <v>138.05000000000001</v>
      </c>
    </row>
    <row r="1391" spans="1:4" x14ac:dyDescent="0.2">
      <c r="A1391" s="895">
        <v>78014</v>
      </c>
      <c r="B1391" s="895" t="s">
        <v>19585</v>
      </c>
      <c r="C1391" s="895" t="s">
        <v>226</v>
      </c>
      <c r="D1391" s="895">
        <v>282.37</v>
      </c>
    </row>
    <row r="1392" spans="1:4" x14ac:dyDescent="0.2">
      <c r="A1392" s="895">
        <v>78015</v>
      </c>
      <c r="B1392" s="895" t="s">
        <v>19586</v>
      </c>
      <c r="C1392" s="895" t="s">
        <v>226</v>
      </c>
      <c r="D1392" s="895">
        <v>243.02</v>
      </c>
    </row>
    <row r="1393" spans="1:4" x14ac:dyDescent="0.2">
      <c r="A1393" s="895">
        <v>78016</v>
      </c>
      <c r="B1393" s="895" t="s">
        <v>19587</v>
      </c>
      <c r="C1393" s="895" t="s">
        <v>226</v>
      </c>
      <c r="D1393" s="895">
        <v>126.71</v>
      </c>
    </row>
    <row r="1394" spans="1:4" x14ac:dyDescent="0.2">
      <c r="A1394" s="895">
        <v>78022</v>
      </c>
      <c r="B1394" s="895" t="s">
        <v>19588</v>
      </c>
      <c r="C1394" s="895" t="s">
        <v>226</v>
      </c>
      <c r="D1394" s="895">
        <v>162.5</v>
      </c>
    </row>
    <row r="1395" spans="1:4" x14ac:dyDescent="0.2">
      <c r="A1395" s="895">
        <v>78035</v>
      </c>
      <c r="B1395" s="895" t="s">
        <v>19589</v>
      </c>
      <c r="C1395" s="895" t="s">
        <v>226</v>
      </c>
      <c r="D1395" s="895">
        <v>146</v>
      </c>
    </row>
    <row r="1396" spans="1:4" x14ac:dyDescent="0.2">
      <c r="A1396" s="895">
        <v>78036</v>
      </c>
      <c r="B1396" s="895" t="s">
        <v>19590</v>
      </c>
      <c r="C1396" s="895" t="s">
        <v>19562</v>
      </c>
      <c r="D1396" s="895">
        <v>98.61</v>
      </c>
    </row>
    <row r="1397" spans="1:4" x14ac:dyDescent="0.2">
      <c r="A1397" s="895">
        <v>78037</v>
      </c>
      <c r="B1397" s="895" t="s">
        <v>19591</v>
      </c>
      <c r="C1397" s="895" t="s">
        <v>19562</v>
      </c>
      <c r="D1397" s="895">
        <v>23.52</v>
      </c>
    </row>
    <row r="1398" spans="1:4" x14ac:dyDescent="0.2">
      <c r="A1398" s="895">
        <v>78050</v>
      </c>
      <c r="B1398" s="895" t="s">
        <v>19592</v>
      </c>
      <c r="C1398" s="895" t="s">
        <v>226</v>
      </c>
      <c r="D1398" s="895">
        <v>29.03</v>
      </c>
    </row>
    <row r="1399" spans="1:4" x14ac:dyDescent="0.2">
      <c r="A1399" s="895">
        <v>80000</v>
      </c>
      <c r="B1399" s="895" t="s">
        <v>19593</v>
      </c>
    </row>
    <row r="1400" spans="1:4" x14ac:dyDescent="0.2">
      <c r="A1400" s="895">
        <v>80100</v>
      </c>
      <c r="B1400" s="895" t="s">
        <v>19594</v>
      </c>
      <c r="C1400" s="895" t="s">
        <v>18269</v>
      </c>
      <c r="D1400" s="895" t="s">
        <v>18269</v>
      </c>
    </row>
    <row r="1401" spans="1:4" x14ac:dyDescent="0.2">
      <c r="A1401" s="895">
        <v>80101</v>
      </c>
      <c r="B1401" s="895" t="s">
        <v>19595</v>
      </c>
      <c r="C1401" s="895" t="s">
        <v>227</v>
      </c>
      <c r="D1401" s="895">
        <v>1558.33</v>
      </c>
    </row>
    <row r="1402" spans="1:4" x14ac:dyDescent="0.2">
      <c r="A1402" s="895">
        <v>80102</v>
      </c>
      <c r="B1402" s="895" t="s">
        <v>19596</v>
      </c>
      <c r="C1402" s="895" t="s">
        <v>227</v>
      </c>
      <c r="D1402" s="895">
        <v>1570.68</v>
      </c>
    </row>
    <row r="1403" spans="1:4" x14ac:dyDescent="0.2">
      <c r="A1403" s="895">
        <v>80104</v>
      </c>
      <c r="B1403" s="895" t="s">
        <v>19597</v>
      </c>
      <c r="C1403" s="895" t="s">
        <v>227</v>
      </c>
      <c r="D1403" s="895">
        <v>1277.06</v>
      </c>
    </row>
    <row r="1404" spans="1:4" x14ac:dyDescent="0.2">
      <c r="A1404" s="895">
        <v>80105</v>
      </c>
      <c r="B1404" s="895" t="s">
        <v>19598</v>
      </c>
      <c r="C1404" s="895" t="s">
        <v>227</v>
      </c>
      <c r="D1404" s="895">
        <v>872.03</v>
      </c>
    </row>
    <row r="1405" spans="1:4" x14ac:dyDescent="0.2">
      <c r="A1405" s="895">
        <v>80106</v>
      </c>
      <c r="B1405" s="895" t="s">
        <v>19599</v>
      </c>
      <c r="C1405" s="895" t="s">
        <v>227</v>
      </c>
      <c r="D1405" s="895">
        <v>955.83</v>
      </c>
    </row>
    <row r="1406" spans="1:4" x14ac:dyDescent="0.2">
      <c r="A1406" s="895">
        <v>80110</v>
      </c>
      <c r="B1406" s="895" t="s">
        <v>19600</v>
      </c>
      <c r="C1406" s="895" t="s">
        <v>226</v>
      </c>
      <c r="D1406" s="895">
        <v>3521.28</v>
      </c>
    </row>
    <row r="1407" spans="1:4" x14ac:dyDescent="0.2">
      <c r="A1407" s="895">
        <v>80119</v>
      </c>
      <c r="B1407" s="895" t="s">
        <v>19601</v>
      </c>
      <c r="C1407" s="895" t="s">
        <v>227</v>
      </c>
      <c r="D1407" s="895">
        <v>908.02</v>
      </c>
    </row>
    <row r="1408" spans="1:4" x14ac:dyDescent="0.2">
      <c r="A1408" s="895">
        <v>80125</v>
      </c>
      <c r="B1408" s="895" t="s">
        <v>19602</v>
      </c>
      <c r="C1408" s="895" t="s">
        <v>227</v>
      </c>
      <c r="D1408" s="895">
        <v>992.81</v>
      </c>
    </row>
    <row r="1409" spans="1:4" x14ac:dyDescent="0.2">
      <c r="A1409" s="895">
        <v>80126</v>
      </c>
      <c r="B1409" s="895" t="s">
        <v>19603</v>
      </c>
      <c r="C1409" s="895" t="s">
        <v>227</v>
      </c>
      <c r="D1409" s="895">
        <v>992.81</v>
      </c>
    </row>
    <row r="1410" spans="1:4" x14ac:dyDescent="0.2">
      <c r="A1410" s="895">
        <v>80139</v>
      </c>
      <c r="B1410" s="895" t="s">
        <v>19604</v>
      </c>
      <c r="C1410" s="895" t="s">
        <v>227</v>
      </c>
      <c r="D1410" s="895">
        <v>988.06</v>
      </c>
    </row>
    <row r="1411" spans="1:4" x14ac:dyDescent="0.2">
      <c r="A1411" s="895">
        <v>80140</v>
      </c>
      <c r="B1411" s="895" t="s">
        <v>19605</v>
      </c>
      <c r="C1411" s="895" t="s">
        <v>227</v>
      </c>
      <c r="D1411" s="895">
        <v>1077.1500000000001</v>
      </c>
    </row>
    <row r="1412" spans="1:4" x14ac:dyDescent="0.2">
      <c r="A1412" s="895">
        <v>80141</v>
      </c>
      <c r="B1412" s="895" t="s">
        <v>19606</v>
      </c>
      <c r="C1412" s="895" t="s">
        <v>227</v>
      </c>
      <c r="D1412" s="895">
        <v>1132.23</v>
      </c>
    </row>
    <row r="1413" spans="1:4" x14ac:dyDescent="0.2">
      <c r="A1413" s="895">
        <v>80145</v>
      </c>
      <c r="B1413" s="895" t="s">
        <v>19607</v>
      </c>
      <c r="C1413" s="895" t="s">
        <v>227</v>
      </c>
      <c r="D1413" s="895">
        <v>1062.5</v>
      </c>
    </row>
    <row r="1414" spans="1:4" x14ac:dyDescent="0.2">
      <c r="A1414" s="895">
        <v>80150</v>
      </c>
      <c r="B1414" s="895" t="s">
        <v>19608</v>
      </c>
      <c r="C1414" s="895" t="s">
        <v>227</v>
      </c>
      <c r="D1414" s="895">
        <v>513.99</v>
      </c>
    </row>
    <row r="1415" spans="1:4" x14ac:dyDescent="0.2">
      <c r="A1415" s="895">
        <v>80151</v>
      </c>
      <c r="B1415" s="895" t="s">
        <v>19609</v>
      </c>
      <c r="C1415" s="895" t="s">
        <v>227</v>
      </c>
      <c r="D1415" s="895">
        <v>485.97</v>
      </c>
    </row>
    <row r="1416" spans="1:4" x14ac:dyDescent="0.2">
      <c r="A1416" s="895">
        <v>80159</v>
      </c>
      <c r="B1416" s="895" t="s">
        <v>19610</v>
      </c>
      <c r="C1416" s="895" t="s">
        <v>158</v>
      </c>
      <c r="D1416" s="895">
        <v>148.16999999999999</v>
      </c>
    </row>
    <row r="1417" spans="1:4" x14ac:dyDescent="0.2">
      <c r="A1417" s="895">
        <v>80161</v>
      </c>
      <c r="B1417" s="895" t="s">
        <v>19611</v>
      </c>
      <c r="C1417" s="895" t="s">
        <v>226</v>
      </c>
      <c r="D1417" s="895">
        <v>180.36</v>
      </c>
    </row>
    <row r="1418" spans="1:4" x14ac:dyDescent="0.2">
      <c r="A1418" s="895">
        <v>80170</v>
      </c>
      <c r="B1418" s="895" t="s">
        <v>19612</v>
      </c>
      <c r="C1418" s="895" t="s">
        <v>158</v>
      </c>
      <c r="D1418" s="895">
        <v>222.4</v>
      </c>
    </row>
    <row r="1419" spans="1:4" x14ac:dyDescent="0.2">
      <c r="A1419" s="895">
        <v>80171</v>
      </c>
      <c r="B1419" s="895" t="s">
        <v>19613</v>
      </c>
      <c r="C1419" s="895" t="s">
        <v>158</v>
      </c>
      <c r="D1419" s="895">
        <v>222.4</v>
      </c>
    </row>
    <row r="1420" spans="1:4" x14ac:dyDescent="0.2">
      <c r="A1420" s="895">
        <v>80174</v>
      </c>
      <c r="B1420" s="895" t="s">
        <v>19614</v>
      </c>
      <c r="C1420" s="895" t="s">
        <v>19499</v>
      </c>
      <c r="D1420" s="895">
        <v>543.75</v>
      </c>
    </row>
    <row r="1421" spans="1:4" x14ac:dyDescent="0.2">
      <c r="A1421" s="895">
        <v>80175</v>
      </c>
      <c r="B1421" s="895" t="s">
        <v>19615</v>
      </c>
      <c r="C1421" s="895" t="s">
        <v>19499</v>
      </c>
      <c r="D1421" s="895">
        <v>660.8</v>
      </c>
    </row>
    <row r="1422" spans="1:4" x14ac:dyDescent="0.2">
      <c r="A1422" s="895">
        <v>80180</v>
      </c>
      <c r="B1422" s="895" t="s">
        <v>19616</v>
      </c>
      <c r="C1422" s="895" t="s">
        <v>19499</v>
      </c>
      <c r="D1422" s="895">
        <v>224.19</v>
      </c>
    </row>
    <row r="1423" spans="1:4" x14ac:dyDescent="0.2">
      <c r="A1423" s="895">
        <v>80186</v>
      </c>
      <c r="B1423" s="895" t="s">
        <v>19617</v>
      </c>
      <c r="C1423" s="895" t="s">
        <v>227</v>
      </c>
      <c r="D1423" s="895">
        <v>570.13</v>
      </c>
    </row>
    <row r="1424" spans="1:4" x14ac:dyDescent="0.2">
      <c r="A1424" s="895">
        <v>80200</v>
      </c>
      <c r="B1424" s="895" t="s">
        <v>19618</v>
      </c>
      <c r="C1424" s="895" t="s">
        <v>18269</v>
      </c>
      <c r="D1424" s="895" t="s">
        <v>18269</v>
      </c>
    </row>
    <row r="1425" spans="1:4" x14ac:dyDescent="0.2">
      <c r="A1425" s="895">
        <v>80201</v>
      </c>
      <c r="B1425" s="895" t="s">
        <v>19619</v>
      </c>
      <c r="C1425" s="895" t="s">
        <v>227</v>
      </c>
      <c r="D1425" s="895">
        <v>570.13</v>
      </c>
    </row>
    <row r="1426" spans="1:4" x14ac:dyDescent="0.2">
      <c r="A1426" s="895">
        <v>80203</v>
      </c>
      <c r="B1426" s="895" t="s">
        <v>19620</v>
      </c>
      <c r="C1426" s="895" t="s">
        <v>227</v>
      </c>
      <c r="D1426" s="895">
        <v>656.12</v>
      </c>
    </row>
    <row r="1427" spans="1:4" x14ac:dyDescent="0.2">
      <c r="A1427" s="895">
        <v>80205</v>
      </c>
      <c r="B1427" s="895" t="s">
        <v>19621</v>
      </c>
      <c r="C1427" s="895" t="s">
        <v>227</v>
      </c>
      <c r="D1427" s="895">
        <v>1371.05</v>
      </c>
    </row>
    <row r="1428" spans="1:4" x14ac:dyDescent="0.2">
      <c r="A1428" s="895">
        <v>80209</v>
      </c>
      <c r="B1428" s="895" t="s">
        <v>19622</v>
      </c>
      <c r="C1428" s="895" t="s">
        <v>227</v>
      </c>
      <c r="D1428" s="895">
        <v>1032.03</v>
      </c>
    </row>
    <row r="1429" spans="1:4" x14ac:dyDescent="0.2">
      <c r="A1429" s="895">
        <v>80213</v>
      </c>
      <c r="B1429" s="895" t="s">
        <v>19623</v>
      </c>
      <c r="C1429" s="895" t="s">
        <v>227</v>
      </c>
      <c r="D1429" s="895">
        <v>1046.92</v>
      </c>
    </row>
    <row r="1430" spans="1:4" x14ac:dyDescent="0.2">
      <c r="A1430" s="895">
        <v>80217</v>
      </c>
      <c r="B1430" s="895" t="s">
        <v>19624</v>
      </c>
      <c r="C1430" s="895" t="s">
        <v>227</v>
      </c>
      <c r="D1430" s="895">
        <v>783.4</v>
      </c>
    </row>
    <row r="1431" spans="1:4" x14ac:dyDescent="0.2">
      <c r="A1431" s="895">
        <v>80237</v>
      </c>
      <c r="B1431" s="895" t="s">
        <v>19625</v>
      </c>
      <c r="C1431" s="895" t="s">
        <v>227</v>
      </c>
      <c r="D1431" s="895">
        <v>1187.94</v>
      </c>
    </row>
    <row r="1432" spans="1:4" x14ac:dyDescent="0.2">
      <c r="A1432" s="895">
        <v>80243</v>
      </c>
      <c r="B1432" s="895" t="s">
        <v>19626</v>
      </c>
      <c r="C1432" s="895" t="s">
        <v>227</v>
      </c>
      <c r="D1432" s="895">
        <v>1065.97</v>
      </c>
    </row>
    <row r="1433" spans="1:4" x14ac:dyDescent="0.2">
      <c r="A1433" s="895">
        <v>80251</v>
      </c>
      <c r="B1433" s="895" t="s">
        <v>19627</v>
      </c>
      <c r="C1433" s="895" t="s">
        <v>227</v>
      </c>
      <c r="D1433" s="895">
        <v>748.08</v>
      </c>
    </row>
    <row r="1434" spans="1:4" x14ac:dyDescent="0.2">
      <c r="A1434" s="895">
        <v>80253</v>
      </c>
      <c r="B1434" s="895" t="s">
        <v>19628</v>
      </c>
      <c r="C1434" s="895" t="s">
        <v>227</v>
      </c>
      <c r="D1434" s="895">
        <v>881.98</v>
      </c>
    </row>
    <row r="1435" spans="1:4" x14ac:dyDescent="0.2">
      <c r="A1435" s="895">
        <v>80254</v>
      </c>
      <c r="B1435" s="895" t="s">
        <v>19629</v>
      </c>
      <c r="C1435" s="895" t="s">
        <v>227</v>
      </c>
      <c r="D1435" s="895">
        <v>1366.06</v>
      </c>
    </row>
    <row r="1436" spans="1:4" x14ac:dyDescent="0.2">
      <c r="A1436" s="895">
        <v>80258</v>
      </c>
      <c r="B1436" s="895" t="s">
        <v>19630</v>
      </c>
      <c r="C1436" s="895" t="s">
        <v>227</v>
      </c>
      <c r="D1436" s="895">
        <v>1025.94</v>
      </c>
    </row>
    <row r="1437" spans="1:4" x14ac:dyDescent="0.2">
      <c r="A1437" s="895">
        <v>80262</v>
      </c>
      <c r="B1437" s="895" t="s">
        <v>19631</v>
      </c>
      <c r="C1437" s="895" t="s">
        <v>227</v>
      </c>
      <c r="D1437" s="895">
        <v>1332.71</v>
      </c>
    </row>
    <row r="1438" spans="1:4" x14ac:dyDescent="0.2">
      <c r="A1438" s="895">
        <v>80266</v>
      </c>
      <c r="B1438" s="895" t="s">
        <v>19632</v>
      </c>
      <c r="C1438" s="895" t="s">
        <v>227</v>
      </c>
      <c r="D1438" s="895">
        <v>1079.8699999999999</v>
      </c>
    </row>
    <row r="1439" spans="1:4" x14ac:dyDescent="0.2">
      <c r="A1439" s="895">
        <v>80274</v>
      </c>
      <c r="B1439" s="895" t="s">
        <v>19633</v>
      </c>
      <c r="C1439" s="895" t="s">
        <v>227</v>
      </c>
      <c r="D1439" s="895">
        <v>159.11000000000001</v>
      </c>
    </row>
    <row r="1440" spans="1:4" x14ac:dyDescent="0.2">
      <c r="A1440" s="895">
        <v>80275</v>
      </c>
      <c r="B1440" s="895" t="s">
        <v>19634</v>
      </c>
      <c r="C1440" s="895" t="s">
        <v>227</v>
      </c>
      <c r="D1440" s="895">
        <v>164.09</v>
      </c>
    </row>
    <row r="1441" spans="1:4" x14ac:dyDescent="0.2">
      <c r="A1441" s="895">
        <v>80276</v>
      </c>
      <c r="B1441" s="895" t="s">
        <v>19635</v>
      </c>
      <c r="C1441" s="895" t="s">
        <v>227</v>
      </c>
      <c r="D1441" s="895">
        <v>379.58</v>
      </c>
    </row>
    <row r="1442" spans="1:4" x14ac:dyDescent="0.2">
      <c r="A1442" s="895">
        <v>80280</v>
      </c>
      <c r="B1442" s="895" t="s">
        <v>19636</v>
      </c>
      <c r="C1442" s="895" t="s">
        <v>227</v>
      </c>
      <c r="D1442" s="895">
        <v>302.35000000000002</v>
      </c>
    </row>
    <row r="1443" spans="1:4" x14ac:dyDescent="0.2">
      <c r="A1443" s="895">
        <v>80281</v>
      </c>
      <c r="B1443" s="895" t="s">
        <v>19637</v>
      </c>
      <c r="C1443" s="895" t="s">
        <v>227</v>
      </c>
      <c r="D1443" s="895">
        <v>196.9</v>
      </c>
    </row>
    <row r="1444" spans="1:4" x14ac:dyDescent="0.2">
      <c r="A1444" s="895">
        <v>80300</v>
      </c>
      <c r="B1444" s="895" t="s">
        <v>19638</v>
      </c>
      <c r="C1444" s="895" t="s">
        <v>18269</v>
      </c>
      <c r="D1444" s="895" t="s">
        <v>18269</v>
      </c>
    </row>
    <row r="1445" spans="1:4" x14ac:dyDescent="0.2">
      <c r="A1445" s="895">
        <v>80301</v>
      </c>
      <c r="B1445" s="895" t="s">
        <v>19639</v>
      </c>
      <c r="C1445" s="895" t="s">
        <v>227</v>
      </c>
      <c r="D1445" s="895">
        <v>992.56</v>
      </c>
    </row>
    <row r="1446" spans="1:4" x14ac:dyDescent="0.2">
      <c r="A1446" s="895">
        <v>80305</v>
      </c>
      <c r="B1446" s="895" t="s">
        <v>19640</v>
      </c>
      <c r="C1446" s="895" t="s">
        <v>227</v>
      </c>
      <c r="D1446" s="895">
        <v>542.16999999999996</v>
      </c>
    </row>
    <row r="1447" spans="1:4" x14ac:dyDescent="0.2">
      <c r="A1447" s="895">
        <v>80306</v>
      </c>
      <c r="B1447" s="895" t="s">
        <v>19641</v>
      </c>
      <c r="C1447" s="895" t="s">
        <v>227</v>
      </c>
      <c r="D1447" s="895">
        <v>504.12</v>
      </c>
    </row>
    <row r="1448" spans="1:4" x14ac:dyDescent="0.2">
      <c r="A1448" s="895">
        <v>80311</v>
      </c>
      <c r="B1448" s="895" t="s">
        <v>19642</v>
      </c>
      <c r="C1448" s="895" t="s">
        <v>227</v>
      </c>
      <c r="D1448" s="895">
        <v>1570.32</v>
      </c>
    </row>
    <row r="1449" spans="1:4" x14ac:dyDescent="0.2">
      <c r="A1449" s="895">
        <v>80320</v>
      </c>
      <c r="B1449" s="895" t="s">
        <v>19643</v>
      </c>
      <c r="C1449" s="895" t="s">
        <v>227</v>
      </c>
      <c r="D1449" s="895">
        <v>577.19000000000005</v>
      </c>
    </row>
    <row r="1450" spans="1:4" x14ac:dyDescent="0.2">
      <c r="A1450" s="895">
        <v>86000</v>
      </c>
      <c r="B1450" s="895" t="s">
        <v>19341</v>
      </c>
      <c r="C1450" s="895" t="s">
        <v>18269</v>
      </c>
      <c r="D1450" s="895" t="s">
        <v>18269</v>
      </c>
    </row>
    <row r="1451" spans="1:4" x14ac:dyDescent="0.2">
      <c r="A1451" s="895">
        <v>86001</v>
      </c>
      <c r="B1451" s="895" t="s">
        <v>19644</v>
      </c>
      <c r="C1451" s="895" t="s">
        <v>227</v>
      </c>
      <c r="D1451" s="895">
        <v>34.340000000000003</v>
      </c>
    </row>
    <row r="1452" spans="1:4" x14ac:dyDescent="0.2">
      <c r="A1452" s="895">
        <v>86005</v>
      </c>
      <c r="B1452" s="895" t="s">
        <v>19645</v>
      </c>
      <c r="C1452" s="895" t="s">
        <v>226</v>
      </c>
      <c r="D1452" s="895">
        <v>58.87</v>
      </c>
    </row>
    <row r="1453" spans="1:4" x14ac:dyDescent="0.2">
      <c r="A1453" s="895">
        <v>86020</v>
      </c>
      <c r="B1453" s="895" t="s">
        <v>19646</v>
      </c>
      <c r="C1453" s="895" t="s">
        <v>226</v>
      </c>
      <c r="D1453" s="895">
        <v>18.95</v>
      </c>
    </row>
    <row r="1454" spans="1:4" x14ac:dyDescent="0.2">
      <c r="A1454" s="895">
        <v>86021</v>
      </c>
      <c r="B1454" s="895" t="s">
        <v>19647</v>
      </c>
      <c r="C1454" s="895" t="s">
        <v>226</v>
      </c>
      <c r="D1454" s="895">
        <v>15.16</v>
      </c>
    </row>
    <row r="1455" spans="1:4" x14ac:dyDescent="0.2">
      <c r="A1455" s="895">
        <v>86022</v>
      </c>
      <c r="B1455" s="895" t="s">
        <v>19648</v>
      </c>
      <c r="C1455" s="895" t="s">
        <v>226</v>
      </c>
      <c r="D1455" s="895">
        <v>5.31</v>
      </c>
    </row>
    <row r="1456" spans="1:4" x14ac:dyDescent="0.2">
      <c r="A1456" s="895">
        <v>87000</v>
      </c>
      <c r="B1456" s="895" t="s">
        <v>19348</v>
      </c>
      <c r="C1456" s="895" t="s">
        <v>18269</v>
      </c>
      <c r="D1456" s="895" t="s">
        <v>18269</v>
      </c>
    </row>
    <row r="1457" spans="1:4" x14ac:dyDescent="0.2">
      <c r="A1457" s="895">
        <v>87001</v>
      </c>
      <c r="B1457" s="895" t="s">
        <v>19649</v>
      </c>
      <c r="C1457" s="895" t="s">
        <v>227</v>
      </c>
      <c r="D1457" s="895">
        <v>49.06</v>
      </c>
    </row>
    <row r="1458" spans="1:4" x14ac:dyDescent="0.2">
      <c r="A1458" s="895">
        <v>87005</v>
      </c>
      <c r="B1458" s="895" t="s">
        <v>19650</v>
      </c>
      <c r="C1458" s="895" t="s">
        <v>226</v>
      </c>
      <c r="D1458" s="895">
        <v>63.78</v>
      </c>
    </row>
    <row r="1459" spans="1:4" x14ac:dyDescent="0.2">
      <c r="A1459" s="895">
        <v>87020</v>
      </c>
      <c r="B1459" s="895" t="s">
        <v>19651</v>
      </c>
      <c r="C1459" s="895" t="s">
        <v>158</v>
      </c>
      <c r="D1459" s="895">
        <v>45.48</v>
      </c>
    </row>
    <row r="1460" spans="1:4" x14ac:dyDescent="0.2">
      <c r="A1460" s="895">
        <v>87021</v>
      </c>
      <c r="B1460" s="895" t="s">
        <v>19652</v>
      </c>
      <c r="C1460" s="895" t="s">
        <v>226</v>
      </c>
      <c r="D1460" s="895">
        <v>41.69</v>
      </c>
    </row>
    <row r="1461" spans="1:4" x14ac:dyDescent="0.2">
      <c r="A1461" s="895">
        <v>87022</v>
      </c>
      <c r="B1461" s="895" t="s">
        <v>19653</v>
      </c>
      <c r="C1461" s="895" t="s">
        <v>226</v>
      </c>
      <c r="D1461" s="895">
        <v>7.58</v>
      </c>
    </row>
    <row r="1462" spans="1:4" x14ac:dyDescent="0.2">
      <c r="A1462" s="895">
        <v>88000</v>
      </c>
      <c r="B1462" s="895" t="s">
        <v>19393</v>
      </c>
      <c r="C1462" s="895" t="s">
        <v>18269</v>
      </c>
      <c r="D1462" s="895" t="s">
        <v>18269</v>
      </c>
    </row>
    <row r="1463" spans="1:4" x14ac:dyDescent="0.2">
      <c r="A1463" s="895">
        <v>88020</v>
      </c>
      <c r="B1463" s="895" t="s">
        <v>19654</v>
      </c>
      <c r="C1463" s="895" t="s">
        <v>158</v>
      </c>
      <c r="D1463" s="895">
        <v>52.74</v>
      </c>
    </row>
    <row r="1464" spans="1:4" x14ac:dyDescent="0.2">
      <c r="A1464" s="895">
        <v>88021</v>
      </c>
      <c r="B1464" s="895" t="s">
        <v>19655</v>
      </c>
      <c r="C1464" s="895" t="s">
        <v>226</v>
      </c>
      <c r="D1464" s="895">
        <v>66.67</v>
      </c>
    </row>
    <row r="1465" spans="1:4" x14ac:dyDescent="0.2">
      <c r="A1465" s="895">
        <v>88049</v>
      </c>
      <c r="B1465" s="895" t="s">
        <v>19656</v>
      </c>
      <c r="C1465" s="895" t="s">
        <v>227</v>
      </c>
      <c r="D1465" s="895">
        <v>5.69</v>
      </c>
    </row>
    <row r="1466" spans="1:4" x14ac:dyDescent="0.2">
      <c r="A1466" s="895">
        <v>88050</v>
      </c>
      <c r="B1466" s="895" t="s">
        <v>19657</v>
      </c>
      <c r="C1466" s="895" t="s">
        <v>6008</v>
      </c>
      <c r="D1466" s="895">
        <v>16.62</v>
      </c>
    </row>
    <row r="1467" spans="1:4" x14ac:dyDescent="0.2">
      <c r="A1467" s="895">
        <v>88051</v>
      </c>
      <c r="B1467" s="895" t="s">
        <v>19658</v>
      </c>
      <c r="C1467" s="895" t="s">
        <v>6008</v>
      </c>
      <c r="D1467" s="895">
        <v>98.02</v>
      </c>
    </row>
    <row r="1468" spans="1:4" x14ac:dyDescent="0.2">
      <c r="A1468" s="895">
        <v>90000</v>
      </c>
      <c r="B1468" s="895" t="s">
        <v>19659</v>
      </c>
    </row>
    <row r="1469" spans="1:4" x14ac:dyDescent="0.2">
      <c r="A1469" s="895">
        <v>90100</v>
      </c>
      <c r="B1469" s="895" t="s">
        <v>19660</v>
      </c>
      <c r="C1469" s="895" t="s">
        <v>18269</v>
      </c>
      <c r="D1469" s="895" t="s">
        <v>18269</v>
      </c>
    </row>
    <row r="1470" spans="1:4" x14ac:dyDescent="0.2">
      <c r="A1470" s="895">
        <v>90153</v>
      </c>
      <c r="B1470" s="895" t="s">
        <v>19661</v>
      </c>
      <c r="C1470" s="895" t="s">
        <v>226</v>
      </c>
      <c r="D1470" s="895">
        <v>3945.87</v>
      </c>
    </row>
    <row r="1471" spans="1:4" x14ac:dyDescent="0.2">
      <c r="A1471" s="895">
        <v>90154</v>
      </c>
      <c r="B1471" s="895" t="s">
        <v>19662</v>
      </c>
      <c r="C1471" s="895" t="s">
        <v>226</v>
      </c>
      <c r="D1471" s="895">
        <v>3945.87</v>
      </c>
    </row>
    <row r="1472" spans="1:4" x14ac:dyDescent="0.2">
      <c r="A1472" s="895">
        <v>90155</v>
      </c>
      <c r="B1472" s="895" t="s">
        <v>19663</v>
      </c>
      <c r="C1472" s="895" t="s">
        <v>226</v>
      </c>
      <c r="D1472" s="895">
        <v>4705</v>
      </c>
    </row>
    <row r="1473" spans="1:5" x14ac:dyDescent="0.2">
      <c r="A1473" s="895">
        <v>90156</v>
      </c>
      <c r="B1473" s="895" t="s">
        <v>19664</v>
      </c>
      <c r="C1473" s="895" t="s">
        <v>226</v>
      </c>
      <c r="D1473" s="895">
        <v>7754.05</v>
      </c>
    </row>
    <row r="1474" spans="1:5" x14ac:dyDescent="0.2">
      <c r="A1474" s="895">
        <v>90157</v>
      </c>
      <c r="B1474" s="895" t="s">
        <v>19665</v>
      </c>
      <c r="C1474" s="895" t="s">
        <v>226</v>
      </c>
      <c r="D1474" s="895">
        <v>9029.94</v>
      </c>
    </row>
    <row r="1475" spans="1:5" x14ac:dyDescent="0.2">
      <c r="A1475" s="895">
        <v>90158</v>
      </c>
      <c r="B1475" s="895" t="s">
        <v>19666</v>
      </c>
      <c r="C1475" s="895" t="s">
        <v>226</v>
      </c>
      <c r="D1475" s="895">
        <v>9986.19</v>
      </c>
    </row>
    <row r="1476" spans="1:5" x14ac:dyDescent="0.2">
      <c r="A1476" s="895">
        <v>90159</v>
      </c>
      <c r="B1476" s="895" t="s">
        <v>19667</v>
      </c>
      <c r="C1476" s="895" t="s">
        <v>226</v>
      </c>
      <c r="D1476" s="895">
        <v>11862.79</v>
      </c>
    </row>
    <row r="1477" spans="1:5" x14ac:dyDescent="0.2">
      <c r="A1477" s="895">
        <v>90160</v>
      </c>
      <c r="B1477" s="895" t="s">
        <v>19668</v>
      </c>
      <c r="C1477" s="895" t="s">
        <v>226</v>
      </c>
      <c r="D1477" s="895">
        <v>12793.9</v>
      </c>
    </row>
    <row r="1478" spans="1:5" x14ac:dyDescent="0.2">
      <c r="A1478" s="895">
        <v>90161</v>
      </c>
      <c r="B1478" s="895" t="s">
        <v>19669</v>
      </c>
      <c r="C1478" s="895" t="s">
        <v>226</v>
      </c>
      <c r="D1478" s="895">
        <v>13858.61</v>
      </c>
    </row>
    <row r="1479" spans="1:5" x14ac:dyDescent="0.2">
      <c r="A1479" s="895">
        <v>90162</v>
      </c>
      <c r="B1479" s="895" t="s">
        <v>19670</v>
      </c>
      <c r="C1479" s="895" t="s">
        <v>226</v>
      </c>
      <c r="D1479" s="895">
        <v>15424.78</v>
      </c>
    </row>
    <row r="1480" spans="1:5" x14ac:dyDescent="0.2">
      <c r="A1480" s="895">
        <v>90190</v>
      </c>
      <c r="B1480" s="895" t="s">
        <v>19671</v>
      </c>
      <c r="C1480" s="895" t="s">
        <v>226</v>
      </c>
      <c r="D1480" s="895">
        <v>1691.36</v>
      </c>
    </row>
    <row r="1481" spans="1:5" s="931" customFormat="1" x14ac:dyDescent="0.2">
      <c r="A1481" s="931">
        <v>90200</v>
      </c>
      <c r="B1481" s="931" t="s">
        <v>19672</v>
      </c>
      <c r="C1481" s="931" t="s">
        <v>18269</v>
      </c>
      <c r="D1481" s="931" t="s">
        <v>18269</v>
      </c>
      <c r="E1481" s="931" t="s">
        <v>19673</v>
      </c>
    </row>
    <row r="1482" spans="1:5" x14ac:dyDescent="0.2">
      <c r="A1482" s="895">
        <v>90201</v>
      </c>
      <c r="B1482" s="895" t="s">
        <v>19674</v>
      </c>
      <c r="C1482" s="895" t="s">
        <v>158</v>
      </c>
      <c r="D1482" s="895">
        <v>20.84</v>
      </c>
    </row>
    <row r="1483" spans="1:5" x14ac:dyDescent="0.2">
      <c r="A1483" s="895">
        <v>90202</v>
      </c>
      <c r="B1483" s="895" t="s">
        <v>19675</v>
      </c>
      <c r="C1483" s="895" t="s">
        <v>158</v>
      </c>
      <c r="D1483" s="895">
        <v>21.97</v>
      </c>
    </row>
    <row r="1484" spans="1:5" x14ac:dyDescent="0.2">
      <c r="A1484" s="895">
        <v>90203</v>
      </c>
      <c r="B1484" s="895" t="s">
        <v>19676</v>
      </c>
      <c r="C1484" s="895" t="s">
        <v>158</v>
      </c>
      <c r="D1484" s="895">
        <v>25.39</v>
      </c>
    </row>
    <row r="1485" spans="1:5" x14ac:dyDescent="0.2">
      <c r="A1485" s="895">
        <v>90204</v>
      </c>
      <c r="B1485" s="895" t="s">
        <v>19677</v>
      </c>
      <c r="C1485" s="895" t="s">
        <v>158</v>
      </c>
      <c r="D1485" s="895">
        <v>37.729999999999997</v>
      </c>
    </row>
    <row r="1486" spans="1:5" x14ac:dyDescent="0.2">
      <c r="A1486" s="895">
        <v>90205</v>
      </c>
      <c r="B1486" s="895" t="s">
        <v>19678</v>
      </c>
      <c r="C1486" s="895" t="s">
        <v>158</v>
      </c>
      <c r="D1486" s="895">
        <v>39.450000000000003</v>
      </c>
    </row>
    <row r="1487" spans="1:5" x14ac:dyDescent="0.2">
      <c r="A1487" s="895">
        <v>90206</v>
      </c>
      <c r="B1487" s="895" t="s">
        <v>2933</v>
      </c>
      <c r="C1487" s="895" t="s">
        <v>158</v>
      </c>
      <c r="D1487" s="895">
        <v>44.46</v>
      </c>
    </row>
    <row r="1488" spans="1:5" x14ac:dyDescent="0.2">
      <c r="A1488" s="895">
        <v>90207</v>
      </c>
      <c r="B1488" s="895" t="s">
        <v>19679</v>
      </c>
      <c r="C1488" s="895" t="s">
        <v>158</v>
      </c>
      <c r="D1488" s="895">
        <v>65.31</v>
      </c>
    </row>
    <row r="1489" spans="1:4" x14ac:dyDescent="0.2">
      <c r="A1489" s="895">
        <v>90208</v>
      </c>
      <c r="B1489" s="895" t="s">
        <v>19680</v>
      </c>
      <c r="C1489" s="895" t="s">
        <v>158</v>
      </c>
      <c r="D1489" s="895">
        <v>75.69</v>
      </c>
    </row>
    <row r="1490" spans="1:4" x14ac:dyDescent="0.2">
      <c r="A1490" s="895">
        <v>90209</v>
      </c>
      <c r="B1490" s="895" t="s">
        <v>19681</v>
      </c>
      <c r="C1490" s="895" t="s">
        <v>158</v>
      </c>
      <c r="D1490" s="895">
        <v>101.77</v>
      </c>
    </row>
    <row r="1491" spans="1:4" x14ac:dyDescent="0.2">
      <c r="A1491" s="895">
        <v>90211</v>
      </c>
      <c r="B1491" s="895" t="s">
        <v>19682</v>
      </c>
      <c r="C1491" s="895" t="s">
        <v>158</v>
      </c>
      <c r="D1491" s="895">
        <v>39.58</v>
      </c>
    </row>
    <row r="1492" spans="1:4" x14ac:dyDescent="0.2">
      <c r="A1492" s="895">
        <v>90212</v>
      </c>
      <c r="B1492" s="895" t="s">
        <v>19683</v>
      </c>
      <c r="C1492" s="895" t="s">
        <v>158</v>
      </c>
      <c r="D1492" s="895">
        <v>44.16</v>
      </c>
    </row>
    <row r="1493" spans="1:4" x14ac:dyDescent="0.2">
      <c r="A1493" s="895">
        <v>90213</v>
      </c>
      <c r="B1493" s="895" t="s">
        <v>19684</v>
      </c>
      <c r="C1493" s="895" t="s">
        <v>158</v>
      </c>
      <c r="D1493" s="895">
        <v>58.19</v>
      </c>
    </row>
    <row r="1494" spans="1:4" x14ac:dyDescent="0.2">
      <c r="A1494" s="895">
        <v>90214</v>
      </c>
      <c r="B1494" s="895" t="s">
        <v>19685</v>
      </c>
      <c r="C1494" s="895" t="s">
        <v>158</v>
      </c>
      <c r="D1494" s="895">
        <v>64.81</v>
      </c>
    </row>
    <row r="1495" spans="1:4" x14ac:dyDescent="0.2">
      <c r="A1495" s="895">
        <v>90215</v>
      </c>
      <c r="B1495" s="895" t="s">
        <v>19686</v>
      </c>
      <c r="C1495" s="895" t="s">
        <v>158</v>
      </c>
      <c r="D1495" s="895">
        <v>89.29</v>
      </c>
    </row>
    <row r="1496" spans="1:4" x14ac:dyDescent="0.2">
      <c r="A1496" s="895">
        <v>90216</v>
      </c>
      <c r="B1496" s="895" t="s">
        <v>19687</v>
      </c>
      <c r="C1496" s="895" t="s">
        <v>158</v>
      </c>
      <c r="D1496" s="895">
        <v>106.84</v>
      </c>
    </row>
    <row r="1497" spans="1:4" x14ac:dyDescent="0.2">
      <c r="A1497" s="895">
        <v>90217</v>
      </c>
      <c r="B1497" s="895" t="s">
        <v>19688</v>
      </c>
      <c r="C1497" s="895" t="s">
        <v>158</v>
      </c>
      <c r="D1497" s="895">
        <v>115.54</v>
      </c>
    </row>
    <row r="1498" spans="1:4" x14ac:dyDescent="0.2">
      <c r="A1498" s="895">
        <v>90219</v>
      </c>
      <c r="B1498" s="895" t="s">
        <v>19689</v>
      </c>
      <c r="C1498" s="895" t="s">
        <v>158</v>
      </c>
      <c r="D1498" s="895">
        <v>145.36000000000001</v>
      </c>
    </row>
    <row r="1499" spans="1:4" x14ac:dyDescent="0.2">
      <c r="A1499" s="895">
        <v>90220</v>
      </c>
      <c r="B1499" s="895" t="s">
        <v>19690</v>
      </c>
      <c r="C1499" s="895" t="s">
        <v>158</v>
      </c>
      <c r="D1499" s="895">
        <v>46.17</v>
      </c>
    </row>
    <row r="1500" spans="1:4" x14ac:dyDescent="0.2">
      <c r="A1500" s="895">
        <v>90221</v>
      </c>
      <c r="B1500" s="895" t="s">
        <v>19691</v>
      </c>
      <c r="C1500" s="895" t="s">
        <v>158</v>
      </c>
      <c r="D1500" s="895">
        <v>50.28</v>
      </c>
    </row>
    <row r="1501" spans="1:4" x14ac:dyDescent="0.2">
      <c r="A1501" s="895">
        <v>90223</v>
      </c>
      <c r="B1501" s="895" t="s">
        <v>19692</v>
      </c>
      <c r="C1501" s="895" t="s">
        <v>158</v>
      </c>
      <c r="D1501" s="895">
        <v>67.459999999999994</v>
      </c>
    </row>
    <row r="1502" spans="1:4" x14ac:dyDescent="0.2">
      <c r="A1502" s="895">
        <v>90224</v>
      </c>
      <c r="B1502" s="895" t="s">
        <v>19693</v>
      </c>
      <c r="C1502" s="895" t="s">
        <v>158</v>
      </c>
      <c r="D1502" s="895">
        <v>72.67</v>
      </c>
    </row>
    <row r="1503" spans="1:4" x14ac:dyDescent="0.2">
      <c r="A1503" s="895">
        <v>90225</v>
      </c>
      <c r="B1503" s="895" t="s">
        <v>19694</v>
      </c>
      <c r="C1503" s="895" t="s">
        <v>158</v>
      </c>
      <c r="D1503" s="895">
        <v>81.260000000000005</v>
      </c>
    </row>
    <row r="1504" spans="1:4" x14ac:dyDescent="0.2">
      <c r="A1504" s="895">
        <v>90226</v>
      </c>
      <c r="B1504" s="895" t="s">
        <v>19695</v>
      </c>
      <c r="C1504" s="895" t="s">
        <v>158</v>
      </c>
      <c r="D1504" s="895">
        <v>123.33</v>
      </c>
    </row>
    <row r="1505" spans="1:4" x14ac:dyDescent="0.2">
      <c r="A1505" s="895">
        <v>90227</v>
      </c>
      <c r="B1505" s="895" t="s">
        <v>19696</v>
      </c>
      <c r="C1505" s="895" t="s">
        <v>158</v>
      </c>
      <c r="D1505" s="895">
        <v>134.81</v>
      </c>
    </row>
    <row r="1506" spans="1:4" x14ac:dyDescent="0.2">
      <c r="A1506" s="895">
        <v>90229</v>
      </c>
      <c r="B1506" s="895" t="s">
        <v>19697</v>
      </c>
      <c r="C1506" s="895" t="s">
        <v>158</v>
      </c>
      <c r="D1506" s="895">
        <v>167.95</v>
      </c>
    </row>
    <row r="1507" spans="1:4" x14ac:dyDescent="0.2">
      <c r="A1507" s="895">
        <v>90251</v>
      </c>
      <c r="B1507" s="895" t="s">
        <v>19698</v>
      </c>
      <c r="C1507" s="895" t="s">
        <v>158</v>
      </c>
      <c r="D1507" s="895">
        <v>52.87</v>
      </c>
    </row>
    <row r="1508" spans="1:4" x14ac:dyDescent="0.2">
      <c r="A1508" s="895">
        <v>90252</v>
      </c>
      <c r="B1508" s="895" t="s">
        <v>19699</v>
      </c>
      <c r="C1508" s="895" t="s">
        <v>158</v>
      </c>
      <c r="D1508" s="895">
        <v>60.31</v>
      </c>
    </row>
    <row r="1509" spans="1:4" x14ac:dyDescent="0.2">
      <c r="A1509" s="895">
        <v>90253</v>
      </c>
      <c r="B1509" s="895" t="s">
        <v>19700</v>
      </c>
      <c r="C1509" s="895" t="s">
        <v>158</v>
      </c>
      <c r="D1509" s="895">
        <v>36.56</v>
      </c>
    </row>
    <row r="1510" spans="1:4" x14ac:dyDescent="0.2">
      <c r="A1510" s="895">
        <v>90254</v>
      </c>
      <c r="B1510" s="895" t="s">
        <v>19701</v>
      </c>
      <c r="C1510" s="895" t="s">
        <v>158</v>
      </c>
      <c r="D1510" s="895">
        <v>7.87</v>
      </c>
    </row>
    <row r="1511" spans="1:4" x14ac:dyDescent="0.2">
      <c r="A1511" s="895">
        <v>90255</v>
      </c>
      <c r="B1511" s="895" t="s">
        <v>19702</v>
      </c>
      <c r="C1511" s="895" t="s">
        <v>158</v>
      </c>
      <c r="D1511" s="895">
        <v>8.68</v>
      </c>
    </row>
    <row r="1512" spans="1:4" x14ac:dyDescent="0.2">
      <c r="A1512" s="895">
        <v>90261</v>
      </c>
      <c r="B1512" s="895" t="s">
        <v>19703</v>
      </c>
      <c r="C1512" s="895" t="s">
        <v>158</v>
      </c>
      <c r="D1512" s="895">
        <v>18.41</v>
      </c>
    </row>
    <row r="1513" spans="1:4" x14ac:dyDescent="0.2">
      <c r="A1513" s="895">
        <v>90262</v>
      </c>
      <c r="B1513" s="895" t="s">
        <v>19704</v>
      </c>
      <c r="C1513" s="895" t="s">
        <v>158</v>
      </c>
      <c r="D1513" s="895">
        <v>23.8</v>
      </c>
    </row>
    <row r="1514" spans="1:4" x14ac:dyDescent="0.2">
      <c r="A1514" s="895">
        <v>90263</v>
      </c>
      <c r="B1514" s="895" t="s">
        <v>19705</v>
      </c>
      <c r="C1514" s="895" t="s">
        <v>158</v>
      </c>
      <c r="D1514" s="895">
        <v>31.73</v>
      </c>
    </row>
    <row r="1515" spans="1:4" x14ac:dyDescent="0.2">
      <c r="A1515" s="895">
        <v>90298</v>
      </c>
      <c r="B1515" s="895" t="s">
        <v>19706</v>
      </c>
      <c r="C1515" s="895" t="s">
        <v>158</v>
      </c>
      <c r="D1515" s="895">
        <v>36.93</v>
      </c>
    </row>
    <row r="1516" spans="1:4" x14ac:dyDescent="0.2">
      <c r="A1516" s="895">
        <v>90299</v>
      </c>
      <c r="B1516" s="895" t="s">
        <v>19707</v>
      </c>
      <c r="C1516" s="895" t="s">
        <v>158</v>
      </c>
      <c r="D1516" s="895">
        <v>34.36</v>
      </c>
    </row>
    <row r="1517" spans="1:4" x14ac:dyDescent="0.2">
      <c r="A1517" s="895">
        <v>90300</v>
      </c>
      <c r="B1517" s="895" t="s">
        <v>19708</v>
      </c>
      <c r="C1517" s="895" t="s">
        <v>18269</v>
      </c>
      <c r="D1517" s="895" t="s">
        <v>18269</v>
      </c>
    </row>
    <row r="1518" spans="1:4" x14ac:dyDescent="0.2">
      <c r="A1518" s="895">
        <v>90303</v>
      </c>
      <c r="B1518" s="895" t="s">
        <v>19709</v>
      </c>
      <c r="C1518" s="895" t="s">
        <v>158</v>
      </c>
      <c r="D1518" s="895">
        <v>3.41</v>
      </c>
    </row>
    <row r="1519" spans="1:4" x14ac:dyDescent="0.2">
      <c r="A1519" s="895">
        <v>90304</v>
      </c>
      <c r="B1519" s="895" t="s">
        <v>19710</v>
      </c>
      <c r="C1519" s="895" t="s">
        <v>158</v>
      </c>
      <c r="D1519" s="895">
        <v>3.62</v>
      </c>
    </row>
    <row r="1520" spans="1:4" x14ac:dyDescent="0.2">
      <c r="A1520" s="895">
        <v>90305</v>
      </c>
      <c r="B1520" s="895" t="s">
        <v>19711</v>
      </c>
      <c r="C1520" s="895" t="s">
        <v>158</v>
      </c>
      <c r="D1520" s="895">
        <v>5.01</v>
      </c>
    </row>
    <row r="1521" spans="1:4" x14ac:dyDescent="0.2">
      <c r="A1521" s="895">
        <v>90306</v>
      </c>
      <c r="B1521" s="895" t="s">
        <v>19712</v>
      </c>
      <c r="C1521" s="895" t="s">
        <v>158</v>
      </c>
      <c r="D1521" s="895">
        <v>6.94</v>
      </c>
    </row>
    <row r="1522" spans="1:4" x14ac:dyDescent="0.2">
      <c r="A1522" s="895">
        <v>90307</v>
      </c>
      <c r="B1522" s="895" t="s">
        <v>19713</v>
      </c>
      <c r="C1522" s="895" t="s">
        <v>158</v>
      </c>
      <c r="D1522" s="895">
        <v>9.5399999999999991</v>
      </c>
    </row>
    <row r="1523" spans="1:4" x14ac:dyDescent="0.2">
      <c r="A1523" s="895">
        <v>90308</v>
      </c>
      <c r="B1523" s="895" t="s">
        <v>19714</v>
      </c>
      <c r="C1523" s="895" t="s">
        <v>158</v>
      </c>
      <c r="D1523" s="895">
        <v>13.67</v>
      </c>
    </row>
    <row r="1524" spans="1:4" x14ac:dyDescent="0.2">
      <c r="A1524" s="895">
        <v>90309</v>
      </c>
      <c r="B1524" s="895" t="s">
        <v>19715</v>
      </c>
      <c r="C1524" s="895" t="s">
        <v>158</v>
      </c>
      <c r="D1524" s="895">
        <v>18.690000000000001</v>
      </c>
    </row>
    <row r="1525" spans="1:4" x14ac:dyDescent="0.2">
      <c r="A1525" s="895">
        <v>90310</v>
      </c>
      <c r="B1525" s="895" t="s">
        <v>19716</v>
      </c>
      <c r="C1525" s="895" t="s">
        <v>158</v>
      </c>
      <c r="D1525" s="895">
        <v>27.46</v>
      </c>
    </row>
    <row r="1526" spans="1:4" x14ac:dyDescent="0.2">
      <c r="A1526" s="895">
        <v>90311</v>
      </c>
      <c r="B1526" s="895" t="s">
        <v>19717</v>
      </c>
      <c r="C1526" s="895" t="s">
        <v>158</v>
      </c>
      <c r="D1526" s="895">
        <v>40.479999999999997</v>
      </c>
    </row>
    <row r="1527" spans="1:4" x14ac:dyDescent="0.2">
      <c r="A1527" s="895">
        <v>90312</v>
      </c>
      <c r="B1527" s="895" t="s">
        <v>19718</v>
      </c>
      <c r="C1527" s="895" t="s">
        <v>158</v>
      </c>
      <c r="D1527" s="895">
        <v>58.3</v>
      </c>
    </row>
    <row r="1528" spans="1:4" x14ac:dyDescent="0.2">
      <c r="A1528" s="895">
        <v>90313</v>
      </c>
      <c r="B1528" s="895" t="s">
        <v>19719</v>
      </c>
      <c r="C1528" s="895" t="s">
        <v>158</v>
      </c>
      <c r="D1528" s="895">
        <v>78.8</v>
      </c>
    </row>
    <row r="1529" spans="1:4" x14ac:dyDescent="0.2">
      <c r="A1529" s="895">
        <v>90314</v>
      </c>
      <c r="B1529" s="895" t="s">
        <v>19720</v>
      </c>
      <c r="C1529" s="895" t="s">
        <v>158</v>
      </c>
      <c r="D1529" s="895">
        <v>99.37</v>
      </c>
    </row>
    <row r="1530" spans="1:4" x14ac:dyDescent="0.2">
      <c r="A1530" s="895">
        <v>90315</v>
      </c>
      <c r="B1530" s="895" t="s">
        <v>19721</v>
      </c>
      <c r="C1530" s="895" t="s">
        <v>158</v>
      </c>
      <c r="D1530" s="895">
        <v>123.14</v>
      </c>
    </row>
    <row r="1531" spans="1:4" x14ac:dyDescent="0.2">
      <c r="A1531" s="895">
        <v>90316</v>
      </c>
      <c r="B1531" s="895" t="s">
        <v>19722</v>
      </c>
      <c r="C1531" s="895" t="s">
        <v>158</v>
      </c>
      <c r="D1531" s="895">
        <v>153.31</v>
      </c>
    </row>
    <row r="1532" spans="1:4" x14ac:dyDescent="0.2">
      <c r="A1532" s="895">
        <v>90317</v>
      </c>
      <c r="B1532" s="895" t="s">
        <v>19723</v>
      </c>
      <c r="C1532" s="895" t="s">
        <v>158</v>
      </c>
      <c r="D1532" s="895">
        <v>182.73</v>
      </c>
    </row>
    <row r="1533" spans="1:4" x14ac:dyDescent="0.2">
      <c r="A1533" s="895">
        <v>90318</v>
      </c>
      <c r="B1533" s="895" t="s">
        <v>19724</v>
      </c>
      <c r="C1533" s="895" t="s">
        <v>158</v>
      </c>
      <c r="D1533" s="895">
        <v>235.62</v>
      </c>
    </row>
    <row r="1534" spans="1:4" x14ac:dyDescent="0.2">
      <c r="A1534" s="895">
        <v>90319</v>
      </c>
      <c r="B1534" s="895" t="s">
        <v>19725</v>
      </c>
      <c r="C1534" s="895" t="s">
        <v>158</v>
      </c>
      <c r="D1534" s="895">
        <v>326.26</v>
      </c>
    </row>
    <row r="1535" spans="1:4" x14ac:dyDescent="0.2">
      <c r="A1535" s="895">
        <v>90320</v>
      </c>
      <c r="B1535" s="895" t="s">
        <v>19726</v>
      </c>
      <c r="C1535" s="895" t="s">
        <v>158</v>
      </c>
      <c r="D1535" s="895">
        <v>3.53</v>
      </c>
    </row>
    <row r="1536" spans="1:4" x14ac:dyDescent="0.2">
      <c r="A1536" s="895">
        <v>90321</v>
      </c>
      <c r="B1536" s="895" t="s">
        <v>19727</v>
      </c>
      <c r="C1536" s="895" t="s">
        <v>158</v>
      </c>
      <c r="D1536" s="895">
        <v>4.78</v>
      </c>
    </row>
    <row r="1537" spans="1:4" x14ac:dyDescent="0.2">
      <c r="A1537" s="895">
        <v>90322</v>
      </c>
      <c r="B1537" s="895" t="s">
        <v>19728</v>
      </c>
      <c r="C1537" s="895" t="s">
        <v>158</v>
      </c>
      <c r="D1537" s="895">
        <v>6.78</v>
      </c>
    </row>
    <row r="1538" spans="1:4" x14ac:dyDescent="0.2">
      <c r="A1538" s="895">
        <v>90323</v>
      </c>
      <c r="B1538" s="895" t="s">
        <v>19729</v>
      </c>
      <c r="C1538" s="895" t="s">
        <v>158</v>
      </c>
      <c r="D1538" s="895">
        <v>8.98</v>
      </c>
    </row>
    <row r="1539" spans="1:4" x14ac:dyDescent="0.2">
      <c r="A1539" s="895">
        <v>90328</v>
      </c>
      <c r="B1539" s="895" t="s">
        <v>19730</v>
      </c>
      <c r="C1539" s="895" t="s">
        <v>158</v>
      </c>
      <c r="D1539" s="895">
        <v>3.37</v>
      </c>
    </row>
    <row r="1540" spans="1:4" x14ac:dyDescent="0.2">
      <c r="A1540" s="895">
        <v>90329</v>
      </c>
      <c r="B1540" s="895" t="s">
        <v>19731</v>
      </c>
      <c r="C1540" s="895" t="s">
        <v>158</v>
      </c>
      <c r="D1540" s="895">
        <v>4.93</v>
      </c>
    </row>
    <row r="1541" spans="1:4" x14ac:dyDescent="0.2">
      <c r="A1541" s="895">
        <v>90330</v>
      </c>
      <c r="B1541" s="895" t="s">
        <v>19732</v>
      </c>
      <c r="C1541" s="895" t="s">
        <v>158</v>
      </c>
      <c r="D1541" s="895">
        <v>7.12</v>
      </c>
    </row>
    <row r="1542" spans="1:4" x14ac:dyDescent="0.2">
      <c r="A1542" s="895">
        <v>90331</v>
      </c>
      <c r="B1542" s="895" t="s">
        <v>19733</v>
      </c>
      <c r="C1542" s="895" t="s">
        <v>158</v>
      </c>
      <c r="D1542" s="895">
        <v>9.2100000000000009</v>
      </c>
    </row>
    <row r="1543" spans="1:4" x14ac:dyDescent="0.2">
      <c r="A1543" s="895">
        <v>90332</v>
      </c>
      <c r="B1543" s="895" t="s">
        <v>19734</v>
      </c>
      <c r="C1543" s="895" t="s">
        <v>158</v>
      </c>
      <c r="D1543" s="895">
        <v>12.93</v>
      </c>
    </row>
    <row r="1544" spans="1:4" x14ac:dyDescent="0.2">
      <c r="A1544" s="895">
        <v>90333</v>
      </c>
      <c r="B1544" s="895" t="s">
        <v>19735</v>
      </c>
      <c r="C1544" s="895" t="s">
        <v>158</v>
      </c>
      <c r="D1544" s="895">
        <v>18.489999999999998</v>
      </c>
    </row>
    <row r="1545" spans="1:4" x14ac:dyDescent="0.2">
      <c r="A1545" s="895">
        <v>90334</v>
      </c>
      <c r="B1545" s="895" t="s">
        <v>19736</v>
      </c>
      <c r="C1545" s="895" t="s">
        <v>158</v>
      </c>
      <c r="D1545" s="895">
        <v>25.57</v>
      </c>
    </row>
    <row r="1546" spans="1:4" x14ac:dyDescent="0.2">
      <c r="A1546" s="895">
        <v>90335</v>
      </c>
      <c r="B1546" s="895" t="s">
        <v>19737</v>
      </c>
      <c r="C1546" s="895" t="s">
        <v>158</v>
      </c>
      <c r="D1546" s="895">
        <v>36.07</v>
      </c>
    </row>
    <row r="1547" spans="1:4" x14ac:dyDescent="0.2">
      <c r="A1547" s="895">
        <v>90336</v>
      </c>
      <c r="B1547" s="895" t="s">
        <v>19738</v>
      </c>
      <c r="C1547" s="895" t="s">
        <v>158</v>
      </c>
      <c r="D1547" s="895">
        <v>52.52</v>
      </c>
    </row>
    <row r="1548" spans="1:4" x14ac:dyDescent="0.2">
      <c r="A1548" s="895">
        <v>90337</v>
      </c>
      <c r="B1548" s="895" t="s">
        <v>19739</v>
      </c>
      <c r="C1548" s="895" t="s">
        <v>158</v>
      </c>
      <c r="D1548" s="895">
        <v>72.510000000000005</v>
      </c>
    </row>
    <row r="1549" spans="1:4" x14ac:dyDescent="0.2">
      <c r="A1549" s="895">
        <v>90338</v>
      </c>
      <c r="B1549" s="895" t="s">
        <v>19740</v>
      </c>
      <c r="C1549" s="895" t="s">
        <v>158</v>
      </c>
      <c r="D1549" s="895">
        <v>92.3</v>
      </c>
    </row>
    <row r="1550" spans="1:4" x14ac:dyDescent="0.2">
      <c r="A1550" s="895">
        <v>90339</v>
      </c>
      <c r="B1550" s="895" t="s">
        <v>19741</v>
      </c>
      <c r="C1550" s="895" t="s">
        <v>158</v>
      </c>
      <c r="D1550" s="895">
        <v>139.78</v>
      </c>
    </row>
    <row r="1551" spans="1:4" x14ac:dyDescent="0.2">
      <c r="A1551" s="895">
        <v>90340</v>
      </c>
      <c r="B1551" s="895" t="s">
        <v>19742</v>
      </c>
      <c r="C1551" s="895" t="s">
        <v>158</v>
      </c>
      <c r="D1551" s="895">
        <v>146.32</v>
      </c>
    </row>
    <row r="1552" spans="1:4" x14ac:dyDescent="0.2">
      <c r="A1552" s="895">
        <v>90341</v>
      </c>
      <c r="B1552" s="895" t="s">
        <v>19743</v>
      </c>
      <c r="C1552" s="895" t="s">
        <v>158</v>
      </c>
      <c r="D1552" s="895">
        <v>173.79</v>
      </c>
    </row>
    <row r="1553" spans="1:4" x14ac:dyDescent="0.2">
      <c r="A1553" s="895">
        <v>90342</v>
      </c>
      <c r="B1553" s="895" t="s">
        <v>19744</v>
      </c>
      <c r="C1553" s="895" t="s">
        <v>158</v>
      </c>
      <c r="D1553" s="895">
        <v>264.58999999999997</v>
      </c>
    </row>
    <row r="1554" spans="1:4" x14ac:dyDescent="0.2">
      <c r="A1554" s="895">
        <v>90343</v>
      </c>
      <c r="B1554" s="895" t="s">
        <v>19745</v>
      </c>
      <c r="C1554" s="895" t="s">
        <v>158</v>
      </c>
      <c r="D1554" s="895">
        <v>343.59</v>
      </c>
    </row>
    <row r="1555" spans="1:4" x14ac:dyDescent="0.2">
      <c r="A1555" s="895">
        <v>90360</v>
      </c>
      <c r="B1555" s="895" t="s">
        <v>19746</v>
      </c>
      <c r="C1555" s="895" t="s">
        <v>158</v>
      </c>
      <c r="D1555" s="895">
        <v>2.13</v>
      </c>
    </row>
    <row r="1556" spans="1:4" x14ac:dyDescent="0.2">
      <c r="A1556" s="895">
        <v>90361</v>
      </c>
      <c r="B1556" s="895" t="s">
        <v>19747</v>
      </c>
      <c r="C1556" s="895" t="s">
        <v>158</v>
      </c>
      <c r="D1556" s="895">
        <v>2.8</v>
      </c>
    </row>
    <row r="1557" spans="1:4" x14ac:dyDescent="0.2">
      <c r="A1557" s="895">
        <v>90370</v>
      </c>
      <c r="B1557" s="895" t="s">
        <v>19748</v>
      </c>
      <c r="C1557" s="895" t="s">
        <v>158</v>
      </c>
      <c r="D1557" s="895">
        <v>5.74</v>
      </c>
    </row>
    <row r="1558" spans="1:4" x14ac:dyDescent="0.2">
      <c r="A1558" s="895">
        <v>90372</v>
      </c>
      <c r="B1558" s="895" t="s">
        <v>19749</v>
      </c>
      <c r="C1558" s="895" t="s">
        <v>158</v>
      </c>
      <c r="D1558" s="895">
        <v>12.25</v>
      </c>
    </row>
    <row r="1559" spans="1:4" x14ac:dyDescent="0.2">
      <c r="A1559" s="895">
        <v>90375</v>
      </c>
      <c r="B1559" s="895" t="s">
        <v>19750</v>
      </c>
      <c r="C1559" s="895" t="s">
        <v>158</v>
      </c>
      <c r="D1559" s="895">
        <v>7.22</v>
      </c>
    </row>
    <row r="1560" spans="1:4" x14ac:dyDescent="0.2">
      <c r="A1560" s="895">
        <v>90376</v>
      </c>
      <c r="B1560" s="895" t="s">
        <v>19751</v>
      </c>
      <c r="C1560" s="895" t="s">
        <v>158</v>
      </c>
      <c r="D1560" s="895">
        <v>10.91</v>
      </c>
    </row>
    <row r="1561" spans="1:4" x14ac:dyDescent="0.2">
      <c r="A1561" s="895">
        <v>90380</v>
      </c>
      <c r="B1561" s="895" t="s">
        <v>19752</v>
      </c>
      <c r="C1561" s="895" t="s">
        <v>158</v>
      </c>
      <c r="D1561" s="895">
        <v>8.43</v>
      </c>
    </row>
    <row r="1562" spans="1:4" x14ac:dyDescent="0.2">
      <c r="A1562" s="895">
        <v>90400</v>
      </c>
      <c r="B1562" s="895" t="s">
        <v>19753</v>
      </c>
      <c r="C1562" s="895" t="s">
        <v>18269</v>
      </c>
      <c r="D1562" s="895" t="s">
        <v>18269</v>
      </c>
    </row>
    <row r="1563" spans="1:4" x14ac:dyDescent="0.2">
      <c r="A1563" s="895">
        <v>90402</v>
      </c>
      <c r="B1563" s="895" t="s">
        <v>19754</v>
      </c>
      <c r="C1563" s="895" t="s">
        <v>226</v>
      </c>
      <c r="D1563" s="895">
        <v>143.1</v>
      </c>
    </row>
    <row r="1564" spans="1:4" x14ac:dyDescent="0.2">
      <c r="A1564" s="895">
        <v>90403</v>
      </c>
      <c r="B1564" s="895" t="s">
        <v>19755</v>
      </c>
      <c r="C1564" s="895" t="s">
        <v>226</v>
      </c>
      <c r="D1564" s="895">
        <v>134.59</v>
      </c>
    </row>
    <row r="1565" spans="1:4" x14ac:dyDescent="0.2">
      <c r="A1565" s="895">
        <v>90411</v>
      </c>
      <c r="B1565" s="895" t="s">
        <v>19756</v>
      </c>
      <c r="C1565" s="895" t="s">
        <v>226</v>
      </c>
      <c r="D1565" s="895">
        <v>277.48</v>
      </c>
    </row>
    <row r="1566" spans="1:4" x14ac:dyDescent="0.2">
      <c r="A1566" s="895">
        <v>90430</v>
      </c>
      <c r="B1566" s="895" t="s">
        <v>19757</v>
      </c>
      <c r="C1566" s="895" t="s">
        <v>226</v>
      </c>
      <c r="D1566" s="895">
        <v>498.69</v>
      </c>
    </row>
    <row r="1567" spans="1:4" x14ac:dyDescent="0.2">
      <c r="A1567" s="895">
        <v>90431</v>
      </c>
      <c r="B1567" s="895" t="s">
        <v>19758</v>
      </c>
      <c r="C1567" s="895" t="s">
        <v>226</v>
      </c>
      <c r="D1567" s="895">
        <v>570.44000000000005</v>
      </c>
    </row>
    <row r="1568" spans="1:4" x14ac:dyDescent="0.2">
      <c r="A1568" s="895">
        <v>90432</v>
      </c>
      <c r="B1568" s="895" t="s">
        <v>19759</v>
      </c>
      <c r="C1568" s="895" t="s">
        <v>226</v>
      </c>
      <c r="D1568" s="895">
        <v>1032.45</v>
      </c>
    </row>
    <row r="1569" spans="1:4" x14ac:dyDescent="0.2">
      <c r="A1569" s="895">
        <v>90433</v>
      </c>
      <c r="B1569" s="895" t="s">
        <v>19760</v>
      </c>
      <c r="C1569" s="895" t="s">
        <v>226</v>
      </c>
      <c r="D1569" s="895">
        <v>1469.96</v>
      </c>
    </row>
    <row r="1570" spans="1:4" x14ac:dyDescent="0.2">
      <c r="A1570" s="895">
        <v>90440</v>
      </c>
      <c r="B1570" s="895" t="s">
        <v>19761</v>
      </c>
      <c r="C1570" s="895" t="s">
        <v>226</v>
      </c>
      <c r="D1570" s="895">
        <v>312.85000000000002</v>
      </c>
    </row>
    <row r="1571" spans="1:4" x14ac:dyDescent="0.2">
      <c r="A1571" s="895">
        <v>90441</v>
      </c>
      <c r="B1571" s="895" t="s">
        <v>19762</v>
      </c>
      <c r="C1571" s="895" t="s">
        <v>226</v>
      </c>
      <c r="D1571" s="895">
        <v>437.04</v>
      </c>
    </row>
    <row r="1572" spans="1:4" x14ac:dyDescent="0.2">
      <c r="A1572" s="895">
        <v>90442</v>
      </c>
      <c r="B1572" s="895" t="s">
        <v>19763</v>
      </c>
      <c r="C1572" s="895" t="s">
        <v>226</v>
      </c>
      <c r="D1572" s="895">
        <v>377.24</v>
      </c>
    </row>
    <row r="1573" spans="1:4" x14ac:dyDescent="0.2">
      <c r="A1573" s="895">
        <v>90448</v>
      </c>
      <c r="B1573" s="895" t="s">
        <v>19764</v>
      </c>
      <c r="C1573" s="895" t="s">
        <v>226</v>
      </c>
      <c r="D1573" s="895">
        <v>168.47</v>
      </c>
    </row>
    <row r="1574" spans="1:4" x14ac:dyDescent="0.2">
      <c r="A1574" s="895">
        <v>90460</v>
      </c>
      <c r="B1574" s="895" t="s">
        <v>19765</v>
      </c>
      <c r="C1574" s="895" t="s">
        <v>226</v>
      </c>
      <c r="D1574" s="895">
        <v>74.150000000000006</v>
      </c>
    </row>
    <row r="1575" spans="1:4" x14ac:dyDescent="0.2">
      <c r="A1575" s="895">
        <v>90468</v>
      </c>
      <c r="B1575" s="895" t="s">
        <v>19766</v>
      </c>
      <c r="C1575" s="895" t="s">
        <v>226</v>
      </c>
      <c r="D1575" s="895">
        <v>328.61</v>
      </c>
    </row>
    <row r="1576" spans="1:4" x14ac:dyDescent="0.2">
      <c r="A1576" s="895">
        <v>90469</v>
      </c>
      <c r="B1576" s="895" t="s">
        <v>19767</v>
      </c>
      <c r="C1576" s="895" t="s">
        <v>226</v>
      </c>
      <c r="D1576" s="895">
        <v>339.71</v>
      </c>
    </row>
    <row r="1577" spans="1:4" x14ac:dyDescent="0.2">
      <c r="A1577" s="895">
        <v>90470</v>
      </c>
      <c r="B1577" s="895" t="s">
        <v>19768</v>
      </c>
      <c r="C1577" s="895" t="s">
        <v>226</v>
      </c>
      <c r="D1577" s="895">
        <v>378.64</v>
      </c>
    </row>
    <row r="1578" spans="1:4" x14ac:dyDescent="0.2">
      <c r="A1578" s="895">
        <v>90472</v>
      </c>
      <c r="B1578" s="895" t="s">
        <v>19769</v>
      </c>
      <c r="C1578" s="895" t="s">
        <v>226</v>
      </c>
      <c r="D1578" s="895">
        <v>409.05</v>
      </c>
    </row>
    <row r="1579" spans="1:4" x14ac:dyDescent="0.2">
      <c r="A1579" s="895">
        <v>90475</v>
      </c>
      <c r="B1579" s="895" t="s">
        <v>19770</v>
      </c>
      <c r="C1579" s="895" t="s">
        <v>226</v>
      </c>
      <c r="D1579" s="895">
        <v>474.17</v>
      </c>
    </row>
    <row r="1580" spans="1:4" x14ac:dyDescent="0.2">
      <c r="A1580" s="895">
        <v>90476</v>
      </c>
      <c r="B1580" s="895" t="s">
        <v>19771</v>
      </c>
      <c r="C1580" s="895" t="s">
        <v>226</v>
      </c>
      <c r="D1580" s="895">
        <v>521.67999999999995</v>
      </c>
    </row>
    <row r="1581" spans="1:4" x14ac:dyDescent="0.2">
      <c r="A1581" s="895">
        <v>90477</v>
      </c>
      <c r="B1581" s="895" t="s">
        <v>19772</v>
      </c>
      <c r="C1581" s="895" t="s">
        <v>226</v>
      </c>
      <c r="D1581" s="895">
        <v>554.86</v>
      </c>
    </row>
    <row r="1582" spans="1:4" x14ac:dyDescent="0.2">
      <c r="A1582" s="895">
        <v>90478</v>
      </c>
      <c r="B1582" s="895" t="s">
        <v>19773</v>
      </c>
      <c r="C1582" s="895" t="s">
        <v>226</v>
      </c>
      <c r="D1582" s="895">
        <v>2220.92</v>
      </c>
    </row>
    <row r="1583" spans="1:4" x14ac:dyDescent="0.2">
      <c r="A1583" s="895">
        <v>90487</v>
      </c>
      <c r="B1583" s="895" t="s">
        <v>19774</v>
      </c>
      <c r="C1583" s="895" t="s">
        <v>226</v>
      </c>
      <c r="D1583" s="895">
        <v>492</v>
      </c>
    </row>
    <row r="1584" spans="1:4" x14ac:dyDescent="0.2">
      <c r="A1584" s="895">
        <v>90488</v>
      </c>
      <c r="B1584" s="895" t="s">
        <v>19775</v>
      </c>
      <c r="C1584" s="895" t="s">
        <v>226</v>
      </c>
      <c r="D1584" s="895">
        <v>544.37</v>
      </c>
    </row>
    <row r="1585" spans="1:4" x14ac:dyDescent="0.2">
      <c r="A1585" s="895">
        <v>90489</v>
      </c>
      <c r="B1585" s="895" t="s">
        <v>19776</v>
      </c>
      <c r="C1585" s="895" t="s">
        <v>226</v>
      </c>
      <c r="D1585" s="895">
        <v>578.26</v>
      </c>
    </row>
    <row r="1586" spans="1:4" x14ac:dyDescent="0.2">
      <c r="A1586" s="895">
        <v>90490</v>
      </c>
      <c r="B1586" s="895" t="s">
        <v>19777</v>
      </c>
      <c r="C1586" s="895" t="s">
        <v>226</v>
      </c>
      <c r="D1586" s="895">
        <v>2635.53</v>
      </c>
    </row>
    <row r="1587" spans="1:4" x14ac:dyDescent="0.2">
      <c r="A1587" s="895">
        <v>90500</v>
      </c>
      <c r="B1587" s="895" t="s">
        <v>19778</v>
      </c>
      <c r="C1587" s="895" t="s">
        <v>18269</v>
      </c>
      <c r="D1587" s="895" t="s">
        <v>18269</v>
      </c>
    </row>
    <row r="1588" spans="1:4" x14ac:dyDescent="0.2">
      <c r="A1588" s="895">
        <v>90506</v>
      </c>
      <c r="B1588" s="895" t="s">
        <v>19779</v>
      </c>
      <c r="C1588" s="895" t="s">
        <v>226</v>
      </c>
      <c r="D1588" s="895">
        <v>697.96</v>
      </c>
    </row>
    <row r="1589" spans="1:4" x14ac:dyDescent="0.2">
      <c r="A1589" s="895">
        <v>90510</v>
      </c>
      <c r="B1589" s="895" t="s">
        <v>19780</v>
      </c>
      <c r="C1589" s="895" t="s">
        <v>3</v>
      </c>
      <c r="D1589" s="895">
        <v>1339.34</v>
      </c>
    </row>
    <row r="1590" spans="1:4" x14ac:dyDescent="0.2">
      <c r="A1590" s="895">
        <v>90512</v>
      </c>
      <c r="B1590" s="895" t="s">
        <v>19781</v>
      </c>
      <c r="C1590" s="895" t="s">
        <v>226</v>
      </c>
      <c r="D1590" s="895">
        <v>905.95</v>
      </c>
    </row>
    <row r="1591" spans="1:4" x14ac:dyDescent="0.2">
      <c r="A1591" s="895">
        <v>90514</v>
      </c>
      <c r="B1591" s="895" t="s">
        <v>19782</v>
      </c>
      <c r="C1591" s="895" t="s">
        <v>226</v>
      </c>
      <c r="D1591" s="895">
        <v>1535.59</v>
      </c>
    </row>
    <row r="1592" spans="1:4" x14ac:dyDescent="0.2">
      <c r="A1592" s="895">
        <v>90517</v>
      </c>
      <c r="B1592" s="895" t="s">
        <v>19783</v>
      </c>
      <c r="C1592" s="895" t="s">
        <v>226</v>
      </c>
      <c r="D1592" s="895">
        <v>1758.41</v>
      </c>
    </row>
    <row r="1593" spans="1:4" x14ac:dyDescent="0.2">
      <c r="A1593" s="895">
        <v>90519</v>
      </c>
      <c r="B1593" s="895" t="s">
        <v>19784</v>
      </c>
      <c r="C1593" s="895" t="s">
        <v>226</v>
      </c>
      <c r="D1593" s="895">
        <v>3409.45</v>
      </c>
    </row>
    <row r="1594" spans="1:4" x14ac:dyDescent="0.2">
      <c r="A1594" s="895">
        <v>90520</v>
      </c>
      <c r="B1594" s="895" t="s">
        <v>19785</v>
      </c>
      <c r="C1594" s="895" t="s">
        <v>226</v>
      </c>
      <c r="D1594" s="895">
        <v>19.559999999999999</v>
      </c>
    </row>
    <row r="1595" spans="1:4" x14ac:dyDescent="0.2">
      <c r="A1595" s="895">
        <v>90521</v>
      </c>
      <c r="B1595" s="895" t="s">
        <v>19786</v>
      </c>
      <c r="C1595" s="895" t="s">
        <v>226</v>
      </c>
      <c r="D1595" s="895">
        <v>19.05</v>
      </c>
    </row>
    <row r="1596" spans="1:4" x14ac:dyDescent="0.2">
      <c r="A1596" s="895">
        <v>90522</v>
      </c>
      <c r="B1596" s="895" t="s">
        <v>19787</v>
      </c>
      <c r="C1596" s="895" t="s">
        <v>226</v>
      </c>
      <c r="D1596" s="895">
        <v>15.53</v>
      </c>
    </row>
    <row r="1597" spans="1:4" x14ac:dyDescent="0.2">
      <c r="A1597" s="895">
        <v>90523</v>
      </c>
      <c r="B1597" s="895" t="s">
        <v>19788</v>
      </c>
      <c r="C1597" s="895" t="s">
        <v>226</v>
      </c>
      <c r="D1597" s="895">
        <v>28.53</v>
      </c>
    </row>
    <row r="1598" spans="1:4" x14ac:dyDescent="0.2">
      <c r="A1598" s="895">
        <v>90524</v>
      </c>
      <c r="B1598" s="895" t="s">
        <v>19789</v>
      </c>
      <c r="C1598" s="895" t="s">
        <v>226</v>
      </c>
      <c r="D1598" s="895">
        <v>15.8</v>
      </c>
    </row>
    <row r="1599" spans="1:4" x14ac:dyDescent="0.2">
      <c r="A1599" s="895">
        <v>90525</v>
      </c>
      <c r="B1599" s="895" t="s">
        <v>19790</v>
      </c>
      <c r="C1599" s="895" t="s">
        <v>226</v>
      </c>
      <c r="D1599" s="895">
        <v>17.11</v>
      </c>
    </row>
    <row r="1600" spans="1:4" x14ac:dyDescent="0.2">
      <c r="A1600" s="895">
        <v>90526</v>
      </c>
      <c r="B1600" s="895" t="s">
        <v>19791</v>
      </c>
      <c r="C1600" s="895" t="s">
        <v>226</v>
      </c>
      <c r="D1600" s="895">
        <v>26.93</v>
      </c>
    </row>
    <row r="1601" spans="1:4" x14ac:dyDescent="0.2">
      <c r="A1601" s="895">
        <v>90527</v>
      </c>
      <c r="B1601" s="895" t="s">
        <v>19792</v>
      </c>
      <c r="C1601" s="895" t="s">
        <v>226</v>
      </c>
      <c r="D1601" s="895">
        <v>15.57</v>
      </c>
    </row>
    <row r="1602" spans="1:4" x14ac:dyDescent="0.2">
      <c r="A1602" s="895">
        <v>90528</v>
      </c>
      <c r="B1602" s="895" t="s">
        <v>19793</v>
      </c>
      <c r="C1602" s="895" t="s">
        <v>226</v>
      </c>
      <c r="D1602" s="895">
        <v>30.43</v>
      </c>
    </row>
    <row r="1603" spans="1:4" x14ac:dyDescent="0.2">
      <c r="A1603" s="895">
        <v>90529</v>
      </c>
      <c r="B1603" s="895" t="s">
        <v>19794</v>
      </c>
      <c r="C1603" s="895" t="s">
        <v>226</v>
      </c>
      <c r="D1603" s="895">
        <v>30.49</v>
      </c>
    </row>
    <row r="1604" spans="1:4" x14ac:dyDescent="0.2">
      <c r="A1604" s="895">
        <v>90530</v>
      </c>
      <c r="B1604" s="895" t="s">
        <v>19795</v>
      </c>
      <c r="C1604" s="895" t="s">
        <v>226</v>
      </c>
      <c r="D1604" s="895">
        <v>34.479999999999997</v>
      </c>
    </row>
    <row r="1605" spans="1:4" x14ac:dyDescent="0.2">
      <c r="A1605" s="895">
        <v>90531</v>
      </c>
      <c r="B1605" s="895" t="s">
        <v>19796</v>
      </c>
      <c r="C1605" s="895" t="s">
        <v>226</v>
      </c>
      <c r="D1605" s="895">
        <v>49.75</v>
      </c>
    </row>
    <row r="1606" spans="1:4" x14ac:dyDescent="0.2">
      <c r="A1606" s="895">
        <v>90532</v>
      </c>
      <c r="B1606" s="895" t="s">
        <v>19797</v>
      </c>
      <c r="C1606" s="895" t="s">
        <v>226</v>
      </c>
      <c r="D1606" s="895">
        <v>49.94</v>
      </c>
    </row>
    <row r="1607" spans="1:4" x14ac:dyDescent="0.2">
      <c r="A1607" s="895">
        <v>90533</v>
      </c>
      <c r="B1607" s="895" t="s">
        <v>19798</v>
      </c>
      <c r="C1607" s="895" t="s">
        <v>226</v>
      </c>
      <c r="D1607" s="895">
        <v>95.31</v>
      </c>
    </row>
    <row r="1608" spans="1:4" x14ac:dyDescent="0.2">
      <c r="A1608" s="895">
        <v>90534</v>
      </c>
      <c r="B1608" s="895" t="s">
        <v>19799</v>
      </c>
      <c r="C1608" s="895" t="s">
        <v>226</v>
      </c>
      <c r="D1608" s="895">
        <v>191.17</v>
      </c>
    </row>
    <row r="1609" spans="1:4" x14ac:dyDescent="0.2">
      <c r="A1609" s="895">
        <v>90535</v>
      </c>
      <c r="B1609" s="895" t="s">
        <v>19800</v>
      </c>
      <c r="C1609" s="895" t="s">
        <v>226</v>
      </c>
      <c r="D1609" s="895">
        <v>207.67</v>
      </c>
    </row>
    <row r="1610" spans="1:4" x14ac:dyDescent="0.2">
      <c r="A1610" s="895">
        <v>90537</v>
      </c>
      <c r="B1610" s="895" t="s">
        <v>19801</v>
      </c>
      <c r="C1610" s="895" t="s">
        <v>226</v>
      </c>
      <c r="D1610" s="895">
        <v>372.47</v>
      </c>
    </row>
    <row r="1611" spans="1:4" x14ac:dyDescent="0.2">
      <c r="A1611" s="895">
        <v>90539</v>
      </c>
      <c r="B1611" s="895" t="s">
        <v>19802</v>
      </c>
      <c r="C1611" s="895" t="s">
        <v>226</v>
      </c>
      <c r="D1611" s="895">
        <v>39.159999999999997</v>
      </c>
    </row>
    <row r="1612" spans="1:4" x14ac:dyDescent="0.2">
      <c r="A1612" s="895">
        <v>90540</v>
      </c>
      <c r="B1612" s="895" t="s">
        <v>19803</v>
      </c>
      <c r="C1612" s="895" t="s">
        <v>226</v>
      </c>
      <c r="D1612" s="895">
        <v>71.72</v>
      </c>
    </row>
    <row r="1613" spans="1:4" x14ac:dyDescent="0.2">
      <c r="A1613" s="895">
        <v>90541</v>
      </c>
      <c r="B1613" s="895" t="s">
        <v>19804</v>
      </c>
      <c r="C1613" s="895" t="s">
        <v>226</v>
      </c>
      <c r="D1613" s="895">
        <v>102.95</v>
      </c>
    </row>
    <row r="1614" spans="1:4" x14ac:dyDescent="0.2">
      <c r="A1614" s="895">
        <v>90542</v>
      </c>
      <c r="B1614" s="895" t="s">
        <v>19805</v>
      </c>
      <c r="C1614" s="895" t="s">
        <v>226</v>
      </c>
      <c r="D1614" s="895">
        <v>150.15</v>
      </c>
    </row>
    <row r="1615" spans="1:4" x14ac:dyDescent="0.2">
      <c r="A1615" s="895">
        <v>90543</v>
      </c>
      <c r="B1615" s="895" t="s">
        <v>19806</v>
      </c>
      <c r="C1615" s="895" t="s">
        <v>226</v>
      </c>
      <c r="D1615" s="895">
        <v>110.58</v>
      </c>
    </row>
    <row r="1616" spans="1:4" x14ac:dyDescent="0.2">
      <c r="A1616" s="895">
        <v>90544</v>
      </c>
      <c r="B1616" s="895" t="s">
        <v>19807</v>
      </c>
      <c r="C1616" s="895" t="s">
        <v>226</v>
      </c>
      <c r="D1616" s="895">
        <v>235.41</v>
      </c>
    </row>
    <row r="1617" spans="1:4" x14ac:dyDescent="0.2">
      <c r="A1617" s="895">
        <v>90545</v>
      </c>
      <c r="B1617" s="895" t="s">
        <v>19808</v>
      </c>
      <c r="C1617" s="895" t="s">
        <v>226</v>
      </c>
      <c r="D1617" s="895">
        <v>520.64</v>
      </c>
    </row>
    <row r="1618" spans="1:4" x14ac:dyDescent="0.2">
      <c r="A1618" s="895">
        <v>90550</v>
      </c>
      <c r="B1618" s="895" t="s">
        <v>19809</v>
      </c>
      <c r="C1618" s="895" t="s">
        <v>226</v>
      </c>
      <c r="D1618" s="895">
        <v>357.22</v>
      </c>
    </row>
    <row r="1619" spans="1:4" x14ac:dyDescent="0.2">
      <c r="A1619" s="895">
        <v>90551</v>
      </c>
      <c r="B1619" s="895" t="s">
        <v>19810</v>
      </c>
      <c r="C1619" s="895" t="s">
        <v>226</v>
      </c>
      <c r="D1619" s="895">
        <v>431.8</v>
      </c>
    </row>
    <row r="1620" spans="1:4" x14ac:dyDescent="0.2">
      <c r="A1620" s="895">
        <v>90555</v>
      </c>
      <c r="B1620" s="895" t="s">
        <v>2923</v>
      </c>
      <c r="C1620" s="895" t="s">
        <v>159</v>
      </c>
      <c r="D1620" s="895">
        <v>59.37</v>
      </c>
    </row>
    <row r="1621" spans="1:4" x14ac:dyDescent="0.2">
      <c r="A1621" s="895">
        <v>90556</v>
      </c>
      <c r="B1621" s="895" t="s">
        <v>19811</v>
      </c>
      <c r="C1621" s="895" t="s">
        <v>159</v>
      </c>
      <c r="D1621" s="895">
        <v>194.03</v>
      </c>
    </row>
    <row r="1622" spans="1:4" x14ac:dyDescent="0.2">
      <c r="A1622" s="895">
        <v>90557</v>
      </c>
      <c r="B1622" s="895" t="s">
        <v>19812</v>
      </c>
      <c r="C1622" s="895" t="s">
        <v>159</v>
      </c>
      <c r="D1622" s="895">
        <v>516.65</v>
      </c>
    </row>
    <row r="1623" spans="1:4" x14ac:dyDescent="0.2">
      <c r="A1623" s="895">
        <v>90558</v>
      </c>
      <c r="B1623" s="895" t="s">
        <v>19813</v>
      </c>
      <c r="C1623" s="895" t="s">
        <v>227</v>
      </c>
      <c r="D1623" s="895">
        <v>298.02999999999997</v>
      </c>
    </row>
    <row r="1624" spans="1:4" x14ac:dyDescent="0.2">
      <c r="A1624" s="895">
        <v>90559</v>
      </c>
      <c r="B1624" s="895" t="s">
        <v>19814</v>
      </c>
      <c r="C1624" s="895" t="s">
        <v>227</v>
      </c>
      <c r="D1624" s="895">
        <v>408</v>
      </c>
    </row>
    <row r="1625" spans="1:4" x14ac:dyDescent="0.2">
      <c r="A1625" s="895">
        <v>90560</v>
      </c>
      <c r="B1625" s="895" t="s">
        <v>19815</v>
      </c>
      <c r="C1625" s="895" t="s">
        <v>227</v>
      </c>
      <c r="D1625" s="895">
        <v>255.36</v>
      </c>
    </row>
    <row r="1626" spans="1:4" x14ac:dyDescent="0.2">
      <c r="A1626" s="895">
        <v>90562</v>
      </c>
      <c r="B1626" s="895" t="s">
        <v>19816</v>
      </c>
      <c r="C1626" s="895" t="s">
        <v>226</v>
      </c>
      <c r="D1626" s="895">
        <v>152.69</v>
      </c>
    </row>
    <row r="1627" spans="1:4" x14ac:dyDescent="0.2">
      <c r="A1627" s="895">
        <v>90563</v>
      </c>
      <c r="B1627" s="895" t="s">
        <v>19817</v>
      </c>
      <c r="C1627" s="895" t="s">
        <v>226</v>
      </c>
      <c r="D1627" s="895">
        <v>283.70999999999998</v>
      </c>
    </row>
    <row r="1628" spans="1:4" x14ac:dyDescent="0.2">
      <c r="A1628" s="895">
        <v>90564</v>
      </c>
      <c r="B1628" s="895" t="s">
        <v>19818</v>
      </c>
      <c r="C1628" s="895" t="s">
        <v>226</v>
      </c>
      <c r="D1628" s="895">
        <v>527.42999999999995</v>
      </c>
    </row>
    <row r="1629" spans="1:4" x14ac:dyDescent="0.2">
      <c r="A1629" s="895">
        <v>90565</v>
      </c>
      <c r="B1629" s="895" t="s">
        <v>19819</v>
      </c>
      <c r="C1629" s="895" t="s">
        <v>226</v>
      </c>
      <c r="D1629" s="895">
        <v>850.15</v>
      </c>
    </row>
    <row r="1630" spans="1:4" x14ac:dyDescent="0.2">
      <c r="A1630" s="895">
        <v>90566</v>
      </c>
      <c r="B1630" s="895" t="s">
        <v>19820</v>
      </c>
      <c r="C1630" s="895" t="s">
        <v>226</v>
      </c>
      <c r="D1630" s="895">
        <v>1720.94</v>
      </c>
    </row>
    <row r="1631" spans="1:4" x14ac:dyDescent="0.2">
      <c r="A1631" s="895">
        <v>90567</v>
      </c>
      <c r="B1631" s="895" t="s">
        <v>19821</v>
      </c>
      <c r="C1631" s="895" t="s">
        <v>226</v>
      </c>
      <c r="D1631" s="895">
        <v>2356.96</v>
      </c>
    </row>
    <row r="1632" spans="1:4" x14ac:dyDescent="0.2">
      <c r="A1632" s="895">
        <v>90568</v>
      </c>
      <c r="B1632" s="895" t="s">
        <v>19822</v>
      </c>
      <c r="C1632" s="895" t="s">
        <v>226</v>
      </c>
      <c r="D1632" s="895">
        <v>145.69999999999999</v>
      </c>
    </row>
    <row r="1633" spans="1:4" x14ac:dyDescent="0.2">
      <c r="A1633" s="895">
        <v>90569</v>
      </c>
      <c r="B1633" s="895" t="s">
        <v>19823</v>
      </c>
      <c r="C1633" s="895" t="s">
        <v>226</v>
      </c>
      <c r="D1633" s="895">
        <v>154.03</v>
      </c>
    </row>
    <row r="1634" spans="1:4" x14ac:dyDescent="0.2">
      <c r="A1634" s="895">
        <v>90570</v>
      </c>
      <c r="B1634" s="895" t="s">
        <v>19824</v>
      </c>
      <c r="C1634" s="895" t="s">
        <v>226</v>
      </c>
      <c r="D1634" s="895">
        <v>205.74</v>
      </c>
    </row>
    <row r="1635" spans="1:4" x14ac:dyDescent="0.2">
      <c r="A1635" s="895">
        <v>90571</v>
      </c>
      <c r="B1635" s="895" t="s">
        <v>2921</v>
      </c>
      <c r="C1635" s="895" t="s">
        <v>226</v>
      </c>
      <c r="D1635" s="895">
        <v>289.41000000000003</v>
      </c>
    </row>
    <row r="1636" spans="1:4" x14ac:dyDescent="0.2">
      <c r="A1636" s="895">
        <v>90572</v>
      </c>
      <c r="B1636" s="895" t="s">
        <v>19825</v>
      </c>
      <c r="C1636" s="895" t="s">
        <v>226</v>
      </c>
      <c r="D1636" s="895">
        <v>344.89</v>
      </c>
    </row>
    <row r="1637" spans="1:4" x14ac:dyDescent="0.2">
      <c r="A1637" s="895">
        <v>90573</v>
      </c>
      <c r="B1637" s="895" t="s">
        <v>19826</v>
      </c>
      <c r="C1637" s="895" t="s">
        <v>226</v>
      </c>
      <c r="D1637" s="895">
        <v>700.59</v>
      </c>
    </row>
    <row r="1638" spans="1:4" x14ac:dyDescent="0.2">
      <c r="A1638" s="895">
        <v>90590</v>
      </c>
      <c r="B1638" s="895" t="s">
        <v>19827</v>
      </c>
      <c r="C1638" s="895" t="s">
        <v>226</v>
      </c>
      <c r="D1638" s="895">
        <v>93.35</v>
      </c>
    </row>
    <row r="1639" spans="1:4" x14ac:dyDescent="0.2">
      <c r="A1639" s="895">
        <v>90598</v>
      </c>
      <c r="B1639" s="895" t="s">
        <v>19828</v>
      </c>
      <c r="C1639" s="895" t="s">
        <v>227</v>
      </c>
      <c r="D1639" s="895">
        <v>1594.3</v>
      </c>
    </row>
    <row r="1640" spans="1:4" x14ac:dyDescent="0.2">
      <c r="A1640" s="895">
        <v>90600</v>
      </c>
      <c r="B1640" s="895" t="s">
        <v>19829</v>
      </c>
      <c r="C1640" s="895" t="s">
        <v>18269</v>
      </c>
      <c r="D1640" s="895" t="s">
        <v>18269</v>
      </c>
    </row>
    <row r="1641" spans="1:4" x14ac:dyDescent="0.2">
      <c r="A1641" s="895">
        <v>90618</v>
      </c>
      <c r="B1641" s="895" t="s">
        <v>19830</v>
      </c>
      <c r="C1641" s="895" t="s">
        <v>226</v>
      </c>
      <c r="D1641" s="895">
        <v>1862.76</v>
      </c>
    </row>
    <row r="1642" spans="1:4" x14ac:dyDescent="0.2">
      <c r="A1642" s="895">
        <v>90619</v>
      </c>
      <c r="B1642" s="895" t="s">
        <v>19831</v>
      </c>
      <c r="C1642" s="895" t="s">
        <v>226</v>
      </c>
      <c r="D1642" s="895">
        <v>2566.3200000000002</v>
      </c>
    </row>
    <row r="1643" spans="1:4" x14ac:dyDescent="0.2">
      <c r="A1643" s="895">
        <v>90620</v>
      </c>
      <c r="B1643" s="895" t="s">
        <v>19832</v>
      </c>
      <c r="C1643" s="895" t="s">
        <v>226</v>
      </c>
      <c r="D1643" s="895">
        <v>4260.74</v>
      </c>
    </row>
    <row r="1644" spans="1:4" x14ac:dyDescent="0.2">
      <c r="A1644" s="895">
        <v>90623</v>
      </c>
      <c r="B1644" s="895" t="s">
        <v>19833</v>
      </c>
      <c r="C1644" s="895" t="s">
        <v>226</v>
      </c>
      <c r="D1644" s="895">
        <v>341.94</v>
      </c>
    </row>
    <row r="1645" spans="1:4" x14ac:dyDescent="0.2">
      <c r="A1645" s="895">
        <v>90624</v>
      </c>
      <c r="B1645" s="895" t="s">
        <v>19834</v>
      </c>
      <c r="C1645" s="895" t="s">
        <v>226</v>
      </c>
      <c r="D1645" s="895">
        <v>814.64</v>
      </c>
    </row>
    <row r="1646" spans="1:4" x14ac:dyDescent="0.2">
      <c r="A1646" s="895">
        <v>90625</v>
      </c>
      <c r="B1646" s="895" t="s">
        <v>19835</v>
      </c>
      <c r="C1646" s="895" t="s">
        <v>226</v>
      </c>
      <c r="D1646" s="895">
        <v>1124.1400000000001</v>
      </c>
    </row>
    <row r="1647" spans="1:4" x14ac:dyDescent="0.2">
      <c r="A1647" s="895">
        <v>90626</v>
      </c>
      <c r="B1647" s="895" t="s">
        <v>19836</v>
      </c>
      <c r="C1647" s="895" t="s">
        <v>226</v>
      </c>
      <c r="D1647" s="895">
        <v>1483.22</v>
      </c>
    </row>
    <row r="1648" spans="1:4" x14ac:dyDescent="0.2">
      <c r="A1648" s="895">
        <v>90627</v>
      </c>
      <c r="B1648" s="895" t="s">
        <v>19837</v>
      </c>
      <c r="C1648" s="895" t="s">
        <v>226</v>
      </c>
      <c r="D1648" s="895">
        <v>449.71</v>
      </c>
    </row>
    <row r="1649" spans="1:4" x14ac:dyDescent="0.2">
      <c r="A1649" s="895">
        <v>90628</v>
      </c>
      <c r="B1649" s="895" t="s">
        <v>19838</v>
      </c>
      <c r="C1649" s="895" t="s">
        <v>226</v>
      </c>
      <c r="D1649" s="895">
        <v>892.36</v>
      </c>
    </row>
    <row r="1650" spans="1:4" x14ac:dyDescent="0.2">
      <c r="A1650" s="895">
        <v>90629</v>
      </c>
      <c r="B1650" s="895" t="s">
        <v>19839</v>
      </c>
      <c r="C1650" s="895" t="s">
        <v>226</v>
      </c>
      <c r="D1650" s="895">
        <v>1259.98</v>
      </c>
    </row>
    <row r="1651" spans="1:4" x14ac:dyDescent="0.2">
      <c r="A1651" s="895">
        <v>90630</v>
      </c>
      <c r="B1651" s="895" t="s">
        <v>19840</v>
      </c>
      <c r="C1651" s="895" t="s">
        <v>226</v>
      </c>
      <c r="D1651" s="895">
        <v>2356.2199999999998</v>
      </c>
    </row>
    <row r="1652" spans="1:4" x14ac:dyDescent="0.2">
      <c r="A1652" s="895">
        <v>90633</v>
      </c>
      <c r="B1652" s="895" t="s">
        <v>19841</v>
      </c>
      <c r="C1652" s="895" t="s">
        <v>226</v>
      </c>
      <c r="D1652" s="895">
        <v>170.98</v>
      </c>
    </row>
    <row r="1653" spans="1:4" x14ac:dyDescent="0.2">
      <c r="A1653" s="895">
        <v>90636</v>
      </c>
      <c r="B1653" s="895" t="s">
        <v>19842</v>
      </c>
      <c r="C1653" s="895" t="s">
        <v>226</v>
      </c>
      <c r="D1653" s="895">
        <v>331.44</v>
      </c>
    </row>
    <row r="1654" spans="1:4" x14ac:dyDescent="0.2">
      <c r="A1654" s="895">
        <v>90649</v>
      </c>
      <c r="B1654" s="895" t="s">
        <v>19843</v>
      </c>
      <c r="C1654" s="895" t="s">
        <v>226</v>
      </c>
      <c r="D1654" s="895">
        <v>11.38</v>
      </c>
    </row>
    <row r="1655" spans="1:4" x14ac:dyDescent="0.2">
      <c r="A1655" s="895">
        <v>90658</v>
      </c>
      <c r="B1655" s="895" t="s">
        <v>19844</v>
      </c>
      <c r="C1655" s="895" t="s">
        <v>226</v>
      </c>
      <c r="D1655" s="895">
        <v>62.48</v>
      </c>
    </row>
    <row r="1656" spans="1:4" x14ac:dyDescent="0.2">
      <c r="A1656" s="895">
        <v>90659</v>
      </c>
      <c r="B1656" s="895" t="s">
        <v>19845</v>
      </c>
      <c r="C1656" s="895" t="s">
        <v>226</v>
      </c>
      <c r="D1656" s="895">
        <v>94.98</v>
      </c>
    </row>
    <row r="1657" spans="1:4" x14ac:dyDescent="0.2">
      <c r="A1657" s="895">
        <v>90660</v>
      </c>
      <c r="B1657" s="895" t="s">
        <v>19846</v>
      </c>
      <c r="C1657" s="895" t="s">
        <v>226</v>
      </c>
      <c r="D1657" s="895">
        <v>122.4</v>
      </c>
    </row>
    <row r="1658" spans="1:4" x14ac:dyDescent="0.2">
      <c r="A1658" s="895">
        <v>90661</v>
      </c>
      <c r="B1658" s="895" t="s">
        <v>19847</v>
      </c>
      <c r="C1658" s="895" t="s">
        <v>226</v>
      </c>
      <c r="D1658" s="895">
        <v>800.2</v>
      </c>
    </row>
    <row r="1659" spans="1:4" x14ac:dyDescent="0.2">
      <c r="A1659" s="895">
        <v>90662</v>
      </c>
      <c r="B1659" s="895" t="s">
        <v>19848</v>
      </c>
      <c r="C1659" s="895" t="s">
        <v>226</v>
      </c>
      <c r="D1659" s="895">
        <v>69.59</v>
      </c>
    </row>
    <row r="1660" spans="1:4" x14ac:dyDescent="0.2">
      <c r="A1660" s="895">
        <v>90663</v>
      </c>
      <c r="B1660" s="895" t="s">
        <v>19849</v>
      </c>
      <c r="C1660" s="895" t="s">
        <v>226</v>
      </c>
      <c r="D1660" s="895">
        <v>82.34</v>
      </c>
    </row>
    <row r="1661" spans="1:4" x14ac:dyDescent="0.2">
      <c r="A1661" s="895">
        <v>90664</v>
      </c>
      <c r="B1661" s="895" t="s">
        <v>19850</v>
      </c>
      <c r="C1661" s="895" t="s">
        <v>226</v>
      </c>
      <c r="D1661" s="895">
        <v>106.39</v>
      </c>
    </row>
    <row r="1662" spans="1:4" x14ac:dyDescent="0.2">
      <c r="A1662" s="895">
        <v>90665</v>
      </c>
      <c r="B1662" s="895" t="s">
        <v>19851</v>
      </c>
      <c r="C1662" s="895" t="s">
        <v>226</v>
      </c>
      <c r="D1662" s="895">
        <v>218.78</v>
      </c>
    </row>
    <row r="1663" spans="1:4" x14ac:dyDescent="0.2">
      <c r="A1663" s="895">
        <v>90666</v>
      </c>
      <c r="B1663" s="895" t="s">
        <v>19852</v>
      </c>
      <c r="C1663" s="895" t="s">
        <v>226</v>
      </c>
      <c r="D1663" s="895">
        <v>292.98</v>
      </c>
    </row>
    <row r="1664" spans="1:4" x14ac:dyDescent="0.2">
      <c r="A1664" s="895">
        <v>90667</v>
      </c>
      <c r="B1664" s="895" t="s">
        <v>19853</v>
      </c>
      <c r="C1664" s="895" t="s">
        <v>226</v>
      </c>
      <c r="D1664" s="895">
        <v>417.28</v>
      </c>
    </row>
    <row r="1665" spans="1:4" x14ac:dyDescent="0.2">
      <c r="A1665" s="895">
        <v>90668</v>
      </c>
      <c r="B1665" s="895" t="s">
        <v>19854</v>
      </c>
      <c r="C1665" s="895" t="s">
        <v>226</v>
      </c>
      <c r="D1665" s="895">
        <v>1596.26</v>
      </c>
    </row>
    <row r="1666" spans="1:4" x14ac:dyDescent="0.2">
      <c r="A1666" s="895">
        <v>90669</v>
      </c>
      <c r="B1666" s="895" t="s">
        <v>19855</v>
      </c>
      <c r="C1666" s="895" t="s">
        <v>226</v>
      </c>
      <c r="D1666" s="895">
        <v>15.85</v>
      </c>
    </row>
    <row r="1667" spans="1:4" x14ac:dyDescent="0.2">
      <c r="A1667" s="895">
        <v>90670</v>
      </c>
      <c r="B1667" s="895" t="s">
        <v>19856</v>
      </c>
      <c r="C1667" s="895" t="s">
        <v>226</v>
      </c>
      <c r="D1667" s="895">
        <v>34.130000000000003</v>
      </c>
    </row>
    <row r="1668" spans="1:4" x14ac:dyDescent="0.2">
      <c r="A1668" s="895">
        <v>90671</v>
      </c>
      <c r="B1668" s="895" t="s">
        <v>19857</v>
      </c>
      <c r="C1668" s="895" t="s">
        <v>226</v>
      </c>
      <c r="D1668" s="895">
        <v>37.869999999999997</v>
      </c>
    </row>
    <row r="1669" spans="1:4" x14ac:dyDescent="0.2">
      <c r="A1669" s="895">
        <v>90672</v>
      </c>
      <c r="B1669" s="895" t="s">
        <v>19858</v>
      </c>
      <c r="C1669" s="895" t="s">
        <v>226</v>
      </c>
      <c r="D1669" s="895">
        <v>53.68</v>
      </c>
    </row>
    <row r="1670" spans="1:4" x14ac:dyDescent="0.2">
      <c r="A1670" s="895">
        <v>90673</v>
      </c>
      <c r="B1670" s="895" t="s">
        <v>19859</v>
      </c>
      <c r="C1670" s="895" t="s">
        <v>158</v>
      </c>
      <c r="D1670" s="895">
        <v>17.41</v>
      </c>
    </row>
    <row r="1671" spans="1:4" x14ac:dyDescent="0.2">
      <c r="A1671" s="895">
        <v>90674</v>
      </c>
      <c r="B1671" s="895" t="s">
        <v>19860</v>
      </c>
      <c r="C1671" s="895" t="s">
        <v>158</v>
      </c>
      <c r="D1671" s="895">
        <v>27.82</v>
      </c>
    </row>
    <row r="1672" spans="1:4" x14ac:dyDescent="0.2">
      <c r="A1672" s="895">
        <v>90675</v>
      </c>
      <c r="B1672" s="895" t="s">
        <v>19861</v>
      </c>
      <c r="C1672" s="895" t="s">
        <v>158</v>
      </c>
      <c r="D1672" s="895">
        <v>59.38</v>
      </c>
    </row>
    <row r="1673" spans="1:4" x14ac:dyDescent="0.2">
      <c r="A1673" s="895">
        <v>90676</v>
      </c>
      <c r="B1673" s="895" t="s">
        <v>19862</v>
      </c>
      <c r="C1673" s="895" t="s">
        <v>158</v>
      </c>
      <c r="D1673" s="895">
        <v>117.95</v>
      </c>
    </row>
    <row r="1674" spans="1:4" x14ac:dyDescent="0.2">
      <c r="A1674" s="895">
        <v>90677</v>
      </c>
      <c r="B1674" s="895" t="s">
        <v>19863</v>
      </c>
      <c r="C1674" s="895" t="s">
        <v>158</v>
      </c>
      <c r="D1674" s="895">
        <v>130.6</v>
      </c>
    </row>
    <row r="1675" spans="1:4" x14ac:dyDescent="0.2">
      <c r="A1675" s="895">
        <v>90678</v>
      </c>
      <c r="B1675" s="895" t="s">
        <v>19864</v>
      </c>
      <c r="C1675" s="895" t="s">
        <v>158</v>
      </c>
      <c r="D1675" s="895">
        <v>329.88</v>
      </c>
    </row>
    <row r="1676" spans="1:4" x14ac:dyDescent="0.2">
      <c r="A1676" s="895">
        <v>90679</v>
      </c>
      <c r="B1676" s="895" t="s">
        <v>19865</v>
      </c>
      <c r="C1676" s="895" t="s">
        <v>158</v>
      </c>
      <c r="D1676" s="895">
        <v>622.09</v>
      </c>
    </row>
    <row r="1677" spans="1:4" x14ac:dyDescent="0.2">
      <c r="A1677" s="895">
        <v>90680</v>
      </c>
      <c r="B1677" s="895" t="s">
        <v>19866</v>
      </c>
      <c r="C1677" s="895" t="s">
        <v>158</v>
      </c>
      <c r="D1677" s="895">
        <v>930.32</v>
      </c>
    </row>
    <row r="1678" spans="1:4" x14ac:dyDescent="0.2">
      <c r="A1678" s="895">
        <v>90681</v>
      </c>
      <c r="B1678" s="895" t="s">
        <v>19867</v>
      </c>
      <c r="C1678" s="895" t="s">
        <v>158</v>
      </c>
      <c r="D1678" s="895">
        <v>1158.02</v>
      </c>
    </row>
    <row r="1679" spans="1:4" x14ac:dyDescent="0.2">
      <c r="A1679" s="895">
        <v>90682</v>
      </c>
      <c r="B1679" s="895" t="s">
        <v>19868</v>
      </c>
      <c r="C1679" s="895" t="s">
        <v>158</v>
      </c>
      <c r="D1679" s="895">
        <v>1370.66</v>
      </c>
    </row>
    <row r="1680" spans="1:4" x14ac:dyDescent="0.2">
      <c r="A1680" s="895">
        <v>90683</v>
      </c>
      <c r="B1680" s="895" t="s">
        <v>19869</v>
      </c>
      <c r="C1680" s="895" t="s">
        <v>158</v>
      </c>
      <c r="D1680" s="895">
        <v>1489.25</v>
      </c>
    </row>
    <row r="1681" spans="1:4" x14ac:dyDescent="0.2">
      <c r="A1681" s="895">
        <v>90688</v>
      </c>
      <c r="B1681" s="895" t="s">
        <v>19870</v>
      </c>
      <c r="C1681" s="895" t="s">
        <v>227</v>
      </c>
      <c r="D1681" s="895">
        <v>468.86</v>
      </c>
    </row>
    <row r="1682" spans="1:4" x14ac:dyDescent="0.2">
      <c r="A1682" s="895">
        <v>90690</v>
      </c>
      <c r="B1682" s="895" t="s">
        <v>19871</v>
      </c>
      <c r="C1682" s="895" t="s">
        <v>158</v>
      </c>
      <c r="D1682" s="895">
        <v>8.7799999999999994</v>
      </c>
    </row>
    <row r="1683" spans="1:4" x14ac:dyDescent="0.2">
      <c r="A1683" s="895">
        <v>90691</v>
      </c>
      <c r="B1683" s="895" t="s">
        <v>19872</v>
      </c>
      <c r="C1683" s="895" t="s">
        <v>158</v>
      </c>
      <c r="D1683" s="895">
        <v>12.55</v>
      </c>
    </row>
    <row r="1684" spans="1:4" x14ac:dyDescent="0.2">
      <c r="A1684" s="895">
        <v>90692</v>
      </c>
      <c r="B1684" s="895" t="s">
        <v>19873</v>
      </c>
      <c r="C1684" s="895" t="s">
        <v>158</v>
      </c>
      <c r="D1684" s="895">
        <v>20.29</v>
      </c>
    </row>
    <row r="1685" spans="1:4" x14ac:dyDescent="0.2">
      <c r="A1685" s="895">
        <v>90693</v>
      </c>
      <c r="B1685" s="895" t="s">
        <v>19874</v>
      </c>
      <c r="C1685" s="895" t="s">
        <v>158</v>
      </c>
      <c r="D1685" s="895">
        <v>28.1</v>
      </c>
    </row>
    <row r="1686" spans="1:4" x14ac:dyDescent="0.2">
      <c r="A1686" s="932">
        <v>90694</v>
      </c>
      <c r="B1686" s="932" t="s">
        <v>19875</v>
      </c>
      <c r="C1686" s="932" t="s">
        <v>158</v>
      </c>
      <c r="D1686" s="932">
        <v>41.89</v>
      </c>
    </row>
    <row r="1687" spans="1:4" x14ac:dyDescent="0.2">
      <c r="A1687" s="895">
        <v>90695</v>
      </c>
      <c r="B1687" s="895" t="s">
        <v>19876</v>
      </c>
      <c r="C1687" s="895" t="s">
        <v>158</v>
      </c>
      <c r="D1687" s="895">
        <v>62.01</v>
      </c>
    </row>
    <row r="1688" spans="1:4" x14ac:dyDescent="0.2">
      <c r="A1688" s="895">
        <v>90696</v>
      </c>
      <c r="B1688" s="895" t="s">
        <v>19877</v>
      </c>
      <c r="C1688" s="895" t="s">
        <v>158</v>
      </c>
      <c r="D1688" s="895">
        <v>74.06</v>
      </c>
    </row>
    <row r="1689" spans="1:4" x14ac:dyDescent="0.2">
      <c r="A1689" s="895">
        <v>90697</v>
      </c>
      <c r="B1689" s="895" t="s">
        <v>19878</v>
      </c>
      <c r="C1689" s="895" t="s">
        <v>158</v>
      </c>
      <c r="D1689" s="895">
        <v>112.95</v>
      </c>
    </row>
    <row r="1690" spans="1:4" x14ac:dyDescent="0.2">
      <c r="A1690" s="895">
        <v>90698</v>
      </c>
      <c r="B1690" s="895" t="s">
        <v>19879</v>
      </c>
      <c r="C1690" s="895" t="s">
        <v>158</v>
      </c>
      <c r="D1690" s="895">
        <v>126.54</v>
      </c>
    </row>
    <row r="1691" spans="1:4" x14ac:dyDescent="0.2">
      <c r="A1691" s="895">
        <v>90699</v>
      </c>
      <c r="B1691" s="895" t="s">
        <v>19880</v>
      </c>
      <c r="C1691" s="895" t="s">
        <v>226</v>
      </c>
      <c r="D1691" s="895">
        <v>421.39</v>
      </c>
    </row>
    <row r="1692" spans="1:4" x14ac:dyDescent="0.2">
      <c r="A1692" s="895">
        <v>90700</v>
      </c>
      <c r="B1692" s="895" t="s">
        <v>19881</v>
      </c>
      <c r="C1692" s="895" t="s">
        <v>18269</v>
      </c>
      <c r="D1692" s="895" t="s">
        <v>18269</v>
      </c>
    </row>
    <row r="1693" spans="1:4" x14ac:dyDescent="0.2">
      <c r="A1693" s="895">
        <v>90701</v>
      </c>
      <c r="B1693" s="895" t="s">
        <v>19882</v>
      </c>
      <c r="C1693" s="895" t="s">
        <v>226</v>
      </c>
      <c r="D1693" s="895">
        <v>150.4</v>
      </c>
    </row>
    <row r="1694" spans="1:4" x14ac:dyDescent="0.2">
      <c r="A1694" s="895">
        <v>90702</v>
      </c>
      <c r="B1694" s="895" t="s">
        <v>19883</v>
      </c>
      <c r="C1694" s="895" t="s">
        <v>226</v>
      </c>
      <c r="D1694" s="895">
        <v>226.48</v>
      </c>
    </row>
    <row r="1695" spans="1:4" x14ac:dyDescent="0.2">
      <c r="A1695" s="895">
        <v>90703</v>
      </c>
      <c r="B1695" s="895" t="s">
        <v>19884</v>
      </c>
      <c r="C1695" s="895" t="s">
        <v>226</v>
      </c>
      <c r="D1695" s="895">
        <v>297.74</v>
      </c>
    </row>
    <row r="1696" spans="1:4" x14ac:dyDescent="0.2">
      <c r="A1696" s="895">
        <v>90705</v>
      </c>
      <c r="B1696" s="895" t="s">
        <v>19885</v>
      </c>
      <c r="C1696" s="895" t="s">
        <v>226</v>
      </c>
      <c r="D1696" s="895">
        <v>240.2</v>
      </c>
    </row>
    <row r="1697" spans="1:4" x14ac:dyDescent="0.2">
      <c r="A1697" s="895">
        <v>90706</v>
      </c>
      <c r="B1697" s="895" t="s">
        <v>19886</v>
      </c>
      <c r="C1697" s="895" t="s">
        <v>226</v>
      </c>
      <c r="D1697" s="895">
        <v>305.74</v>
      </c>
    </row>
    <row r="1698" spans="1:4" x14ac:dyDescent="0.2">
      <c r="A1698" s="895">
        <v>90707</v>
      </c>
      <c r="B1698" s="895" t="s">
        <v>19887</v>
      </c>
      <c r="C1698" s="895" t="s">
        <v>226</v>
      </c>
      <c r="D1698" s="895">
        <v>376.55</v>
      </c>
    </row>
    <row r="1699" spans="1:4" x14ac:dyDescent="0.2">
      <c r="A1699" s="895">
        <v>90708</v>
      </c>
      <c r="B1699" s="895" t="s">
        <v>19888</v>
      </c>
      <c r="C1699" s="895" t="s">
        <v>226</v>
      </c>
      <c r="D1699" s="895">
        <v>237.08</v>
      </c>
    </row>
    <row r="1700" spans="1:4" x14ac:dyDescent="0.2">
      <c r="A1700" s="895">
        <v>90710</v>
      </c>
      <c r="B1700" s="895" t="s">
        <v>19889</v>
      </c>
      <c r="C1700" s="895" t="s">
        <v>226</v>
      </c>
      <c r="D1700" s="895">
        <v>217.69</v>
      </c>
    </row>
    <row r="1701" spans="1:4" x14ac:dyDescent="0.2">
      <c r="A1701" s="895">
        <v>90715</v>
      </c>
      <c r="B1701" s="895" t="s">
        <v>19890</v>
      </c>
      <c r="C1701" s="895" t="s">
        <v>226</v>
      </c>
      <c r="D1701" s="895">
        <v>168.97</v>
      </c>
    </row>
    <row r="1702" spans="1:4" x14ac:dyDescent="0.2">
      <c r="A1702" s="895">
        <v>90718</v>
      </c>
      <c r="B1702" s="895" t="s">
        <v>19891</v>
      </c>
      <c r="C1702" s="895" t="s">
        <v>226</v>
      </c>
      <c r="D1702" s="895">
        <v>238.46</v>
      </c>
    </row>
    <row r="1703" spans="1:4" x14ac:dyDescent="0.2">
      <c r="A1703" s="895">
        <v>90730</v>
      </c>
      <c r="B1703" s="895" t="s">
        <v>19892</v>
      </c>
      <c r="C1703" s="895" t="s">
        <v>226</v>
      </c>
      <c r="D1703" s="895">
        <v>277.33999999999997</v>
      </c>
    </row>
    <row r="1704" spans="1:4" x14ac:dyDescent="0.2">
      <c r="A1704" s="895">
        <v>90735</v>
      </c>
      <c r="B1704" s="895" t="s">
        <v>19893</v>
      </c>
      <c r="C1704" s="895" t="s">
        <v>226</v>
      </c>
      <c r="D1704" s="895">
        <v>180.22</v>
      </c>
    </row>
    <row r="1705" spans="1:4" x14ac:dyDescent="0.2">
      <c r="A1705" s="895">
        <v>90736</v>
      </c>
      <c r="B1705" s="895" t="s">
        <v>19894</v>
      </c>
      <c r="C1705" s="895" t="s">
        <v>226</v>
      </c>
      <c r="D1705" s="895">
        <v>256.3</v>
      </c>
    </row>
    <row r="1706" spans="1:4" x14ac:dyDescent="0.2">
      <c r="A1706" s="895">
        <v>90737</v>
      </c>
      <c r="B1706" s="895" t="s">
        <v>19895</v>
      </c>
      <c r="C1706" s="895" t="s">
        <v>226</v>
      </c>
      <c r="D1706" s="895">
        <v>327.56</v>
      </c>
    </row>
    <row r="1707" spans="1:4" x14ac:dyDescent="0.2">
      <c r="A1707" s="895">
        <v>90738</v>
      </c>
      <c r="B1707" s="895" t="s">
        <v>19896</v>
      </c>
      <c r="C1707" s="895" t="s">
        <v>226</v>
      </c>
      <c r="D1707" s="895">
        <v>406.39</v>
      </c>
    </row>
    <row r="1708" spans="1:4" x14ac:dyDescent="0.2">
      <c r="A1708" s="895">
        <v>90740</v>
      </c>
      <c r="B1708" s="895" t="s">
        <v>19897</v>
      </c>
      <c r="C1708" s="895" t="s">
        <v>226</v>
      </c>
      <c r="D1708" s="895">
        <v>247.51</v>
      </c>
    </row>
    <row r="1709" spans="1:4" x14ac:dyDescent="0.2">
      <c r="A1709" s="895">
        <v>90741</v>
      </c>
      <c r="B1709" s="895" t="s">
        <v>19898</v>
      </c>
      <c r="C1709" s="895" t="s">
        <v>226</v>
      </c>
      <c r="D1709" s="895">
        <v>320.27999999999997</v>
      </c>
    </row>
    <row r="1710" spans="1:4" x14ac:dyDescent="0.2">
      <c r="A1710" s="895">
        <v>90745</v>
      </c>
      <c r="B1710" s="895" t="s">
        <v>19899</v>
      </c>
      <c r="C1710" s="895" t="s">
        <v>226</v>
      </c>
      <c r="D1710" s="895">
        <v>198.79</v>
      </c>
    </row>
    <row r="1711" spans="1:4" x14ac:dyDescent="0.2">
      <c r="A1711" s="895">
        <v>90750</v>
      </c>
      <c r="B1711" s="895" t="s">
        <v>19900</v>
      </c>
      <c r="C1711" s="895" t="s">
        <v>226</v>
      </c>
      <c r="D1711" s="895">
        <v>268.27999999999997</v>
      </c>
    </row>
    <row r="1712" spans="1:4" x14ac:dyDescent="0.2">
      <c r="A1712" s="895">
        <v>90755</v>
      </c>
      <c r="B1712" s="895" t="s">
        <v>19901</v>
      </c>
      <c r="C1712" s="895" t="s">
        <v>226</v>
      </c>
      <c r="D1712" s="895">
        <v>297.23</v>
      </c>
    </row>
    <row r="1713" spans="1:4" x14ac:dyDescent="0.2">
      <c r="A1713" s="895">
        <v>90756</v>
      </c>
      <c r="B1713" s="895" t="s">
        <v>19902</v>
      </c>
      <c r="C1713" s="895" t="s">
        <v>226</v>
      </c>
      <c r="D1713" s="895">
        <v>395.08</v>
      </c>
    </row>
    <row r="1714" spans="1:4" x14ac:dyDescent="0.2">
      <c r="A1714" s="895">
        <v>90760</v>
      </c>
      <c r="B1714" s="895" t="s">
        <v>19903</v>
      </c>
      <c r="C1714" s="895" t="s">
        <v>226</v>
      </c>
      <c r="D1714" s="895">
        <v>152.55000000000001</v>
      </c>
    </row>
    <row r="1715" spans="1:4" x14ac:dyDescent="0.2">
      <c r="A1715" s="895">
        <v>90761</v>
      </c>
      <c r="B1715" s="895" t="s">
        <v>19904</v>
      </c>
      <c r="C1715" s="895" t="s">
        <v>226</v>
      </c>
      <c r="D1715" s="895">
        <v>235.73</v>
      </c>
    </row>
    <row r="1716" spans="1:4" x14ac:dyDescent="0.2">
      <c r="A1716" s="895">
        <v>90770</v>
      </c>
      <c r="B1716" s="895" t="s">
        <v>19905</v>
      </c>
      <c r="C1716" s="895" t="s">
        <v>226</v>
      </c>
      <c r="D1716" s="895">
        <v>241.88</v>
      </c>
    </row>
    <row r="1717" spans="1:4" x14ac:dyDescent="0.2">
      <c r="A1717" s="895">
        <v>90775</v>
      </c>
      <c r="B1717" s="895" t="s">
        <v>19906</v>
      </c>
      <c r="C1717" s="895" t="s">
        <v>226</v>
      </c>
      <c r="D1717" s="895">
        <v>256.66000000000003</v>
      </c>
    </row>
    <row r="1718" spans="1:4" x14ac:dyDescent="0.2">
      <c r="A1718" s="895">
        <v>90776</v>
      </c>
      <c r="B1718" s="895" t="s">
        <v>19907</v>
      </c>
      <c r="C1718" s="895" t="s">
        <v>226</v>
      </c>
      <c r="D1718" s="895">
        <v>222.03</v>
      </c>
    </row>
    <row r="1719" spans="1:4" x14ac:dyDescent="0.2">
      <c r="A1719" s="895">
        <v>90780</v>
      </c>
      <c r="B1719" s="895" t="s">
        <v>19908</v>
      </c>
      <c r="C1719" s="895" t="s">
        <v>226</v>
      </c>
      <c r="D1719" s="895">
        <v>430.21</v>
      </c>
    </row>
    <row r="1720" spans="1:4" x14ac:dyDescent="0.2">
      <c r="A1720" s="895">
        <v>90785</v>
      </c>
      <c r="B1720" s="895" t="s">
        <v>19909</v>
      </c>
      <c r="C1720" s="895" t="s">
        <v>226</v>
      </c>
      <c r="D1720" s="895">
        <v>262.2</v>
      </c>
    </row>
    <row r="1721" spans="1:4" x14ac:dyDescent="0.2">
      <c r="A1721" s="895">
        <v>90790</v>
      </c>
      <c r="B1721" s="895" t="s">
        <v>19910</v>
      </c>
      <c r="C1721" s="895" t="s">
        <v>226</v>
      </c>
      <c r="D1721" s="895">
        <v>251.48</v>
      </c>
    </row>
    <row r="1722" spans="1:4" x14ac:dyDescent="0.2">
      <c r="A1722" s="895">
        <v>90795</v>
      </c>
      <c r="B1722" s="895" t="s">
        <v>19911</v>
      </c>
      <c r="C1722" s="895" t="s">
        <v>226</v>
      </c>
      <c r="D1722" s="895">
        <v>302.27</v>
      </c>
    </row>
    <row r="1723" spans="1:4" x14ac:dyDescent="0.2">
      <c r="A1723" s="895">
        <v>90800</v>
      </c>
      <c r="B1723" s="895" t="s">
        <v>19912</v>
      </c>
      <c r="C1723" s="895" t="s">
        <v>18269</v>
      </c>
      <c r="D1723" s="895" t="s">
        <v>18269</v>
      </c>
    </row>
    <row r="1724" spans="1:4" x14ac:dyDescent="0.2">
      <c r="A1724" s="895">
        <v>90810</v>
      </c>
      <c r="B1724" s="895" t="s">
        <v>19913</v>
      </c>
      <c r="C1724" s="895" t="s">
        <v>226</v>
      </c>
      <c r="D1724" s="895">
        <v>31.98</v>
      </c>
    </row>
    <row r="1725" spans="1:4" x14ac:dyDescent="0.2">
      <c r="A1725" s="895">
        <v>90811</v>
      </c>
      <c r="B1725" s="895" t="s">
        <v>19914</v>
      </c>
      <c r="C1725" s="895" t="s">
        <v>226</v>
      </c>
      <c r="D1725" s="895">
        <v>29.75</v>
      </c>
    </row>
    <row r="1726" spans="1:4" x14ac:dyDescent="0.2">
      <c r="A1726" s="895">
        <v>90812</v>
      </c>
      <c r="B1726" s="895" t="s">
        <v>19915</v>
      </c>
      <c r="C1726" s="895" t="s">
        <v>226</v>
      </c>
      <c r="D1726" s="895">
        <v>83.49</v>
      </c>
    </row>
    <row r="1727" spans="1:4" x14ac:dyDescent="0.2">
      <c r="A1727" s="895">
        <v>90813</v>
      </c>
      <c r="B1727" s="895" t="s">
        <v>19916</v>
      </c>
      <c r="C1727" s="895" t="s">
        <v>226</v>
      </c>
      <c r="D1727" s="895">
        <v>84.66</v>
      </c>
    </row>
    <row r="1728" spans="1:4" x14ac:dyDescent="0.2">
      <c r="A1728" s="895">
        <v>90814</v>
      </c>
      <c r="B1728" s="895" t="s">
        <v>19917</v>
      </c>
      <c r="C1728" s="895" t="s">
        <v>226</v>
      </c>
      <c r="D1728" s="895">
        <v>120.12</v>
      </c>
    </row>
    <row r="1729" spans="1:4" x14ac:dyDescent="0.2">
      <c r="A1729" s="895">
        <v>90815</v>
      </c>
      <c r="B1729" s="895" t="s">
        <v>19918</v>
      </c>
      <c r="C1729" s="895" t="s">
        <v>226</v>
      </c>
      <c r="D1729" s="895">
        <v>112.93</v>
      </c>
    </row>
    <row r="1730" spans="1:4" x14ac:dyDescent="0.2">
      <c r="A1730" s="895">
        <v>90816</v>
      </c>
      <c r="B1730" s="895" t="s">
        <v>19919</v>
      </c>
      <c r="C1730" s="895" t="s">
        <v>226</v>
      </c>
      <c r="D1730" s="895">
        <v>129.1</v>
      </c>
    </row>
    <row r="1731" spans="1:4" x14ac:dyDescent="0.2">
      <c r="A1731" s="895">
        <v>90817</v>
      </c>
      <c r="B1731" s="895" t="s">
        <v>19920</v>
      </c>
      <c r="C1731" s="895" t="s">
        <v>226</v>
      </c>
      <c r="D1731" s="895">
        <v>228.42</v>
      </c>
    </row>
    <row r="1732" spans="1:4" x14ac:dyDescent="0.2">
      <c r="A1732" s="895">
        <v>90818</v>
      </c>
      <c r="B1732" s="895" t="s">
        <v>19921</v>
      </c>
      <c r="C1732" s="895" t="s">
        <v>226</v>
      </c>
      <c r="D1732" s="895">
        <v>236.91</v>
      </c>
    </row>
    <row r="1733" spans="1:4" x14ac:dyDescent="0.2">
      <c r="A1733" s="895">
        <v>90819</v>
      </c>
      <c r="B1733" s="895" t="s">
        <v>19922</v>
      </c>
      <c r="C1733" s="895" t="s">
        <v>226</v>
      </c>
      <c r="D1733" s="895">
        <v>82.18</v>
      </c>
    </row>
    <row r="1734" spans="1:4" x14ac:dyDescent="0.2">
      <c r="A1734" s="895">
        <v>90820</v>
      </c>
      <c r="B1734" s="895" t="s">
        <v>19923</v>
      </c>
      <c r="C1734" s="895" t="s">
        <v>226</v>
      </c>
      <c r="D1734" s="895">
        <v>169.46</v>
      </c>
    </row>
    <row r="1735" spans="1:4" x14ac:dyDescent="0.2">
      <c r="A1735" s="895">
        <v>90821</v>
      </c>
      <c r="B1735" s="895" t="s">
        <v>19924</v>
      </c>
      <c r="C1735" s="895" t="s">
        <v>226</v>
      </c>
      <c r="D1735" s="895">
        <v>40380.14</v>
      </c>
    </row>
    <row r="1736" spans="1:4" x14ac:dyDescent="0.2">
      <c r="A1736" s="895">
        <v>90822</v>
      </c>
      <c r="B1736" s="895" t="s">
        <v>19925</v>
      </c>
      <c r="C1736" s="895" t="s">
        <v>226</v>
      </c>
      <c r="D1736" s="895">
        <v>29888.74</v>
      </c>
    </row>
    <row r="1737" spans="1:4" x14ac:dyDescent="0.2">
      <c r="A1737" s="895">
        <v>90823</v>
      </c>
      <c r="B1737" s="895" t="s">
        <v>19926</v>
      </c>
      <c r="C1737" s="895" t="s">
        <v>226</v>
      </c>
      <c r="D1737" s="895">
        <v>36677.99</v>
      </c>
    </row>
    <row r="1738" spans="1:4" x14ac:dyDescent="0.2">
      <c r="A1738" s="895">
        <v>90824</v>
      </c>
      <c r="B1738" s="895" t="s">
        <v>19927</v>
      </c>
      <c r="C1738" s="895" t="s">
        <v>226</v>
      </c>
      <c r="D1738" s="895">
        <v>41933.47</v>
      </c>
    </row>
    <row r="1739" spans="1:4" x14ac:dyDescent="0.2">
      <c r="A1739" s="895">
        <v>90825</v>
      </c>
      <c r="B1739" s="895" t="s">
        <v>19928</v>
      </c>
      <c r="C1739" s="895" t="s">
        <v>226</v>
      </c>
      <c r="D1739" s="895">
        <v>43348.49</v>
      </c>
    </row>
    <row r="1740" spans="1:4" x14ac:dyDescent="0.2">
      <c r="A1740" s="895">
        <v>90826</v>
      </c>
      <c r="B1740" s="895" t="s">
        <v>19929</v>
      </c>
      <c r="C1740" s="895" t="s">
        <v>226</v>
      </c>
      <c r="D1740" s="895">
        <v>75393.23</v>
      </c>
    </row>
    <row r="1741" spans="1:4" x14ac:dyDescent="0.2">
      <c r="A1741" s="895">
        <v>90827</v>
      </c>
      <c r="B1741" s="895" t="s">
        <v>19930</v>
      </c>
      <c r="C1741" s="895" t="s">
        <v>226</v>
      </c>
      <c r="D1741" s="895">
        <v>97809.63</v>
      </c>
    </row>
    <row r="1742" spans="1:4" x14ac:dyDescent="0.2">
      <c r="A1742" s="895">
        <v>90828</v>
      </c>
      <c r="B1742" s="895" t="s">
        <v>19931</v>
      </c>
      <c r="C1742" s="895" t="s">
        <v>226</v>
      </c>
      <c r="D1742" s="895">
        <v>1209.27</v>
      </c>
    </row>
    <row r="1743" spans="1:4" x14ac:dyDescent="0.2">
      <c r="A1743" s="895">
        <v>90829</v>
      </c>
      <c r="B1743" s="895" t="s">
        <v>19932</v>
      </c>
      <c r="C1743" s="895" t="s">
        <v>226</v>
      </c>
      <c r="D1743" s="895">
        <v>1144.8599999999999</v>
      </c>
    </row>
    <row r="1744" spans="1:4" x14ac:dyDescent="0.2">
      <c r="A1744" s="895">
        <v>90831</v>
      </c>
      <c r="B1744" s="895" t="s">
        <v>19933</v>
      </c>
      <c r="C1744" s="895" t="s">
        <v>226</v>
      </c>
      <c r="D1744" s="895">
        <v>1337.74</v>
      </c>
    </row>
    <row r="1745" spans="1:4" x14ac:dyDescent="0.2">
      <c r="A1745" s="895">
        <v>90833</v>
      </c>
      <c r="B1745" s="895" t="s">
        <v>19934</v>
      </c>
      <c r="C1745" s="895" t="s">
        <v>226</v>
      </c>
      <c r="D1745" s="895">
        <v>3220.76</v>
      </c>
    </row>
    <row r="1746" spans="1:4" x14ac:dyDescent="0.2">
      <c r="A1746" s="895">
        <v>90835</v>
      </c>
      <c r="B1746" s="895" t="s">
        <v>19935</v>
      </c>
      <c r="C1746" s="895" t="s">
        <v>226</v>
      </c>
      <c r="D1746" s="895">
        <v>7847.19</v>
      </c>
    </row>
    <row r="1747" spans="1:4" x14ac:dyDescent="0.2">
      <c r="A1747" s="895">
        <v>90837</v>
      </c>
      <c r="B1747" s="895" t="s">
        <v>19936</v>
      </c>
      <c r="C1747" s="895" t="s">
        <v>226</v>
      </c>
      <c r="D1747" s="895">
        <v>8365.74</v>
      </c>
    </row>
    <row r="1748" spans="1:4" x14ac:dyDescent="0.2">
      <c r="A1748" s="895">
        <v>90846</v>
      </c>
      <c r="B1748" s="895" t="s">
        <v>19937</v>
      </c>
      <c r="C1748" s="895" t="s">
        <v>226</v>
      </c>
      <c r="D1748" s="895">
        <v>1225.0899999999999</v>
      </c>
    </row>
    <row r="1749" spans="1:4" x14ac:dyDescent="0.2">
      <c r="A1749" s="895">
        <v>90847</v>
      </c>
      <c r="B1749" s="895" t="s">
        <v>19938</v>
      </c>
      <c r="C1749" s="895" t="s">
        <v>226</v>
      </c>
      <c r="D1749" s="895">
        <v>1225.0899999999999</v>
      </c>
    </row>
    <row r="1750" spans="1:4" x14ac:dyDescent="0.2">
      <c r="A1750" s="895">
        <v>90848</v>
      </c>
      <c r="B1750" s="895" t="s">
        <v>19939</v>
      </c>
      <c r="C1750" s="895" t="s">
        <v>226</v>
      </c>
      <c r="D1750" s="895">
        <v>1217.3499999999999</v>
      </c>
    </row>
    <row r="1751" spans="1:4" x14ac:dyDescent="0.2">
      <c r="A1751" s="895">
        <v>90850</v>
      </c>
      <c r="B1751" s="895" t="s">
        <v>19940</v>
      </c>
      <c r="C1751" s="895" t="s">
        <v>226</v>
      </c>
      <c r="D1751" s="895">
        <v>2201.11</v>
      </c>
    </row>
    <row r="1752" spans="1:4" x14ac:dyDescent="0.2">
      <c r="A1752" s="895">
        <v>90852</v>
      </c>
      <c r="B1752" s="895" t="s">
        <v>19941</v>
      </c>
      <c r="C1752" s="895" t="s">
        <v>226</v>
      </c>
      <c r="D1752" s="895">
        <v>2201.11</v>
      </c>
    </row>
    <row r="1753" spans="1:4" x14ac:dyDescent="0.2">
      <c r="A1753" s="895">
        <v>90853</v>
      </c>
      <c r="B1753" s="895" t="s">
        <v>19942</v>
      </c>
      <c r="C1753" s="895" t="s">
        <v>226</v>
      </c>
      <c r="D1753" s="895">
        <v>2211.65</v>
      </c>
    </row>
    <row r="1754" spans="1:4" x14ac:dyDescent="0.2">
      <c r="A1754" s="895">
        <v>90855</v>
      </c>
      <c r="B1754" s="895" t="s">
        <v>19943</v>
      </c>
      <c r="C1754" s="895" t="s">
        <v>226</v>
      </c>
      <c r="D1754" s="895">
        <v>2211.69</v>
      </c>
    </row>
    <row r="1755" spans="1:4" x14ac:dyDescent="0.2">
      <c r="A1755" s="895">
        <v>90856</v>
      </c>
      <c r="B1755" s="895" t="s">
        <v>19944</v>
      </c>
      <c r="C1755" s="895" t="s">
        <v>226</v>
      </c>
      <c r="D1755" s="895">
        <v>3908.04</v>
      </c>
    </row>
    <row r="1756" spans="1:4" x14ac:dyDescent="0.2">
      <c r="A1756" s="895">
        <v>90858</v>
      </c>
      <c r="B1756" s="895" t="s">
        <v>19945</v>
      </c>
      <c r="C1756" s="895" t="s">
        <v>226</v>
      </c>
      <c r="D1756" s="895">
        <v>3908.04</v>
      </c>
    </row>
    <row r="1757" spans="1:4" x14ac:dyDescent="0.2">
      <c r="A1757" s="895">
        <v>90880</v>
      </c>
      <c r="B1757" s="895" t="s">
        <v>19946</v>
      </c>
      <c r="C1757" s="895" t="s">
        <v>226</v>
      </c>
      <c r="D1757" s="895">
        <v>784.06</v>
      </c>
    </row>
    <row r="1758" spans="1:4" x14ac:dyDescent="0.2">
      <c r="A1758" s="895">
        <v>90881</v>
      </c>
      <c r="B1758" s="895" t="s">
        <v>19947</v>
      </c>
      <c r="C1758" s="895" t="s">
        <v>226</v>
      </c>
      <c r="D1758" s="895">
        <v>636.30999999999995</v>
      </c>
    </row>
    <row r="1759" spans="1:4" x14ac:dyDescent="0.2">
      <c r="A1759" s="895">
        <v>90882</v>
      </c>
      <c r="B1759" s="895" t="s">
        <v>19948</v>
      </c>
      <c r="C1759" s="895" t="s">
        <v>226</v>
      </c>
      <c r="D1759" s="895">
        <v>621.88</v>
      </c>
    </row>
    <row r="1760" spans="1:4" x14ac:dyDescent="0.2">
      <c r="A1760" s="895">
        <v>90883</v>
      </c>
      <c r="B1760" s="895" t="s">
        <v>19949</v>
      </c>
      <c r="C1760" s="895" t="s">
        <v>226</v>
      </c>
      <c r="D1760" s="895">
        <v>577.84</v>
      </c>
    </row>
    <row r="1761" spans="1:4" x14ac:dyDescent="0.2">
      <c r="A1761" s="895">
        <v>90885</v>
      </c>
      <c r="B1761" s="895" t="s">
        <v>19950</v>
      </c>
      <c r="C1761" s="895" t="s">
        <v>226</v>
      </c>
      <c r="D1761" s="895">
        <v>804.43</v>
      </c>
    </row>
    <row r="1762" spans="1:4" x14ac:dyDescent="0.2">
      <c r="A1762" s="895">
        <v>90886</v>
      </c>
      <c r="B1762" s="895" t="s">
        <v>19951</v>
      </c>
      <c r="C1762" s="895" t="s">
        <v>226</v>
      </c>
      <c r="D1762" s="895">
        <v>896.87</v>
      </c>
    </row>
    <row r="1763" spans="1:4" x14ac:dyDescent="0.2">
      <c r="A1763" s="895">
        <v>90890</v>
      </c>
      <c r="B1763" s="895" t="s">
        <v>19952</v>
      </c>
      <c r="C1763" s="895" t="s">
        <v>226</v>
      </c>
      <c r="D1763" s="895">
        <v>1213.0999999999999</v>
      </c>
    </row>
    <row r="1764" spans="1:4" x14ac:dyDescent="0.2">
      <c r="A1764" s="895">
        <v>90900</v>
      </c>
      <c r="B1764" s="895" t="s">
        <v>19953</v>
      </c>
      <c r="C1764" s="895" t="s">
        <v>18269</v>
      </c>
      <c r="D1764" s="895" t="s">
        <v>18269</v>
      </c>
    </row>
    <row r="1765" spans="1:4" x14ac:dyDescent="0.2">
      <c r="A1765" s="895">
        <v>90932</v>
      </c>
      <c r="B1765" s="895" t="s">
        <v>19954</v>
      </c>
      <c r="C1765" s="895" t="s">
        <v>226</v>
      </c>
      <c r="D1765" s="895">
        <v>582.99</v>
      </c>
    </row>
    <row r="1766" spans="1:4" x14ac:dyDescent="0.2">
      <c r="A1766" s="895">
        <v>90935</v>
      </c>
      <c r="B1766" s="895" t="s">
        <v>19955</v>
      </c>
      <c r="C1766" s="895" t="s">
        <v>226</v>
      </c>
      <c r="D1766" s="895">
        <v>619.57000000000005</v>
      </c>
    </row>
    <row r="1767" spans="1:4" x14ac:dyDescent="0.2">
      <c r="A1767" s="895">
        <v>90936</v>
      </c>
      <c r="B1767" s="895" t="s">
        <v>19956</v>
      </c>
      <c r="C1767" s="895" t="s">
        <v>226</v>
      </c>
      <c r="D1767" s="895">
        <v>940.01</v>
      </c>
    </row>
    <row r="1768" spans="1:4" x14ac:dyDescent="0.2">
      <c r="A1768" s="895">
        <v>90937</v>
      </c>
      <c r="B1768" s="895" t="s">
        <v>19957</v>
      </c>
      <c r="C1768" s="895" t="s">
        <v>226</v>
      </c>
      <c r="D1768" s="895">
        <v>694.29</v>
      </c>
    </row>
    <row r="1769" spans="1:4" x14ac:dyDescent="0.2">
      <c r="A1769" s="895">
        <v>90938</v>
      </c>
      <c r="B1769" s="895" t="s">
        <v>19958</v>
      </c>
      <c r="C1769" s="895" t="s">
        <v>226</v>
      </c>
      <c r="D1769" s="895">
        <v>212.2</v>
      </c>
    </row>
    <row r="1770" spans="1:4" x14ac:dyDescent="0.2">
      <c r="A1770" s="895">
        <v>90939</v>
      </c>
      <c r="B1770" s="895" t="s">
        <v>19959</v>
      </c>
      <c r="C1770" s="895" t="s">
        <v>226</v>
      </c>
      <c r="D1770" s="895">
        <v>349.59</v>
      </c>
    </row>
    <row r="1771" spans="1:4" x14ac:dyDescent="0.2">
      <c r="A1771" s="895">
        <v>90943</v>
      </c>
      <c r="B1771" s="895" t="s">
        <v>19960</v>
      </c>
      <c r="C1771" s="895" t="s">
        <v>226</v>
      </c>
      <c r="D1771" s="895">
        <v>387.07</v>
      </c>
    </row>
    <row r="1772" spans="1:4" x14ac:dyDescent="0.2">
      <c r="A1772" s="895">
        <v>90944</v>
      </c>
      <c r="B1772" s="895" t="s">
        <v>19961</v>
      </c>
      <c r="C1772" s="895" t="s">
        <v>226</v>
      </c>
      <c r="D1772" s="895">
        <v>446.48</v>
      </c>
    </row>
    <row r="1773" spans="1:4" x14ac:dyDescent="0.2">
      <c r="A1773" s="895">
        <v>90950</v>
      </c>
      <c r="B1773" s="895" t="s">
        <v>19962</v>
      </c>
      <c r="C1773" s="895" t="s">
        <v>226</v>
      </c>
      <c r="D1773" s="895">
        <v>293.63</v>
      </c>
    </row>
    <row r="1774" spans="1:4" x14ac:dyDescent="0.2">
      <c r="A1774" s="895">
        <v>90951</v>
      </c>
      <c r="B1774" s="895" t="s">
        <v>19963</v>
      </c>
      <c r="C1774" s="895" t="s">
        <v>226</v>
      </c>
      <c r="D1774" s="895">
        <v>272.94</v>
      </c>
    </row>
    <row r="1775" spans="1:4" x14ac:dyDescent="0.2">
      <c r="A1775" s="895">
        <v>90952</v>
      </c>
      <c r="B1775" s="895" t="s">
        <v>19964</v>
      </c>
      <c r="C1775" s="895" t="s">
        <v>226</v>
      </c>
      <c r="D1775" s="895">
        <v>304.18</v>
      </c>
    </row>
    <row r="1776" spans="1:4" x14ac:dyDescent="0.2">
      <c r="A1776" s="895">
        <v>90953</v>
      </c>
      <c r="B1776" s="895" t="s">
        <v>19965</v>
      </c>
      <c r="C1776" s="895" t="s">
        <v>226</v>
      </c>
      <c r="D1776" s="895">
        <v>283.49</v>
      </c>
    </row>
    <row r="1777" spans="1:4" x14ac:dyDescent="0.2">
      <c r="A1777" s="895">
        <v>90954</v>
      </c>
      <c r="B1777" s="895" t="s">
        <v>19966</v>
      </c>
      <c r="C1777" s="895" t="s">
        <v>226</v>
      </c>
      <c r="D1777" s="895">
        <v>252.71</v>
      </c>
    </row>
    <row r="1778" spans="1:4" x14ac:dyDescent="0.2">
      <c r="A1778" s="895">
        <v>90955</v>
      </c>
      <c r="B1778" s="895" t="s">
        <v>19967</v>
      </c>
      <c r="C1778" s="895" t="s">
        <v>226</v>
      </c>
      <c r="D1778" s="895">
        <v>337.31</v>
      </c>
    </row>
    <row r="1779" spans="1:4" x14ac:dyDescent="0.2">
      <c r="A1779" s="895">
        <v>90957</v>
      </c>
      <c r="B1779" s="895" t="s">
        <v>19968</v>
      </c>
      <c r="C1779" s="895" t="s">
        <v>226</v>
      </c>
      <c r="D1779" s="895">
        <v>586.30999999999995</v>
      </c>
    </row>
    <row r="1780" spans="1:4" x14ac:dyDescent="0.2">
      <c r="A1780" s="895">
        <v>90967</v>
      </c>
      <c r="B1780" s="895" t="s">
        <v>19969</v>
      </c>
      <c r="C1780" s="895" t="s">
        <v>226</v>
      </c>
      <c r="D1780" s="895">
        <v>195.29</v>
      </c>
    </row>
    <row r="1781" spans="1:4" x14ac:dyDescent="0.2">
      <c r="A1781" s="895">
        <v>90969</v>
      </c>
      <c r="B1781" s="895" t="s">
        <v>19970</v>
      </c>
      <c r="C1781" s="895" t="s">
        <v>226</v>
      </c>
      <c r="D1781" s="895">
        <v>248.61</v>
      </c>
    </row>
    <row r="1782" spans="1:4" x14ac:dyDescent="0.2">
      <c r="A1782" s="895">
        <v>90971</v>
      </c>
      <c r="B1782" s="895" t="s">
        <v>19971</v>
      </c>
      <c r="C1782" s="895" t="s">
        <v>226</v>
      </c>
      <c r="D1782" s="895">
        <v>192.13</v>
      </c>
    </row>
    <row r="1783" spans="1:4" x14ac:dyDescent="0.2">
      <c r="A1783" s="895">
        <v>90972</v>
      </c>
      <c r="B1783" s="895" t="s">
        <v>19972</v>
      </c>
      <c r="C1783" s="895" t="s">
        <v>226</v>
      </c>
      <c r="D1783" s="895">
        <v>221.23</v>
      </c>
    </row>
    <row r="1784" spans="1:4" x14ac:dyDescent="0.2">
      <c r="A1784" s="895">
        <v>90974</v>
      </c>
      <c r="B1784" s="895" t="s">
        <v>19973</v>
      </c>
      <c r="C1784" s="895" t="s">
        <v>226</v>
      </c>
      <c r="D1784" s="895">
        <v>201.01</v>
      </c>
    </row>
    <row r="1785" spans="1:4" x14ac:dyDescent="0.2">
      <c r="A1785" s="895">
        <v>90975</v>
      </c>
      <c r="B1785" s="895" t="s">
        <v>19974</v>
      </c>
      <c r="C1785" s="895" t="s">
        <v>226</v>
      </c>
      <c r="D1785" s="895">
        <v>251.95</v>
      </c>
    </row>
    <row r="1786" spans="1:4" x14ac:dyDescent="0.2">
      <c r="A1786" s="895">
        <v>90976</v>
      </c>
      <c r="B1786" s="895" t="s">
        <v>19975</v>
      </c>
      <c r="C1786" s="895" t="s">
        <v>226</v>
      </c>
      <c r="D1786" s="895">
        <v>388.24</v>
      </c>
    </row>
    <row r="1787" spans="1:4" x14ac:dyDescent="0.2">
      <c r="A1787" s="895">
        <v>90978</v>
      </c>
      <c r="B1787" s="895" t="s">
        <v>19976</v>
      </c>
      <c r="C1787" s="895" t="s">
        <v>226</v>
      </c>
      <c r="D1787" s="895">
        <v>241.85</v>
      </c>
    </row>
    <row r="1788" spans="1:4" x14ac:dyDescent="0.2">
      <c r="A1788" s="895">
        <v>90979</v>
      </c>
      <c r="B1788" s="895" t="s">
        <v>19977</v>
      </c>
      <c r="C1788" s="895" t="s">
        <v>226</v>
      </c>
      <c r="D1788" s="895">
        <v>281.08</v>
      </c>
    </row>
    <row r="1789" spans="1:4" x14ac:dyDescent="0.2">
      <c r="A1789" s="895">
        <v>90987</v>
      </c>
      <c r="B1789" s="895" t="s">
        <v>19978</v>
      </c>
      <c r="C1789" s="895" t="s">
        <v>226</v>
      </c>
      <c r="D1789" s="895">
        <v>211.66</v>
      </c>
    </row>
    <row r="1790" spans="1:4" x14ac:dyDescent="0.2">
      <c r="A1790" s="895">
        <v>90988</v>
      </c>
      <c r="B1790" s="895" t="s">
        <v>19979</v>
      </c>
      <c r="C1790" s="895" t="s">
        <v>226</v>
      </c>
      <c r="D1790" s="895">
        <v>268.85000000000002</v>
      </c>
    </row>
    <row r="1791" spans="1:4" x14ac:dyDescent="0.2">
      <c r="A1791" s="895">
        <v>90991</v>
      </c>
      <c r="B1791" s="895" t="s">
        <v>19980</v>
      </c>
      <c r="C1791" s="895" t="s">
        <v>226</v>
      </c>
      <c r="D1791" s="895">
        <v>334.55</v>
      </c>
    </row>
    <row r="1792" spans="1:4" x14ac:dyDescent="0.2">
      <c r="A1792" s="895">
        <v>90992</v>
      </c>
      <c r="B1792" s="895" t="s">
        <v>19981</v>
      </c>
      <c r="C1792" s="895" t="s">
        <v>226</v>
      </c>
      <c r="D1792" s="895">
        <v>374.57</v>
      </c>
    </row>
    <row r="1793" spans="1:4" x14ac:dyDescent="0.2">
      <c r="A1793" s="895">
        <v>90993</v>
      </c>
      <c r="B1793" s="895" t="s">
        <v>19982</v>
      </c>
      <c r="C1793" s="895" t="s">
        <v>226</v>
      </c>
      <c r="D1793" s="895">
        <v>211.08</v>
      </c>
    </row>
    <row r="1794" spans="1:4" x14ac:dyDescent="0.2">
      <c r="A1794" s="895">
        <v>90994</v>
      </c>
      <c r="B1794" s="895" t="s">
        <v>19983</v>
      </c>
      <c r="C1794" s="895" t="s">
        <v>226</v>
      </c>
      <c r="D1794" s="895">
        <v>286.31</v>
      </c>
    </row>
    <row r="1795" spans="1:4" x14ac:dyDescent="0.2">
      <c r="A1795" s="895">
        <v>90995</v>
      </c>
      <c r="B1795" s="895" t="s">
        <v>19984</v>
      </c>
      <c r="C1795" s="895" t="s">
        <v>226</v>
      </c>
      <c r="D1795" s="895">
        <v>250.61</v>
      </c>
    </row>
    <row r="1796" spans="1:4" x14ac:dyDescent="0.2">
      <c r="A1796" s="895">
        <v>90996</v>
      </c>
      <c r="B1796" s="895" t="s">
        <v>19985</v>
      </c>
      <c r="C1796" s="895" t="s">
        <v>226</v>
      </c>
      <c r="D1796" s="895">
        <v>324.57</v>
      </c>
    </row>
    <row r="1797" spans="1:4" x14ac:dyDescent="0.2">
      <c r="A1797" s="895">
        <v>91000</v>
      </c>
      <c r="B1797" s="895" t="s">
        <v>19986</v>
      </c>
      <c r="C1797" s="895" t="s">
        <v>18269</v>
      </c>
      <c r="D1797" s="895" t="s">
        <v>18269</v>
      </c>
    </row>
    <row r="1798" spans="1:4" x14ac:dyDescent="0.2">
      <c r="A1798" s="895">
        <v>91023</v>
      </c>
      <c r="B1798" s="895" t="s">
        <v>19987</v>
      </c>
      <c r="C1798" s="895" t="s">
        <v>226</v>
      </c>
      <c r="D1798" s="895">
        <v>235.65</v>
      </c>
    </row>
    <row r="1799" spans="1:4" x14ac:dyDescent="0.2">
      <c r="A1799" s="895">
        <v>91024</v>
      </c>
      <c r="B1799" s="895" t="s">
        <v>19988</v>
      </c>
      <c r="C1799" s="895" t="s">
        <v>226</v>
      </c>
      <c r="D1799" s="895">
        <v>720.5</v>
      </c>
    </row>
    <row r="1800" spans="1:4" x14ac:dyDescent="0.2">
      <c r="A1800" s="895">
        <v>91027</v>
      </c>
      <c r="B1800" s="895" t="s">
        <v>19989</v>
      </c>
      <c r="C1800" s="895" t="s">
        <v>226</v>
      </c>
      <c r="D1800" s="895">
        <v>312.2</v>
      </c>
    </row>
    <row r="1801" spans="1:4" x14ac:dyDescent="0.2">
      <c r="A1801" s="895">
        <v>91028</v>
      </c>
      <c r="B1801" s="895" t="s">
        <v>19990</v>
      </c>
      <c r="C1801" s="895" t="s">
        <v>226</v>
      </c>
      <c r="D1801" s="895">
        <v>90.33</v>
      </c>
    </row>
    <row r="1802" spans="1:4" x14ac:dyDescent="0.2">
      <c r="A1802" s="895">
        <v>91031</v>
      </c>
      <c r="B1802" s="895" t="s">
        <v>19991</v>
      </c>
      <c r="C1802" s="895" t="s">
        <v>226</v>
      </c>
      <c r="D1802" s="895">
        <v>481.51</v>
      </c>
    </row>
    <row r="1803" spans="1:4" x14ac:dyDescent="0.2">
      <c r="A1803" s="895">
        <v>91050</v>
      </c>
      <c r="B1803" s="895" t="s">
        <v>19992</v>
      </c>
      <c r="C1803" s="895" t="s">
        <v>226</v>
      </c>
      <c r="D1803" s="895">
        <v>1160.3499999999999</v>
      </c>
    </row>
    <row r="1804" spans="1:4" x14ac:dyDescent="0.2">
      <c r="A1804" s="895">
        <v>91053</v>
      </c>
      <c r="B1804" s="895" t="s">
        <v>19993</v>
      </c>
      <c r="C1804" s="895" t="s">
        <v>226</v>
      </c>
      <c r="D1804" s="895">
        <v>1632.88</v>
      </c>
    </row>
    <row r="1805" spans="1:4" x14ac:dyDescent="0.2">
      <c r="A1805" s="895">
        <v>91054</v>
      </c>
      <c r="B1805" s="895" t="s">
        <v>19994</v>
      </c>
      <c r="C1805" s="895" t="s">
        <v>226</v>
      </c>
      <c r="D1805" s="895">
        <v>184.57</v>
      </c>
    </row>
    <row r="1806" spans="1:4" x14ac:dyDescent="0.2">
      <c r="A1806" s="895">
        <v>91055</v>
      </c>
      <c r="B1806" s="895" t="s">
        <v>19995</v>
      </c>
      <c r="C1806" s="895" t="s">
        <v>226</v>
      </c>
      <c r="D1806" s="895">
        <v>106.19</v>
      </c>
    </row>
    <row r="1807" spans="1:4" x14ac:dyDescent="0.2">
      <c r="A1807" s="895">
        <v>91058</v>
      </c>
      <c r="B1807" s="895" t="s">
        <v>19996</v>
      </c>
      <c r="C1807" s="895" t="s">
        <v>226</v>
      </c>
      <c r="D1807" s="895">
        <v>170.92</v>
      </c>
    </row>
    <row r="1808" spans="1:4" x14ac:dyDescent="0.2">
      <c r="A1808" s="895">
        <v>91062</v>
      </c>
      <c r="B1808" s="895" t="s">
        <v>19997</v>
      </c>
      <c r="C1808" s="895" t="s">
        <v>226</v>
      </c>
      <c r="D1808" s="895">
        <v>120.36</v>
      </c>
    </row>
    <row r="1809" spans="1:4" x14ac:dyDescent="0.2">
      <c r="A1809" s="895">
        <v>91063</v>
      </c>
      <c r="B1809" s="895" t="s">
        <v>19998</v>
      </c>
      <c r="C1809" s="895" t="s">
        <v>226</v>
      </c>
      <c r="D1809" s="895">
        <v>157.69999999999999</v>
      </c>
    </row>
    <row r="1810" spans="1:4" x14ac:dyDescent="0.2">
      <c r="A1810" s="895">
        <v>91066</v>
      </c>
      <c r="B1810" s="895" t="s">
        <v>19999</v>
      </c>
      <c r="C1810" s="895" t="s">
        <v>226</v>
      </c>
      <c r="D1810" s="895">
        <v>224.57</v>
      </c>
    </row>
    <row r="1811" spans="1:4" x14ac:dyDescent="0.2">
      <c r="A1811" s="895">
        <v>91071</v>
      </c>
      <c r="B1811" s="895" t="s">
        <v>20000</v>
      </c>
      <c r="C1811" s="895" t="s">
        <v>226</v>
      </c>
      <c r="D1811" s="895">
        <v>78.75</v>
      </c>
    </row>
    <row r="1812" spans="1:4" x14ac:dyDescent="0.2">
      <c r="A1812" s="895">
        <v>91074</v>
      </c>
      <c r="B1812" s="895" t="s">
        <v>20001</v>
      </c>
      <c r="C1812" s="895" t="s">
        <v>226</v>
      </c>
      <c r="D1812" s="895">
        <v>42335.360000000001</v>
      </c>
    </row>
    <row r="1813" spans="1:4" x14ac:dyDescent="0.2">
      <c r="A1813" s="895">
        <v>91075</v>
      </c>
      <c r="B1813" s="895" t="s">
        <v>20002</v>
      </c>
      <c r="C1813" s="895" t="s">
        <v>226</v>
      </c>
      <c r="D1813" s="895">
        <v>23231.55</v>
      </c>
    </row>
    <row r="1814" spans="1:4" x14ac:dyDescent="0.2">
      <c r="A1814" s="895">
        <v>91077</v>
      </c>
      <c r="B1814" s="895" t="s">
        <v>20003</v>
      </c>
      <c r="C1814" s="895" t="s">
        <v>226</v>
      </c>
      <c r="D1814" s="895">
        <v>20322.28</v>
      </c>
    </row>
    <row r="1815" spans="1:4" x14ac:dyDescent="0.2">
      <c r="A1815" s="895">
        <v>91085</v>
      </c>
      <c r="B1815" s="895" t="s">
        <v>20004</v>
      </c>
      <c r="C1815" s="895" t="s">
        <v>226</v>
      </c>
      <c r="D1815" s="895">
        <v>123870.46</v>
      </c>
    </row>
    <row r="1816" spans="1:4" x14ac:dyDescent="0.2">
      <c r="A1816" s="895">
        <v>91086</v>
      </c>
      <c r="B1816" s="895" t="s">
        <v>20005</v>
      </c>
      <c r="C1816" s="895" t="s">
        <v>226</v>
      </c>
      <c r="D1816" s="895">
        <v>107257.56</v>
      </c>
    </row>
    <row r="1817" spans="1:4" x14ac:dyDescent="0.2">
      <c r="A1817" s="895">
        <v>91089</v>
      </c>
      <c r="B1817" s="895" t="s">
        <v>20006</v>
      </c>
      <c r="C1817" s="895" t="s">
        <v>226</v>
      </c>
      <c r="D1817" s="895">
        <v>187432.31</v>
      </c>
    </row>
    <row r="1818" spans="1:4" x14ac:dyDescent="0.2">
      <c r="A1818" s="895">
        <v>91100</v>
      </c>
      <c r="B1818" s="895" t="s">
        <v>20007</v>
      </c>
      <c r="C1818" s="895" t="s">
        <v>18269</v>
      </c>
      <c r="D1818" s="895" t="s">
        <v>18269</v>
      </c>
    </row>
    <row r="1819" spans="1:4" x14ac:dyDescent="0.2">
      <c r="A1819" s="895">
        <v>91105</v>
      </c>
      <c r="B1819" s="895" t="s">
        <v>20008</v>
      </c>
      <c r="C1819" s="895" t="s">
        <v>226</v>
      </c>
      <c r="D1819" s="895">
        <v>864.7</v>
      </c>
    </row>
    <row r="1820" spans="1:4" x14ac:dyDescent="0.2">
      <c r="A1820" s="895">
        <v>91114</v>
      </c>
      <c r="B1820" s="895" t="s">
        <v>20009</v>
      </c>
      <c r="C1820" s="895" t="s">
        <v>226</v>
      </c>
      <c r="D1820" s="895">
        <v>164.23</v>
      </c>
    </row>
    <row r="1821" spans="1:4" x14ac:dyDescent="0.2">
      <c r="A1821" s="895">
        <v>91115</v>
      </c>
      <c r="B1821" s="895" t="s">
        <v>20010</v>
      </c>
      <c r="C1821" s="895" t="s">
        <v>226</v>
      </c>
      <c r="D1821" s="895">
        <v>96.73</v>
      </c>
    </row>
    <row r="1822" spans="1:4" x14ac:dyDescent="0.2">
      <c r="A1822" s="895">
        <v>91117</v>
      </c>
      <c r="B1822" s="895" t="s">
        <v>20011</v>
      </c>
      <c r="C1822" s="895" t="s">
        <v>226</v>
      </c>
      <c r="D1822" s="895">
        <v>214.95</v>
      </c>
    </row>
    <row r="1823" spans="1:4" x14ac:dyDescent="0.2">
      <c r="A1823" s="895">
        <v>91118</v>
      </c>
      <c r="B1823" s="895" t="s">
        <v>20012</v>
      </c>
      <c r="C1823" s="895" t="s">
        <v>226</v>
      </c>
      <c r="D1823" s="895">
        <v>281.29000000000002</v>
      </c>
    </row>
    <row r="1824" spans="1:4" x14ac:dyDescent="0.2">
      <c r="A1824" s="895">
        <v>91140</v>
      </c>
      <c r="B1824" s="895" t="s">
        <v>20013</v>
      </c>
      <c r="C1824" s="895" t="s">
        <v>158</v>
      </c>
      <c r="D1824" s="895">
        <v>15.87</v>
      </c>
    </row>
    <row r="1825" spans="1:4" x14ac:dyDescent="0.2">
      <c r="A1825" s="895">
        <v>91150</v>
      </c>
      <c r="B1825" s="895" t="s">
        <v>20014</v>
      </c>
      <c r="C1825" s="895" t="s">
        <v>226</v>
      </c>
      <c r="D1825" s="895">
        <v>733.95</v>
      </c>
    </row>
    <row r="1826" spans="1:4" x14ac:dyDescent="0.2">
      <c r="A1826" s="895">
        <v>91151</v>
      </c>
      <c r="B1826" s="895" t="s">
        <v>20015</v>
      </c>
      <c r="C1826" s="895" t="s">
        <v>158</v>
      </c>
      <c r="D1826" s="895">
        <v>52.46</v>
      </c>
    </row>
    <row r="1827" spans="1:4" x14ac:dyDescent="0.2">
      <c r="A1827" s="895">
        <v>91153</v>
      </c>
      <c r="B1827" s="895" t="s">
        <v>20016</v>
      </c>
      <c r="C1827" s="895" t="s">
        <v>158</v>
      </c>
      <c r="D1827" s="895">
        <v>72.650000000000006</v>
      </c>
    </row>
    <row r="1828" spans="1:4" x14ac:dyDescent="0.2">
      <c r="A1828" s="895">
        <v>91154</v>
      </c>
      <c r="B1828" s="895" t="s">
        <v>20017</v>
      </c>
      <c r="C1828" s="895" t="s">
        <v>158</v>
      </c>
      <c r="D1828" s="895">
        <v>92.92</v>
      </c>
    </row>
    <row r="1829" spans="1:4" x14ac:dyDescent="0.2">
      <c r="A1829" s="895">
        <v>91161</v>
      </c>
      <c r="B1829" s="895" t="s">
        <v>20018</v>
      </c>
      <c r="C1829" s="895" t="s">
        <v>226</v>
      </c>
      <c r="D1829" s="895">
        <v>109.27</v>
      </c>
    </row>
    <row r="1830" spans="1:4" x14ac:dyDescent="0.2">
      <c r="A1830" s="895">
        <v>91190</v>
      </c>
      <c r="B1830" s="895" t="s">
        <v>20019</v>
      </c>
      <c r="C1830" s="895" t="s">
        <v>226</v>
      </c>
      <c r="D1830" s="895">
        <v>1264.69</v>
      </c>
    </row>
    <row r="1831" spans="1:4" x14ac:dyDescent="0.2">
      <c r="A1831" s="895">
        <v>91191</v>
      </c>
      <c r="B1831" s="895" t="s">
        <v>20020</v>
      </c>
      <c r="C1831" s="895" t="s">
        <v>226</v>
      </c>
      <c r="D1831" s="895">
        <v>460.53</v>
      </c>
    </row>
    <row r="1832" spans="1:4" x14ac:dyDescent="0.2">
      <c r="A1832" s="895">
        <v>91194</v>
      </c>
      <c r="B1832" s="895" t="s">
        <v>20021</v>
      </c>
      <c r="C1832" s="895" t="s">
        <v>158</v>
      </c>
      <c r="D1832" s="895">
        <v>32.950000000000003</v>
      </c>
    </row>
    <row r="1833" spans="1:4" x14ac:dyDescent="0.2">
      <c r="A1833" s="895">
        <v>91195</v>
      </c>
      <c r="B1833" s="895" t="s">
        <v>20022</v>
      </c>
      <c r="C1833" s="895" t="s">
        <v>158</v>
      </c>
      <c r="D1833" s="895">
        <v>26.2</v>
      </c>
    </row>
    <row r="1834" spans="1:4" x14ac:dyDescent="0.2">
      <c r="A1834" s="895">
        <v>91200</v>
      </c>
      <c r="B1834" s="895" t="s">
        <v>20023</v>
      </c>
      <c r="C1834" s="895" t="s">
        <v>18269</v>
      </c>
      <c r="D1834" s="895" t="s">
        <v>18269</v>
      </c>
    </row>
    <row r="1835" spans="1:4" x14ac:dyDescent="0.2">
      <c r="A1835" s="895">
        <v>91250</v>
      </c>
      <c r="B1835" s="895" t="s">
        <v>20024</v>
      </c>
      <c r="C1835" s="895" t="s">
        <v>226</v>
      </c>
      <c r="D1835" s="895">
        <v>2373.2800000000002</v>
      </c>
    </row>
    <row r="1836" spans="1:4" x14ac:dyDescent="0.2">
      <c r="A1836" s="895">
        <v>91251</v>
      </c>
      <c r="B1836" s="895" t="s">
        <v>20025</v>
      </c>
      <c r="C1836" s="895" t="s">
        <v>226</v>
      </c>
      <c r="D1836" s="895">
        <v>2417.48</v>
      </c>
    </row>
    <row r="1837" spans="1:4" x14ac:dyDescent="0.2">
      <c r="A1837" s="895">
        <v>91252</v>
      </c>
      <c r="B1837" s="895" t="s">
        <v>20026</v>
      </c>
      <c r="C1837" s="895" t="s">
        <v>226</v>
      </c>
      <c r="D1837" s="895">
        <v>3046.35</v>
      </c>
    </row>
    <row r="1838" spans="1:4" x14ac:dyDescent="0.2">
      <c r="A1838" s="895">
        <v>91253</v>
      </c>
      <c r="B1838" s="895" t="s">
        <v>20027</v>
      </c>
      <c r="C1838" s="895" t="s">
        <v>226</v>
      </c>
      <c r="D1838" s="895">
        <v>1815.19</v>
      </c>
    </row>
    <row r="1839" spans="1:4" x14ac:dyDescent="0.2">
      <c r="A1839" s="895">
        <v>91254</v>
      </c>
      <c r="B1839" s="895" t="s">
        <v>20028</v>
      </c>
      <c r="C1839" s="895" t="s">
        <v>226</v>
      </c>
      <c r="D1839" s="895">
        <v>4413.87</v>
      </c>
    </row>
    <row r="1840" spans="1:4" x14ac:dyDescent="0.2">
      <c r="A1840" s="895">
        <v>91300</v>
      </c>
      <c r="B1840" s="895" t="s">
        <v>20029</v>
      </c>
      <c r="C1840" s="895" t="s">
        <v>18269</v>
      </c>
      <c r="D1840" s="895" t="s">
        <v>18269</v>
      </c>
    </row>
    <row r="1841" spans="1:4" x14ac:dyDescent="0.2">
      <c r="A1841" s="895">
        <v>91305</v>
      </c>
      <c r="B1841" s="895" t="s">
        <v>20030</v>
      </c>
      <c r="C1841" s="895" t="s">
        <v>158</v>
      </c>
      <c r="D1841" s="895">
        <v>81.02</v>
      </c>
    </row>
    <row r="1842" spans="1:4" x14ac:dyDescent="0.2">
      <c r="A1842" s="895">
        <v>91307</v>
      </c>
      <c r="B1842" s="895" t="s">
        <v>20031</v>
      </c>
      <c r="C1842" s="895" t="s">
        <v>158</v>
      </c>
      <c r="D1842" s="895">
        <v>93.15</v>
      </c>
    </row>
    <row r="1843" spans="1:4" x14ac:dyDescent="0.2">
      <c r="A1843" s="895">
        <v>91308</v>
      </c>
      <c r="B1843" s="895" t="s">
        <v>20032</v>
      </c>
      <c r="C1843" s="895" t="s">
        <v>158</v>
      </c>
      <c r="D1843" s="895">
        <v>99.67</v>
      </c>
    </row>
    <row r="1844" spans="1:4" x14ac:dyDescent="0.2">
      <c r="A1844" s="895">
        <v>91311</v>
      </c>
      <c r="B1844" s="895" t="s">
        <v>20033</v>
      </c>
      <c r="C1844" s="895" t="s">
        <v>158</v>
      </c>
      <c r="D1844" s="895">
        <v>81.25</v>
      </c>
    </row>
    <row r="1845" spans="1:4" x14ac:dyDescent="0.2">
      <c r="A1845" s="895">
        <v>91313</v>
      </c>
      <c r="B1845" s="895" t="s">
        <v>20034</v>
      </c>
      <c r="C1845" s="895" t="s">
        <v>158</v>
      </c>
      <c r="D1845" s="895">
        <v>94.23</v>
      </c>
    </row>
    <row r="1846" spans="1:4" x14ac:dyDescent="0.2">
      <c r="A1846" s="895">
        <v>91314</v>
      </c>
      <c r="B1846" s="895" t="s">
        <v>20035</v>
      </c>
      <c r="C1846" s="895" t="s">
        <v>158</v>
      </c>
      <c r="D1846" s="895">
        <v>133.04</v>
      </c>
    </row>
    <row r="1847" spans="1:4" x14ac:dyDescent="0.2">
      <c r="A1847" s="895">
        <v>91321</v>
      </c>
      <c r="B1847" s="895" t="s">
        <v>20036</v>
      </c>
      <c r="C1847" s="895" t="s">
        <v>158</v>
      </c>
      <c r="D1847" s="895">
        <v>143.91999999999999</v>
      </c>
    </row>
    <row r="1848" spans="1:4" x14ac:dyDescent="0.2">
      <c r="A1848" s="895">
        <v>91322</v>
      </c>
      <c r="B1848" s="895" t="s">
        <v>20037</v>
      </c>
      <c r="C1848" s="895" t="s">
        <v>158</v>
      </c>
      <c r="D1848" s="895">
        <v>157.49</v>
      </c>
    </row>
    <row r="1849" spans="1:4" x14ac:dyDescent="0.2">
      <c r="A1849" s="895">
        <v>91323</v>
      </c>
      <c r="B1849" s="895" t="s">
        <v>20038</v>
      </c>
      <c r="C1849" s="895" t="s">
        <v>158</v>
      </c>
      <c r="D1849" s="895">
        <v>179.85</v>
      </c>
    </row>
    <row r="1850" spans="1:4" x14ac:dyDescent="0.2">
      <c r="A1850" s="895">
        <v>91324</v>
      </c>
      <c r="B1850" s="895" t="s">
        <v>20039</v>
      </c>
      <c r="C1850" s="895" t="s">
        <v>158</v>
      </c>
      <c r="D1850" s="895">
        <v>197.62</v>
      </c>
    </row>
    <row r="1851" spans="1:4" x14ac:dyDescent="0.2">
      <c r="A1851" s="895">
        <v>91325</v>
      </c>
      <c r="B1851" s="895" t="s">
        <v>20040</v>
      </c>
      <c r="C1851" s="895" t="s">
        <v>158</v>
      </c>
      <c r="D1851" s="895">
        <v>213.93</v>
      </c>
    </row>
    <row r="1852" spans="1:4" x14ac:dyDescent="0.2">
      <c r="A1852" s="895">
        <v>91326</v>
      </c>
      <c r="B1852" s="895" t="s">
        <v>20041</v>
      </c>
      <c r="C1852" s="895" t="s">
        <v>158</v>
      </c>
      <c r="D1852" s="895">
        <v>242.12</v>
      </c>
    </row>
    <row r="1853" spans="1:4" x14ac:dyDescent="0.2">
      <c r="A1853" s="895">
        <v>91327</v>
      </c>
      <c r="B1853" s="895" t="s">
        <v>20042</v>
      </c>
      <c r="C1853" s="895" t="s">
        <v>158</v>
      </c>
      <c r="D1853" s="895">
        <v>269.29000000000002</v>
      </c>
    </row>
    <row r="1854" spans="1:4" x14ac:dyDescent="0.2">
      <c r="A1854" s="895">
        <v>91331</v>
      </c>
      <c r="B1854" s="895" t="s">
        <v>20043</v>
      </c>
      <c r="C1854" s="895" t="s">
        <v>158</v>
      </c>
      <c r="D1854" s="895">
        <v>237.5</v>
      </c>
    </row>
    <row r="1855" spans="1:4" x14ac:dyDescent="0.2">
      <c r="A1855" s="895">
        <v>91332</v>
      </c>
      <c r="B1855" s="895" t="s">
        <v>20044</v>
      </c>
      <c r="C1855" s="895" t="s">
        <v>158</v>
      </c>
      <c r="D1855" s="895">
        <v>260.55</v>
      </c>
    </row>
    <row r="1856" spans="1:4" x14ac:dyDescent="0.2">
      <c r="A1856" s="895">
        <v>91333</v>
      </c>
      <c r="B1856" s="895" t="s">
        <v>20045</v>
      </c>
      <c r="C1856" s="895" t="s">
        <v>158</v>
      </c>
      <c r="D1856" s="895">
        <v>299.76</v>
      </c>
    </row>
    <row r="1857" spans="1:4" x14ac:dyDescent="0.2">
      <c r="A1857" s="895">
        <v>91334</v>
      </c>
      <c r="B1857" s="895" t="s">
        <v>20046</v>
      </c>
      <c r="C1857" s="895" t="s">
        <v>158</v>
      </c>
      <c r="D1857" s="895">
        <v>326.94</v>
      </c>
    </row>
    <row r="1858" spans="1:4" x14ac:dyDescent="0.2">
      <c r="A1858" s="895">
        <v>91335</v>
      </c>
      <c r="B1858" s="895" t="s">
        <v>20047</v>
      </c>
      <c r="C1858" s="895" t="s">
        <v>158</v>
      </c>
      <c r="D1858" s="895">
        <v>390.14</v>
      </c>
    </row>
    <row r="1859" spans="1:4" x14ac:dyDescent="0.2">
      <c r="A1859" s="895">
        <v>91338</v>
      </c>
      <c r="B1859" s="895" t="s">
        <v>20048</v>
      </c>
      <c r="C1859" s="895" t="s">
        <v>158</v>
      </c>
      <c r="D1859" s="895">
        <v>152.4</v>
      </c>
    </row>
    <row r="1860" spans="1:4" x14ac:dyDescent="0.2">
      <c r="A1860" s="895">
        <v>91339</v>
      </c>
      <c r="B1860" s="895" t="s">
        <v>20049</v>
      </c>
      <c r="C1860" s="895" t="s">
        <v>158</v>
      </c>
      <c r="D1860" s="895">
        <v>175.4</v>
      </c>
    </row>
    <row r="1861" spans="1:4" x14ac:dyDescent="0.2">
      <c r="A1861" s="895">
        <v>91340</v>
      </c>
      <c r="B1861" s="895" t="s">
        <v>20050</v>
      </c>
      <c r="C1861" s="895" t="s">
        <v>158</v>
      </c>
      <c r="D1861" s="895">
        <v>198.7</v>
      </c>
    </row>
    <row r="1862" spans="1:4" x14ac:dyDescent="0.2">
      <c r="A1862" s="895">
        <v>91341</v>
      </c>
      <c r="B1862" s="895" t="s">
        <v>20051</v>
      </c>
      <c r="C1862" s="895" t="s">
        <v>158</v>
      </c>
      <c r="D1862" s="895">
        <v>216.42</v>
      </c>
    </row>
    <row r="1863" spans="1:4" x14ac:dyDescent="0.2">
      <c r="A1863" s="895">
        <v>91342</v>
      </c>
      <c r="B1863" s="895" t="s">
        <v>20052</v>
      </c>
      <c r="C1863" s="895" t="s">
        <v>158</v>
      </c>
      <c r="D1863" s="895">
        <v>237.97</v>
      </c>
    </row>
    <row r="1864" spans="1:4" x14ac:dyDescent="0.2">
      <c r="A1864" s="895">
        <v>91343</v>
      </c>
      <c r="B1864" s="895" t="s">
        <v>20053</v>
      </c>
      <c r="C1864" s="895" t="s">
        <v>158</v>
      </c>
      <c r="D1864" s="895">
        <v>273.31</v>
      </c>
    </row>
    <row r="1865" spans="1:4" x14ac:dyDescent="0.2">
      <c r="A1865" s="895">
        <v>91344</v>
      </c>
      <c r="B1865" s="895" t="s">
        <v>20054</v>
      </c>
      <c r="C1865" s="895" t="s">
        <v>158</v>
      </c>
      <c r="D1865" s="895">
        <v>299.41000000000003</v>
      </c>
    </row>
    <row r="1866" spans="1:4" x14ac:dyDescent="0.2">
      <c r="A1866" s="895">
        <v>91346</v>
      </c>
      <c r="B1866" s="895" t="s">
        <v>20055</v>
      </c>
      <c r="C1866" s="895" t="s">
        <v>158</v>
      </c>
      <c r="D1866" s="895">
        <v>263.85000000000002</v>
      </c>
    </row>
    <row r="1867" spans="1:4" x14ac:dyDescent="0.2">
      <c r="A1867" s="895">
        <v>91347</v>
      </c>
      <c r="B1867" s="895" t="s">
        <v>20056</v>
      </c>
      <c r="C1867" s="895" t="s">
        <v>158</v>
      </c>
      <c r="D1867" s="895">
        <v>288.01</v>
      </c>
    </row>
    <row r="1868" spans="1:4" x14ac:dyDescent="0.2">
      <c r="A1868" s="895">
        <v>91348</v>
      </c>
      <c r="B1868" s="895" t="s">
        <v>20057</v>
      </c>
      <c r="C1868" s="895" t="s">
        <v>158</v>
      </c>
      <c r="D1868" s="895">
        <v>325.81</v>
      </c>
    </row>
    <row r="1869" spans="1:4" x14ac:dyDescent="0.2">
      <c r="A1869" s="895">
        <v>91350</v>
      </c>
      <c r="B1869" s="895" t="s">
        <v>20058</v>
      </c>
      <c r="C1869" s="895" t="s">
        <v>158</v>
      </c>
      <c r="D1869" s="895">
        <v>424.92</v>
      </c>
    </row>
    <row r="1870" spans="1:4" x14ac:dyDescent="0.2">
      <c r="A1870" s="895">
        <v>91400</v>
      </c>
      <c r="B1870" s="895" t="s">
        <v>20059</v>
      </c>
      <c r="C1870" s="895" t="s">
        <v>18269</v>
      </c>
      <c r="D1870" s="895" t="s">
        <v>18269</v>
      </c>
    </row>
    <row r="1871" spans="1:4" x14ac:dyDescent="0.2">
      <c r="A1871" s="895">
        <v>91401</v>
      </c>
      <c r="B1871" s="895" t="s">
        <v>20060</v>
      </c>
      <c r="C1871" s="895" t="s">
        <v>16628</v>
      </c>
      <c r="D1871" s="895">
        <v>24.46</v>
      </c>
    </row>
    <row r="1872" spans="1:4" x14ac:dyDescent="0.2">
      <c r="A1872" s="895">
        <v>91406</v>
      </c>
      <c r="B1872" s="895" t="s">
        <v>20061</v>
      </c>
      <c r="C1872" s="895" t="s">
        <v>226</v>
      </c>
      <c r="D1872" s="895">
        <v>145.9</v>
      </c>
    </row>
    <row r="1873" spans="1:4" x14ac:dyDescent="0.2">
      <c r="A1873" s="895">
        <v>91407</v>
      </c>
      <c r="B1873" s="895" t="s">
        <v>20062</v>
      </c>
      <c r="C1873" s="895" t="s">
        <v>226</v>
      </c>
      <c r="D1873" s="895">
        <v>163.5</v>
      </c>
    </row>
    <row r="1874" spans="1:4" x14ac:dyDescent="0.2">
      <c r="A1874" s="895">
        <v>91408</v>
      </c>
      <c r="B1874" s="895" t="s">
        <v>20063</v>
      </c>
      <c r="C1874" s="895" t="s">
        <v>226</v>
      </c>
      <c r="D1874" s="895">
        <v>87.22</v>
      </c>
    </row>
    <row r="1875" spans="1:4" x14ac:dyDescent="0.2">
      <c r="A1875" s="895">
        <v>91409</v>
      </c>
      <c r="B1875" s="895" t="s">
        <v>20064</v>
      </c>
      <c r="C1875" s="895" t="s">
        <v>226</v>
      </c>
      <c r="D1875" s="895">
        <v>56.24</v>
      </c>
    </row>
    <row r="1876" spans="1:4" x14ac:dyDescent="0.2">
      <c r="A1876" s="895">
        <v>91413</v>
      </c>
      <c r="B1876" s="895" t="s">
        <v>20065</v>
      </c>
      <c r="C1876" s="895" t="s">
        <v>158</v>
      </c>
      <c r="D1876" s="895">
        <v>99.02</v>
      </c>
    </row>
    <row r="1877" spans="1:4" x14ac:dyDescent="0.2">
      <c r="A1877" s="895">
        <v>91414</v>
      </c>
      <c r="B1877" s="895" t="s">
        <v>20066</v>
      </c>
      <c r="C1877" s="895" t="s">
        <v>226</v>
      </c>
      <c r="D1877" s="895">
        <v>36.049999999999997</v>
      </c>
    </row>
    <row r="1878" spans="1:4" x14ac:dyDescent="0.2">
      <c r="A1878" s="895">
        <v>91417</v>
      </c>
      <c r="B1878" s="895" t="s">
        <v>20067</v>
      </c>
      <c r="C1878" s="895" t="s">
        <v>158</v>
      </c>
      <c r="D1878" s="895">
        <v>110.23</v>
      </c>
    </row>
    <row r="1879" spans="1:4" x14ac:dyDescent="0.2">
      <c r="A1879" s="895">
        <v>91421</v>
      </c>
      <c r="B1879" s="895" t="s">
        <v>20068</v>
      </c>
      <c r="C1879" s="895" t="s">
        <v>226</v>
      </c>
      <c r="D1879" s="895">
        <v>406.74</v>
      </c>
    </row>
    <row r="1880" spans="1:4" x14ac:dyDescent="0.2">
      <c r="A1880" s="895">
        <v>91422</v>
      </c>
      <c r="B1880" s="895" t="s">
        <v>20069</v>
      </c>
      <c r="C1880" s="895" t="s">
        <v>226</v>
      </c>
      <c r="D1880" s="895">
        <v>526.5</v>
      </c>
    </row>
    <row r="1881" spans="1:4" x14ac:dyDescent="0.2">
      <c r="A1881" s="895">
        <v>91423</v>
      </c>
      <c r="B1881" s="895" t="s">
        <v>20070</v>
      </c>
      <c r="C1881" s="895" t="s">
        <v>226</v>
      </c>
      <c r="D1881" s="895">
        <v>988.55</v>
      </c>
    </row>
    <row r="1882" spans="1:4" x14ac:dyDescent="0.2">
      <c r="A1882" s="895">
        <v>91424</v>
      </c>
      <c r="B1882" s="895" t="s">
        <v>20071</v>
      </c>
      <c r="C1882" s="895" t="s">
        <v>226</v>
      </c>
      <c r="D1882" s="895">
        <v>1318.66</v>
      </c>
    </row>
    <row r="1883" spans="1:4" x14ac:dyDescent="0.2">
      <c r="A1883" s="895">
        <v>91425</v>
      </c>
      <c r="B1883" s="895" t="s">
        <v>20072</v>
      </c>
      <c r="C1883" s="895" t="s">
        <v>226</v>
      </c>
      <c r="D1883" s="895">
        <v>489.94</v>
      </c>
    </row>
    <row r="1884" spans="1:4" x14ac:dyDescent="0.2">
      <c r="A1884" s="895">
        <v>91426</v>
      </c>
      <c r="B1884" s="895" t="s">
        <v>20073</v>
      </c>
      <c r="C1884" s="895" t="s">
        <v>226</v>
      </c>
      <c r="D1884" s="895">
        <v>108.8</v>
      </c>
    </row>
    <row r="1885" spans="1:4" x14ac:dyDescent="0.2">
      <c r="A1885" s="895">
        <v>91427</v>
      </c>
      <c r="B1885" s="895" t="s">
        <v>20074</v>
      </c>
      <c r="C1885" s="895" t="s">
        <v>226</v>
      </c>
      <c r="D1885" s="895">
        <v>1017.31</v>
      </c>
    </row>
    <row r="1886" spans="1:4" x14ac:dyDescent="0.2">
      <c r="A1886" s="895">
        <v>91428</v>
      </c>
      <c r="B1886" s="895" t="s">
        <v>20075</v>
      </c>
      <c r="C1886" s="895" t="s">
        <v>226</v>
      </c>
      <c r="D1886" s="895">
        <v>274.88</v>
      </c>
    </row>
    <row r="1887" spans="1:4" x14ac:dyDescent="0.2">
      <c r="A1887" s="895">
        <v>91429</v>
      </c>
      <c r="B1887" s="895" t="s">
        <v>20076</v>
      </c>
      <c r="C1887" s="895" t="s">
        <v>226</v>
      </c>
      <c r="D1887" s="895">
        <v>522.29999999999995</v>
      </c>
    </row>
    <row r="1888" spans="1:4" x14ac:dyDescent="0.2">
      <c r="A1888" s="895">
        <v>91430</v>
      </c>
      <c r="B1888" s="895" t="s">
        <v>20077</v>
      </c>
      <c r="C1888" s="895" t="s">
        <v>226</v>
      </c>
      <c r="D1888" s="895">
        <v>550.65</v>
      </c>
    </row>
    <row r="1889" spans="1:4" x14ac:dyDescent="0.2">
      <c r="A1889" s="895">
        <v>91434</v>
      </c>
      <c r="B1889" s="895" t="s">
        <v>20078</v>
      </c>
      <c r="C1889" s="895" t="s">
        <v>226</v>
      </c>
      <c r="D1889" s="895">
        <v>3188.17</v>
      </c>
    </row>
    <row r="1890" spans="1:4" x14ac:dyDescent="0.2">
      <c r="A1890" s="895">
        <v>91436</v>
      </c>
      <c r="B1890" s="895" t="s">
        <v>20079</v>
      </c>
      <c r="C1890" s="895" t="s">
        <v>226</v>
      </c>
      <c r="D1890" s="895">
        <v>47.46</v>
      </c>
    </row>
    <row r="1891" spans="1:4" x14ac:dyDescent="0.2">
      <c r="A1891" s="895">
        <v>91438</v>
      </c>
      <c r="B1891" s="895" t="s">
        <v>20080</v>
      </c>
      <c r="C1891" s="895" t="s">
        <v>226</v>
      </c>
      <c r="D1891" s="895">
        <v>18155.84</v>
      </c>
    </row>
    <row r="1892" spans="1:4" x14ac:dyDescent="0.2">
      <c r="A1892" s="895">
        <v>91440</v>
      </c>
      <c r="B1892" s="895" t="s">
        <v>20081</v>
      </c>
      <c r="C1892" s="895" t="s">
        <v>226</v>
      </c>
      <c r="D1892" s="895">
        <v>1467.11</v>
      </c>
    </row>
    <row r="1893" spans="1:4" x14ac:dyDescent="0.2">
      <c r="A1893" s="895">
        <v>91442</v>
      </c>
      <c r="B1893" s="895" t="s">
        <v>20082</v>
      </c>
      <c r="C1893" s="895" t="s">
        <v>226</v>
      </c>
      <c r="D1893" s="895">
        <v>653.33000000000004</v>
      </c>
    </row>
    <row r="1894" spans="1:4" x14ac:dyDescent="0.2">
      <c r="A1894" s="895">
        <v>91445</v>
      </c>
      <c r="B1894" s="895" t="s">
        <v>20083</v>
      </c>
      <c r="C1894" s="895" t="s">
        <v>226</v>
      </c>
      <c r="D1894" s="895">
        <v>108.7</v>
      </c>
    </row>
    <row r="1895" spans="1:4" x14ac:dyDescent="0.2">
      <c r="A1895" s="895">
        <v>91446</v>
      </c>
      <c r="B1895" s="895" t="s">
        <v>20084</v>
      </c>
      <c r="C1895" s="895" t="s">
        <v>226</v>
      </c>
      <c r="D1895" s="895">
        <v>596.26</v>
      </c>
    </row>
    <row r="1896" spans="1:4" x14ac:dyDescent="0.2">
      <c r="A1896" s="895">
        <v>91447</v>
      </c>
      <c r="B1896" s="895" t="s">
        <v>20085</v>
      </c>
      <c r="C1896" s="895" t="s">
        <v>226</v>
      </c>
      <c r="D1896" s="895">
        <v>1554.13</v>
      </c>
    </row>
    <row r="1897" spans="1:4" x14ac:dyDescent="0.2">
      <c r="A1897" s="895">
        <v>91448</v>
      </c>
      <c r="B1897" s="895" t="s">
        <v>20086</v>
      </c>
      <c r="C1897" s="895" t="s">
        <v>227</v>
      </c>
      <c r="D1897" s="895">
        <v>1718.32</v>
      </c>
    </row>
    <row r="1898" spans="1:4" x14ac:dyDescent="0.2">
      <c r="A1898" s="895">
        <v>91449</v>
      </c>
      <c r="B1898" s="895" t="s">
        <v>20087</v>
      </c>
      <c r="C1898" s="895" t="s">
        <v>226</v>
      </c>
      <c r="D1898" s="895">
        <v>48.57</v>
      </c>
    </row>
    <row r="1899" spans="1:4" x14ac:dyDescent="0.2">
      <c r="A1899" s="895">
        <v>91450</v>
      </c>
      <c r="B1899" s="895" t="s">
        <v>20088</v>
      </c>
      <c r="C1899" s="895" t="s">
        <v>226</v>
      </c>
      <c r="D1899" s="895">
        <v>14</v>
      </c>
    </row>
    <row r="1900" spans="1:4" x14ac:dyDescent="0.2">
      <c r="A1900" s="895">
        <v>91451</v>
      </c>
      <c r="B1900" s="895" t="s">
        <v>20089</v>
      </c>
      <c r="C1900" s="895" t="s">
        <v>226</v>
      </c>
      <c r="D1900" s="895">
        <v>347.29</v>
      </c>
    </row>
    <row r="1901" spans="1:4" x14ac:dyDescent="0.2">
      <c r="A1901" s="895">
        <v>91453</v>
      </c>
      <c r="B1901" s="895" t="s">
        <v>20090</v>
      </c>
      <c r="C1901" s="895" t="s">
        <v>226</v>
      </c>
      <c r="D1901" s="895">
        <v>1142.4100000000001</v>
      </c>
    </row>
    <row r="1902" spans="1:4" x14ac:dyDescent="0.2">
      <c r="A1902" s="895">
        <v>91457</v>
      </c>
      <c r="B1902" s="895" t="s">
        <v>20091</v>
      </c>
      <c r="C1902" s="895" t="s">
        <v>226</v>
      </c>
      <c r="D1902" s="895">
        <v>74.989999999999995</v>
      </c>
    </row>
    <row r="1903" spans="1:4" x14ac:dyDescent="0.2">
      <c r="A1903" s="895">
        <v>91459</v>
      </c>
      <c r="B1903" s="895" t="s">
        <v>20092</v>
      </c>
      <c r="C1903" s="895" t="s">
        <v>19562</v>
      </c>
      <c r="D1903" s="895">
        <v>599.11</v>
      </c>
    </row>
    <row r="1904" spans="1:4" x14ac:dyDescent="0.2">
      <c r="A1904" s="895">
        <v>91460</v>
      </c>
      <c r="B1904" s="895" t="s">
        <v>20093</v>
      </c>
      <c r="C1904" s="895" t="s">
        <v>226</v>
      </c>
      <c r="D1904" s="895">
        <v>2374.4899999999998</v>
      </c>
    </row>
    <row r="1905" spans="1:4" x14ac:dyDescent="0.2">
      <c r="A1905" s="895">
        <v>91461</v>
      </c>
      <c r="B1905" s="895" t="s">
        <v>20094</v>
      </c>
      <c r="C1905" s="895" t="s">
        <v>226</v>
      </c>
      <c r="D1905" s="895">
        <v>1417.97</v>
      </c>
    </row>
    <row r="1906" spans="1:4" x14ac:dyDescent="0.2">
      <c r="A1906" s="895">
        <v>91462</v>
      </c>
      <c r="B1906" s="895" t="s">
        <v>20095</v>
      </c>
      <c r="C1906" s="895" t="s">
        <v>226</v>
      </c>
      <c r="D1906" s="895">
        <v>2655.47</v>
      </c>
    </row>
    <row r="1907" spans="1:4" x14ac:dyDescent="0.2">
      <c r="A1907" s="895">
        <v>91463</v>
      </c>
      <c r="B1907" s="895" t="s">
        <v>20096</v>
      </c>
      <c r="C1907" s="895" t="s">
        <v>226</v>
      </c>
      <c r="D1907" s="895">
        <v>1102.72</v>
      </c>
    </row>
    <row r="1908" spans="1:4" x14ac:dyDescent="0.2">
      <c r="A1908" s="895">
        <v>91502</v>
      </c>
      <c r="B1908" s="895" t="s">
        <v>20097</v>
      </c>
      <c r="C1908" s="895" t="s">
        <v>226</v>
      </c>
      <c r="D1908" s="895">
        <v>4281.3500000000004</v>
      </c>
    </row>
    <row r="1909" spans="1:4" x14ac:dyDescent="0.2">
      <c r="A1909" s="895">
        <v>91505</v>
      </c>
      <c r="B1909" s="895" t="s">
        <v>20098</v>
      </c>
      <c r="C1909" s="895" t="s">
        <v>226</v>
      </c>
      <c r="D1909" s="895">
        <v>18462.38</v>
      </c>
    </row>
    <row r="1910" spans="1:4" x14ac:dyDescent="0.2">
      <c r="A1910" s="895">
        <v>91506</v>
      </c>
      <c r="B1910" s="895" t="s">
        <v>20099</v>
      </c>
      <c r="C1910" s="895" t="s">
        <v>226</v>
      </c>
      <c r="D1910" s="895">
        <v>24318.82</v>
      </c>
    </row>
    <row r="1911" spans="1:4" x14ac:dyDescent="0.2">
      <c r="A1911" s="895">
        <v>91507</v>
      </c>
      <c r="B1911" s="895" t="s">
        <v>20100</v>
      </c>
      <c r="C1911" s="895" t="s">
        <v>226</v>
      </c>
      <c r="D1911" s="895">
        <v>33466.720000000001</v>
      </c>
    </row>
    <row r="1912" spans="1:4" x14ac:dyDescent="0.2">
      <c r="A1912" s="895">
        <v>91508</v>
      </c>
      <c r="B1912" s="895" t="s">
        <v>20101</v>
      </c>
      <c r="C1912" s="895" t="s">
        <v>226</v>
      </c>
      <c r="D1912" s="895">
        <v>36686.050000000003</v>
      </c>
    </row>
    <row r="1913" spans="1:4" x14ac:dyDescent="0.2">
      <c r="A1913" s="895">
        <v>91520</v>
      </c>
      <c r="B1913" s="895" t="s">
        <v>20102</v>
      </c>
      <c r="C1913" s="895" t="s">
        <v>226</v>
      </c>
      <c r="D1913" s="895">
        <v>4435.17</v>
      </c>
    </row>
    <row r="1914" spans="1:4" x14ac:dyDescent="0.2">
      <c r="A1914" s="895">
        <v>91525</v>
      </c>
      <c r="B1914" s="895" t="s">
        <v>20103</v>
      </c>
      <c r="C1914" s="895" t="s">
        <v>226</v>
      </c>
      <c r="D1914" s="895">
        <v>3936.85</v>
      </c>
    </row>
    <row r="1915" spans="1:4" x14ac:dyDescent="0.2">
      <c r="A1915" s="895">
        <v>91540</v>
      </c>
      <c r="B1915" s="895" t="s">
        <v>20104</v>
      </c>
      <c r="C1915" s="895" t="s">
        <v>226</v>
      </c>
      <c r="D1915" s="895">
        <v>62009.19</v>
      </c>
    </row>
    <row r="1916" spans="1:4" x14ac:dyDescent="0.2">
      <c r="A1916" s="895">
        <v>91541</v>
      </c>
      <c r="B1916" s="895" t="s">
        <v>20105</v>
      </c>
      <c r="C1916" s="895" t="s">
        <v>226</v>
      </c>
      <c r="D1916" s="895">
        <v>55267.34</v>
      </c>
    </row>
    <row r="1917" spans="1:4" x14ac:dyDescent="0.2">
      <c r="A1917" s="895">
        <v>91602</v>
      </c>
      <c r="B1917" s="895" t="s">
        <v>20106</v>
      </c>
      <c r="C1917" s="895" t="s">
        <v>226</v>
      </c>
      <c r="D1917" s="895">
        <v>781.61</v>
      </c>
    </row>
    <row r="1918" spans="1:4" x14ac:dyDescent="0.2">
      <c r="A1918" s="895">
        <v>91604</v>
      </c>
      <c r="B1918" s="895" t="s">
        <v>20107</v>
      </c>
      <c r="C1918" s="895" t="s">
        <v>226</v>
      </c>
      <c r="D1918" s="895">
        <v>1395.34</v>
      </c>
    </row>
    <row r="1919" spans="1:4" x14ac:dyDescent="0.2">
      <c r="A1919" s="895">
        <v>91606</v>
      </c>
      <c r="B1919" s="895" t="s">
        <v>20108</v>
      </c>
      <c r="C1919" s="895" t="s">
        <v>226</v>
      </c>
      <c r="D1919" s="895">
        <v>1930.37</v>
      </c>
    </row>
    <row r="1920" spans="1:4" x14ac:dyDescent="0.2">
      <c r="A1920" s="895">
        <v>91608</v>
      </c>
      <c r="B1920" s="895" t="s">
        <v>20109</v>
      </c>
      <c r="C1920" s="895" t="s">
        <v>226</v>
      </c>
      <c r="D1920" s="895">
        <v>2332.7800000000002</v>
      </c>
    </row>
    <row r="1921" spans="1:4" x14ac:dyDescent="0.2">
      <c r="A1921" s="895">
        <v>91611</v>
      </c>
      <c r="B1921" s="895" t="s">
        <v>20110</v>
      </c>
      <c r="C1921" s="895" t="s">
        <v>226</v>
      </c>
      <c r="D1921" s="895">
        <v>3120.57</v>
      </c>
    </row>
    <row r="1922" spans="1:4" x14ac:dyDescent="0.2">
      <c r="A1922" s="895">
        <v>91613</v>
      </c>
      <c r="B1922" s="895" t="s">
        <v>20111</v>
      </c>
      <c r="C1922" s="895" t="s">
        <v>226</v>
      </c>
      <c r="D1922" s="895">
        <v>4207.57</v>
      </c>
    </row>
    <row r="1923" spans="1:4" x14ac:dyDescent="0.2">
      <c r="A1923" s="895">
        <v>91615</v>
      </c>
      <c r="B1923" s="895" t="s">
        <v>20112</v>
      </c>
      <c r="C1923" s="895" t="s">
        <v>226</v>
      </c>
      <c r="D1923" s="895">
        <v>6422.13</v>
      </c>
    </row>
    <row r="1924" spans="1:4" x14ac:dyDescent="0.2">
      <c r="A1924" s="895">
        <v>91616</v>
      </c>
      <c r="B1924" s="895" t="s">
        <v>20113</v>
      </c>
      <c r="C1924" s="895" t="s">
        <v>226</v>
      </c>
      <c r="D1924" s="895">
        <v>10416.84</v>
      </c>
    </row>
    <row r="1925" spans="1:4" x14ac:dyDescent="0.2">
      <c r="A1925" s="895">
        <v>91617</v>
      </c>
      <c r="B1925" s="895" t="s">
        <v>20114</v>
      </c>
      <c r="C1925" s="895" t="s">
        <v>226</v>
      </c>
      <c r="D1925" s="895">
        <v>14031.73</v>
      </c>
    </row>
    <row r="1926" spans="1:4" x14ac:dyDescent="0.2">
      <c r="A1926" s="895">
        <v>91618</v>
      </c>
      <c r="B1926" s="895" t="s">
        <v>20115</v>
      </c>
      <c r="C1926" s="895" t="s">
        <v>226</v>
      </c>
      <c r="D1926" s="895">
        <v>17088.25</v>
      </c>
    </row>
    <row r="1927" spans="1:4" x14ac:dyDescent="0.2">
      <c r="A1927" s="895">
        <v>91701</v>
      </c>
      <c r="B1927" s="895" t="s">
        <v>20116</v>
      </c>
      <c r="C1927" s="895" t="s">
        <v>226</v>
      </c>
      <c r="D1927" s="895">
        <v>252.81</v>
      </c>
    </row>
    <row r="1928" spans="1:4" x14ac:dyDescent="0.2">
      <c r="A1928" s="895">
        <v>91702</v>
      </c>
      <c r="B1928" s="895" t="s">
        <v>20117</v>
      </c>
      <c r="C1928" s="895" t="s">
        <v>226</v>
      </c>
      <c r="D1928" s="895">
        <v>230.84</v>
      </c>
    </row>
    <row r="1929" spans="1:4" x14ac:dyDescent="0.2">
      <c r="A1929" s="895">
        <v>91703</v>
      </c>
      <c r="B1929" s="895" t="s">
        <v>20118</v>
      </c>
      <c r="C1929" s="895" t="s">
        <v>226</v>
      </c>
      <c r="D1929" s="895">
        <v>272.75</v>
      </c>
    </row>
    <row r="1930" spans="1:4" x14ac:dyDescent="0.2">
      <c r="A1930" s="895">
        <v>91706</v>
      </c>
      <c r="B1930" s="895" t="s">
        <v>20119</v>
      </c>
      <c r="C1930" s="895" t="s">
        <v>158</v>
      </c>
      <c r="D1930" s="895">
        <v>174.4</v>
      </c>
    </row>
    <row r="1931" spans="1:4" x14ac:dyDescent="0.2">
      <c r="A1931" s="895">
        <v>91707</v>
      </c>
      <c r="B1931" s="895" t="s">
        <v>20120</v>
      </c>
      <c r="C1931" s="895" t="s">
        <v>158</v>
      </c>
      <c r="D1931" s="895">
        <v>248.66</v>
      </c>
    </row>
    <row r="1932" spans="1:4" x14ac:dyDescent="0.2">
      <c r="A1932" s="895">
        <v>91710</v>
      </c>
      <c r="B1932" s="895" t="s">
        <v>20121</v>
      </c>
      <c r="C1932" s="895" t="s">
        <v>226</v>
      </c>
      <c r="D1932" s="895">
        <v>1843.06</v>
      </c>
    </row>
    <row r="1933" spans="1:4" x14ac:dyDescent="0.2">
      <c r="A1933" s="895">
        <v>91712</v>
      </c>
      <c r="B1933" s="895" t="s">
        <v>20122</v>
      </c>
      <c r="C1933" s="895" t="s">
        <v>226</v>
      </c>
      <c r="D1933" s="895">
        <v>116.76</v>
      </c>
    </row>
    <row r="1934" spans="1:4" x14ac:dyDescent="0.2">
      <c r="A1934" s="895">
        <v>91713</v>
      </c>
      <c r="B1934" s="895" t="s">
        <v>20123</v>
      </c>
      <c r="C1934" s="895" t="s">
        <v>226</v>
      </c>
      <c r="D1934" s="895">
        <v>456.76</v>
      </c>
    </row>
    <row r="1935" spans="1:4" x14ac:dyDescent="0.2">
      <c r="A1935" s="895">
        <v>91714</v>
      </c>
      <c r="B1935" s="895" t="s">
        <v>20124</v>
      </c>
      <c r="C1935" s="895" t="s">
        <v>226</v>
      </c>
      <c r="D1935" s="895">
        <v>467.38</v>
      </c>
    </row>
    <row r="1936" spans="1:4" x14ac:dyDescent="0.2">
      <c r="A1936" s="895">
        <v>91715</v>
      </c>
      <c r="B1936" s="895" t="s">
        <v>20125</v>
      </c>
      <c r="C1936" s="895" t="s">
        <v>226</v>
      </c>
      <c r="D1936" s="895">
        <v>458.08</v>
      </c>
    </row>
    <row r="1937" spans="1:4" x14ac:dyDescent="0.2">
      <c r="A1937" s="895">
        <v>91716</v>
      </c>
      <c r="B1937" s="895" t="s">
        <v>20126</v>
      </c>
      <c r="C1937" s="895" t="s">
        <v>226</v>
      </c>
      <c r="D1937" s="895">
        <v>30114.37</v>
      </c>
    </row>
    <row r="1938" spans="1:4" x14ac:dyDescent="0.2">
      <c r="A1938" s="895">
        <v>91717</v>
      </c>
      <c r="B1938" s="895" t="s">
        <v>20127</v>
      </c>
      <c r="C1938" s="895" t="s">
        <v>226</v>
      </c>
      <c r="D1938" s="895">
        <v>24874.76</v>
      </c>
    </row>
    <row r="1939" spans="1:4" x14ac:dyDescent="0.2">
      <c r="A1939" s="895">
        <v>91718</v>
      </c>
      <c r="B1939" s="895" t="s">
        <v>20128</v>
      </c>
      <c r="C1939" s="895" t="s">
        <v>226</v>
      </c>
      <c r="D1939" s="895">
        <v>268.92</v>
      </c>
    </row>
    <row r="1940" spans="1:4" x14ac:dyDescent="0.2">
      <c r="A1940" s="895">
        <v>91719</v>
      </c>
      <c r="B1940" s="895" t="s">
        <v>20129</v>
      </c>
      <c r="C1940" s="895" t="s">
        <v>226</v>
      </c>
      <c r="D1940" s="895">
        <v>524.94000000000005</v>
      </c>
    </row>
    <row r="1941" spans="1:4" x14ac:dyDescent="0.2">
      <c r="A1941" s="895">
        <v>91720</v>
      </c>
      <c r="B1941" s="895" t="s">
        <v>20130</v>
      </c>
      <c r="C1941" s="895" t="s">
        <v>19562</v>
      </c>
      <c r="D1941" s="895">
        <v>42.44</v>
      </c>
    </row>
    <row r="1942" spans="1:4" x14ac:dyDescent="0.2">
      <c r="A1942" s="895">
        <v>91721</v>
      </c>
      <c r="B1942" s="895" t="s">
        <v>20131</v>
      </c>
      <c r="C1942" s="895" t="s">
        <v>226</v>
      </c>
      <c r="D1942" s="895">
        <v>38807.71</v>
      </c>
    </row>
    <row r="1943" spans="1:4" x14ac:dyDescent="0.2">
      <c r="A1943" s="895">
        <v>91722</v>
      </c>
      <c r="B1943" s="895" t="s">
        <v>20132</v>
      </c>
      <c r="C1943" s="895" t="s">
        <v>226</v>
      </c>
      <c r="D1943" s="895">
        <v>44012.29</v>
      </c>
    </row>
    <row r="1944" spans="1:4" x14ac:dyDescent="0.2">
      <c r="A1944" s="895">
        <v>91723</v>
      </c>
      <c r="B1944" s="895" t="s">
        <v>20133</v>
      </c>
      <c r="C1944" s="895" t="s">
        <v>226</v>
      </c>
      <c r="D1944" s="895">
        <v>1299.29</v>
      </c>
    </row>
    <row r="1945" spans="1:4" x14ac:dyDescent="0.2">
      <c r="A1945" s="895">
        <v>91724</v>
      </c>
      <c r="B1945" s="895" t="s">
        <v>20134</v>
      </c>
      <c r="C1945" s="895" t="s">
        <v>226</v>
      </c>
      <c r="D1945" s="895">
        <v>6356.13</v>
      </c>
    </row>
    <row r="1946" spans="1:4" x14ac:dyDescent="0.2">
      <c r="A1946" s="895">
        <v>91725</v>
      </c>
      <c r="B1946" s="895" t="s">
        <v>20135</v>
      </c>
      <c r="C1946" s="895" t="s">
        <v>158</v>
      </c>
      <c r="D1946" s="895">
        <v>37.36</v>
      </c>
    </row>
    <row r="1947" spans="1:4" x14ac:dyDescent="0.2">
      <c r="A1947" s="895">
        <v>91726</v>
      </c>
      <c r="B1947" s="895" t="s">
        <v>2904</v>
      </c>
      <c r="C1947" s="895" t="s">
        <v>226</v>
      </c>
      <c r="D1947" s="895">
        <v>123.44</v>
      </c>
    </row>
    <row r="1948" spans="1:4" x14ac:dyDescent="0.2">
      <c r="A1948" s="895">
        <v>91727</v>
      </c>
      <c r="B1948" s="895" t="s">
        <v>20136</v>
      </c>
      <c r="C1948" s="895" t="s">
        <v>226</v>
      </c>
      <c r="D1948" s="895">
        <v>176.52</v>
      </c>
    </row>
    <row r="1949" spans="1:4" x14ac:dyDescent="0.2">
      <c r="A1949" s="895">
        <v>91728</v>
      </c>
      <c r="B1949" s="895" t="s">
        <v>2905</v>
      </c>
      <c r="C1949" s="895" t="s">
        <v>226</v>
      </c>
      <c r="D1949" s="895">
        <v>175.27</v>
      </c>
    </row>
    <row r="1950" spans="1:4" x14ac:dyDescent="0.2">
      <c r="A1950" s="895">
        <v>91729</v>
      </c>
      <c r="B1950" s="895" t="s">
        <v>20137</v>
      </c>
      <c r="C1950" s="895" t="s">
        <v>226</v>
      </c>
      <c r="D1950" s="895">
        <v>68.819999999999993</v>
      </c>
    </row>
    <row r="1951" spans="1:4" x14ac:dyDescent="0.2">
      <c r="A1951" s="895">
        <v>91730</v>
      </c>
      <c r="B1951" s="895" t="s">
        <v>20138</v>
      </c>
      <c r="C1951" s="895" t="s">
        <v>226</v>
      </c>
      <c r="D1951" s="895">
        <v>33.19</v>
      </c>
    </row>
    <row r="1952" spans="1:4" x14ac:dyDescent="0.2">
      <c r="A1952" s="895">
        <v>91731</v>
      </c>
      <c r="B1952" s="895" t="s">
        <v>20139</v>
      </c>
      <c r="C1952" s="895" t="s">
        <v>226</v>
      </c>
      <c r="D1952" s="895">
        <v>76.430000000000007</v>
      </c>
    </row>
    <row r="1953" spans="1:4" x14ac:dyDescent="0.2">
      <c r="A1953" s="895">
        <v>91732</v>
      </c>
      <c r="B1953" s="895" t="s">
        <v>20140</v>
      </c>
      <c r="C1953" s="895" t="s">
        <v>226</v>
      </c>
      <c r="D1953" s="895">
        <v>1216.1099999999999</v>
      </c>
    </row>
    <row r="1954" spans="1:4" x14ac:dyDescent="0.2">
      <c r="A1954" s="895">
        <v>91733</v>
      </c>
      <c r="B1954" s="895" t="s">
        <v>20141</v>
      </c>
      <c r="C1954" s="895" t="s">
        <v>226</v>
      </c>
      <c r="D1954" s="895">
        <v>1204.3900000000001</v>
      </c>
    </row>
    <row r="1955" spans="1:4" x14ac:dyDescent="0.2">
      <c r="A1955" s="895">
        <v>91734</v>
      </c>
      <c r="B1955" s="895" t="s">
        <v>20142</v>
      </c>
      <c r="C1955" s="895" t="s">
        <v>226</v>
      </c>
      <c r="D1955" s="895">
        <v>1230.27</v>
      </c>
    </row>
    <row r="1956" spans="1:4" x14ac:dyDescent="0.2">
      <c r="A1956" s="895">
        <v>92000</v>
      </c>
      <c r="B1956" s="895" t="s">
        <v>20143</v>
      </c>
      <c r="C1956" s="895" t="s">
        <v>18269</v>
      </c>
      <c r="D1956" s="895" t="s">
        <v>18269</v>
      </c>
    </row>
    <row r="1957" spans="1:4" x14ac:dyDescent="0.2">
      <c r="A1957" s="895">
        <v>92010</v>
      </c>
      <c r="B1957" s="895" t="s">
        <v>20144</v>
      </c>
      <c r="C1957" s="895" t="s">
        <v>19518</v>
      </c>
      <c r="D1957" s="895">
        <v>5859.13</v>
      </c>
    </row>
    <row r="1958" spans="1:4" x14ac:dyDescent="0.2">
      <c r="A1958" s="895">
        <v>92011</v>
      </c>
      <c r="B1958" s="895" t="s">
        <v>20145</v>
      </c>
      <c r="C1958" s="895" t="s">
        <v>19518</v>
      </c>
      <c r="D1958" s="895">
        <v>3865.41</v>
      </c>
    </row>
    <row r="1959" spans="1:4" x14ac:dyDescent="0.2">
      <c r="A1959" s="895">
        <v>92033</v>
      </c>
      <c r="B1959" s="895" t="s">
        <v>20146</v>
      </c>
      <c r="C1959" s="895" t="s">
        <v>226</v>
      </c>
      <c r="D1959" s="895">
        <v>2417.71</v>
      </c>
    </row>
    <row r="1960" spans="1:4" x14ac:dyDescent="0.2">
      <c r="A1960" s="895">
        <v>92034</v>
      </c>
      <c r="B1960" s="895" t="s">
        <v>20147</v>
      </c>
      <c r="C1960" s="895" t="s">
        <v>226</v>
      </c>
      <c r="D1960" s="895">
        <v>2880.18</v>
      </c>
    </row>
    <row r="1961" spans="1:4" x14ac:dyDescent="0.2">
      <c r="A1961" s="895">
        <v>92035</v>
      </c>
      <c r="B1961" s="895" t="s">
        <v>20148</v>
      </c>
      <c r="C1961" s="895" t="s">
        <v>226</v>
      </c>
      <c r="D1961" s="895">
        <v>4285.3500000000004</v>
      </c>
    </row>
    <row r="1962" spans="1:4" x14ac:dyDescent="0.2">
      <c r="A1962" s="895">
        <v>92036</v>
      </c>
      <c r="B1962" s="895" t="s">
        <v>20149</v>
      </c>
      <c r="C1962" s="895" t="s">
        <v>226</v>
      </c>
      <c r="D1962" s="895">
        <v>3795.55</v>
      </c>
    </row>
    <row r="1963" spans="1:4" x14ac:dyDescent="0.2">
      <c r="A1963" s="895">
        <v>95000</v>
      </c>
      <c r="B1963" s="895" t="s">
        <v>20150</v>
      </c>
      <c r="C1963" s="895" t="s">
        <v>18269</v>
      </c>
      <c r="D1963" s="895" t="s">
        <v>18269</v>
      </c>
    </row>
    <row r="1964" spans="1:4" x14ac:dyDescent="0.2">
      <c r="A1964" s="895">
        <v>95001</v>
      </c>
      <c r="B1964" s="895" t="s">
        <v>20151</v>
      </c>
      <c r="C1964" s="895" t="s">
        <v>226</v>
      </c>
      <c r="D1964" s="895">
        <v>210.88</v>
      </c>
    </row>
    <row r="1965" spans="1:4" x14ac:dyDescent="0.2">
      <c r="A1965" s="895">
        <v>95002</v>
      </c>
      <c r="B1965" s="895" t="s">
        <v>20152</v>
      </c>
      <c r="C1965" s="895" t="s">
        <v>226</v>
      </c>
      <c r="D1965" s="895">
        <v>263.60000000000002</v>
      </c>
    </row>
    <row r="1966" spans="1:4" x14ac:dyDescent="0.2">
      <c r="A1966" s="895">
        <v>95003</v>
      </c>
      <c r="B1966" s="895" t="s">
        <v>20153</v>
      </c>
      <c r="C1966" s="895" t="s">
        <v>226</v>
      </c>
      <c r="D1966" s="895">
        <v>210.88</v>
      </c>
    </row>
    <row r="1967" spans="1:4" x14ac:dyDescent="0.2">
      <c r="A1967" s="895">
        <v>95004</v>
      </c>
      <c r="B1967" s="895" t="s">
        <v>20154</v>
      </c>
      <c r="C1967" s="895" t="s">
        <v>226</v>
      </c>
      <c r="D1967" s="895">
        <v>26.36</v>
      </c>
    </row>
    <row r="1968" spans="1:4" x14ac:dyDescent="0.2">
      <c r="A1968" s="895">
        <v>95005</v>
      </c>
      <c r="B1968" s="895" t="s">
        <v>20155</v>
      </c>
      <c r="C1968" s="895" t="s">
        <v>226</v>
      </c>
      <c r="D1968" s="895">
        <v>13.18</v>
      </c>
    </row>
    <row r="1969" spans="1:4" x14ac:dyDescent="0.2">
      <c r="A1969" s="895">
        <v>95006</v>
      </c>
      <c r="B1969" s="895" t="s">
        <v>20156</v>
      </c>
      <c r="C1969" s="895" t="s">
        <v>226</v>
      </c>
      <c r="D1969" s="895">
        <v>105.44</v>
      </c>
    </row>
    <row r="1970" spans="1:4" x14ac:dyDescent="0.2">
      <c r="A1970" s="895">
        <v>95009</v>
      </c>
      <c r="B1970" s="895" t="s">
        <v>20157</v>
      </c>
      <c r="C1970" s="895" t="s">
        <v>158</v>
      </c>
      <c r="D1970" s="895">
        <v>21.09</v>
      </c>
    </row>
    <row r="1971" spans="1:4" x14ac:dyDescent="0.2">
      <c r="A1971" s="895">
        <v>95010</v>
      </c>
      <c r="B1971" s="895" t="s">
        <v>20158</v>
      </c>
      <c r="C1971" s="895" t="s">
        <v>158</v>
      </c>
      <c r="D1971" s="895">
        <v>26.36</v>
      </c>
    </row>
    <row r="1972" spans="1:4" x14ac:dyDescent="0.2">
      <c r="A1972" s="895">
        <v>95011</v>
      </c>
      <c r="B1972" s="895" t="s">
        <v>20159</v>
      </c>
      <c r="C1972" s="895" t="s">
        <v>158</v>
      </c>
      <c r="D1972" s="895">
        <v>52.72</v>
      </c>
    </row>
    <row r="1973" spans="1:4" x14ac:dyDescent="0.2">
      <c r="A1973" s="895">
        <v>95012</v>
      </c>
      <c r="B1973" s="895" t="s">
        <v>20160</v>
      </c>
      <c r="C1973" s="895" t="s">
        <v>158</v>
      </c>
      <c r="D1973" s="895">
        <v>13.18</v>
      </c>
    </row>
    <row r="1974" spans="1:4" x14ac:dyDescent="0.2">
      <c r="A1974" s="895">
        <v>95013</v>
      </c>
      <c r="B1974" s="895" t="s">
        <v>20161</v>
      </c>
      <c r="C1974" s="895" t="s">
        <v>158</v>
      </c>
      <c r="D1974" s="895">
        <v>26.36</v>
      </c>
    </row>
    <row r="1975" spans="1:4" x14ac:dyDescent="0.2">
      <c r="A1975" s="895">
        <v>95014</v>
      </c>
      <c r="B1975" s="895" t="s">
        <v>20162</v>
      </c>
      <c r="C1975" s="895" t="s">
        <v>158</v>
      </c>
      <c r="D1975" s="895">
        <v>2.64</v>
      </c>
    </row>
    <row r="1976" spans="1:4" x14ac:dyDescent="0.2">
      <c r="A1976" s="895">
        <v>95015</v>
      </c>
      <c r="B1976" s="895" t="s">
        <v>20163</v>
      </c>
      <c r="C1976" s="895" t="s">
        <v>158</v>
      </c>
      <c r="D1976" s="895">
        <v>5.27</v>
      </c>
    </row>
    <row r="1977" spans="1:4" x14ac:dyDescent="0.2">
      <c r="A1977" s="895">
        <v>95016</v>
      </c>
      <c r="B1977" s="895" t="s">
        <v>20164</v>
      </c>
      <c r="C1977" s="895" t="s">
        <v>158</v>
      </c>
      <c r="D1977" s="895">
        <v>3.16</v>
      </c>
    </row>
    <row r="1978" spans="1:4" x14ac:dyDescent="0.2">
      <c r="A1978" s="895">
        <v>95017</v>
      </c>
      <c r="B1978" s="895" t="s">
        <v>20165</v>
      </c>
      <c r="C1978" s="895" t="s">
        <v>158</v>
      </c>
      <c r="D1978" s="895">
        <v>6.33</v>
      </c>
    </row>
    <row r="1979" spans="1:4" x14ac:dyDescent="0.2">
      <c r="A1979" s="895">
        <v>95018</v>
      </c>
      <c r="B1979" s="895" t="s">
        <v>20166</v>
      </c>
      <c r="C1979" s="895" t="s">
        <v>226</v>
      </c>
      <c r="D1979" s="895">
        <v>10.54</v>
      </c>
    </row>
    <row r="1980" spans="1:4" x14ac:dyDescent="0.2">
      <c r="A1980" s="895">
        <v>95020</v>
      </c>
      <c r="B1980" s="895" t="s">
        <v>20167</v>
      </c>
      <c r="C1980" s="895" t="s">
        <v>226</v>
      </c>
      <c r="D1980" s="895">
        <v>10.54</v>
      </c>
    </row>
    <row r="1981" spans="1:4" x14ac:dyDescent="0.2">
      <c r="A1981" s="895">
        <v>95100</v>
      </c>
      <c r="B1981" s="895" t="s">
        <v>20168</v>
      </c>
      <c r="C1981" s="895" t="s">
        <v>18269</v>
      </c>
      <c r="D1981" s="895" t="s">
        <v>18269</v>
      </c>
    </row>
    <row r="1982" spans="1:4" x14ac:dyDescent="0.2">
      <c r="A1982" s="895">
        <v>95111</v>
      </c>
      <c r="B1982" s="895" t="s">
        <v>20169</v>
      </c>
      <c r="C1982" s="895" t="s">
        <v>226</v>
      </c>
      <c r="D1982" s="895">
        <v>10.54</v>
      </c>
    </row>
    <row r="1983" spans="1:4" x14ac:dyDescent="0.2">
      <c r="A1983" s="895">
        <v>95115</v>
      </c>
      <c r="B1983" s="895" t="s">
        <v>20170</v>
      </c>
      <c r="C1983" s="895" t="s">
        <v>226</v>
      </c>
      <c r="D1983" s="895">
        <v>15.82</v>
      </c>
    </row>
    <row r="1984" spans="1:4" x14ac:dyDescent="0.2">
      <c r="A1984" s="895">
        <v>95116</v>
      </c>
      <c r="B1984" s="895" t="s">
        <v>20171</v>
      </c>
      <c r="C1984" s="895" t="s">
        <v>226</v>
      </c>
      <c r="D1984" s="895">
        <v>36.9</v>
      </c>
    </row>
    <row r="1985" spans="1:4" x14ac:dyDescent="0.2">
      <c r="A1985" s="895">
        <v>95117</v>
      </c>
      <c r="B1985" s="895" t="s">
        <v>20172</v>
      </c>
      <c r="C1985" s="895" t="s">
        <v>226</v>
      </c>
      <c r="D1985" s="895">
        <v>68.540000000000006</v>
      </c>
    </row>
    <row r="1986" spans="1:4" x14ac:dyDescent="0.2">
      <c r="A1986" s="895">
        <v>95125</v>
      </c>
      <c r="B1986" s="895" t="s">
        <v>20173</v>
      </c>
      <c r="C1986" s="895" t="s">
        <v>226</v>
      </c>
      <c r="D1986" s="895">
        <v>26.36</v>
      </c>
    </row>
    <row r="1987" spans="1:4" x14ac:dyDescent="0.2">
      <c r="A1987" s="895">
        <v>95126</v>
      </c>
      <c r="B1987" s="895" t="s">
        <v>20174</v>
      </c>
      <c r="C1987" s="895" t="s">
        <v>226</v>
      </c>
      <c r="D1987" s="895">
        <v>52.72</v>
      </c>
    </row>
    <row r="1988" spans="1:4" x14ac:dyDescent="0.2">
      <c r="A1988" s="895">
        <v>95127</v>
      </c>
      <c r="B1988" s="895" t="s">
        <v>20175</v>
      </c>
      <c r="C1988" s="895" t="s">
        <v>227</v>
      </c>
      <c r="D1988" s="895">
        <v>52.72</v>
      </c>
    </row>
    <row r="1989" spans="1:4" x14ac:dyDescent="0.2">
      <c r="A1989" s="895">
        <v>95129</v>
      </c>
      <c r="B1989" s="895" t="s">
        <v>20176</v>
      </c>
      <c r="C1989" s="895" t="s">
        <v>227</v>
      </c>
      <c r="D1989" s="895">
        <v>52.72</v>
      </c>
    </row>
    <row r="1990" spans="1:4" x14ac:dyDescent="0.2">
      <c r="A1990" s="895">
        <v>95130</v>
      </c>
      <c r="B1990" s="895" t="s">
        <v>20177</v>
      </c>
      <c r="C1990" s="895" t="s">
        <v>226</v>
      </c>
      <c r="D1990" s="895">
        <v>10.54</v>
      </c>
    </row>
    <row r="1991" spans="1:4" x14ac:dyDescent="0.2">
      <c r="A1991" s="895">
        <v>95132</v>
      </c>
      <c r="B1991" s="895" t="s">
        <v>20178</v>
      </c>
      <c r="C1991" s="895" t="s">
        <v>226</v>
      </c>
      <c r="D1991" s="895">
        <v>13.18</v>
      </c>
    </row>
    <row r="1992" spans="1:4" x14ac:dyDescent="0.2">
      <c r="A1992" s="895">
        <v>95134</v>
      </c>
      <c r="B1992" s="895" t="s">
        <v>20179</v>
      </c>
      <c r="C1992" s="895" t="s">
        <v>226</v>
      </c>
      <c r="D1992" s="895">
        <v>13.18</v>
      </c>
    </row>
    <row r="1993" spans="1:4" x14ac:dyDescent="0.2">
      <c r="A1993" s="895">
        <v>95135</v>
      </c>
      <c r="B1993" s="895" t="s">
        <v>20180</v>
      </c>
      <c r="C1993" s="895" t="s">
        <v>226</v>
      </c>
      <c r="D1993" s="895">
        <v>303.31</v>
      </c>
    </row>
    <row r="1994" spans="1:4" x14ac:dyDescent="0.2">
      <c r="A1994" s="895">
        <v>95136</v>
      </c>
      <c r="B1994" s="895" t="s">
        <v>20181</v>
      </c>
      <c r="C1994" s="895" t="s">
        <v>226</v>
      </c>
      <c r="D1994" s="895">
        <v>26.36</v>
      </c>
    </row>
    <row r="1995" spans="1:4" x14ac:dyDescent="0.2">
      <c r="A1995" s="895">
        <v>95137</v>
      </c>
      <c r="B1995" s="895" t="s">
        <v>20182</v>
      </c>
      <c r="C1995" s="895" t="s">
        <v>226</v>
      </c>
      <c r="D1995" s="895">
        <v>26.36</v>
      </c>
    </row>
    <row r="1996" spans="1:4" x14ac:dyDescent="0.2">
      <c r="A1996" s="895">
        <v>95138</v>
      </c>
      <c r="B1996" s="895" t="s">
        <v>20183</v>
      </c>
      <c r="C1996" s="895" t="s">
        <v>226</v>
      </c>
      <c r="D1996" s="895">
        <v>39.54</v>
      </c>
    </row>
    <row r="1997" spans="1:4" x14ac:dyDescent="0.2">
      <c r="A1997" s="895">
        <v>95139</v>
      </c>
      <c r="B1997" s="895" t="s">
        <v>20184</v>
      </c>
      <c r="C1997" s="895" t="s">
        <v>226</v>
      </c>
      <c r="D1997" s="895">
        <v>13.18</v>
      </c>
    </row>
    <row r="1998" spans="1:4" x14ac:dyDescent="0.2">
      <c r="A1998" s="895">
        <v>95200</v>
      </c>
      <c r="B1998" s="895" t="s">
        <v>20185</v>
      </c>
      <c r="C1998" s="895" t="s">
        <v>18269</v>
      </c>
      <c r="D1998" s="895" t="s">
        <v>18269</v>
      </c>
    </row>
    <row r="1999" spans="1:4" x14ac:dyDescent="0.2">
      <c r="A1999" s="895">
        <v>95201</v>
      </c>
      <c r="B1999" s="895" t="s">
        <v>20186</v>
      </c>
      <c r="C1999" s="895" t="s">
        <v>226</v>
      </c>
      <c r="D1999" s="895">
        <v>10.54</v>
      </c>
    </row>
    <row r="2000" spans="1:4" x14ac:dyDescent="0.2">
      <c r="A2000" s="895">
        <v>95202</v>
      </c>
      <c r="B2000" s="895" t="s">
        <v>20187</v>
      </c>
      <c r="C2000" s="895" t="s">
        <v>226</v>
      </c>
      <c r="D2000" s="895">
        <v>26.36</v>
      </c>
    </row>
    <row r="2001" spans="1:4" x14ac:dyDescent="0.2">
      <c r="A2001" s="895">
        <v>95203</v>
      </c>
      <c r="B2001" s="895" t="s">
        <v>20188</v>
      </c>
      <c r="C2001" s="895" t="s">
        <v>226</v>
      </c>
      <c r="D2001" s="895">
        <v>2.2000000000000002</v>
      </c>
    </row>
    <row r="2002" spans="1:4" x14ac:dyDescent="0.2">
      <c r="A2002" s="895">
        <v>95204</v>
      </c>
      <c r="B2002" s="895" t="s">
        <v>20189</v>
      </c>
      <c r="C2002" s="895" t="s">
        <v>226</v>
      </c>
      <c r="D2002" s="895">
        <v>15.82</v>
      </c>
    </row>
    <row r="2003" spans="1:4" x14ac:dyDescent="0.2">
      <c r="A2003" s="895">
        <v>95205</v>
      </c>
      <c r="B2003" s="895" t="s">
        <v>20190</v>
      </c>
      <c r="C2003" s="895" t="s">
        <v>226</v>
      </c>
      <c r="D2003" s="895">
        <v>2.2000000000000002</v>
      </c>
    </row>
    <row r="2004" spans="1:4" x14ac:dyDescent="0.2">
      <c r="A2004" s="895">
        <v>95206</v>
      </c>
      <c r="B2004" s="895" t="s">
        <v>20191</v>
      </c>
      <c r="C2004" s="895" t="s">
        <v>226</v>
      </c>
      <c r="D2004" s="895">
        <v>21.09</v>
      </c>
    </row>
    <row r="2005" spans="1:4" x14ac:dyDescent="0.2">
      <c r="A2005" s="895">
        <v>95208</v>
      </c>
      <c r="B2005" s="895" t="s">
        <v>20192</v>
      </c>
      <c r="C2005" s="895" t="s">
        <v>226</v>
      </c>
      <c r="D2005" s="895">
        <v>26.36</v>
      </c>
    </row>
    <row r="2006" spans="1:4" x14ac:dyDescent="0.2">
      <c r="A2006" s="895">
        <v>95209</v>
      </c>
      <c r="B2006" s="895" t="s">
        <v>20193</v>
      </c>
      <c r="C2006" s="895" t="s">
        <v>226</v>
      </c>
      <c r="D2006" s="895">
        <v>52.72</v>
      </c>
    </row>
    <row r="2007" spans="1:4" x14ac:dyDescent="0.2">
      <c r="A2007" s="895">
        <v>95210</v>
      </c>
      <c r="B2007" s="895" t="s">
        <v>20194</v>
      </c>
      <c r="C2007" s="895" t="s">
        <v>226</v>
      </c>
      <c r="D2007" s="895">
        <v>21.09</v>
      </c>
    </row>
    <row r="2008" spans="1:4" x14ac:dyDescent="0.2">
      <c r="A2008" s="895">
        <v>95211</v>
      </c>
      <c r="B2008" s="895" t="s">
        <v>20195</v>
      </c>
      <c r="C2008" s="895" t="s">
        <v>226</v>
      </c>
      <c r="D2008" s="895">
        <v>39.54</v>
      </c>
    </row>
    <row r="2009" spans="1:4" x14ac:dyDescent="0.2">
      <c r="A2009" s="895">
        <v>95212</v>
      </c>
      <c r="B2009" s="895" t="s">
        <v>20196</v>
      </c>
      <c r="C2009" s="895" t="s">
        <v>226</v>
      </c>
      <c r="D2009" s="895">
        <v>79.08</v>
      </c>
    </row>
    <row r="2010" spans="1:4" x14ac:dyDescent="0.2">
      <c r="A2010" s="895">
        <v>95213</v>
      </c>
      <c r="B2010" s="895" t="s">
        <v>20197</v>
      </c>
      <c r="C2010" s="895" t="s">
        <v>226</v>
      </c>
      <c r="D2010" s="895">
        <v>79.08</v>
      </c>
    </row>
    <row r="2011" spans="1:4" x14ac:dyDescent="0.2">
      <c r="A2011" s="895">
        <v>95214</v>
      </c>
      <c r="B2011" s="895" t="s">
        <v>20198</v>
      </c>
      <c r="C2011" s="895" t="s">
        <v>226</v>
      </c>
      <c r="D2011" s="895">
        <v>26.36</v>
      </c>
    </row>
    <row r="2012" spans="1:4" x14ac:dyDescent="0.2">
      <c r="A2012" s="895">
        <v>95218</v>
      </c>
      <c r="B2012" s="895" t="s">
        <v>20199</v>
      </c>
      <c r="C2012" s="895" t="s">
        <v>226</v>
      </c>
      <c r="D2012" s="895">
        <v>79.08</v>
      </c>
    </row>
    <row r="2013" spans="1:4" x14ac:dyDescent="0.2">
      <c r="A2013" s="895">
        <v>95219</v>
      </c>
      <c r="B2013" s="895" t="s">
        <v>20200</v>
      </c>
      <c r="C2013" s="895" t="s">
        <v>226</v>
      </c>
      <c r="D2013" s="895">
        <v>52.72</v>
      </c>
    </row>
    <row r="2014" spans="1:4" x14ac:dyDescent="0.2">
      <c r="A2014" s="895">
        <v>95220</v>
      </c>
      <c r="B2014" s="895" t="s">
        <v>20201</v>
      </c>
      <c r="C2014" s="895" t="s">
        <v>226</v>
      </c>
      <c r="D2014" s="895">
        <v>79.08</v>
      </c>
    </row>
    <row r="2015" spans="1:4" x14ac:dyDescent="0.2">
      <c r="A2015" s="895">
        <v>95225</v>
      </c>
      <c r="B2015" s="895" t="s">
        <v>20202</v>
      </c>
      <c r="C2015" s="895" t="s">
        <v>226</v>
      </c>
      <c r="D2015" s="895">
        <v>42.18</v>
      </c>
    </row>
    <row r="2016" spans="1:4" x14ac:dyDescent="0.2">
      <c r="A2016" s="895">
        <v>95300</v>
      </c>
      <c r="B2016" s="895" t="s">
        <v>20203</v>
      </c>
      <c r="C2016" s="895" t="s">
        <v>18269</v>
      </c>
      <c r="D2016" s="895" t="s">
        <v>18269</v>
      </c>
    </row>
    <row r="2017" spans="1:4" x14ac:dyDescent="0.2">
      <c r="A2017" s="895">
        <v>95310</v>
      </c>
      <c r="B2017" s="895" t="s">
        <v>20204</v>
      </c>
      <c r="C2017" s="895" t="s">
        <v>226</v>
      </c>
      <c r="D2017" s="895">
        <v>26.36</v>
      </c>
    </row>
    <row r="2018" spans="1:4" x14ac:dyDescent="0.2">
      <c r="A2018" s="895">
        <v>95311</v>
      </c>
      <c r="B2018" s="895" t="s">
        <v>20205</v>
      </c>
      <c r="C2018" s="895" t="s">
        <v>226</v>
      </c>
      <c r="D2018" s="895">
        <v>26.36</v>
      </c>
    </row>
    <row r="2019" spans="1:4" x14ac:dyDescent="0.2">
      <c r="A2019" s="895">
        <v>95314</v>
      </c>
      <c r="B2019" s="895" t="s">
        <v>20206</v>
      </c>
      <c r="C2019" s="895" t="s">
        <v>158</v>
      </c>
      <c r="D2019" s="895">
        <v>10.54</v>
      </c>
    </row>
    <row r="2020" spans="1:4" x14ac:dyDescent="0.2">
      <c r="A2020" s="895">
        <v>95315</v>
      </c>
      <c r="B2020" s="895" t="s">
        <v>20207</v>
      </c>
      <c r="C2020" s="895" t="s">
        <v>158</v>
      </c>
      <c r="D2020" s="895">
        <v>13.18</v>
      </c>
    </row>
    <row r="2021" spans="1:4" x14ac:dyDescent="0.2">
      <c r="A2021" s="895">
        <v>95316</v>
      </c>
      <c r="B2021" s="895" t="s">
        <v>20208</v>
      </c>
      <c r="C2021" s="895" t="s">
        <v>226</v>
      </c>
      <c r="D2021" s="895">
        <v>10.54</v>
      </c>
    </row>
    <row r="2022" spans="1:4" x14ac:dyDescent="0.2">
      <c r="A2022" s="895">
        <v>95320</v>
      </c>
      <c r="B2022" s="895" t="s">
        <v>20209</v>
      </c>
      <c r="C2022" s="895" t="s">
        <v>226</v>
      </c>
      <c r="D2022" s="895">
        <v>52.72</v>
      </c>
    </row>
    <row r="2023" spans="1:4" x14ac:dyDescent="0.2">
      <c r="A2023" s="895">
        <v>95321</v>
      </c>
      <c r="B2023" s="895" t="s">
        <v>20210</v>
      </c>
      <c r="C2023" s="895" t="s">
        <v>158</v>
      </c>
      <c r="D2023" s="895">
        <v>26.36</v>
      </c>
    </row>
    <row r="2024" spans="1:4" x14ac:dyDescent="0.2">
      <c r="A2024" s="895">
        <v>95322</v>
      </c>
      <c r="B2024" s="895" t="s">
        <v>20211</v>
      </c>
      <c r="C2024" s="895" t="s">
        <v>226</v>
      </c>
      <c r="D2024" s="895">
        <v>26.36</v>
      </c>
    </row>
    <row r="2025" spans="1:4" x14ac:dyDescent="0.2">
      <c r="A2025" s="895">
        <v>95325</v>
      </c>
      <c r="B2025" s="895" t="s">
        <v>20212</v>
      </c>
      <c r="C2025" s="895" t="s">
        <v>226</v>
      </c>
      <c r="D2025" s="895">
        <v>52.72</v>
      </c>
    </row>
    <row r="2026" spans="1:4" x14ac:dyDescent="0.2">
      <c r="A2026" s="895">
        <v>95355</v>
      </c>
      <c r="B2026" s="895" t="s">
        <v>20213</v>
      </c>
      <c r="C2026" s="895" t="s">
        <v>226</v>
      </c>
      <c r="D2026" s="895">
        <v>31.63</v>
      </c>
    </row>
    <row r="2027" spans="1:4" x14ac:dyDescent="0.2">
      <c r="A2027" s="895">
        <v>95356</v>
      </c>
      <c r="B2027" s="895" t="s">
        <v>20214</v>
      </c>
      <c r="C2027" s="895" t="s">
        <v>226</v>
      </c>
      <c r="D2027" s="895">
        <v>52.72</v>
      </c>
    </row>
    <row r="2028" spans="1:4" x14ac:dyDescent="0.2">
      <c r="A2028" s="895">
        <v>95360</v>
      </c>
      <c r="B2028" s="895" t="s">
        <v>20215</v>
      </c>
      <c r="C2028" s="895" t="s">
        <v>226</v>
      </c>
      <c r="D2028" s="895">
        <v>263.60000000000002</v>
      </c>
    </row>
    <row r="2029" spans="1:4" x14ac:dyDescent="0.2">
      <c r="A2029" s="895">
        <v>95361</v>
      </c>
      <c r="B2029" s="895" t="s">
        <v>20216</v>
      </c>
      <c r="C2029" s="895" t="s">
        <v>226</v>
      </c>
      <c r="D2029" s="895">
        <v>421.76</v>
      </c>
    </row>
    <row r="2030" spans="1:4" x14ac:dyDescent="0.2">
      <c r="A2030" s="895">
        <v>95362</v>
      </c>
      <c r="B2030" s="895" t="s">
        <v>20217</v>
      </c>
      <c r="C2030" s="895" t="s">
        <v>226</v>
      </c>
      <c r="D2030" s="895">
        <v>263.60000000000002</v>
      </c>
    </row>
    <row r="2031" spans="1:4" x14ac:dyDescent="0.2">
      <c r="A2031" s="895">
        <v>95400</v>
      </c>
      <c r="B2031" s="895" t="s">
        <v>20218</v>
      </c>
      <c r="C2031" s="895" t="s">
        <v>18269</v>
      </c>
      <c r="D2031" s="895" t="s">
        <v>18269</v>
      </c>
    </row>
    <row r="2032" spans="1:4" x14ac:dyDescent="0.2">
      <c r="A2032" s="895">
        <v>95401</v>
      </c>
      <c r="B2032" s="895" t="s">
        <v>20219</v>
      </c>
      <c r="C2032" s="895" t="s">
        <v>226</v>
      </c>
      <c r="D2032" s="895">
        <v>7.91</v>
      </c>
    </row>
    <row r="2033" spans="1:4" x14ac:dyDescent="0.2">
      <c r="A2033" s="895">
        <v>95402</v>
      </c>
      <c r="B2033" s="895" t="s">
        <v>20220</v>
      </c>
      <c r="C2033" s="895" t="s">
        <v>226</v>
      </c>
      <c r="D2033" s="895">
        <v>2.2000000000000002</v>
      </c>
    </row>
    <row r="2034" spans="1:4" x14ac:dyDescent="0.2">
      <c r="A2034" s="895">
        <v>95403</v>
      </c>
      <c r="B2034" s="895" t="s">
        <v>20221</v>
      </c>
      <c r="C2034" s="895" t="s">
        <v>226</v>
      </c>
      <c r="D2034" s="895">
        <v>13.18</v>
      </c>
    </row>
    <row r="2035" spans="1:4" x14ac:dyDescent="0.2">
      <c r="A2035" s="895">
        <v>95404</v>
      </c>
      <c r="B2035" s="895" t="s">
        <v>20222</v>
      </c>
      <c r="C2035" s="895" t="s">
        <v>226</v>
      </c>
      <c r="D2035" s="895">
        <v>10.54</v>
      </c>
    </row>
    <row r="2036" spans="1:4" x14ac:dyDescent="0.2">
      <c r="A2036" s="895">
        <v>95405</v>
      </c>
      <c r="B2036" s="895" t="s">
        <v>20223</v>
      </c>
      <c r="C2036" s="895" t="s">
        <v>226</v>
      </c>
      <c r="D2036" s="895">
        <v>74.709999999999994</v>
      </c>
    </row>
    <row r="2037" spans="1:4" x14ac:dyDescent="0.2">
      <c r="A2037" s="895">
        <v>95406</v>
      </c>
      <c r="B2037" s="895" t="s">
        <v>20224</v>
      </c>
      <c r="C2037" s="895" t="s">
        <v>226</v>
      </c>
      <c r="D2037" s="895">
        <v>21.09</v>
      </c>
    </row>
    <row r="2038" spans="1:4" x14ac:dyDescent="0.2">
      <c r="A2038" s="895">
        <v>95407</v>
      </c>
      <c r="B2038" s="895" t="s">
        <v>20225</v>
      </c>
      <c r="C2038" s="895" t="s">
        <v>226</v>
      </c>
      <c r="D2038" s="895">
        <v>21.09</v>
      </c>
    </row>
    <row r="2039" spans="1:4" x14ac:dyDescent="0.2">
      <c r="A2039" s="895">
        <v>95408</v>
      </c>
      <c r="B2039" s="895" t="s">
        <v>20226</v>
      </c>
      <c r="C2039" s="895" t="s">
        <v>158</v>
      </c>
      <c r="D2039" s="895">
        <v>10.54</v>
      </c>
    </row>
    <row r="2040" spans="1:4" x14ac:dyDescent="0.2">
      <c r="A2040" s="895">
        <v>95409</v>
      </c>
      <c r="B2040" s="895" t="s">
        <v>20227</v>
      </c>
      <c r="C2040" s="895" t="s">
        <v>226</v>
      </c>
      <c r="D2040" s="895">
        <v>4.4000000000000004</v>
      </c>
    </row>
    <row r="2041" spans="1:4" x14ac:dyDescent="0.2">
      <c r="A2041" s="895">
        <v>95410</v>
      </c>
      <c r="B2041" s="895" t="s">
        <v>20228</v>
      </c>
      <c r="C2041" s="895" t="s">
        <v>226</v>
      </c>
      <c r="D2041" s="895">
        <v>149.41999999999999</v>
      </c>
    </row>
    <row r="2042" spans="1:4" x14ac:dyDescent="0.2">
      <c r="A2042" s="895">
        <v>95411</v>
      </c>
      <c r="B2042" s="895" t="s">
        <v>20229</v>
      </c>
      <c r="C2042" s="895" t="s">
        <v>226</v>
      </c>
      <c r="D2042" s="895">
        <v>34.270000000000003</v>
      </c>
    </row>
    <row r="2043" spans="1:4" x14ac:dyDescent="0.2">
      <c r="A2043" s="895">
        <v>95412</v>
      </c>
      <c r="B2043" s="895" t="s">
        <v>20230</v>
      </c>
      <c r="C2043" s="895" t="s">
        <v>226</v>
      </c>
      <c r="D2043" s="895">
        <v>197.87</v>
      </c>
    </row>
    <row r="2044" spans="1:4" x14ac:dyDescent="0.2">
      <c r="A2044" s="895">
        <v>95413</v>
      </c>
      <c r="B2044" s="895" t="s">
        <v>20231</v>
      </c>
      <c r="C2044" s="895" t="s">
        <v>226</v>
      </c>
      <c r="D2044" s="895">
        <v>384.64</v>
      </c>
    </row>
    <row r="2045" spans="1:4" x14ac:dyDescent="0.2">
      <c r="A2045" s="895">
        <v>95414</v>
      </c>
      <c r="B2045" s="895" t="s">
        <v>20232</v>
      </c>
      <c r="C2045" s="895" t="s">
        <v>226</v>
      </c>
      <c r="D2045" s="895">
        <v>79.08</v>
      </c>
    </row>
    <row r="2046" spans="1:4" x14ac:dyDescent="0.2">
      <c r="A2046" s="895">
        <v>95415</v>
      </c>
      <c r="B2046" s="895" t="s">
        <v>20233</v>
      </c>
      <c r="C2046" s="895" t="s">
        <v>226</v>
      </c>
      <c r="D2046" s="895">
        <v>35.18</v>
      </c>
    </row>
    <row r="2047" spans="1:4" x14ac:dyDescent="0.2">
      <c r="A2047" s="895">
        <v>95416</v>
      </c>
      <c r="B2047" s="895" t="s">
        <v>20234</v>
      </c>
      <c r="C2047" s="895" t="s">
        <v>158</v>
      </c>
      <c r="D2047" s="895">
        <v>37.36</v>
      </c>
    </row>
    <row r="2048" spans="1:4" x14ac:dyDescent="0.2">
      <c r="A2048" s="895">
        <v>95417</v>
      </c>
      <c r="B2048" s="895" t="s">
        <v>20235</v>
      </c>
      <c r="C2048" s="895" t="s">
        <v>226</v>
      </c>
      <c r="D2048" s="895">
        <v>112.07</v>
      </c>
    </row>
    <row r="2049" spans="1:4" x14ac:dyDescent="0.2">
      <c r="A2049" s="895">
        <v>95418</v>
      </c>
      <c r="B2049" s="895" t="s">
        <v>20236</v>
      </c>
      <c r="C2049" s="895" t="s">
        <v>226</v>
      </c>
      <c r="D2049" s="895">
        <v>98.46</v>
      </c>
    </row>
    <row r="2050" spans="1:4" x14ac:dyDescent="0.2">
      <c r="A2050" s="895">
        <v>95419</v>
      </c>
      <c r="B2050" s="895" t="s">
        <v>20237</v>
      </c>
      <c r="C2050" s="895" t="s">
        <v>226</v>
      </c>
      <c r="D2050" s="895">
        <v>74.709999999999994</v>
      </c>
    </row>
    <row r="2051" spans="1:4" x14ac:dyDescent="0.2">
      <c r="A2051" s="895">
        <v>95420</v>
      </c>
      <c r="B2051" s="895" t="s">
        <v>20238</v>
      </c>
      <c r="C2051" s="895" t="s">
        <v>226</v>
      </c>
      <c r="D2051" s="895">
        <v>15.82</v>
      </c>
    </row>
    <row r="2052" spans="1:4" x14ac:dyDescent="0.2">
      <c r="A2052" s="895">
        <v>95421</v>
      </c>
      <c r="B2052" s="895" t="s">
        <v>20239</v>
      </c>
      <c r="C2052" s="895" t="s">
        <v>16628</v>
      </c>
      <c r="D2052" s="895">
        <v>0.88</v>
      </c>
    </row>
    <row r="2053" spans="1:4" x14ac:dyDescent="0.2">
      <c r="A2053" s="895">
        <v>95422</v>
      </c>
      <c r="B2053" s="895" t="s">
        <v>20240</v>
      </c>
      <c r="C2053" s="895" t="s">
        <v>226</v>
      </c>
      <c r="D2053" s="895">
        <v>11</v>
      </c>
    </row>
    <row r="2054" spans="1:4" x14ac:dyDescent="0.2">
      <c r="A2054" s="895">
        <v>95423</v>
      </c>
      <c r="B2054" s="895" t="s">
        <v>20241</v>
      </c>
      <c r="C2054" s="895" t="s">
        <v>226</v>
      </c>
      <c r="D2054" s="895">
        <v>26.36</v>
      </c>
    </row>
    <row r="2055" spans="1:4" x14ac:dyDescent="0.2">
      <c r="A2055" s="895">
        <v>95424</v>
      </c>
      <c r="B2055" s="895" t="s">
        <v>20242</v>
      </c>
      <c r="C2055" s="895" t="s">
        <v>226</v>
      </c>
      <c r="D2055" s="895">
        <v>15.82</v>
      </c>
    </row>
    <row r="2056" spans="1:4" x14ac:dyDescent="0.2">
      <c r="A2056" s="895">
        <v>95425</v>
      </c>
      <c r="B2056" s="895" t="s">
        <v>20243</v>
      </c>
      <c r="C2056" s="895" t="s">
        <v>226</v>
      </c>
      <c r="D2056" s="895">
        <v>24.58</v>
      </c>
    </row>
    <row r="2057" spans="1:4" x14ac:dyDescent="0.2">
      <c r="A2057" s="895">
        <v>95426</v>
      </c>
      <c r="B2057" s="895" t="s">
        <v>20244</v>
      </c>
      <c r="C2057" s="895" t="s">
        <v>226</v>
      </c>
      <c r="D2057" s="895">
        <v>112.07</v>
      </c>
    </row>
    <row r="2058" spans="1:4" x14ac:dyDescent="0.2">
      <c r="A2058" s="895">
        <v>95427</v>
      </c>
      <c r="B2058" s="895" t="s">
        <v>20245</v>
      </c>
      <c r="C2058" s="895" t="s">
        <v>226</v>
      </c>
      <c r="D2058" s="895">
        <v>74.709999999999994</v>
      </c>
    </row>
    <row r="2059" spans="1:4" x14ac:dyDescent="0.2">
      <c r="A2059" s="895">
        <v>96000</v>
      </c>
      <c r="B2059" s="895" t="s">
        <v>20246</v>
      </c>
      <c r="C2059" s="895" t="s">
        <v>18269</v>
      </c>
      <c r="D2059" s="895" t="s">
        <v>18269</v>
      </c>
    </row>
    <row r="2060" spans="1:4" x14ac:dyDescent="0.2">
      <c r="A2060" s="895">
        <v>96001</v>
      </c>
      <c r="B2060" s="895" t="s">
        <v>20247</v>
      </c>
      <c r="C2060" s="895" t="s">
        <v>226</v>
      </c>
      <c r="D2060" s="895">
        <v>210.88</v>
      </c>
    </row>
    <row r="2061" spans="1:4" x14ac:dyDescent="0.2">
      <c r="A2061" s="895">
        <v>96002</v>
      </c>
      <c r="B2061" s="895" t="s">
        <v>20248</v>
      </c>
      <c r="C2061" s="895" t="s">
        <v>226</v>
      </c>
      <c r="D2061" s="895">
        <v>263.60000000000002</v>
      </c>
    </row>
    <row r="2062" spans="1:4" x14ac:dyDescent="0.2">
      <c r="A2062" s="895">
        <v>96003</v>
      </c>
      <c r="B2062" s="895" t="s">
        <v>20249</v>
      </c>
      <c r="C2062" s="895" t="s">
        <v>226</v>
      </c>
      <c r="D2062" s="895">
        <v>237.24</v>
      </c>
    </row>
    <row r="2063" spans="1:4" x14ac:dyDescent="0.2">
      <c r="A2063" s="895">
        <v>96004</v>
      </c>
      <c r="B2063" s="895" t="s">
        <v>20250</v>
      </c>
      <c r="C2063" s="895" t="s">
        <v>226</v>
      </c>
      <c r="D2063" s="895">
        <v>26.36</v>
      </c>
    </row>
    <row r="2064" spans="1:4" x14ac:dyDescent="0.2">
      <c r="A2064" s="895">
        <v>96005</v>
      </c>
      <c r="B2064" s="895" t="s">
        <v>20251</v>
      </c>
      <c r="C2064" s="895" t="s">
        <v>226</v>
      </c>
      <c r="D2064" s="895">
        <v>13.18</v>
      </c>
    </row>
    <row r="2065" spans="1:4" x14ac:dyDescent="0.2">
      <c r="A2065" s="895">
        <v>96008</v>
      </c>
      <c r="B2065" s="895" t="s">
        <v>20252</v>
      </c>
      <c r="C2065" s="895" t="s">
        <v>226</v>
      </c>
      <c r="D2065" s="895">
        <v>26.36</v>
      </c>
    </row>
    <row r="2066" spans="1:4" x14ac:dyDescent="0.2">
      <c r="A2066" s="895">
        <v>96009</v>
      </c>
      <c r="B2066" s="895" t="s">
        <v>20253</v>
      </c>
      <c r="C2066" s="895" t="s">
        <v>158</v>
      </c>
      <c r="D2066" s="895">
        <v>21.09</v>
      </c>
    </row>
    <row r="2067" spans="1:4" x14ac:dyDescent="0.2">
      <c r="A2067" s="895">
        <v>96012</v>
      </c>
      <c r="B2067" s="895" t="s">
        <v>20254</v>
      </c>
      <c r="C2067" s="895" t="s">
        <v>158</v>
      </c>
      <c r="D2067" s="895">
        <v>13.18</v>
      </c>
    </row>
    <row r="2068" spans="1:4" x14ac:dyDescent="0.2">
      <c r="A2068" s="895">
        <v>96013</v>
      </c>
      <c r="B2068" s="895" t="s">
        <v>20255</v>
      </c>
      <c r="C2068" s="895" t="s">
        <v>158</v>
      </c>
      <c r="D2068" s="895">
        <v>26.36</v>
      </c>
    </row>
    <row r="2069" spans="1:4" x14ac:dyDescent="0.2">
      <c r="A2069" s="895">
        <v>96014</v>
      </c>
      <c r="B2069" s="895" t="s">
        <v>20256</v>
      </c>
      <c r="C2069" s="895" t="s">
        <v>158</v>
      </c>
      <c r="D2069" s="895">
        <v>2.64</v>
      </c>
    </row>
    <row r="2070" spans="1:4" x14ac:dyDescent="0.2">
      <c r="A2070" s="895">
        <v>96015</v>
      </c>
      <c r="B2070" s="895" t="s">
        <v>20257</v>
      </c>
      <c r="C2070" s="895" t="s">
        <v>158</v>
      </c>
      <c r="D2070" s="895">
        <v>5.27</v>
      </c>
    </row>
    <row r="2071" spans="1:4" x14ac:dyDescent="0.2">
      <c r="A2071" s="895">
        <v>96016</v>
      </c>
      <c r="B2071" s="895" t="s">
        <v>20258</v>
      </c>
      <c r="C2071" s="895" t="s">
        <v>158</v>
      </c>
      <c r="D2071" s="895">
        <v>3.16</v>
      </c>
    </row>
    <row r="2072" spans="1:4" x14ac:dyDescent="0.2">
      <c r="A2072" s="895">
        <v>96017</v>
      </c>
      <c r="B2072" s="895" t="s">
        <v>20259</v>
      </c>
      <c r="C2072" s="895" t="s">
        <v>158</v>
      </c>
      <c r="D2072" s="895">
        <v>6.33</v>
      </c>
    </row>
    <row r="2073" spans="1:4" x14ac:dyDescent="0.2">
      <c r="A2073" s="895">
        <v>96018</v>
      </c>
      <c r="B2073" s="895" t="s">
        <v>20260</v>
      </c>
      <c r="C2073" s="895" t="s">
        <v>226</v>
      </c>
      <c r="D2073" s="895">
        <v>10.54</v>
      </c>
    </row>
    <row r="2074" spans="1:4" x14ac:dyDescent="0.2">
      <c r="A2074" s="895">
        <v>96020</v>
      </c>
      <c r="B2074" s="895" t="s">
        <v>20261</v>
      </c>
      <c r="C2074" s="895" t="s">
        <v>226</v>
      </c>
      <c r="D2074" s="895">
        <v>10.54</v>
      </c>
    </row>
    <row r="2075" spans="1:4" x14ac:dyDescent="0.2">
      <c r="A2075" s="895">
        <v>96100</v>
      </c>
      <c r="B2075" s="895" t="s">
        <v>20262</v>
      </c>
      <c r="C2075" s="895" t="s">
        <v>18269</v>
      </c>
      <c r="D2075" s="895" t="s">
        <v>18269</v>
      </c>
    </row>
    <row r="2076" spans="1:4" x14ac:dyDescent="0.2">
      <c r="A2076" s="895">
        <v>96110</v>
      </c>
      <c r="B2076" s="895" t="s">
        <v>20263</v>
      </c>
      <c r="C2076" s="895" t="s">
        <v>158</v>
      </c>
      <c r="D2076" s="895">
        <v>42.18</v>
      </c>
    </row>
    <row r="2077" spans="1:4" x14ac:dyDescent="0.2">
      <c r="A2077" s="895">
        <v>96111</v>
      </c>
      <c r="B2077" s="895" t="s">
        <v>20264</v>
      </c>
      <c r="C2077" s="895" t="s">
        <v>226</v>
      </c>
      <c r="D2077" s="895">
        <v>10.54</v>
      </c>
    </row>
    <row r="2078" spans="1:4" x14ac:dyDescent="0.2">
      <c r="A2078" s="895">
        <v>96115</v>
      </c>
      <c r="B2078" s="895" t="s">
        <v>20265</v>
      </c>
      <c r="C2078" s="895" t="s">
        <v>226</v>
      </c>
      <c r="D2078" s="895">
        <v>15.82</v>
      </c>
    </row>
    <row r="2079" spans="1:4" x14ac:dyDescent="0.2">
      <c r="A2079" s="895">
        <v>96116</v>
      </c>
      <c r="B2079" s="895" t="s">
        <v>20266</v>
      </c>
      <c r="C2079" s="895" t="s">
        <v>226</v>
      </c>
      <c r="D2079" s="895">
        <v>36.9</v>
      </c>
    </row>
    <row r="2080" spans="1:4" x14ac:dyDescent="0.2">
      <c r="A2080" s="895">
        <v>96117</v>
      </c>
      <c r="B2080" s="895" t="s">
        <v>20267</v>
      </c>
      <c r="C2080" s="895" t="s">
        <v>226</v>
      </c>
      <c r="D2080" s="895">
        <v>68.540000000000006</v>
      </c>
    </row>
    <row r="2081" spans="1:4" x14ac:dyDescent="0.2">
      <c r="A2081" s="895">
        <v>96125</v>
      </c>
      <c r="B2081" s="895" t="s">
        <v>20268</v>
      </c>
      <c r="C2081" s="895" t="s">
        <v>226</v>
      </c>
      <c r="D2081" s="895">
        <v>26.36</v>
      </c>
    </row>
    <row r="2082" spans="1:4" x14ac:dyDescent="0.2">
      <c r="A2082" s="895">
        <v>96126</v>
      </c>
      <c r="B2082" s="895" t="s">
        <v>20269</v>
      </c>
      <c r="C2082" s="895" t="s">
        <v>227</v>
      </c>
      <c r="D2082" s="895">
        <v>105.44</v>
      </c>
    </row>
    <row r="2083" spans="1:4" x14ac:dyDescent="0.2">
      <c r="A2083" s="895">
        <v>96130</v>
      </c>
      <c r="B2083" s="895" t="s">
        <v>20270</v>
      </c>
      <c r="C2083" s="895" t="s">
        <v>226</v>
      </c>
      <c r="D2083" s="895">
        <v>10.54</v>
      </c>
    </row>
    <row r="2084" spans="1:4" x14ac:dyDescent="0.2">
      <c r="A2084" s="895">
        <v>96132</v>
      </c>
      <c r="B2084" s="895" t="s">
        <v>20271</v>
      </c>
      <c r="C2084" s="895" t="s">
        <v>226</v>
      </c>
      <c r="D2084" s="895">
        <v>15.82</v>
      </c>
    </row>
    <row r="2085" spans="1:4" x14ac:dyDescent="0.2">
      <c r="A2085" s="895">
        <v>96134</v>
      </c>
      <c r="B2085" s="895" t="s">
        <v>20272</v>
      </c>
      <c r="C2085" s="895" t="s">
        <v>226</v>
      </c>
      <c r="D2085" s="895">
        <v>13.18</v>
      </c>
    </row>
    <row r="2086" spans="1:4" x14ac:dyDescent="0.2">
      <c r="A2086" s="895">
        <v>96135</v>
      </c>
      <c r="B2086" s="895" t="s">
        <v>20273</v>
      </c>
      <c r="C2086" s="895" t="s">
        <v>226</v>
      </c>
      <c r="D2086" s="895">
        <v>606.62</v>
      </c>
    </row>
    <row r="2087" spans="1:4" x14ac:dyDescent="0.2">
      <c r="A2087" s="895">
        <v>96137</v>
      </c>
      <c r="B2087" s="895" t="s">
        <v>20274</v>
      </c>
      <c r="C2087" s="895" t="s">
        <v>226</v>
      </c>
      <c r="D2087" s="895">
        <v>26.36</v>
      </c>
    </row>
    <row r="2088" spans="1:4" x14ac:dyDescent="0.2">
      <c r="A2088" s="895">
        <v>96138</v>
      </c>
      <c r="B2088" s="895" t="s">
        <v>20275</v>
      </c>
      <c r="C2088" s="895" t="s">
        <v>226</v>
      </c>
      <c r="D2088" s="895">
        <v>39.54</v>
      </c>
    </row>
    <row r="2089" spans="1:4" x14ac:dyDescent="0.2">
      <c r="A2089" s="895">
        <v>96139</v>
      </c>
      <c r="B2089" s="895" t="s">
        <v>20276</v>
      </c>
      <c r="C2089" s="895" t="s">
        <v>226</v>
      </c>
      <c r="D2089" s="895">
        <v>13.18</v>
      </c>
    </row>
    <row r="2090" spans="1:4" x14ac:dyDescent="0.2">
      <c r="A2090" s="895">
        <v>96140</v>
      </c>
      <c r="B2090" s="895" t="s">
        <v>20277</v>
      </c>
      <c r="C2090" s="895" t="s">
        <v>226</v>
      </c>
      <c r="D2090" s="895">
        <v>26.36</v>
      </c>
    </row>
    <row r="2091" spans="1:4" x14ac:dyDescent="0.2">
      <c r="A2091" s="895">
        <v>96200</v>
      </c>
      <c r="B2091" s="895" t="s">
        <v>20278</v>
      </c>
      <c r="C2091" s="895" t="s">
        <v>18269</v>
      </c>
      <c r="D2091" s="895" t="s">
        <v>18269</v>
      </c>
    </row>
    <row r="2092" spans="1:4" x14ac:dyDescent="0.2">
      <c r="A2092" s="895">
        <v>96201</v>
      </c>
      <c r="B2092" s="895" t="s">
        <v>20279</v>
      </c>
      <c r="C2092" s="895" t="s">
        <v>226</v>
      </c>
      <c r="D2092" s="895">
        <v>13.18</v>
      </c>
    </row>
    <row r="2093" spans="1:4" x14ac:dyDescent="0.2">
      <c r="A2093" s="895">
        <v>96202</v>
      </c>
      <c r="B2093" s="895" t="s">
        <v>20280</v>
      </c>
      <c r="C2093" s="895" t="s">
        <v>226</v>
      </c>
      <c r="D2093" s="895">
        <v>5.27</v>
      </c>
    </row>
    <row r="2094" spans="1:4" x14ac:dyDescent="0.2">
      <c r="A2094" s="895">
        <v>96203</v>
      </c>
      <c r="B2094" s="895" t="s">
        <v>20281</v>
      </c>
      <c r="C2094" s="895" t="s">
        <v>226</v>
      </c>
      <c r="D2094" s="895">
        <v>2.2000000000000002</v>
      </c>
    </row>
    <row r="2095" spans="1:4" x14ac:dyDescent="0.2">
      <c r="A2095" s="895">
        <v>96204</v>
      </c>
      <c r="B2095" s="895" t="s">
        <v>20282</v>
      </c>
      <c r="C2095" s="895" t="s">
        <v>226</v>
      </c>
      <c r="D2095" s="895">
        <v>15.82</v>
      </c>
    </row>
    <row r="2096" spans="1:4" x14ac:dyDescent="0.2">
      <c r="A2096" s="895">
        <v>96205</v>
      </c>
      <c r="B2096" s="895" t="s">
        <v>20283</v>
      </c>
      <c r="C2096" s="895" t="s">
        <v>226</v>
      </c>
      <c r="D2096" s="895">
        <v>2.2000000000000002</v>
      </c>
    </row>
    <row r="2097" spans="1:4" x14ac:dyDescent="0.2">
      <c r="A2097" s="895">
        <v>96210</v>
      </c>
      <c r="B2097" s="895" t="s">
        <v>20284</v>
      </c>
      <c r="C2097" s="895" t="s">
        <v>226</v>
      </c>
      <c r="D2097" s="895">
        <v>21.09</v>
      </c>
    </row>
    <row r="2098" spans="1:4" x14ac:dyDescent="0.2">
      <c r="A2098" s="895">
        <v>96211</v>
      </c>
      <c r="B2098" s="895" t="s">
        <v>20285</v>
      </c>
      <c r="C2098" s="895" t="s">
        <v>226</v>
      </c>
      <c r="D2098" s="895">
        <v>39.54</v>
      </c>
    </row>
    <row r="2099" spans="1:4" x14ac:dyDescent="0.2">
      <c r="A2099" s="895">
        <v>96212</v>
      </c>
      <c r="B2099" s="895" t="s">
        <v>20286</v>
      </c>
      <c r="C2099" s="895" t="s">
        <v>226</v>
      </c>
      <c r="D2099" s="895">
        <v>79.08</v>
      </c>
    </row>
    <row r="2100" spans="1:4" x14ac:dyDescent="0.2">
      <c r="A2100" s="895">
        <v>96213</v>
      </c>
      <c r="B2100" s="895" t="s">
        <v>20287</v>
      </c>
      <c r="C2100" s="895" t="s">
        <v>226</v>
      </c>
      <c r="D2100" s="895">
        <v>79.08</v>
      </c>
    </row>
    <row r="2101" spans="1:4" x14ac:dyDescent="0.2">
      <c r="A2101" s="895">
        <v>96214</v>
      </c>
      <c r="B2101" s="895" t="s">
        <v>20288</v>
      </c>
      <c r="C2101" s="895" t="s">
        <v>226</v>
      </c>
      <c r="D2101" s="895">
        <v>26.36</v>
      </c>
    </row>
    <row r="2102" spans="1:4" x14ac:dyDescent="0.2">
      <c r="A2102" s="895">
        <v>96218</v>
      </c>
      <c r="B2102" s="895" t="s">
        <v>20289</v>
      </c>
      <c r="C2102" s="895" t="s">
        <v>226</v>
      </c>
      <c r="D2102" s="895">
        <v>79.08</v>
      </c>
    </row>
    <row r="2103" spans="1:4" x14ac:dyDescent="0.2">
      <c r="A2103" s="895">
        <v>96219</v>
      </c>
      <c r="B2103" s="895" t="s">
        <v>20290</v>
      </c>
      <c r="C2103" s="895" t="s">
        <v>226</v>
      </c>
      <c r="D2103" s="895">
        <v>52.72</v>
      </c>
    </row>
    <row r="2104" spans="1:4" x14ac:dyDescent="0.2">
      <c r="A2104" s="895">
        <v>96225</v>
      </c>
      <c r="B2104" s="895" t="s">
        <v>20291</v>
      </c>
      <c r="C2104" s="895" t="s">
        <v>226</v>
      </c>
      <c r="D2104" s="895">
        <v>52.72</v>
      </c>
    </row>
    <row r="2105" spans="1:4" x14ac:dyDescent="0.2">
      <c r="A2105" s="895">
        <v>96300</v>
      </c>
      <c r="B2105" s="895" t="s">
        <v>20292</v>
      </c>
      <c r="C2105" s="895" t="s">
        <v>18269</v>
      </c>
      <c r="D2105" s="895" t="s">
        <v>18269</v>
      </c>
    </row>
    <row r="2106" spans="1:4" x14ac:dyDescent="0.2">
      <c r="A2106" s="895">
        <v>96314</v>
      </c>
      <c r="B2106" s="895" t="s">
        <v>20293</v>
      </c>
      <c r="C2106" s="895" t="s">
        <v>158</v>
      </c>
      <c r="D2106" s="895">
        <v>10.54</v>
      </c>
    </row>
    <row r="2107" spans="1:4" x14ac:dyDescent="0.2">
      <c r="A2107" s="895">
        <v>96315</v>
      </c>
      <c r="B2107" s="895" t="s">
        <v>20294</v>
      </c>
      <c r="C2107" s="895" t="s">
        <v>158</v>
      </c>
      <c r="D2107" s="895">
        <v>13.18</v>
      </c>
    </row>
    <row r="2108" spans="1:4" x14ac:dyDescent="0.2">
      <c r="A2108" s="895">
        <v>96316</v>
      </c>
      <c r="B2108" s="895" t="s">
        <v>20295</v>
      </c>
      <c r="C2108" s="895" t="s">
        <v>226</v>
      </c>
      <c r="D2108" s="895">
        <v>10.54</v>
      </c>
    </row>
    <row r="2109" spans="1:4" x14ac:dyDescent="0.2">
      <c r="A2109" s="895">
        <v>96360</v>
      </c>
      <c r="B2109" s="895" t="s">
        <v>20296</v>
      </c>
      <c r="C2109" s="895" t="s">
        <v>226</v>
      </c>
      <c r="D2109" s="895">
        <v>263.60000000000002</v>
      </c>
    </row>
    <row r="2110" spans="1:4" x14ac:dyDescent="0.2">
      <c r="A2110" s="895">
        <v>96361</v>
      </c>
      <c r="B2110" s="895" t="s">
        <v>20297</v>
      </c>
      <c r="C2110" s="895" t="s">
        <v>226</v>
      </c>
      <c r="D2110" s="895">
        <v>421.76</v>
      </c>
    </row>
    <row r="2111" spans="1:4" x14ac:dyDescent="0.2">
      <c r="A2111" s="895">
        <v>96362</v>
      </c>
      <c r="B2111" s="895" t="s">
        <v>20298</v>
      </c>
      <c r="C2111" s="895" t="s">
        <v>226</v>
      </c>
      <c r="D2111" s="895">
        <v>593.46</v>
      </c>
    </row>
    <row r="2112" spans="1:4" x14ac:dyDescent="0.2">
      <c r="A2112" s="895">
        <v>96400</v>
      </c>
      <c r="B2112" s="895" t="s">
        <v>20299</v>
      </c>
      <c r="C2112" s="895" t="s">
        <v>18269</v>
      </c>
      <c r="D2112" s="895" t="s">
        <v>18269</v>
      </c>
    </row>
    <row r="2113" spans="1:4" x14ac:dyDescent="0.2">
      <c r="A2113" s="895">
        <v>96401</v>
      </c>
      <c r="B2113" s="895" t="s">
        <v>20300</v>
      </c>
      <c r="C2113" s="895" t="s">
        <v>226</v>
      </c>
      <c r="D2113" s="895">
        <v>52.72</v>
      </c>
    </row>
    <row r="2114" spans="1:4" x14ac:dyDescent="0.2">
      <c r="A2114" s="895">
        <v>96402</v>
      </c>
      <c r="B2114" s="895" t="s">
        <v>20301</v>
      </c>
      <c r="C2114" s="895" t="s">
        <v>226</v>
      </c>
      <c r="D2114" s="895">
        <v>2.2000000000000002</v>
      </c>
    </row>
    <row r="2115" spans="1:4" x14ac:dyDescent="0.2">
      <c r="A2115" s="895">
        <v>96403</v>
      </c>
      <c r="B2115" s="895" t="s">
        <v>20302</v>
      </c>
      <c r="C2115" s="895" t="s">
        <v>226</v>
      </c>
      <c r="D2115" s="895">
        <v>13.18</v>
      </c>
    </row>
    <row r="2116" spans="1:4" x14ac:dyDescent="0.2">
      <c r="A2116" s="895">
        <v>96404</v>
      </c>
      <c r="B2116" s="895" t="s">
        <v>20303</v>
      </c>
      <c r="C2116" s="895" t="s">
        <v>226</v>
      </c>
      <c r="D2116" s="895">
        <v>10.54</v>
      </c>
    </row>
    <row r="2117" spans="1:4" x14ac:dyDescent="0.2">
      <c r="A2117" s="895">
        <v>96405</v>
      </c>
      <c r="B2117" s="895" t="s">
        <v>20304</v>
      </c>
      <c r="C2117" s="895" t="s">
        <v>226</v>
      </c>
      <c r="D2117" s="895">
        <v>112.07</v>
      </c>
    </row>
    <row r="2118" spans="1:4" x14ac:dyDescent="0.2">
      <c r="A2118" s="895">
        <v>96406</v>
      </c>
      <c r="B2118" s="895" t="s">
        <v>20305</v>
      </c>
      <c r="C2118" s="895" t="s">
        <v>226</v>
      </c>
      <c r="D2118" s="895">
        <v>21.09</v>
      </c>
    </row>
    <row r="2119" spans="1:4" x14ac:dyDescent="0.2">
      <c r="A2119" s="895">
        <v>96407</v>
      </c>
      <c r="B2119" s="895" t="s">
        <v>20306</v>
      </c>
      <c r="C2119" s="895" t="s">
        <v>226</v>
      </c>
      <c r="D2119" s="895">
        <v>21.09</v>
      </c>
    </row>
    <row r="2120" spans="1:4" x14ac:dyDescent="0.2">
      <c r="A2120" s="895">
        <v>96408</v>
      </c>
      <c r="B2120" s="895" t="s">
        <v>20307</v>
      </c>
      <c r="C2120" s="895" t="s">
        <v>158</v>
      </c>
      <c r="D2120" s="895">
        <v>10.54</v>
      </c>
    </row>
    <row r="2121" spans="1:4" x14ac:dyDescent="0.2">
      <c r="A2121" s="895">
        <v>96409</v>
      </c>
      <c r="B2121" s="895" t="s">
        <v>20308</v>
      </c>
      <c r="C2121" s="895" t="s">
        <v>226</v>
      </c>
      <c r="D2121" s="895">
        <v>4.4000000000000004</v>
      </c>
    </row>
    <row r="2122" spans="1:4" x14ac:dyDescent="0.2">
      <c r="A2122" s="895">
        <v>96410</v>
      </c>
      <c r="B2122" s="895" t="s">
        <v>20309</v>
      </c>
      <c r="C2122" s="895" t="s">
        <v>226</v>
      </c>
      <c r="D2122" s="895">
        <v>149.41999999999999</v>
      </c>
    </row>
    <row r="2123" spans="1:4" x14ac:dyDescent="0.2">
      <c r="A2123" s="895">
        <v>96411</v>
      </c>
      <c r="B2123" s="895" t="s">
        <v>20310</v>
      </c>
      <c r="C2123" s="895" t="s">
        <v>226</v>
      </c>
      <c r="D2123" s="895">
        <v>34.270000000000003</v>
      </c>
    </row>
    <row r="2124" spans="1:4" x14ac:dyDescent="0.2">
      <c r="A2124" s="895">
        <v>96412</v>
      </c>
      <c r="B2124" s="895" t="s">
        <v>20311</v>
      </c>
      <c r="C2124" s="895" t="s">
        <v>226</v>
      </c>
      <c r="D2124" s="895">
        <v>197.87</v>
      </c>
    </row>
    <row r="2125" spans="1:4" x14ac:dyDescent="0.2">
      <c r="A2125" s="895">
        <v>96413</v>
      </c>
      <c r="B2125" s="895" t="s">
        <v>20312</v>
      </c>
      <c r="C2125" s="895" t="s">
        <v>226</v>
      </c>
      <c r="D2125" s="895">
        <v>384.64</v>
      </c>
    </row>
    <row r="2126" spans="1:4" x14ac:dyDescent="0.2">
      <c r="A2126" s="895">
        <v>96414</v>
      </c>
      <c r="B2126" s="895" t="s">
        <v>20313</v>
      </c>
      <c r="C2126" s="895" t="s">
        <v>226</v>
      </c>
      <c r="D2126" s="895">
        <v>79.08</v>
      </c>
    </row>
    <row r="2127" spans="1:4" x14ac:dyDescent="0.2">
      <c r="A2127" s="895">
        <v>96415</v>
      </c>
      <c r="B2127" s="895" t="s">
        <v>20314</v>
      </c>
      <c r="C2127" s="895" t="s">
        <v>226</v>
      </c>
      <c r="D2127" s="895">
        <v>35.18</v>
      </c>
    </row>
    <row r="2128" spans="1:4" x14ac:dyDescent="0.2">
      <c r="A2128" s="895">
        <v>96416</v>
      </c>
      <c r="B2128" s="895" t="s">
        <v>20315</v>
      </c>
      <c r="C2128" s="895" t="s">
        <v>158</v>
      </c>
      <c r="D2128" s="895">
        <v>7.91</v>
      </c>
    </row>
    <row r="2129" spans="1:4" x14ac:dyDescent="0.2">
      <c r="A2129" s="895">
        <v>96417</v>
      </c>
      <c r="B2129" s="895" t="s">
        <v>20316</v>
      </c>
      <c r="C2129" s="895" t="s">
        <v>226</v>
      </c>
      <c r="D2129" s="895">
        <v>79.150000000000006</v>
      </c>
    </row>
    <row r="2130" spans="1:4" x14ac:dyDescent="0.2">
      <c r="A2130" s="895">
        <v>96418</v>
      </c>
      <c r="B2130" s="895" t="s">
        <v>20317</v>
      </c>
      <c r="C2130" s="895" t="s">
        <v>226</v>
      </c>
      <c r="D2130" s="895">
        <v>156.02000000000001</v>
      </c>
    </row>
    <row r="2131" spans="1:4" x14ac:dyDescent="0.2">
      <c r="A2131" s="895">
        <v>96423</v>
      </c>
      <c r="B2131" s="895" t="s">
        <v>20318</v>
      </c>
      <c r="C2131" s="895" t="s">
        <v>226</v>
      </c>
      <c r="D2131" s="895">
        <v>26.36</v>
      </c>
    </row>
    <row r="2132" spans="1:4" x14ac:dyDescent="0.2">
      <c r="A2132" s="895">
        <v>96424</v>
      </c>
      <c r="B2132" s="895" t="s">
        <v>20319</v>
      </c>
      <c r="C2132" s="895" t="s">
        <v>226</v>
      </c>
      <c r="D2132" s="895">
        <v>15.82</v>
      </c>
    </row>
    <row r="2133" spans="1:4" x14ac:dyDescent="0.2">
      <c r="A2133" s="895">
        <v>97000</v>
      </c>
      <c r="B2133" s="895" t="s">
        <v>20320</v>
      </c>
      <c r="C2133" s="895" t="s">
        <v>18269</v>
      </c>
      <c r="D2133" s="895" t="s">
        <v>18269</v>
      </c>
    </row>
    <row r="2134" spans="1:4" x14ac:dyDescent="0.2">
      <c r="A2134" s="895">
        <v>97001</v>
      </c>
      <c r="B2134" s="895" t="s">
        <v>20321</v>
      </c>
      <c r="C2134" s="895" t="s">
        <v>226</v>
      </c>
      <c r="D2134" s="895">
        <v>395.74</v>
      </c>
    </row>
    <row r="2135" spans="1:4" x14ac:dyDescent="0.2">
      <c r="A2135" s="895">
        <v>97002</v>
      </c>
      <c r="B2135" s="895" t="s">
        <v>20322</v>
      </c>
      <c r="C2135" s="895" t="s">
        <v>226</v>
      </c>
      <c r="D2135" s="895">
        <v>545.16</v>
      </c>
    </row>
    <row r="2136" spans="1:4" x14ac:dyDescent="0.2">
      <c r="A2136" s="895">
        <v>97003</v>
      </c>
      <c r="B2136" s="895" t="s">
        <v>20323</v>
      </c>
      <c r="C2136" s="895" t="s">
        <v>226</v>
      </c>
      <c r="D2136" s="895">
        <v>263.60000000000002</v>
      </c>
    </row>
    <row r="2137" spans="1:4" x14ac:dyDescent="0.2">
      <c r="A2137" s="895">
        <v>97004</v>
      </c>
      <c r="B2137" s="895" t="s">
        <v>20324</v>
      </c>
      <c r="C2137" s="895" t="s">
        <v>226</v>
      </c>
      <c r="D2137" s="895">
        <v>21.09</v>
      </c>
    </row>
    <row r="2138" spans="1:4" x14ac:dyDescent="0.2">
      <c r="A2138" s="895">
        <v>97005</v>
      </c>
      <c r="B2138" s="895" t="s">
        <v>20325</v>
      </c>
      <c r="C2138" s="895" t="s">
        <v>226</v>
      </c>
      <c r="D2138" s="895">
        <v>21.09</v>
      </c>
    </row>
    <row r="2139" spans="1:4" x14ac:dyDescent="0.2">
      <c r="A2139" s="895">
        <v>97008</v>
      </c>
      <c r="B2139" s="895" t="s">
        <v>20326</v>
      </c>
      <c r="C2139" s="895" t="s">
        <v>226</v>
      </c>
      <c r="D2139" s="895">
        <v>26.36</v>
      </c>
    </row>
    <row r="2140" spans="1:4" x14ac:dyDescent="0.2">
      <c r="A2140" s="895">
        <v>97009</v>
      </c>
      <c r="B2140" s="895" t="s">
        <v>20327</v>
      </c>
      <c r="C2140" s="895" t="s">
        <v>158</v>
      </c>
      <c r="D2140" s="895">
        <v>26.36</v>
      </c>
    </row>
    <row r="2141" spans="1:4" x14ac:dyDescent="0.2">
      <c r="A2141" s="895">
        <v>97012</v>
      </c>
      <c r="B2141" s="895" t="s">
        <v>20328</v>
      </c>
      <c r="C2141" s="895" t="s">
        <v>158</v>
      </c>
      <c r="D2141" s="895">
        <v>15.82</v>
      </c>
    </row>
    <row r="2142" spans="1:4" x14ac:dyDescent="0.2">
      <c r="A2142" s="895">
        <v>97013</v>
      </c>
      <c r="B2142" s="895" t="s">
        <v>20329</v>
      </c>
      <c r="C2142" s="895" t="s">
        <v>158</v>
      </c>
      <c r="D2142" s="895">
        <v>31.63</v>
      </c>
    </row>
    <row r="2143" spans="1:4" x14ac:dyDescent="0.2">
      <c r="A2143" s="895">
        <v>97014</v>
      </c>
      <c r="B2143" s="895" t="s">
        <v>20330</v>
      </c>
      <c r="C2143" s="895" t="s">
        <v>158</v>
      </c>
      <c r="D2143" s="895">
        <v>2.64</v>
      </c>
    </row>
    <row r="2144" spans="1:4" x14ac:dyDescent="0.2">
      <c r="A2144" s="895">
        <v>97015</v>
      </c>
      <c r="B2144" s="895" t="s">
        <v>20331</v>
      </c>
      <c r="C2144" s="895" t="s">
        <v>158</v>
      </c>
      <c r="D2144" s="895">
        <v>36.9</v>
      </c>
    </row>
    <row r="2145" spans="1:4" x14ac:dyDescent="0.2">
      <c r="A2145" s="895">
        <v>97016</v>
      </c>
      <c r="B2145" s="895" t="s">
        <v>20332</v>
      </c>
      <c r="C2145" s="895" t="s">
        <v>158</v>
      </c>
      <c r="D2145" s="895">
        <v>1.58</v>
      </c>
    </row>
    <row r="2146" spans="1:4" x14ac:dyDescent="0.2">
      <c r="A2146" s="895">
        <v>97017</v>
      </c>
      <c r="B2146" s="895" t="s">
        <v>20333</v>
      </c>
      <c r="C2146" s="895" t="s">
        <v>158</v>
      </c>
      <c r="D2146" s="895">
        <v>15.82</v>
      </c>
    </row>
    <row r="2147" spans="1:4" x14ac:dyDescent="0.2">
      <c r="A2147" s="895">
        <v>97018</v>
      </c>
      <c r="B2147" s="895" t="s">
        <v>20334</v>
      </c>
      <c r="C2147" s="895" t="s">
        <v>226</v>
      </c>
      <c r="D2147" s="895">
        <v>21.09</v>
      </c>
    </row>
    <row r="2148" spans="1:4" x14ac:dyDescent="0.2">
      <c r="A2148" s="895">
        <v>97020</v>
      </c>
      <c r="B2148" s="895" t="s">
        <v>20335</v>
      </c>
      <c r="C2148" s="895" t="s">
        <v>226</v>
      </c>
      <c r="D2148" s="895">
        <v>15.82</v>
      </c>
    </row>
    <row r="2149" spans="1:4" x14ac:dyDescent="0.2">
      <c r="A2149" s="895">
        <v>97100</v>
      </c>
      <c r="B2149" s="895" t="s">
        <v>20336</v>
      </c>
      <c r="C2149" s="895" t="s">
        <v>18269</v>
      </c>
      <c r="D2149" s="895" t="s">
        <v>18269</v>
      </c>
    </row>
    <row r="2150" spans="1:4" x14ac:dyDescent="0.2">
      <c r="A2150" s="895">
        <v>97110</v>
      </c>
      <c r="B2150" s="895" t="s">
        <v>20337</v>
      </c>
      <c r="C2150" s="895" t="s">
        <v>158</v>
      </c>
      <c r="D2150" s="895">
        <v>52.72</v>
      </c>
    </row>
    <row r="2151" spans="1:4" x14ac:dyDescent="0.2">
      <c r="A2151" s="895">
        <v>97111</v>
      </c>
      <c r="B2151" s="895" t="s">
        <v>20338</v>
      </c>
      <c r="C2151" s="895" t="s">
        <v>226</v>
      </c>
      <c r="D2151" s="895">
        <v>13.18</v>
      </c>
    </row>
    <row r="2152" spans="1:4" x14ac:dyDescent="0.2">
      <c r="A2152" s="895">
        <v>97115</v>
      </c>
      <c r="B2152" s="895" t="s">
        <v>20339</v>
      </c>
      <c r="C2152" s="895" t="s">
        <v>226</v>
      </c>
      <c r="D2152" s="895">
        <v>26.36</v>
      </c>
    </row>
    <row r="2153" spans="1:4" x14ac:dyDescent="0.2">
      <c r="A2153" s="895">
        <v>97116</v>
      </c>
      <c r="B2153" s="895" t="s">
        <v>20340</v>
      </c>
      <c r="C2153" s="895" t="s">
        <v>226</v>
      </c>
      <c r="D2153" s="895">
        <v>42.18</v>
      </c>
    </row>
    <row r="2154" spans="1:4" x14ac:dyDescent="0.2">
      <c r="A2154" s="895">
        <v>97117</v>
      </c>
      <c r="B2154" s="895" t="s">
        <v>20341</v>
      </c>
      <c r="C2154" s="895" t="s">
        <v>226</v>
      </c>
      <c r="D2154" s="895">
        <v>79.08</v>
      </c>
    </row>
    <row r="2155" spans="1:4" x14ac:dyDescent="0.2">
      <c r="A2155" s="895">
        <v>97125</v>
      </c>
      <c r="B2155" s="895" t="s">
        <v>20342</v>
      </c>
      <c r="C2155" s="895" t="s">
        <v>226</v>
      </c>
      <c r="D2155" s="895">
        <v>26.36</v>
      </c>
    </row>
    <row r="2156" spans="1:4" x14ac:dyDescent="0.2">
      <c r="A2156" s="895">
        <v>97126</v>
      </c>
      <c r="B2156" s="895" t="s">
        <v>20343</v>
      </c>
      <c r="C2156" s="895" t="s">
        <v>227</v>
      </c>
      <c r="D2156" s="895">
        <v>319.16000000000003</v>
      </c>
    </row>
    <row r="2157" spans="1:4" x14ac:dyDescent="0.2">
      <c r="A2157" s="895">
        <v>97130</v>
      </c>
      <c r="B2157" s="895" t="s">
        <v>20344</v>
      </c>
      <c r="C2157" s="895" t="s">
        <v>226</v>
      </c>
      <c r="D2157" s="895">
        <v>13.18</v>
      </c>
    </row>
    <row r="2158" spans="1:4" x14ac:dyDescent="0.2">
      <c r="A2158" s="895">
        <v>97132</v>
      </c>
      <c r="B2158" s="895" t="s">
        <v>20345</v>
      </c>
      <c r="C2158" s="895" t="s">
        <v>226</v>
      </c>
      <c r="D2158" s="895">
        <v>15.82</v>
      </c>
    </row>
    <row r="2159" spans="1:4" x14ac:dyDescent="0.2">
      <c r="A2159" s="895">
        <v>97134</v>
      </c>
      <c r="B2159" s="895" t="s">
        <v>20346</v>
      </c>
      <c r="C2159" s="895" t="s">
        <v>226</v>
      </c>
      <c r="D2159" s="895">
        <v>52.72</v>
      </c>
    </row>
    <row r="2160" spans="1:4" x14ac:dyDescent="0.2">
      <c r="A2160" s="895">
        <v>97135</v>
      </c>
      <c r="B2160" s="895" t="s">
        <v>20347</v>
      </c>
      <c r="C2160" s="895" t="s">
        <v>226</v>
      </c>
      <c r="D2160" s="895">
        <v>606.62</v>
      </c>
    </row>
    <row r="2161" spans="1:4" x14ac:dyDescent="0.2">
      <c r="A2161" s="895">
        <v>97137</v>
      </c>
      <c r="B2161" s="895" t="s">
        <v>20348</v>
      </c>
      <c r="C2161" s="895" t="s">
        <v>226</v>
      </c>
      <c r="D2161" s="895">
        <v>36.9</v>
      </c>
    </row>
    <row r="2162" spans="1:4" x14ac:dyDescent="0.2">
      <c r="A2162" s="895">
        <v>97138</v>
      </c>
      <c r="B2162" s="895" t="s">
        <v>20349</v>
      </c>
      <c r="C2162" s="895" t="s">
        <v>226</v>
      </c>
      <c r="D2162" s="895">
        <v>52.72</v>
      </c>
    </row>
    <row r="2163" spans="1:4" x14ac:dyDescent="0.2">
      <c r="A2163" s="895">
        <v>97139</v>
      </c>
      <c r="B2163" s="895" t="s">
        <v>20350</v>
      </c>
      <c r="C2163" s="895" t="s">
        <v>226</v>
      </c>
      <c r="D2163" s="895">
        <v>26.36</v>
      </c>
    </row>
    <row r="2164" spans="1:4" x14ac:dyDescent="0.2">
      <c r="A2164" s="895">
        <v>97140</v>
      </c>
      <c r="B2164" s="895" t="s">
        <v>20351</v>
      </c>
      <c r="C2164" s="895" t="s">
        <v>226</v>
      </c>
      <c r="D2164" s="895">
        <v>26.36</v>
      </c>
    </row>
    <row r="2165" spans="1:4" x14ac:dyDescent="0.2">
      <c r="A2165" s="895">
        <v>97200</v>
      </c>
      <c r="B2165" s="895" t="s">
        <v>20352</v>
      </c>
      <c r="C2165" s="895" t="s">
        <v>18269</v>
      </c>
      <c r="D2165" s="895" t="s">
        <v>18269</v>
      </c>
    </row>
    <row r="2166" spans="1:4" x14ac:dyDescent="0.2">
      <c r="A2166" s="895">
        <v>97201</v>
      </c>
      <c r="B2166" s="895" t="s">
        <v>20353</v>
      </c>
      <c r="C2166" s="895" t="s">
        <v>226</v>
      </c>
      <c r="D2166" s="895">
        <v>15.82</v>
      </c>
    </row>
    <row r="2167" spans="1:4" x14ac:dyDescent="0.2">
      <c r="A2167" s="895">
        <v>97202</v>
      </c>
      <c r="B2167" s="895" t="s">
        <v>20354</v>
      </c>
      <c r="C2167" s="895" t="s">
        <v>226</v>
      </c>
      <c r="D2167" s="895">
        <v>34.270000000000003</v>
      </c>
    </row>
    <row r="2168" spans="1:4" x14ac:dyDescent="0.2">
      <c r="A2168" s="895">
        <v>97203</v>
      </c>
      <c r="B2168" s="895" t="s">
        <v>20355</v>
      </c>
      <c r="C2168" s="895" t="s">
        <v>226</v>
      </c>
      <c r="D2168" s="895">
        <v>2.2000000000000002</v>
      </c>
    </row>
    <row r="2169" spans="1:4" x14ac:dyDescent="0.2">
      <c r="A2169" s="895">
        <v>97204</v>
      </c>
      <c r="B2169" s="895" t="s">
        <v>20356</v>
      </c>
      <c r="C2169" s="895" t="s">
        <v>226</v>
      </c>
      <c r="D2169" s="895">
        <v>15.82</v>
      </c>
    </row>
    <row r="2170" spans="1:4" x14ac:dyDescent="0.2">
      <c r="A2170" s="895">
        <v>97205</v>
      </c>
      <c r="B2170" s="895" t="s">
        <v>20357</v>
      </c>
      <c r="C2170" s="895" t="s">
        <v>226</v>
      </c>
      <c r="D2170" s="895">
        <v>2.2000000000000002</v>
      </c>
    </row>
    <row r="2171" spans="1:4" x14ac:dyDescent="0.2">
      <c r="A2171" s="895">
        <v>97211</v>
      </c>
      <c r="B2171" s="895" t="s">
        <v>20358</v>
      </c>
      <c r="C2171" s="895" t="s">
        <v>226</v>
      </c>
      <c r="D2171" s="895">
        <v>79.08</v>
      </c>
    </row>
    <row r="2172" spans="1:4" x14ac:dyDescent="0.2">
      <c r="A2172" s="895">
        <v>97212</v>
      </c>
      <c r="B2172" s="895" t="s">
        <v>20359</v>
      </c>
      <c r="C2172" s="895" t="s">
        <v>226</v>
      </c>
      <c r="D2172" s="895">
        <v>210.88</v>
      </c>
    </row>
    <row r="2173" spans="1:4" x14ac:dyDescent="0.2">
      <c r="A2173" s="895">
        <v>97213</v>
      </c>
      <c r="B2173" s="895" t="s">
        <v>20360</v>
      </c>
      <c r="C2173" s="895" t="s">
        <v>226</v>
      </c>
      <c r="D2173" s="895">
        <v>105.44</v>
      </c>
    </row>
    <row r="2174" spans="1:4" x14ac:dyDescent="0.2">
      <c r="A2174" s="895">
        <v>97214</v>
      </c>
      <c r="B2174" s="895" t="s">
        <v>20361</v>
      </c>
      <c r="C2174" s="895" t="s">
        <v>226</v>
      </c>
      <c r="D2174" s="895">
        <v>52.72</v>
      </c>
    </row>
    <row r="2175" spans="1:4" x14ac:dyDescent="0.2">
      <c r="A2175" s="895">
        <v>97218</v>
      </c>
      <c r="B2175" s="895" t="s">
        <v>20362</v>
      </c>
      <c r="C2175" s="895" t="s">
        <v>226</v>
      </c>
      <c r="D2175" s="895">
        <v>52.72</v>
      </c>
    </row>
    <row r="2176" spans="1:4" x14ac:dyDescent="0.2">
      <c r="A2176" s="895">
        <v>97219</v>
      </c>
      <c r="B2176" s="895" t="s">
        <v>20363</v>
      </c>
      <c r="C2176" s="895" t="s">
        <v>226</v>
      </c>
      <c r="D2176" s="895">
        <v>42.18</v>
      </c>
    </row>
    <row r="2177" spans="1:4" x14ac:dyDescent="0.2">
      <c r="A2177" s="895">
        <v>97225</v>
      </c>
      <c r="B2177" s="895" t="s">
        <v>20364</v>
      </c>
      <c r="C2177" s="895" t="s">
        <v>226</v>
      </c>
      <c r="D2177" s="895">
        <v>52.72</v>
      </c>
    </row>
    <row r="2178" spans="1:4" x14ac:dyDescent="0.2">
      <c r="A2178" s="895">
        <v>97300</v>
      </c>
      <c r="B2178" s="895" t="s">
        <v>20365</v>
      </c>
      <c r="C2178" s="895" t="s">
        <v>18269</v>
      </c>
      <c r="D2178" s="895" t="s">
        <v>18269</v>
      </c>
    </row>
    <row r="2179" spans="1:4" x14ac:dyDescent="0.2">
      <c r="A2179" s="895">
        <v>97314</v>
      </c>
      <c r="B2179" s="895" t="s">
        <v>20366</v>
      </c>
      <c r="C2179" s="895" t="s">
        <v>158</v>
      </c>
      <c r="D2179" s="895">
        <v>26.36</v>
      </c>
    </row>
    <row r="2180" spans="1:4" x14ac:dyDescent="0.2">
      <c r="A2180" s="895">
        <v>97315</v>
      </c>
      <c r="B2180" s="895" t="s">
        <v>20367</v>
      </c>
      <c r="C2180" s="895" t="s">
        <v>158</v>
      </c>
      <c r="D2180" s="895">
        <v>26.36</v>
      </c>
    </row>
    <row r="2181" spans="1:4" x14ac:dyDescent="0.2">
      <c r="A2181" s="895">
        <v>97316</v>
      </c>
      <c r="B2181" s="895" t="s">
        <v>20368</v>
      </c>
      <c r="C2181" s="895" t="s">
        <v>226</v>
      </c>
      <c r="D2181" s="895">
        <v>15.82</v>
      </c>
    </row>
    <row r="2182" spans="1:4" x14ac:dyDescent="0.2">
      <c r="A2182" s="895">
        <v>97360</v>
      </c>
      <c r="B2182" s="895" t="s">
        <v>20369</v>
      </c>
      <c r="C2182" s="895" t="s">
        <v>226</v>
      </c>
      <c r="D2182" s="895">
        <v>395.74</v>
      </c>
    </row>
    <row r="2183" spans="1:4" x14ac:dyDescent="0.2">
      <c r="A2183" s="895">
        <v>97361</v>
      </c>
      <c r="B2183" s="895" t="s">
        <v>20370</v>
      </c>
      <c r="C2183" s="895" t="s">
        <v>226</v>
      </c>
      <c r="D2183" s="895">
        <v>545.16</v>
      </c>
    </row>
    <row r="2184" spans="1:4" x14ac:dyDescent="0.2">
      <c r="A2184" s="895">
        <v>97362</v>
      </c>
      <c r="B2184" s="895" t="s">
        <v>20371</v>
      </c>
      <c r="C2184" s="895" t="s">
        <v>226</v>
      </c>
      <c r="D2184" s="895">
        <v>637.44000000000005</v>
      </c>
    </row>
    <row r="2185" spans="1:4" x14ac:dyDescent="0.2">
      <c r="A2185" s="895">
        <v>97400</v>
      </c>
      <c r="B2185" s="895" t="s">
        <v>20372</v>
      </c>
      <c r="C2185" s="895" t="s">
        <v>18269</v>
      </c>
      <c r="D2185" s="895" t="s">
        <v>18269</v>
      </c>
    </row>
    <row r="2186" spans="1:4" x14ac:dyDescent="0.2">
      <c r="A2186" s="895">
        <v>97401</v>
      </c>
      <c r="B2186" s="895" t="s">
        <v>20373</v>
      </c>
      <c r="C2186" s="895" t="s">
        <v>226</v>
      </c>
      <c r="D2186" s="895">
        <v>10.54</v>
      </c>
    </row>
    <row r="2187" spans="1:4" x14ac:dyDescent="0.2">
      <c r="A2187" s="895">
        <v>97402</v>
      </c>
      <c r="B2187" s="895" t="s">
        <v>20374</v>
      </c>
      <c r="C2187" s="895" t="s">
        <v>226</v>
      </c>
      <c r="D2187" s="895">
        <v>10.54</v>
      </c>
    </row>
    <row r="2188" spans="1:4" x14ac:dyDescent="0.2">
      <c r="A2188" s="895">
        <v>97403</v>
      </c>
      <c r="B2188" s="895" t="s">
        <v>20375</v>
      </c>
      <c r="C2188" s="895" t="s">
        <v>226</v>
      </c>
      <c r="D2188" s="895">
        <v>34.270000000000003</v>
      </c>
    </row>
    <row r="2189" spans="1:4" x14ac:dyDescent="0.2">
      <c r="A2189" s="895">
        <v>97404</v>
      </c>
      <c r="B2189" s="895" t="s">
        <v>20376</v>
      </c>
      <c r="C2189" s="895" t="s">
        <v>226</v>
      </c>
      <c r="D2189" s="895">
        <v>31.63</v>
      </c>
    </row>
    <row r="2190" spans="1:4" x14ac:dyDescent="0.2">
      <c r="A2190" s="895">
        <v>97405</v>
      </c>
      <c r="B2190" s="895" t="s">
        <v>20377</v>
      </c>
      <c r="C2190" s="895" t="s">
        <v>226</v>
      </c>
      <c r="D2190" s="895">
        <v>149.41999999999999</v>
      </c>
    </row>
    <row r="2191" spans="1:4" x14ac:dyDescent="0.2">
      <c r="A2191" s="895">
        <v>97406</v>
      </c>
      <c r="B2191" s="895" t="s">
        <v>20378</v>
      </c>
      <c r="C2191" s="895" t="s">
        <v>226</v>
      </c>
      <c r="D2191" s="895">
        <v>26.36</v>
      </c>
    </row>
    <row r="2192" spans="1:4" x14ac:dyDescent="0.2">
      <c r="A2192" s="895">
        <v>97407</v>
      </c>
      <c r="B2192" s="895" t="s">
        <v>20379</v>
      </c>
      <c r="C2192" s="895" t="s">
        <v>226</v>
      </c>
      <c r="D2192" s="895">
        <v>26.36</v>
      </c>
    </row>
    <row r="2193" spans="1:4" x14ac:dyDescent="0.2">
      <c r="A2193" s="895">
        <v>97408</v>
      </c>
      <c r="B2193" s="895" t="s">
        <v>20380</v>
      </c>
      <c r="C2193" s="895" t="s">
        <v>158</v>
      </c>
      <c r="D2193" s="895">
        <v>21.09</v>
      </c>
    </row>
    <row r="2194" spans="1:4" x14ac:dyDescent="0.2">
      <c r="A2194" s="895">
        <v>97409</v>
      </c>
      <c r="B2194" s="895" t="s">
        <v>20381</v>
      </c>
      <c r="C2194" s="895" t="s">
        <v>226</v>
      </c>
      <c r="D2194" s="895">
        <v>10.54</v>
      </c>
    </row>
    <row r="2195" spans="1:4" x14ac:dyDescent="0.2">
      <c r="A2195" s="895">
        <v>97410</v>
      </c>
      <c r="B2195" s="895" t="s">
        <v>20382</v>
      </c>
      <c r="C2195" s="895" t="s">
        <v>226</v>
      </c>
      <c r="D2195" s="895">
        <v>248.35</v>
      </c>
    </row>
    <row r="2196" spans="1:4" x14ac:dyDescent="0.2">
      <c r="A2196" s="895">
        <v>97411</v>
      </c>
      <c r="B2196" s="895" t="s">
        <v>20383</v>
      </c>
      <c r="C2196" s="895" t="s">
        <v>226</v>
      </c>
      <c r="D2196" s="895">
        <v>89.24</v>
      </c>
    </row>
    <row r="2197" spans="1:4" x14ac:dyDescent="0.2">
      <c r="A2197" s="895">
        <v>97412</v>
      </c>
      <c r="B2197" s="895" t="s">
        <v>20384</v>
      </c>
      <c r="C2197" s="895" t="s">
        <v>226</v>
      </c>
      <c r="D2197" s="895">
        <v>470.21</v>
      </c>
    </row>
    <row r="2198" spans="1:4" x14ac:dyDescent="0.2">
      <c r="A2198" s="895">
        <v>97413</v>
      </c>
      <c r="B2198" s="895" t="s">
        <v>20385</v>
      </c>
      <c r="C2198" s="895" t="s">
        <v>226</v>
      </c>
      <c r="D2198" s="895">
        <v>791.47</v>
      </c>
    </row>
    <row r="2199" spans="1:4" x14ac:dyDescent="0.2">
      <c r="A2199" s="895">
        <v>97414</v>
      </c>
      <c r="B2199" s="895" t="s">
        <v>20386</v>
      </c>
      <c r="C2199" s="895" t="s">
        <v>226</v>
      </c>
      <c r="D2199" s="895">
        <v>74.3</v>
      </c>
    </row>
    <row r="2200" spans="1:4" x14ac:dyDescent="0.2">
      <c r="A2200" s="895">
        <v>97415</v>
      </c>
      <c r="B2200" s="895" t="s">
        <v>20387</v>
      </c>
      <c r="C2200" s="895" t="s">
        <v>226</v>
      </c>
      <c r="D2200" s="895">
        <v>149.41999999999999</v>
      </c>
    </row>
    <row r="2201" spans="1:4" x14ac:dyDescent="0.2">
      <c r="A2201" s="895">
        <v>97416</v>
      </c>
      <c r="B2201" s="895" t="s">
        <v>20388</v>
      </c>
      <c r="C2201" s="895" t="s">
        <v>158</v>
      </c>
      <c r="D2201" s="895">
        <v>15.82</v>
      </c>
    </row>
    <row r="2202" spans="1:4" x14ac:dyDescent="0.2">
      <c r="A2202" s="895">
        <v>97417</v>
      </c>
      <c r="B2202" s="895" t="s">
        <v>20389</v>
      </c>
      <c r="C2202" s="895" t="s">
        <v>226</v>
      </c>
      <c r="D2202" s="895">
        <v>253.56</v>
      </c>
    </row>
    <row r="2203" spans="1:4" x14ac:dyDescent="0.2">
      <c r="A2203" s="895">
        <v>97418</v>
      </c>
      <c r="B2203" s="895" t="s">
        <v>20390</v>
      </c>
      <c r="C2203" s="895" t="s">
        <v>226</v>
      </c>
      <c r="D2203" s="895">
        <v>312.05</v>
      </c>
    </row>
    <row r="2204" spans="1:4" x14ac:dyDescent="0.2">
      <c r="A2204" s="895">
        <v>97423</v>
      </c>
      <c r="B2204" s="895" t="s">
        <v>20391</v>
      </c>
      <c r="C2204" s="895" t="s">
        <v>226</v>
      </c>
      <c r="D2204" s="895">
        <v>26.36</v>
      </c>
    </row>
    <row r="2205" spans="1:4" x14ac:dyDescent="0.2">
      <c r="A2205" s="895">
        <v>97424</v>
      </c>
      <c r="B2205" s="895" t="s">
        <v>20392</v>
      </c>
      <c r="C2205" s="895" t="s">
        <v>226</v>
      </c>
      <c r="D2205" s="895">
        <v>15.82</v>
      </c>
    </row>
    <row r="2206" spans="1:4" x14ac:dyDescent="0.2">
      <c r="A2206" s="895">
        <v>98000</v>
      </c>
      <c r="B2206" s="895" t="s">
        <v>20393</v>
      </c>
      <c r="C2206" s="895" t="s">
        <v>18269</v>
      </c>
      <c r="D2206" s="895" t="s">
        <v>18269</v>
      </c>
    </row>
    <row r="2207" spans="1:4" x14ac:dyDescent="0.2">
      <c r="A2207" s="895">
        <v>98003</v>
      </c>
      <c r="B2207" s="895" t="s">
        <v>20394</v>
      </c>
      <c r="C2207" s="895" t="s">
        <v>226</v>
      </c>
      <c r="D2207" s="895">
        <v>1181.46</v>
      </c>
    </row>
    <row r="2208" spans="1:4" x14ac:dyDescent="0.2">
      <c r="A2208" s="895">
        <v>98004</v>
      </c>
      <c r="B2208" s="895" t="s">
        <v>20395</v>
      </c>
      <c r="C2208" s="895" t="s">
        <v>226</v>
      </c>
      <c r="D2208" s="895">
        <v>1350.02</v>
      </c>
    </row>
    <row r="2209" spans="1:4" x14ac:dyDescent="0.2">
      <c r="A2209" s="895">
        <v>98011</v>
      </c>
      <c r="B2209" s="895" t="s">
        <v>20396</v>
      </c>
      <c r="C2209" s="895" t="s">
        <v>226</v>
      </c>
      <c r="D2209" s="895">
        <v>12497.55</v>
      </c>
    </row>
    <row r="2210" spans="1:4" x14ac:dyDescent="0.2">
      <c r="A2210" s="895">
        <v>98018</v>
      </c>
      <c r="B2210" s="895" t="s">
        <v>20397</v>
      </c>
      <c r="C2210" s="895" t="s">
        <v>226</v>
      </c>
      <c r="D2210" s="895">
        <v>18.579999999999998</v>
      </c>
    </row>
    <row r="2211" spans="1:4" x14ac:dyDescent="0.2">
      <c r="A2211" s="895">
        <v>98019</v>
      </c>
      <c r="B2211" s="895" t="s">
        <v>20398</v>
      </c>
      <c r="C2211" s="895" t="s">
        <v>226</v>
      </c>
      <c r="D2211" s="895">
        <v>21.54</v>
      </c>
    </row>
    <row r="2212" spans="1:4" x14ac:dyDescent="0.2">
      <c r="A2212" s="895">
        <v>98020</v>
      </c>
      <c r="B2212" s="895" t="s">
        <v>20399</v>
      </c>
      <c r="C2212" s="895" t="s">
        <v>226</v>
      </c>
      <c r="D2212" s="895">
        <v>24.88</v>
      </c>
    </row>
    <row r="2213" spans="1:4" x14ac:dyDescent="0.2">
      <c r="A2213" s="895">
        <v>98021</v>
      </c>
      <c r="B2213" s="895" t="s">
        <v>20400</v>
      </c>
      <c r="C2213" s="895" t="s">
        <v>226</v>
      </c>
      <c r="D2213" s="895">
        <v>23.9</v>
      </c>
    </row>
    <row r="2214" spans="1:4" x14ac:dyDescent="0.2">
      <c r="A2214" s="895">
        <v>98022</v>
      </c>
      <c r="B2214" s="895" t="s">
        <v>20401</v>
      </c>
      <c r="C2214" s="895" t="s">
        <v>226</v>
      </c>
      <c r="D2214" s="895">
        <v>25.23</v>
      </c>
    </row>
    <row r="2215" spans="1:4" x14ac:dyDescent="0.2">
      <c r="A2215" s="895">
        <v>98023</v>
      </c>
      <c r="B2215" s="895" t="s">
        <v>20402</v>
      </c>
      <c r="C2215" s="895" t="s">
        <v>226</v>
      </c>
      <c r="D2215" s="895">
        <v>34.25</v>
      </c>
    </row>
    <row r="2216" spans="1:4" x14ac:dyDescent="0.2">
      <c r="A2216" s="895">
        <v>98024</v>
      </c>
      <c r="B2216" s="895" t="s">
        <v>20403</v>
      </c>
      <c r="C2216" s="895" t="s">
        <v>226</v>
      </c>
      <c r="D2216" s="895">
        <v>34.03</v>
      </c>
    </row>
    <row r="2217" spans="1:4" x14ac:dyDescent="0.2">
      <c r="A2217" s="895">
        <v>98025</v>
      </c>
      <c r="B2217" s="895" t="s">
        <v>20404</v>
      </c>
      <c r="C2217" s="895" t="s">
        <v>226</v>
      </c>
      <c r="D2217" s="895">
        <v>42.43</v>
      </c>
    </row>
    <row r="2218" spans="1:4" x14ac:dyDescent="0.2">
      <c r="A2218" s="895">
        <v>98026</v>
      </c>
      <c r="B2218" s="895" t="s">
        <v>20405</v>
      </c>
      <c r="C2218" s="895" t="s">
        <v>226</v>
      </c>
      <c r="D2218" s="895">
        <v>54.39</v>
      </c>
    </row>
    <row r="2219" spans="1:4" x14ac:dyDescent="0.2">
      <c r="A2219" s="895">
        <v>98027</v>
      </c>
      <c r="B2219" s="895" t="s">
        <v>20406</v>
      </c>
      <c r="C2219" s="895" t="s">
        <v>226</v>
      </c>
      <c r="D2219" s="895">
        <v>55.58</v>
      </c>
    </row>
    <row r="2220" spans="1:4" x14ac:dyDescent="0.2">
      <c r="A2220" s="895">
        <v>98028</v>
      </c>
      <c r="B2220" s="895" t="s">
        <v>20407</v>
      </c>
      <c r="C2220" s="895" t="s">
        <v>226</v>
      </c>
      <c r="D2220" s="895">
        <v>68.37</v>
      </c>
    </row>
    <row r="2221" spans="1:4" x14ac:dyDescent="0.2">
      <c r="A2221" s="895">
        <v>98029</v>
      </c>
      <c r="B2221" s="895" t="s">
        <v>20408</v>
      </c>
      <c r="C2221" s="895" t="s">
        <v>226</v>
      </c>
      <c r="D2221" s="895">
        <v>68.64</v>
      </c>
    </row>
    <row r="2222" spans="1:4" x14ac:dyDescent="0.2">
      <c r="A2222" s="895">
        <v>98030</v>
      </c>
      <c r="B2222" s="895" t="s">
        <v>20409</v>
      </c>
      <c r="C2222" s="895" t="s">
        <v>226</v>
      </c>
      <c r="D2222" s="895">
        <v>88.84</v>
      </c>
    </row>
    <row r="2223" spans="1:4" x14ac:dyDescent="0.2">
      <c r="A2223" s="895">
        <v>98200</v>
      </c>
      <c r="B2223" s="895" t="s">
        <v>20410</v>
      </c>
      <c r="C2223" s="895" t="s">
        <v>18269</v>
      </c>
      <c r="D2223" s="895" t="s">
        <v>18269</v>
      </c>
    </row>
    <row r="2224" spans="1:4" x14ac:dyDescent="0.2">
      <c r="A2224" s="895">
        <v>98201</v>
      </c>
      <c r="B2224" s="895" t="s">
        <v>20411</v>
      </c>
      <c r="C2224" s="895" t="s">
        <v>226</v>
      </c>
      <c r="D2224" s="895">
        <v>18.88</v>
      </c>
    </row>
    <row r="2225" spans="1:4" x14ac:dyDescent="0.2">
      <c r="A2225" s="895">
        <v>98202</v>
      </c>
      <c r="B2225" s="895" t="s">
        <v>20412</v>
      </c>
      <c r="C2225" s="895" t="s">
        <v>226</v>
      </c>
      <c r="D2225" s="895">
        <v>25.63</v>
      </c>
    </row>
    <row r="2226" spans="1:4" x14ac:dyDescent="0.2">
      <c r="A2226" s="895">
        <v>98203</v>
      </c>
      <c r="B2226" s="895" t="s">
        <v>20413</v>
      </c>
      <c r="C2226" s="895" t="s">
        <v>226</v>
      </c>
      <c r="D2226" s="895">
        <v>38.090000000000003</v>
      </c>
    </row>
    <row r="2227" spans="1:4" x14ac:dyDescent="0.2">
      <c r="A2227" s="895">
        <v>98204</v>
      </c>
      <c r="B2227" s="895" t="s">
        <v>20414</v>
      </c>
      <c r="C2227" s="895" t="s">
        <v>226</v>
      </c>
      <c r="D2227" s="895">
        <v>44.92</v>
      </c>
    </row>
    <row r="2228" spans="1:4" x14ac:dyDescent="0.2">
      <c r="A2228" s="895">
        <v>98205</v>
      </c>
      <c r="B2228" s="895" t="s">
        <v>20415</v>
      </c>
      <c r="C2228" s="895" t="s">
        <v>226</v>
      </c>
      <c r="D2228" s="895">
        <v>21.19</v>
      </c>
    </row>
    <row r="2229" spans="1:4" x14ac:dyDescent="0.2">
      <c r="A2229" s="895">
        <v>98206</v>
      </c>
      <c r="B2229" s="895" t="s">
        <v>20416</v>
      </c>
      <c r="C2229" s="895" t="s">
        <v>226</v>
      </c>
      <c r="D2229" s="895">
        <v>4.3600000000000003</v>
      </c>
    </row>
    <row r="2230" spans="1:4" x14ac:dyDescent="0.2">
      <c r="A2230" s="895">
        <v>98207</v>
      </c>
      <c r="B2230" s="895" t="s">
        <v>20417</v>
      </c>
      <c r="C2230" s="895" t="s">
        <v>226</v>
      </c>
      <c r="D2230" s="895">
        <v>5.29</v>
      </c>
    </row>
    <row r="2231" spans="1:4" x14ac:dyDescent="0.2">
      <c r="A2231" s="895">
        <v>98208</v>
      </c>
      <c r="B2231" s="895" t="s">
        <v>20418</v>
      </c>
      <c r="C2231" s="895" t="s">
        <v>226</v>
      </c>
      <c r="D2231" s="895">
        <v>11.56</v>
      </c>
    </row>
    <row r="2232" spans="1:4" x14ac:dyDescent="0.2">
      <c r="A2232" s="895">
        <v>98209</v>
      </c>
      <c r="B2232" s="895" t="s">
        <v>20419</v>
      </c>
      <c r="C2232" s="895" t="s">
        <v>226</v>
      </c>
      <c r="D2232" s="895">
        <v>21.98</v>
      </c>
    </row>
    <row r="2233" spans="1:4" x14ac:dyDescent="0.2">
      <c r="A2233" s="895">
        <v>98210</v>
      </c>
      <c r="B2233" s="895" t="s">
        <v>20420</v>
      </c>
      <c r="C2233" s="895" t="s">
        <v>226</v>
      </c>
      <c r="D2233" s="895">
        <v>21.03</v>
      </c>
    </row>
    <row r="2234" spans="1:4" x14ac:dyDescent="0.2">
      <c r="A2234" s="895">
        <v>98212</v>
      </c>
      <c r="B2234" s="895" t="s">
        <v>20421</v>
      </c>
      <c r="C2234" s="895" t="s">
        <v>226</v>
      </c>
      <c r="D2234" s="895">
        <v>54.26</v>
      </c>
    </row>
    <row r="2235" spans="1:4" x14ac:dyDescent="0.2">
      <c r="A2235" s="895">
        <v>98213</v>
      </c>
      <c r="B2235" s="895" t="s">
        <v>20422</v>
      </c>
      <c r="C2235" s="895" t="s">
        <v>226</v>
      </c>
      <c r="D2235" s="895">
        <v>127.04</v>
      </c>
    </row>
    <row r="2236" spans="1:4" x14ac:dyDescent="0.2">
      <c r="A2236" s="895">
        <v>98214</v>
      </c>
      <c r="B2236" s="895" t="s">
        <v>20423</v>
      </c>
      <c r="C2236" s="895" t="s">
        <v>226</v>
      </c>
      <c r="D2236" s="895">
        <v>198.63</v>
      </c>
    </row>
    <row r="2237" spans="1:4" x14ac:dyDescent="0.2">
      <c r="A2237" s="895">
        <v>98215</v>
      </c>
      <c r="B2237" s="895" t="s">
        <v>20424</v>
      </c>
      <c r="C2237" s="895" t="s">
        <v>226</v>
      </c>
      <c r="D2237" s="895">
        <v>601.41</v>
      </c>
    </row>
    <row r="2238" spans="1:4" x14ac:dyDescent="0.2">
      <c r="A2238" s="895">
        <v>98216</v>
      </c>
      <c r="B2238" s="895" t="s">
        <v>20425</v>
      </c>
      <c r="C2238" s="895" t="s">
        <v>226</v>
      </c>
      <c r="D2238" s="895">
        <v>25.27</v>
      </c>
    </row>
    <row r="2239" spans="1:4" x14ac:dyDescent="0.2">
      <c r="A2239" s="895">
        <v>98217</v>
      </c>
      <c r="B2239" s="895" t="s">
        <v>20426</v>
      </c>
      <c r="C2239" s="895" t="s">
        <v>226</v>
      </c>
      <c r="D2239" s="895">
        <v>119.88</v>
      </c>
    </row>
    <row r="2240" spans="1:4" x14ac:dyDescent="0.2">
      <c r="A2240" s="895">
        <v>98218</v>
      </c>
      <c r="B2240" s="895" t="s">
        <v>20427</v>
      </c>
      <c r="C2240" s="895" t="s">
        <v>226</v>
      </c>
      <c r="D2240" s="895">
        <v>21.03</v>
      </c>
    </row>
    <row r="2241" spans="1:4" x14ac:dyDescent="0.2">
      <c r="A2241" s="895">
        <v>98222</v>
      </c>
      <c r="B2241" s="895" t="s">
        <v>20428</v>
      </c>
      <c r="C2241" s="895" t="s">
        <v>226</v>
      </c>
      <c r="D2241" s="895">
        <v>21.71</v>
      </c>
    </row>
    <row r="2242" spans="1:4" x14ac:dyDescent="0.2">
      <c r="A2242" s="895">
        <v>98225</v>
      </c>
      <c r="B2242" s="895" t="s">
        <v>20429</v>
      </c>
      <c r="C2242" s="895" t="s">
        <v>226</v>
      </c>
      <c r="D2242" s="895">
        <v>36.11</v>
      </c>
    </row>
    <row r="2243" spans="1:4" x14ac:dyDescent="0.2">
      <c r="A2243" s="895">
        <v>98231</v>
      </c>
      <c r="B2243" s="895" t="s">
        <v>20430</v>
      </c>
      <c r="C2243" s="895" t="s">
        <v>226</v>
      </c>
      <c r="D2243" s="895">
        <v>85.25</v>
      </c>
    </row>
    <row r="2244" spans="1:4" x14ac:dyDescent="0.2">
      <c r="A2244" s="895">
        <v>98232</v>
      </c>
      <c r="B2244" s="895" t="s">
        <v>20431</v>
      </c>
      <c r="C2244" s="895" t="s">
        <v>226</v>
      </c>
      <c r="D2244" s="895">
        <v>80.260000000000005</v>
      </c>
    </row>
    <row r="2245" spans="1:4" x14ac:dyDescent="0.2">
      <c r="A2245" s="895">
        <v>98234</v>
      </c>
      <c r="B2245" s="895" t="s">
        <v>20432</v>
      </c>
      <c r="C2245" s="895" t="s">
        <v>226</v>
      </c>
      <c r="D2245" s="895">
        <v>114.89</v>
      </c>
    </row>
    <row r="2246" spans="1:4" x14ac:dyDescent="0.2">
      <c r="A2246" s="895">
        <v>98235</v>
      </c>
      <c r="B2246" s="895" t="s">
        <v>20433</v>
      </c>
      <c r="C2246" s="895" t="s">
        <v>226</v>
      </c>
      <c r="D2246" s="895">
        <v>132.15</v>
      </c>
    </row>
    <row r="2247" spans="1:4" x14ac:dyDescent="0.2">
      <c r="A2247" s="895">
        <v>98238</v>
      </c>
      <c r="B2247" s="895" t="s">
        <v>20434</v>
      </c>
      <c r="C2247" s="895" t="s">
        <v>226</v>
      </c>
      <c r="D2247" s="895">
        <v>177.17</v>
      </c>
    </row>
    <row r="2248" spans="1:4" x14ac:dyDescent="0.2">
      <c r="A2248" s="895">
        <v>98239</v>
      </c>
      <c r="B2248" s="895" t="s">
        <v>20435</v>
      </c>
      <c r="C2248" s="895" t="s">
        <v>226</v>
      </c>
      <c r="D2248" s="895">
        <v>212.39</v>
      </c>
    </row>
    <row r="2249" spans="1:4" x14ac:dyDescent="0.2">
      <c r="A2249" s="895">
        <v>98240</v>
      </c>
      <c r="B2249" s="895" t="s">
        <v>20436</v>
      </c>
      <c r="C2249" s="895" t="s">
        <v>226</v>
      </c>
      <c r="D2249" s="895">
        <v>121.75</v>
      </c>
    </row>
    <row r="2250" spans="1:4" x14ac:dyDescent="0.2">
      <c r="A2250" s="895">
        <v>98241</v>
      </c>
      <c r="B2250" s="895" t="s">
        <v>20437</v>
      </c>
      <c r="C2250" s="895" t="s">
        <v>226</v>
      </c>
      <c r="D2250" s="895">
        <v>130.32</v>
      </c>
    </row>
    <row r="2251" spans="1:4" x14ac:dyDescent="0.2">
      <c r="A2251" s="895">
        <v>98242</v>
      </c>
      <c r="B2251" s="895" t="s">
        <v>20438</v>
      </c>
      <c r="C2251" s="895" t="s">
        <v>226</v>
      </c>
      <c r="D2251" s="895">
        <v>137.61000000000001</v>
      </c>
    </row>
    <row r="2252" spans="1:4" x14ac:dyDescent="0.2">
      <c r="A2252" s="895">
        <v>98243</v>
      </c>
      <c r="B2252" s="895" t="s">
        <v>20439</v>
      </c>
      <c r="C2252" s="895" t="s">
        <v>226</v>
      </c>
      <c r="D2252" s="895">
        <v>163.97</v>
      </c>
    </row>
    <row r="2253" spans="1:4" x14ac:dyDescent="0.2">
      <c r="A2253" s="895">
        <v>98244</v>
      </c>
      <c r="B2253" s="895" t="s">
        <v>20440</v>
      </c>
      <c r="C2253" s="895" t="s">
        <v>226</v>
      </c>
      <c r="D2253" s="895">
        <v>138.22999999999999</v>
      </c>
    </row>
    <row r="2254" spans="1:4" x14ac:dyDescent="0.2">
      <c r="A2254" s="895">
        <v>98245</v>
      </c>
      <c r="B2254" s="895" t="s">
        <v>20441</v>
      </c>
      <c r="C2254" s="895" t="s">
        <v>226</v>
      </c>
      <c r="D2254" s="895">
        <v>152.08000000000001</v>
      </c>
    </row>
    <row r="2255" spans="1:4" x14ac:dyDescent="0.2">
      <c r="A2255" s="895">
        <v>98246</v>
      </c>
      <c r="B2255" s="895" t="s">
        <v>20442</v>
      </c>
      <c r="C2255" s="895" t="s">
        <v>226</v>
      </c>
      <c r="D2255" s="895">
        <v>193.2</v>
      </c>
    </row>
    <row r="2256" spans="1:4" x14ac:dyDescent="0.2">
      <c r="A2256" s="895">
        <v>98247</v>
      </c>
      <c r="B2256" s="895" t="s">
        <v>20443</v>
      </c>
      <c r="C2256" s="895" t="s">
        <v>226</v>
      </c>
      <c r="D2256" s="895">
        <v>213.2</v>
      </c>
    </row>
    <row r="2257" spans="1:4" x14ac:dyDescent="0.2">
      <c r="A2257" s="895">
        <v>98248</v>
      </c>
      <c r="B2257" s="895" t="s">
        <v>20444</v>
      </c>
      <c r="C2257" s="895" t="s">
        <v>226</v>
      </c>
      <c r="D2257" s="895">
        <v>30242.080000000002</v>
      </c>
    </row>
    <row r="2258" spans="1:4" x14ac:dyDescent="0.2">
      <c r="A2258" s="895">
        <v>98249</v>
      </c>
      <c r="B2258" s="895" t="s">
        <v>20445</v>
      </c>
      <c r="C2258" s="895" t="s">
        <v>226</v>
      </c>
      <c r="D2258" s="895">
        <v>14634.35</v>
      </c>
    </row>
    <row r="2259" spans="1:4" x14ac:dyDescent="0.2">
      <c r="A2259" s="895">
        <v>98255</v>
      </c>
      <c r="B2259" s="895" t="s">
        <v>20446</v>
      </c>
      <c r="C2259" s="895" t="s">
        <v>226</v>
      </c>
      <c r="D2259" s="895">
        <v>13.46</v>
      </c>
    </row>
    <row r="2260" spans="1:4" x14ac:dyDescent="0.2">
      <c r="A2260" s="895">
        <v>98256</v>
      </c>
      <c r="B2260" s="895" t="s">
        <v>20447</v>
      </c>
      <c r="C2260" s="895" t="s">
        <v>226</v>
      </c>
      <c r="D2260" s="895">
        <v>15.6</v>
      </c>
    </row>
    <row r="2261" spans="1:4" x14ac:dyDescent="0.2">
      <c r="A2261" s="895">
        <v>98257</v>
      </c>
      <c r="B2261" s="895" t="s">
        <v>20448</v>
      </c>
      <c r="C2261" s="895" t="s">
        <v>226</v>
      </c>
      <c r="D2261" s="895">
        <v>58.68</v>
      </c>
    </row>
    <row r="2262" spans="1:4" x14ac:dyDescent="0.2">
      <c r="A2262" s="895">
        <v>98258</v>
      </c>
      <c r="B2262" s="895" t="s">
        <v>20449</v>
      </c>
      <c r="C2262" s="895" t="s">
        <v>226</v>
      </c>
      <c r="D2262" s="895">
        <v>96.53</v>
      </c>
    </row>
    <row r="2263" spans="1:4" x14ac:dyDescent="0.2">
      <c r="A2263" s="895">
        <v>98259</v>
      </c>
      <c r="B2263" s="895" t="s">
        <v>20450</v>
      </c>
      <c r="C2263" s="895" t="s">
        <v>226</v>
      </c>
      <c r="D2263" s="895">
        <v>61.36</v>
      </c>
    </row>
    <row r="2264" spans="1:4" x14ac:dyDescent="0.2">
      <c r="A2264" s="895">
        <v>98260</v>
      </c>
      <c r="B2264" s="895" t="s">
        <v>20451</v>
      </c>
      <c r="C2264" s="895" t="s">
        <v>226</v>
      </c>
      <c r="D2264" s="895">
        <v>48.58</v>
      </c>
    </row>
    <row r="2265" spans="1:4" x14ac:dyDescent="0.2">
      <c r="A2265" s="895">
        <v>98261</v>
      </c>
      <c r="B2265" s="895" t="s">
        <v>20452</v>
      </c>
      <c r="C2265" s="895" t="s">
        <v>226</v>
      </c>
      <c r="D2265" s="895">
        <v>47.05</v>
      </c>
    </row>
    <row r="2266" spans="1:4" x14ac:dyDescent="0.2">
      <c r="A2266" s="895">
        <v>98262</v>
      </c>
      <c r="B2266" s="895" t="s">
        <v>20453</v>
      </c>
      <c r="C2266" s="895" t="s">
        <v>226</v>
      </c>
      <c r="D2266" s="895">
        <v>48.67</v>
      </c>
    </row>
    <row r="2267" spans="1:4" x14ac:dyDescent="0.2">
      <c r="A2267" s="895">
        <v>98263</v>
      </c>
      <c r="B2267" s="895" t="s">
        <v>20454</v>
      </c>
      <c r="C2267" s="895" t="s">
        <v>226</v>
      </c>
      <c r="D2267" s="895">
        <v>84.17</v>
      </c>
    </row>
    <row r="2268" spans="1:4" x14ac:dyDescent="0.2">
      <c r="A2268" s="895">
        <v>98264</v>
      </c>
      <c r="B2268" s="895" t="s">
        <v>20455</v>
      </c>
      <c r="C2268" s="895" t="s">
        <v>226</v>
      </c>
      <c r="D2268" s="895">
        <v>133.12</v>
      </c>
    </row>
    <row r="2269" spans="1:4" x14ac:dyDescent="0.2">
      <c r="A2269" s="895">
        <v>98266</v>
      </c>
      <c r="B2269" s="895" t="s">
        <v>20456</v>
      </c>
      <c r="C2269" s="895" t="s">
        <v>226</v>
      </c>
      <c r="D2269" s="895">
        <v>60.94</v>
      </c>
    </row>
    <row r="2270" spans="1:4" x14ac:dyDescent="0.2">
      <c r="A2270" s="895">
        <v>98267</v>
      </c>
      <c r="B2270" s="895" t="s">
        <v>20457</v>
      </c>
      <c r="C2270" s="895" t="s">
        <v>226</v>
      </c>
      <c r="D2270" s="895">
        <v>82.9</v>
      </c>
    </row>
    <row r="2271" spans="1:4" x14ac:dyDescent="0.2">
      <c r="A2271" s="895">
        <v>98268</v>
      </c>
      <c r="B2271" s="895" t="s">
        <v>20458</v>
      </c>
      <c r="C2271" s="895" t="s">
        <v>226</v>
      </c>
      <c r="D2271" s="895">
        <v>79.55</v>
      </c>
    </row>
    <row r="2272" spans="1:4" x14ac:dyDescent="0.2">
      <c r="A2272" s="895">
        <v>98269</v>
      </c>
      <c r="B2272" s="895" t="s">
        <v>20459</v>
      </c>
      <c r="C2272" s="895" t="s">
        <v>226</v>
      </c>
      <c r="D2272" s="895">
        <v>97.54</v>
      </c>
    </row>
    <row r="2273" spans="1:4" x14ac:dyDescent="0.2">
      <c r="A2273" s="895">
        <v>98275</v>
      </c>
      <c r="B2273" s="895" t="s">
        <v>20460</v>
      </c>
      <c r="C2273" s="895" t="s">
        <v>226</v>
      </c>
      <c r="D2273" s="895">
        <v>29.75</v>
      </c>
    </row>
    <row r="2274" spans="1:4" x14ac:dyDescent="0.2">
      <c r="A2274" s="895">
        <v>98277</v>
      </c>
      <c r="B2274" s="895" t="s">
        <v>20461</v>
      </c>
      <c r="C2274" s="895" t="s">
        <v>226</v>
      </c>
      <c r="D2274" s="895">
        <v>96.35</v>
      </c>
    </row>
    <row r="2275" spans="1:4" x14ac:dyDescent="0.2">
      <c r="A2275" s="895">
        <v>98278</v>
      </c>
      <c r="B2275" s="895" t="s">
        <v>20462</v>
      </c>
      <c r="C2275" s="895" t="s">
        <v>226</v>
      </c>
      <c r="D2275" s="895">
        <v>90.21</v>
      </c>
    </row>
    <row r="2276" spans="1:4" x14ac:dyDescent="0.2">
      <c r="A2276" s="895">
        <v>98279</v>
      </c>
      <c r="B2276" s="895" t="s">
        <v>20463</v>
      </c>
      <c r="C2276" s="895" t="s">
        <v>226</v>
      </c>
      <c r="D2276" s="895">
        <v>117.68</v>
      </c>
    </row>
    <row r="2277" spans="1:4" x14ac:dyDescent="0.2">
      <c r="A2277" s="895">
        <v>98280</v>
      </c>
      <c r="B2277" s="895" t="s">
        <v>20464</v>
      </c>
      <c r="C2277" s="895" t="s">
        <v>226</v>
      </c>
      <c r="D2277" s="895">
        <v>19.57</v>
      </c>
    </row>
    <row r="2278" spans="1:4" x14ac:dyDescent="0.2">
      <c r="A2278" s="895">
        <v>98281</v>
      </c>
      <c r="B2278" s="895" t="s">
        <v>20465</v>
      </c>
      <c r="C2278" s="895" t="s">
        <v>226</v>
      </c>
      <c r="D2278" s="895">
        <v>44.04</v>
      </c>
    </row>
    <row r="2279" spans="1:4" x14ac:dyDescent="0.2">
      <c r="A2279" s="895">
        <v>98283</v>
      </c>
      <c r="B2279" s="895" t="s">
        <v>20466</v>
      </c>
      <c r="C2279" s="895" t="s">
        <v>226</v>
      </c>
      <c r="D2279" s="895">
        <v>16.68</v>
      </c>
    </row>
    <row r="2280" spans="1:4" x14ac:dyDescent="0.2">
      <c r="A2280" s="895">
        <v>98284</v>
      </c>
      <c r="B2280" s="895" t="s">
        <v>20467</v>
      </c>
      <c r="C2280" s="895" t="s">
        <v>226</v>
      </c>
      <c r="D2280" s="895">
        <v>1017.19</v>
      </c>
    </row>
    <row r="2281" spans="1:4" x14ac:dyDescent="0.2">
      <c r="A2281" s="895">
        <v>98285</v>
      </c>
      <c r="B2281" s="895" t="s">
        <v>20468</v>
      </c>
      <c r="C2281" s="895" t="s">
        <v>226</v>
      </c>
      <c r="D2281" s="895">
        <v>211.81</v>
      </c>
    </row>
    <row r="2282" spans="1:4" x14ac:dyDescent="0.2">
      <c r="A2282" s="895">
        <v>98286</v>
      </c>
      <c r="B2282" s="895" t="s">
        <v>20469</v>
      </c>
      <c r="C2282" s="895" t="s">
        <v>226</v>
      </c>
      <c r="D2282" s="895">
        <v>266.76</v>
      </c>
    </row>
    <row r="2283" spans="1:4" x14ac:dyDescent="0.2">
      <c r="A2283" s="895">
        <v>98290</v>
      </c>
      <c r="B2283" s="895" t="s">
        <v>20470</v>
      </c>
      <c r="C2283" s="895" t="s">
        <v>226</v>
      </c>
      <c r="D2283" s="895">
        <v>13.02</v>
      </c>
    </row>
    <row r="2284" spans="1:4" x14ac:dyDescent="0.2">
      <c r="A2284" s="895">
        <v>98291</v>
      </c>
      <c r="B2284" s="895" t="s">
        <v>20471</v>
      </c>
      <c r="C2284" s="895" t="s">
        <v>226</v>
      </c>
      <c r="D2284" s="895">
        <v>195.03</v>
      </c>
    </row>
    <row r="2285" spans="1:4" x14ac:dyDescent="0.2">
      <c r="A2285" s="895">
        <v>98292</v>
      </c>
      <c r="B2285" s="895" t="s">
        <v>20472</v>
      </c>
      <c r="C2285" s="895" t="s">
        <v>226</v>
      </c>
      <c r="D2285" s="895">
        <v>223.42</v>
      </c>
    </row>
    <row r="2286" spans="1:4" x14ac:dyDescent="0.2">
      <c r="A2286" s="895">
        <v>98293</v>
      </c>
      <c r="B2286" s="895" t="s">
        <v>20473</v>
      </c>
      <c r="C2286" s="895" t="s">
        <v>226</v>
      </c>
      <c r="D2286" s="895">
        <v>678.22</v>
      </c>
    </row>
    <row r="2287" spans="1:4" x14ac:dyDescent="0.2">
      <c r="A2287" s="895">
        <v>98294</v>
      </c>
      <c r="B2287" s="895" t="s">
        <v>20474</v>
      </c>
      <c r="C2287" s="895" t="s">
        <v>226</v>
      </c>
      <c r="D2287" s="895">
        <v>27.07</v>
      </c>
    </row>
    <row r="2288" spans="1:4" x14ac:dyDescent="0.2">
      <c r="A2288" s="895">
        <v>98295</v>
      </c>
      <c r="B2288" s="895" t="s">
        <v>20475</v>
      </c>
      <c r="C2288" s="895" t="s">
        <v>226</v>
      </c>
      <c r="D2288" s="895">
        <v>11.2</v>
      </c>
    </row>
    <row r="2289" spans="1:4" x14ac:dyDescent="0.2">
      <c r="A2289" s="895">
        <v>98296</v>
      </c>
      <c r="B2289" s="895" t="s">
        <v>20476</v>
      </c>
      <c r="C2289" s="895" t="s">
        <v>226</v>
      </c>
      <c r="D2289" s="895">
        <v>319.52999999999997</v>
      </c>
    </row>
    <row r="2290" spans="1:4" x14ac:dyDescent="0.2">
      <c r="A2290" s="895">
        <v>98297</v>
      </c>
      <c r="B2290" s="895" t="s">
        <v>20477</v>
      </c>
      <c r="C2290" s="895" t="s">
        <v>226</v>
      </c>
      <c r="D2290" s="895">
        <v>52.07</v>
      </c>
    </row>
    <row r="2291" spans="1:4" x14ac:dyDescent="0.2">
      <c r="A2291" s="895">
        <v>98299</v>
      </c>
      <c r="B2291" s="895" t="s">
        <v>20478</v>
      </c>
      <c r="C2291" s="895" t="s">
        <v>226</v>
      </c>
      <c r="D2291" s="895">
        <v>106.05</v>
      </c>
    </row>
    <row r="2292" spans="1:4" x14ac:dyDescent="0.2">
      <c r="A2292" s="895">
        <v>98300</v>
      </c>
      <c r="B2292" s="895" t="s">
        <v>20479</v>
      </c>
      <c r="C2292" s="895" t="s">
        <v>18269</v>
      </c>
      <c r="D2292" s="895" t="s">
        <v>18269</v>
      </c>
    </row>
    <row r="2293" spans="1:4" x14ac:dyDescent="0.2">
      <c r="A2293" s="895">
        <v>98320</v>
      </c>
      <c r="B2293" s="895" t="s">
        <v>20480</v>
      </c>
      <c r="C2293" s="895" t="s">
        <v>158</v>
      </c>
      <c r="D2293" s="895">
        <v>3.39</v>
      </c>
    </row>
    <row r="2294" spans="1:4" x14ac:dyDescent="0.2">
      <c r="A2294" s="895">
        <v>98351</v>
      </c>
      <c r="B2294" s="895" t="s">
        <v>20481</v>
      </c>
      <c r="C2294" s="895" t="s">
        <v>226</v>
      </c>
      <c r="D2294" s="895">
        <v>134.83000000000001</v>
      </c>
    </row>
    <row r="2295" spans="1:4" x14ac:dyDescent="0.2">
      <c r="A2295" s="895">
        <v>98355</v>
      </c>
      <c r="B2295" s="895" t="s">
        <v>20482</v>
      </c>
      <c r="C2295" s="895" t="s">
        <v>226</v>
      </c>
      <c r="D2295" s="895">
        <v>336.86</v>
      </c>
    </row>
    <row r="2296" spans="1:4" x14ac:dyDescent="0.2">
      <c r="A2296" s="895">
        <v>98357</v>
      </c>
      <c r="B2296" s="895" t="s">
        <v>20483</v>
      </c>
      <c r="C2296" s="895" t="s">
        <v>226</v>
      </c>
      <c r="D2296" s="895">
        <v>38.26</v>
      </c>
    </row>
    <row r="2297" spans="1:4" x14ac:dyDescent="0.2">
      <c r="A2297" s="895">
        <v>98358</v>
      </c>
      <c r="B2297" s="895" t="s">
        <v>20484</v>
      </c>
      <c r="C2297" s="895" t="s">
        <v>226</v>
      </c>
      <c r="D2297" s="895">
        <v>67.069999999999993</v>
      </c>
    </row>
    <row r="2298" spans="1:4" x14ac:dyDescent="0.2">
      <c r="A2298" s="895">
        <v>98362</v>
      </c>
      <c r="B2298" s="895" t="s">
        <v>20485</v>
      </c>
      <c r="C2298" s="895" t="s">
        <v>226</v>
      </c>
      <c r="D2298" s="895">
        <v>354.07</v>
      </c>
    </row>
    <row r="2299" spans="1:4" x14ac:dyDescent="0.2">
      <c r="A2299" s="895">
        <v>98363</v>
      </c>
      <c r="B2299" s="895" t="s">
        <v>20486</v>
      </c>
      <c r="C2299" s="895" t="s">
        <v>226</v>
      </c>
      <c r="D2299" s="895">
        <v>175.32</v>
      </c>
    </row>
    <row r="2300" spans="1:4" x14ac:dyDescent="0.2">
      <c r="A2300" s="895">
        <v>98365</v>
      </c>
      <c r="B2300" s="895" t="s">
        <v>20487</v>
      </c>
      <c r="C2300" s="895" t="s">
        <v>226</v>
      </c>
      <c r="D2300" s="895">
        <v>1436.62</v>
      </c>
    </row>
    <row r="2301" spans="1:4" x14ac:dyDescent="0.2">
      <c r="A2301" s="895">
        <v>98366</v>
      </c>
      <c r="B2301" s="895" t="s">
        <v>20488</v>
      </c>
      <c r="C2301" s="895" t="s">
        <v>226</v>
      </c>
      <c r="D2301" s="895">
        <v>1899.09</v>
      </c>
    </row>
    <row r="2302" spans="1:4" x14ac:dyDescent="0.2">
      <c r="A2302" s="895">
        <v>98370</v>
      </c>
      <c r="B2302" s="895" t="s">
        <v>20489</v>
      </c>
      <c r="C2302" s="895" t="s">
        <v>226</v>
      </c>
      <c r="D2302" s="895">
        <v>1817.4</v>
      </c>
    </row>
    <row r="2303" spans="1:4" x14ac:dyDescent="0.2">
      <c r="A2303" s="895">
        <v>98371</v>
      </c>
      <c r="B2303" s="895" t="s">
        <v>20490</v>
      </c>
      <c r="C2303" s="895" t="s">
        <v>226</v>
      </c>
      <c r="D2303" s="895">
        <v>2165.33</v>
      </c>
    </row>
    <row r="2304" spans="1:4" x14ac:dyDescent="0.2">
      <c r="A2304" s="895">
        <v>98372</v>
      </c>
      <c r="B2304" s="895" t="s">
        <v>2892</v>
      </c>
      <c r="C2304" s="895" t="s">
        <v>226</v>
      </c>
      <c r="D2304" s="895">
        <v>2543.92</v>
      </c>
    </row>
    <row r="2305" spans="1:4" x14ac:dyDescent="0.2">
      <c r="A2305" s="895">
        <v>98374</v>
      </c>
      <c r="B2305" s="895" t="s">
        <v>2937</v>
      </c>
      <c r="C2305" s="895" t="s">
        <v>226</v>
      </c>
      <c r="D2305" s="895">
        <v>2759.61</v>
      </c>
    </row>
    <row r="2306" spans="1:4" x14ac:dyDescent="0.2">
      <c r="A2306" s="895">
        <v>98376</v>
      </c>
      <c r="B2306" s="895" t="s">
        <v>20491</v>
      </c>
      <c r="C2306" s="895" t="s">
        <v>226</v>
      </c>
      <c r="D2306" s="895">
        <v>20.61</v>
      </c>
    </row>
    <row r="2307" spans="1:4" x14ac:dyDescent="0.2">
      <c r="A2307" s="895">
        <v>98377</v>
      </c>
      <c r="B2307" s="895" t="s">
        <v>20492</v>
      </c>
      <c r="C2307" s="895" t="s">
        <v>226</v>
      </c>
      <c r="D2307" s="895">
        <v>22.55</v>
      </c>
    </row>
    <row r="2308" spans="1:4" x14ac:dyDescent="0.2">
      <c r="A2308" s="895">
        <v>98378</v>
      </c>
      <c r="B2308" s="895" t="s">
        <v>20493</v>
      </c>
      <c r="C2308" s="895" t="s">
        <v>226</v>
      </c>
      <c r="D2308" s="895">
        <v>27.36</v>
      </c>
    </row>
    <row r="2309" spans="1:4" x14ac:dyDescent="0.2">
      <c r="A2309" s="895">
        <v>98379</v>
      </c>
      <c r="B2309" s="895" t="s">
        <v>20494</v>
      </c>
      <c r="C2309" s="895" t="s">
        <v>226</v>
      </c>
      <c r="D2309" s="895">
        <v>30.43</v>
      </c>
    </row>
    <row r="2310" spans="1:4" x14ac:dyDescent="0.2">
      <c r="A2310" s="895">
        <v>98382</v>
      </c>
      <c r="B2310" s="895" t="s">
        <v>20495</v>
      </c>
      <c r="C2310" s="895" t="s">
        <v>226</v>
      </c>
      <c r="D2310" s="895">
        <v>59.08</v>
      </c>
    </row>
    <row r="2311" spans="1:4" x14ac:dyDescent="0.2">
      <c r="A2311" s="895">
        <v>98383</v>
      </c>
      <c r="B2311" s="895" t="s">
        <v>20496</v>
      </c>
      <c r="C2311" s="895" t="s">
        <v>226</v>
      </c>
      <c r="D2311" s="895">
        <v>19.309999999999999</v>
      </c>
    </row>
    <row r="2312" spans="1:4" x14ac:dyDescent="0.2">
      <c r="A2312" s="895">
        <v>98385</v>
      </c>
      <c r="B2312" s="895" t="s">
        <v>20497</v>
      </c>
      <c r="C2312" s="895" t="s">
        <v>226</v>
      </c>
      <c r="D2312" s="895">
        <v>21.39</v>
      </c>
    </row>
    <row r="2313" spans="1:4" x14ac:dyDescent="0.2">
      <c r="A2313" s="895">
        <v>98390</v>
      </c>
      <c r="B2313" s="895" t="s">
        <v>20498</v>
      </c>
      <c r="C2313" s="895" t="s">
        <v>226</v>
      </c>
      <c r="D2313" s="895">
        <v>277.64</v>
      </c>
    </row>
    <row r="2314" spans="1:4" x14ac:dyDescent="0.2">
      <c r="A2314" s="895">
        <v>98391</v>
      </c>
      <c r="B2314" s="895" t="s">
        <v>20499</v>
      </c>
      <c r="C2314" s="895" t="s">
        <v>226</v>
      </c>
      <c r="D2314" s="895">
        <v>66.11</v>
      </c>
    </row>
    <row r="2315" spans="1:4" x14ac:dyDescent="0.2">
      <c r="A2315" s="895">
        <v>98395</v>
      </c>
      <c r="B2315" s="895" t="s">
        <v>20500</v>
      </c>
      <c r="C2315" s="895" t="s">
        <v>226</v>
      </c>
      <c r="D2315" s="895">
        <v>199</v>
      </c>
    </row>
    <row r="2316" spans="1:4" x14ac:dyDescent="0.2">
      <c r="A2316" s="895">
        <v>98397</v>
      </c>
      <c r="B2316" s="895" t="s">
        <v>20501</v>
      </c>
      <c r="C2316" s="895" t="s">
        <v>226</v>
      </c>
      <c r="D2316" s="895">
        <v>350.03</v>
      </c>
    </row>
    <row r="2317" spans="1:4" x14ac:dyDescent="0.2">
      <c r="A2317" s="895">
        <v>98400</v>
      </c>
      <c r="B2317" s="895" t="s">
        <v>20502</v>
      </c>
      <c r="C2317" s="895" t="s">
        <v>18269</v>
      </c>
      <c r="D2317" s="895" t="s">
        <v>18269</v>
      </c>
    </row>
    <row r="2318" spans="1:4" x14ac:dyDescent="0.2">
      <c r="A2318" s="895">
        <v>98401</v>
      </c>
      <c r="B2318" s="895" t="s">
        <v>20503</v>
      </c>
      <c r="C2318" s="895" t="s">
        <v>226</v>
      </c>
      <c r="D2318" s="895">
        <v>11.48</v>
      </c>
    </row>
    <row r="2319" spans="1:4" x14ac:dyDescent="0.2">
      <c r="A2319" s="895">
        <v>98402</v>
      </c>
      <c r="B2319" s="895" t="s">
        <v>20504</v>
      </c>
      <c r="C2319" s="895" t="s">
        <v>226</v>
      </c>
      <c r="D2319" s="895">
        <v>11.61</v>
      </c>
    </row>
    <row r="2320" spans="1:4" x14ac:dyDescent="0.2">
      <c r="A2320" s="895">
        <v>98411</v>
      </c>
      <c r="B2320" s="895" t="s">
        <v>20505</v>
      </c>
      <c r="C2320" s="895" t="s">
        <v>226</v>
      </c>
      <c r="D2320" s="895">
        <v>9.1199999999999992</v>
      </c>
    </row>
    <row r="2321" spans="1:4" x14ac:dyDescent="0.2">
      <c r="A2321" s="895">
        <v>98418</v>
      </c>
      <c r="B2321" s="895" t="s">
        <v>20506</v>
      </c>
      <c r="C2321" s="895" t="s">
        <v>226</v>
      </c>
      <c r="D2321" s="895">
        <v>19.09</v>
      </c>
    </row>
    <row r="2322" spans="1:4" x14ac:dyDescent="0.2">
      <c r="A2322" s="895">
        <v>98421</v>
      </c>
      <c r="B2322" s="895" t="s">
        <v>20507</v>
      </c>
      <c r="C2322" s="895" t="s">
        <v>226</v>
      </c>
      <c r="D2322" s="895">
        <v>12.97</v>
      </c>
    </row>
    <row r="2323" spans="1:4" x14ac:dyDescent="0.2">
      <c r="A2323" s="895">
        <v>98423</v>
      </c>
      <c r="B2323" s="895" t="s">
        <v>20508</v>
      </c>
      <c r="C2323" s="895" t="s">
        <v>226</v>
      </c>
      <c r="D2323" s="895">
        <v>15.49</v>
      </c>
    </row>
    <row r="2324" spans="1:4" x14ac:dyDescent="0.2">
      <c r="A2324" s="895">
        <v>98424</v>
      </c>
      <c r="B2324" s="895" t="s">
        <v>20509</v>
      </c>
      <c r="C2324" s="895" t="s">
        <v>226</v>
      </c>
      <c r="D2324" s="895">
        <v>16.27</v>
      </c>
    </row>
    <row r="2325" spans="1:4" x14ac:dyDescent="0.2">
      <c r="A2325" s="895">
        <v>98425</v>
      </c>
      <c r="B2325" s="895" t="s">
        <v>20510</v>
      </c>
      <c r="C2325" s="895" t="s">
        <v>226</v>
      </c>
      <c r="D2325" s="895">
        <v>13.07</v>
      </c>
    </row>
    <row r="2326" spans="1:4" x14ac:dyDescent="0.2">
      <c r="A2326" s="895">
        <v>98427</v>
      </c>
      <c r="B2326" s="895" t="s">
        <v>20511</v>
      </c>
      <c r="C2326" s="895" t="s">
        <v>226</v>
      </c>
      <c r="D2326" s="895">
        <v>21.77</v>
      </c>
    </row>
    <row r="2327" spans="1:4" x14ac:dyDescent="0.2">
      <c r="A2327" s="895">
        <v>98436</v>
      </c>
      <c r="B2327" s="895" t="s">
        <v>20512</v>
      </c>
      <c r="C2327" s="895" t="s">
        <v>226</v>
      </c>
      <c r="D2327" s="895">
        <v>40.78</v>
      </c>
    </row>
    <row r="2328" spans="1:4" x14ac:dyDescent="0.2">
      <c r="A2328" s="895">
        <v>98437</v>
      </c>
      <c r="B2328" s="895" t="s">
        <v>20513</v>
      </c>
      <c r="C2328" s="895" t="s">
        <v>226</v>
      </c>
      <c r="D2328" s="895">
        <v>30.67</v>
      </c>
    </row>
    <row r="2329" spans="1:4" x14ac:dyDescent="0.2">
      <c r="A2329" s="895">
        <v>98440</v>
      </c>
      <c r="B2329" s="895" t="s">
        <v>20514</v>
      </c>
      <c r="C2329" s="895" t="s">
        <v>226</v>
      </c>
      <c r="D2329" s="895">
        <v>46.72</v>
      </c>
    </row>
    <row r="2330" spans="1:4" x14ac:dyDescent="0.2">
      <c r="A2330" s="895">
        <v>98441</v>
      </c>
      <c r="B2330" s="895" t="s">
        <v>20515</v>
      </c>
      <c r="C2330" s="895" t="s">
        <v>226</v>
      </c>
      <c r="D2330" s="895">
        <v>50.85</v>
      </c>
    </row>
    <row r="2331" spans="1:4" x14ac:dyDescent="0.2">
      <c r="A2331" s="895">
        <v>98442</v>
      </c>
      <c r="B2331" s="895" t="s">
        <v>20516</v>
      </c>
      <c r="C2331" s="895" t="s">
        <v>226</v>
      </c>
      <c r="D2331" s="895">
        <v>54.22</v>
      </c>
    </row>
    <row r="2332" spans="1:4" x14ac:dyDescent="0.2">
      <c r="A2332" s="895">
        <v>98443</v>
      </c>
      <c r="B2332" s="895" t="s">
        <v>20517</v>
      </c>
      <c r="C2332" s="895" t="s">
        <v>226</v>
      </c>
      <c r="D2332" s="895">
        <v>67.19</v>
      </c>
    </row>
    <row r="2333" spans="1:4" x14ac:dyDescent="0.2">
      <c r="A2333" s="895">
        <v>98445</v>
      </c>
      <c r="B2333" s="895" t="s">
        <v>20518</v>
      </c>
      <c r="C2333" s="895" t="s">
        <v>226</v>
      </c>
      <c r="D2333" s="895">
        <v>47.02</v>
      </c>
    </row>
    <row r="2334" spans="1:4" x14ac:dyDescent="0.2">
      <c r="A2334" s="895">
        <v>98457</v>
      </c>
      <c r="B2334" s="895" t="s">
        <v>20519</v>
      </c>
      <c r="C2334" s="895" t="s">
        <v>226</v>
      </c>
      <c r="D2334" s="895">
        <v>8.1199999999999992</v>
      </c>
    </row>
    <row r="2335" spans="1:4" x14ac:dyDescent="0.2">
      <c r="A2335" s="895">
        <v>98462</v>
      </c>
      <c r="B2335" s="895" t="s">
        <v>20520</v>
      </c>
      <c r="C2335" s="895" t="s">
        <v>158</v>
      </c>
      <c r="D2335" s="895">
        <v>50.13</v>
      </c>
    </row>
    <row r="2336" spans="1:4" x14ac:dyDescent="0.2">
      <c r="A2336" s="895">
        <v>98500</v>
      </c>
      <c r="B2336" s="895" t="s">
        <v>20521</v>
      </c>
      <c r="C2336" s="895" t="s">
        <v>18269</v>
      </c>
      <c r="D2336" s="895" t="s">
        <v>18269</v>
      </c>
    </row>
    <row r="2337" spans="1:4" x14ac:dyDescent="0.2">
      <c r="A2337" s="895">
        <v>98510</v>
      </c>
      <c r="B2337" s="895" t="s">
        <v>20522</v>
      </c>
      <c r="C2337" s="895" t="s">
        <v>226</v>
      </c>
      <c r="D2337" s="895">
        <v>128.59</v>
      </c>
    </row>
    <row r="2338" spans="1:4" x14ac:dyDescent="0.2">
      <c r="A2338" s="895">
        <v>98512</v>
      </c>
      <c r="B2338" s="895" t="s">
        <v>20523</v>
      </c>
      <c r="C2338" s="895" t="s">
        <v>226</v>
      </c>
      <c r="D2338" s="895">
        <v>140.83000000000001</v>
      </c>
    </row>
    <row r="2339" spans="1:4" x14ac:dyDescent="0.2">
      <c r="A2339" s="895">
        <v>98513</v>
      </c>
      <c r="B2339" s="895" t="s">
        <v>20524</v>
      </c>
      <c r="C2339" s="895" t="s">
        <v>226</v>
      </c>
      <c r="D2339" s="895">
        <v>168.16</v>
      </c>
    </row>
    <row r="2340" spans="1:4" x14ac:dyDescent="0.2">
      <c r="A2340" s="895">
        <v>98514</v>
      </c>
      <c r="B2340" s="895" t="s">
        <v>20525</v>
      </c>
      <c r="C2340" s="895" t="s">
        <v>226</v>
      </c>
      <c r="D2340" s="895">
        <v>190.77</v>
      </c>
    </row>
    <row r="2341" spans="1:4" x14ac:dyDescent="0.2">
      <c r="A2341" s="895">
        <v>98526</v>
      </c>
      <c r="B2341" s="895" t="s">
        <v>20526</v>
      </c>
      <c r="C2341" s="895" t="s">
        <v>226</v>
      </c>
      <c r="D2341" s="895">
        <v>113.13</v>
      </c>
    </row>
    <row r="2342" spans="1:4" x14ac:dyDescent="0.2">
      <c r="A2342" s="895">
        <v>98527</v>
      </c>
      <c r="B2342" s="895" t="s">
        <v>20527</v>
      </c>
      <c r="C2342" s="895" t="s">
        <v>226</v>
      </c>
      <c r="D2342" s="895">
        <v>136.4</v>
      </c>
    </row>
    <row r="2343" spans="1:4" x14ac:dyDescent="0.2">
      <c r="A2343" s="895">
        <v>98528</v>
      </c>
      <c r="B2343" s="895" t="s">
        <v>20528</v>
      </c>
      <c r="C2343" s="895" t="s">
        <v>226</v>
      </c>
      <c r="D2343" s="895">
        <v>153.55000000000001</v>
      </c>
    </row>
    <row r="2344" spans="1:4" x14ac:dyDescent="0.2">
      <c r="A2344" s="895">
        <v>98529</v>
      </c>
      <c r="B2344" s="895" t="s">
        <v>20529</v>
      </c>
      <c r="C2344" s="895" t="s">
        <v>226</v>
      </c>
      <c r="D2344" s="895">
        <v>162.76</v>
      </c>
    </row>
    <row r="2345" spans="1:4" x14ac:dyDescent="0.2">
      <c r="A2345" s="895">
        <v>98530</v>
      </c>
      <c r="B2345" s="895" t="s">
        <v>20530</v>
      </c>
      <c r="C2345" s="895" t="s">
        <v>226</v>
      </c>
      <c r="D2345" s="895">
        <v>92.12</v>
      </c>
    </row>
    <row r="2346" spans="1:4" x14ac:dyDescent="0.2">
      <c r="A2346" s="895">
        <v>98531</v>
      </c>
      <c r="B2346" s="895" t="s">
        <v>20531</v>
      </c>
      <c r="C2346" s="895" t="s">
        <v>226</v>
      </c>
      <c r="D2346" s="895">
        <v>87.71</v>
      </c>
    </row>
    <row r="2347" spans="1:4" x14ac:dyDescent="0.2">
      <c r="A2347" s="895">
        <v>98532</v>
      </c>
      <c r="B2347" s="895" t="s">
        <v>20532</v>
      </c>
      <c r="C2347" s="895" t="s">
        <v>226</v>
      </c>
      <c r="D2347" s="895">
        <v>116.27</v>
      </c>
    </row>
    <row r="2348" spans="1:4" x14ac:dyDescent="0.2">
      <c r="A2348" s="895">
        <v>98533</v>
      </c>
      <c r="B2348" s="895" t="s">
        <v>20533</v>
      </c>
      <c r="C2348" s="895" t="s">
        <v>226</v>
      </c>
      <c r="D2348" s="895">
        <v>129.62</v>
      </c>
    </row>
    <row r="2349" spans="1:4" x14ac:dyDescent="0.2">
      <c r="A2349" s="895">
        <v>98540</v>
      </c>
      <c r="B2349" s="895" t="s">
        <v>20534</v>
      </c>
      <c r="C2349" s="895" t="s">
        <v>226</v>
      </c>
      <c r="D2349" s="895">
        <v>184.49</v>
      </c>
    </row>
    <row r="2350" spans="1:4" x14ac:dyDescent="0.2">
      <c r="A2350" s="895">
        <v>98541</v>
      </c>
      <c r="B2350" s="895" t="s">
        <v>20535</v>
      </c>
      <c r="C2350" s="895" t="s">
        <v>226</v>
      </c>
      <c r="D2350" s="895">
        <v>186.1</v>
      </c>
    </row>
    <row r="2351" spans="1:4" x14ac:dyDescent="0.2">
      <c r="A2351" s="895">
        <v>98560</v>
      </c>
      <c r="B2351" s="895" t="s">
        <v>20536</v>
      </c>
      <c r="C2351" s="895" t="s">
        <v>226</v>
      </c>
      <c r="D2351" s="895">
        <v>58.63</v>
      </c>
    </row>
    <row r="2352" spans="1:4" x14ac:dyDescent="0.2">
      <c r="A2352" s="895">
        <v>98561</v>
      </c>
      <c r="B2352" s="895" t="s">
        <v>20537</v>
      </c>
      <c r="C2352" s="895" t="s">
        <v>226</v>
      </c>
      <c r="D2352" s="895">
        <v>32.58</v>
      </c>
    </row>
    <row r="2353" spans="1:4" x14ac:dyDescent="0.2">
      <c r="A2353" s="895">
        <v>98562</v>
      </c>
      <c r="B2353" s="895" t="s">
        <v>20538</v>
      </c>
      <c r="C2353" s="895" t="s">
        <v>226</v>
      </c>
      <c r="D2353" s="895">
        <v>114.42</v>
      </c>
    </row>
    <row r="2354" spans="1:4" x14ac:dyDescent="0.2">
      <c r="A2354" s="895">
        <v>98563</v>
      </c>
      <c r="B2354" s="895" t="s">
        <v>20539</v>
      </c>
      <c r="C2354" s="895" t="s">
        <v>226</v>
      </c>
      <c r="D2354" s="895">
        <v>114.12</v>
      </c>
    </row>
    <row r="2355" spans="1:4" x14ac:dyDescent="0.2">
      <c r="A2355" s="895">
        <v>98570</v>
      </c>
      <c r="B2355" s="895" t="s">
        <v>20540</v>
      </c>
      <c r="C2355" s="895" t="s">
        <v>226</v>
      </c>
      <c r="D2355" s="895">
        <v>16.73</v>
      </c>
    </row>
    <row r="2356" spans="1:4" x14ac:dyDescent="0.2">
      <c r="A2356" s="895">
        <v>98573</v>
      </c>
      <c r="B2356" s="895" t="s">
        <v>20541</v>
      </c>
      <c r="C2356" s="895" t="s">
        <v>226</v>
      </c>
      <c r="D2356" s="895">
        <v>16.440000000000001</v>
      </c>
    </row>
    <row r="2357" spans="1:4" x14ac:dyDescent="0.2">
      <c r="A2357" s="895">
        <v>98579</v>
      </c>
      <c r="B2357" s="895" t="s">
        <v>20542</v>
      </c>
      <c r="C2357" s="895" t="s">
        <v>226</v>
      </c>
      <c r="D2357" s="895">
        <v>14.7</v>
      </c>
    </row>
    <row r="2358" spans="1:4" x14ac:dyDescent="0.2">
      <c r="A2358" s="895">
        <v>98580</v>
      </c>
      <c r="B2358" s="895" t="s">
        <v>20543</v>
      </c>
      <c r="C2358" s="895" t="s">
        <v>226</v>
      </c>
      <c r="D2358" s="895">
        <v>12.42</v>
      </c>
    </row>
    <row r="2359" spans="1:4" x14ac:dyDescent="0.2">
      <c r="A2359" s="895">
        <v>98581</v>
      </c>
      <c r="B2359" s="895" t="s">
        <v>20544</v>
      </c>
      <c r="C2359" s="895" t="s">
        <v>226</v>
      </c>
      <c r="D2359" s="895">
        <v>16.5</v>
      </c>
    </row>
    <row r="2360" spans="1:4" x14ac:dyDescent="0.2">
      <c r="A2360" s="895">
        <v>98582</v>
      </c>
      <c r="B2360" s="895" t="s">
        <v>20545</v>
      </c>
      <c r="C2360" s="895" t="s">
        <v>226</v>
      </c>
      <c r="D2360" s="895">
        <v>15.78</v>
      </c>
    </row>
    <row r="2361" spans="1:4" x14ac:dyDescent="0.2">
      <c r="A2361" s="895">
        <v>98600</v>
      </c>
      <c r="B2361" s="895" t="s">
        <v>20546</v>
      </c>
      <c r="C2361" s="895" t="s">
        <v>18269</v>
      </c>
      <c r="D2361" s="895" t="s">
        <v>18269</v>
      </c>
    </row>
    <row r="2362" spans="1:4" x14ac:dyDescent="0.2">
      <c r="A2362" s="895">
        <v>98610</v>
      </c>
      <c r="B2362" s="895" t="s">
        <v>20547</v>
      </c>
      <c r="C2362" s="895" t="s">
        <v>226</v>
      </c>
      <c r="D2362" s="895">
        <v>94.65</v>
      </c>
    </row>
    <row r="2363" spans="1:4" x14ac:dyDescent="0.2">
      <c r="A2363" s="895">
        <v>98611</v>
      </c>
      <c r="B2363" s="895" t="s">
        <v>20548</v>
      </c>
      <c r="C2363" s="895" t="s">
        <v>226</v>
      </c>
      <c r="D2363" s="895">
        <v>21.96</v>
      </c>
    </row>
    <row r="2364" spans="1:4" x14ac:dyDescent="0.2">
      <c r="A2364" s="895">
        <v>99000</v>
      </c>
      <c r="B2364" s="895" t="s">
        <v>20549</v>
      </c>
      <c r="C2364" s="895" t="s">
        <v>18269</v>
      </c>
      <c r="D2364" s="895" t="s">
        <v>18269</v>
      </c>
    </row>
    <row r="2365" spans="1:4" x14ac:dyDescent="0.2">
      <c r="A2365" s="895">
        <v>99002</v>
      </c>
      <c r="B2365" s="895" t="s">
        <v>20550</v>
      </c>
      <c r="C2365" s="895" t="s">
        <v>20551</v>
      </c>
      <c r="D2365" s="895">
        <v>1796.78</v>
      </c>
    </row>
    <row r="2366" spans="1:4" x14ac:dyDescent="0.2">
      <c r="A2366" s="895">
        <v>99003</v>
      </c>
      <c r="B2366" s="895" t="s">
        <v>20552</v>
      </c>
      <c r="C2366" s="895" t="s">
        <v>20553</v>
      </c>
      <c r="D2366" s="895">
        <v>30.82</v>
      </c>
    </row>
    <row r="2367" spans="1:4" x14ac:dyDescent="0.2">
      <c r="A2367" s="895">
        <v>99011</v>
      </c>
      <c r="B2367" s="895" t="s">
        <v>20554</v>
      </c>
      <c r="C2367" s="895" t="s">
        <v>226</v>
      </c>
      <c r="D2367" s="895">
        <v>597.04999999999995</v>
      </c>
    </row>
    <row r="2368" spans="1:4" x14ac:dyDescent="0.2">
      <c r="A2368" s="895">
        <v>99015</v>
      </c>
      <c r="B2368" s="895" t="s">
        <v>20555</v>
      </c>
      <c r="C2368" s="895" t="s">
        <v>226</v>
      </c>
      <c r="D2368" s="895">
        <v>394.94</v>
      </c>
    </row>
    <row r="2369" spans="1:4" x14ac:dyDescent="0.2">
      <c r="A2369" s="895">
        <v>99017</v>
      </c>
      <c r="B2369" s="895" t="s">
        <v>20556</v>
      </c>
      <c r="C2369" s="895" t="s">
        <v>226</v>
      </c>
      <c r="D2369" s="895">
        <v>484.81</v>
      </c>
    </row>
    <row r="2370" spans="1:4" x14ac:dyDescent="0.2">
      <c r="A2370" s="895">
        <v>99021</v>
      </c>
      <c r="B2370" s="895" t="s">
        <v>20557</v>
      </c>
      <c r="C2370" s="895" t="s">
        <v>226</v>
      </c>
      <c r="D2370" s="895">
        <v>19.97</v>
      </c>
    </row>
    <row r="2371" spans="1:4" x14ac:dyDescent="0.2">
      <c r="A2371" s="895">
        <v>99031</v>
      </c>
      <c r="B2371" s="895" t="s">
        <v>20558</v>
      </c>
      <c r="C2371" s="895" t="s">
        <v>226</v>
      </c>
      <c r="D2371" s="895">
        <v>15.23</v>
      </c>
    </row>
    <row r="2372" spans="1:4" x14ac:dyDescent="0.2">
      <c r="A2372" s="895">
        <v>99033</v>
      </c>
      <c r="B2372" s="895" t="s">
        <v>20559</v>
      </c>
      <c r="C2372" s="895" t="s">
        <v>226</v>
      </c>
      <c r="D2372" s="895">
        <v>20.69</v>
      </c>
    </row>
    <row r="2373" spans="1:4" x14ac:dyDescent="0.2">
      <c r="A2373" s="895">
        <v>99038</v>
      </c>
      <c r="B2373" s="895" t="s">
        <v>20560</v>
      </c>
      <c r="C2373" s="895" t="s">
        <v>158</v>
      </c>
      <c r="D2373" s="895">
        <v>3.46</v>
      </c>
    </row>
    <row r="2374" spans="1:4" x14ac:dyDescent="0.2">
      <c r="A2374" s="895">
        <v>100000</v>
      </c>
      <c r="B2374" s="895" t="s">
        <v>20561</v>
      </c>
    </row>
    <row r="2375" spans="1:4" x14ac:dyDescent="0.2">
      <c r="A2375" s="895">
        <v>100100</v>
      </c>
      <c r="B2375" s="895" t="s">
        <v>20562</v>
      </c>
      <c r="C2375" s="895" t="s">
        <v>18269</v>
      </c>
      <c r="D2375" s="895" t="s">
        <v>18269</v>
      </c>
    </row>
    <row r="2376" spans="1:4" x14ac:dyDescent="0.2">
      <c r="A2376" s="895">
        <v>100101</v>
      </c>
      <c r="B2376" s="895" t="s">
        <v>20563</v>
      </c>
      <c r="C2376" s="895" t="s">
        <v>226</v>
      </c>
      <c r="D2376" s="895">
        <v>294.70999999999998</v>
      </c>
    </row>
    <row r="2377" spans="1:4" x14ac:dyDescent="0.2">
      <c r="A2377" s="895">
        <v>100102</v>
      </c>
      <c r="B2377" s="895" t="s">
        <v>20564</v>
      </c>
      <c r="C2377" s="895" t="s">
        <v>226</v>
      </c>
      <c r="D2377" s="895">
        <v>325.17</v>
      </c>
    </row>
    <row r="2378" spans="1:4" x14ac:dyDescent="0.2">
      <c r="A2378" s="895">
        <v>100104</v>
      </c>
      <c r="B2378" s="895" t="s">
        <v>20565</v>
      </c>
      <c r="C2378" s="895" t="s">
        <v>226</v>
      </c>
      <c r="D2378" s="895">
        <v>435.66</v>
      </c>
    </row>
    <row r="2379" spans="1:4" x14ac:dyDescent="0.2">
      <c r="A2379" s="895">
        <v>100119</v>
      </c>
      <c r="B2379" s="895" t="s">
        <v>20566</v>
      </c>
      <c r="C2379" s="895" t="s">
        <v>226</v>
      </c>
      <c r="D2379" s="895">
        <v>518.53</v>
      </c>
    </row>
    <row r="2380" spans="1:4" x14ac:dyDescent="0.2">
      <c r="A2380" s="895">
        <v>100120</v>
      </c>
      <c r="B2380" s="895" t="s">
        <v>20567</v>
      </c>
      <c r="C2380" s="895" t="s">
        <v>226</v>
      </c>
      <c r="D2380" s="895">
        <v>1258.27</v>
      </c>
    </row>
    <row r="2381" spans="1:4" x14ac:dyDescent="0.2">
      <c r="A2381" s="895">
        <v>100195</v>
      </c>
      <c r="B2381" s="895" t="s">
        <v>20568</v>
      </c>
      <c r="C2381" s="895" t="s">
        <v>158</v>
      </c>
      <c r="D2381" s="895">
        <v>3.11</v>
      </c>
    </row>
    <row r="2382" spans="1:4" x14ac:dyDescent="0.2">
      <c r="A2382" s="895">
        <v>100198</v>
      </c>
      <c r="B2382" s="895" t="s">
        <v>20569</v>
      </c>
      <c r="C2382" s="895" t="s">
        <v>158</v>
      </c>
      <c r="D2382" s="895">
        <v>36.93</v>
      </c>
    </row>
    <row r="2383" spans="1:4" x14ac:dyDescent="0.2">
      <c r="A2383" s="895">
        <v>100200</v>
      </c>
      <c r="B2383" s="895" t="s">
        <v>20570</v>
      </c>
      <c r="C2383" s="895" t="s">
        <v>18269</v>
      </c>
      <c r="D2383" s="895" t="s">
        <v>18269</v>
      </c>
    </row>
    <row r="2384" spans="1:4" x14ac:dyDescent="0.2">
      <c r="A2384" s="895">
        <v>100209</v>
      </c>
      <c r="B2384" s="895" t="s">
        <v>20571</v>
      </c>
      <c r="C2384" s="895" t="s">
        <v>226</v>
      </c>
      <c r="D2384" s="895">
        <v>1619.51</v>
      </c>
    </row>
    <row r="2385" spans="1:4" x14ac:dyDescent="0.2">
      <c r="A2385" s="895">
        <v>100210</v>
      </c>
      <c r="B2385" s="895" t="s">
        <v>20572</v>
      </c>
      <c r="C2385" s="895" t="s">
        <v>226</v>
      </c>
      <c r="D2385" s="895">
        <v>2021.42</v>
      </c>
    </row>
    <row r="2386" spans="1:4" x14ac:dyDescent="0.2">
      <c r="A2386" s="895">
        <v>100214</v>
      </c>
      <c r="B2386" s="895" t="s">
        <v>20573</v>
      </c>
      <c r="C2386" s="895" t="s">
        <v>226</v>
      </c>
      <c r="D2386" s="895">
        <v>4032.92</v>
      </c>
    </row>
    <row r="2387" spans="1:4" x14ac:dyDescent="0.2">
      <c r="A2387" s="895">
        <v>100215</v>
      </c>
      <c r="B2387" s="895" t="s">
        <v>20574</v>
      </c>
      <c r="C2387" s="895" t="s">
        <v>226</v>
      </c>
      <c r="D2387" s="895">
        <v>6634.74</v>
      </c>
    </row>
    <row r="2388" spans="1:4" x14ac:dyDescent="0.2">
      <c r="A2388" s="895">
        <v>100216</v>
      </c>
      <c r="B2388" s="895" t="s">
        <v>20575</v>
      </c>
      <c r="C2388" s="895" t="s">
        <v>226</v>
      </c>
      <c r="D2388" s="895">
        <v>9674.99</v>
      </c>
    </row>
    <row r="2389" spans="1:4" x14ac:dyDescent="0.2">
      <c r="A2389" s="895">
        <v>100230</v>
      </c>
      <c r="B2389" s="895" t="s">
        <v>20576</v>
      </c>
      <c r="C2389" s="895" t="s">
        <v>226</v>
      </c>
      <c r="D2389" s="895">
        <v>5868.6</v>
      </c>
    </row>
    <row r="2390" spans="1:4" x14ac:dyDescent="0.2">
      <c r="A2390" s="895">
        <v>100240</v>
      </c>
      <c r="B2390" s="895" t="s">
        <v>20577</v>
      </c>
      <c r="C2390" s="895" t="s">
        <v>226</v>
      </c>
      <c r="D2390" s="895">
        <v>2892.01</v>
      </c>
    </row>
    <row r="2391" spans="1:4" x14ac:dyDescent="0.2">
      <c r="A2391" s="895">
        <v>100241</v>
      </c>
      <c r="B2391" s="895" t="s">
        <v>20578</v>
      </c>
      <c r="C2391" s="895" t="s">
        <v>226</v>
      </c>
      <c r="D2391" s="895">
        <v>4232.28</v>
      </c>
    </row>
    <row r="2392" spans="1:4" x14ac:dyDescent="0.2">
      <c r="A2392" s="895">
        <v>100251</v>
      </c>
      <c r="B2392" s="895" t="s">
        <v>20579</v>
      </c>
      <c r="C2392" s="895" t="s">
        <v>158</v>
      </c>
      <c r="D2392" s="895">
        <v>76.150000000000006</v>
      </c>
    </row>
    <row r="2393" spans="1:4" x14ac:dyDescent="0.2">
      <c r="A2393" s="895">
        <v>100252</v>
      </c>
      <c r="B2393" s="895" t="s">
        <v>20580</v>
      </c>
      <c r="C2393" s="895" t="s">
        <v>158</v>
      </c>
      <c r="D2393" s="895">
        <v>101.69</v>
      </c>
    </row>
    <row r="2394" spans="1:4" x14ac:dyDescent="0.2">
      <c r="A2394" s="895">
        <v>100254</v>
      </c>
      <c r="B2394" s="895" t="s">
        <v>20581</v>
      </c>
      <c r="C2394" s="895" t="s">
        <v>158</v>
      </c>
      <c r="D2394" s="895">
        <v>141.79</v>
      </c>
    </row>
    <row r="2395" spans="1:4" x14ac:dyDescent="0.2">
      <c r="A2395" s="895">
        <v>100255</v>
      </c>
      <c r="B2395" s="895" t="s">
        <v>20582</v>
      </c>
      <c r="C2395" s="895" t="s">
        <v>158</v>
      </c>
      <c r="D2395" s="895">
        <v>171.06</v>
      </c>
    </row>
    <row r="2396" spans="1:4" x14ac:dyDescent="0.2">
      <c r="A2396" s="895">
        <v>100261</v>
      </c>
      <c r="B2396" s="895" t="s">
        <v>20583</v>
      </c>
      <c r="C2396" s="895" t="s">
        <v>158</v>
      </c>
      <c r="D2396" s="895">
        <v>27.54</v>
      </c>
    </row>
    <row r="2397" spans="1:4" x14ac:dyDescent="0.2">
      <c r="A2397" s="895">
        <v>100262</v>
      </c>
      <c r="B2397" s="895" t="s">
        <v>20584</v>
      </c>
      <c r="C2397" s="895" t="s">
        <v>158</v>
      </c>
      <c r="D2397" s="895">
        <v>39.25</v>
      </c>
    </row>
    <row r="2398" spans="1:4" x14ac:dyDescent="0.2">
      <c r="A2398" s="895">
        <v>100264</v>
      </c>
      <c r="B2398" s="895" t="s">
        <v>20585</v>
      </c>
      <c r="C2398" s="895" t="s">
        <v>158</v>
      </c>
      <c r="D2398" s="895">
        <v>54.8</v>
      </c>
    </row>
    <row r="2399" spans="1:4" x14ac:dyDescent="0.2">
      <c r="A2399" s="895">
        <v>100265</v>
      </c>
      <c r="B2399" s="895" t="s">
        <v>20586</v>
      </c>
      <c r="C2399" s="895" t="s">
        <v>158</v>
      </c>
      <c r="D2399" s="895">
        <v>79.19</v>
      </c>
    </row>
    <row r="2400" spans="1:4" x14ac:dyDescent="0.2">
      <c r="A2400" s="895">
        <v>100281</v>
      </c>
      <c r="B2400" s="895" t="s">
        <v>20587</v>
      </c>
      <c r="C2400" s="895" t="s">
        <v>226</v>
      </c>
      <c r="D2400" s="895">
        <v>72.69</v>
      </c>
    </row>
    <row r="2401" spans="1:4" x14ac:dyDescent="0.2">
      <c r="A2401" s="895">
        <v>100282</v>
      </c>
      <c r="B2401" s="895" t="s">
        <v>20588</v>
      </c>
      <c r="C2401" s="895" t="s">
        <v>226</v>
      </c>
      <c r="D2401" s="895">
        <v>82.97</v>
      </c>
    </row>
    <row r="2402" spans="1:4" x14ac:dyDescent="0.2">
      <c r="A2402" s="895">
        <v>100284</v>
      </c>
      <c r="B2402" s="895" t="s">
        <v>20589</v>
      </c>
      <c r="C2402" s="895" t="s">
        <v>226</v>
      </c>
      <c r="D2402" s="895">
        <v>137.32</v>
      </c>
    </row>
    <row r="2403" spans="1:4" x14ac:dyDescent="0.2">
      <c r="A2403" s="895">
        <v>100285</v>
      </c>
      <c r="B2403" s="895" t="s">
        <v>20590</v>
      </c>
      <c r="C2403" s="895" t="s">
        <v>226</v>
      </c>
      <c r="D2403" s="895">
        <v>172.02</v>
      </c>
    </row>
    <row r="2404" spans="1:4" x14ac:dyDescent="0.2">
      <c r="A2404" s="895">
        <v>100291</v>
      </c>
      <c r="B2404" s="895" t="s">
        <v>20591</v>
      </c>
      <c r="C2404" s="895" t="s">
        <v>226</v>
      </c>
      <c r="D2404" s="895">
        <v>98.57</v>
      </c>
    </row>
    <row r="2405" spans="1:4" x14ac:dyDescent="0.2">
      <c r="A2405" s="895">
        <v>100292</v>
      </c>
      <c r="B2405" s="895" t="s">
        <v>20592</v>
      </c>
      <c r="C2405" s="895" t="s">
        <v>226</v>
      </c>
      <c r="D2405" s="895">
        <v>124.85</v>
      </c>
    </row>
    <row r="2406" spans="1:4" x14ac:dyDescent="0.2">
      <c r="A2406" s="895">
        <v>100294</v>
      </c>
      <c r="B2406" s="895" t="s">
        <v>20593</v>
      </c>
      <c r="C2406" s="895" t="s">
        <v>226</v>
      </c>
      <c r="D2406" s="895">
        <v>258.13</v>
      </c>
    </row>
    <row r="2407" spans="1:4" x14ac:dyDescent="0.2">
      <c r="A2407" s="895">
        <v>100295</v>
      </c>
      <c r="B2407" s="895" t="s">
        <v>20594</v>
      </c>
      <c r="C2407" s="895" t="s">
        <v>226</v>
      </c>
      <c r="D2407" s="895">
        <v>347.11</v>
      </c>
    </row>
    <row r="2408" spans="1:4" x14ac:dyDescent="0.2">
      <c r="A2408" s="895">
        <v>100300</v>
      </c>
      <c r="B2408" s="895" t="s">
        <v>20595</v>
      </c>
      <c r="C2408" s="895" t="s">
        <v>18269</v>
      </c>
      <c r="D2408" s="895" t="s">
        <v>18269</v>
      </c>
    </row>
    <row r="2409" spans="1:4" x14ac:dyDescent="0.2">
      <c r="A2409" s="895">
        <v>100303</v>
      </c>
      <c r="B2409" s="895" t="s">
        <v>20596</v>
      </c>
      <c r="C2409" s="895" t="s">
        <v>226</v>
      </c>
      <c r="D2409" s="895">
        <v>1798.09</v>
      </c>
    </row>
    <row r="2410" spans="1:4" x14ac:dyDescent="0.2">
      <c r="A2410" s="895">
        <v>100304</v>
      </c>
      <c r="B2410" s="895" t="s">
        <v>20597</v>
      </c>
      <c r="C2410" s="895" t="s">
        <v>226</v>
      </c>
      <c r="D2410" s="895">
        <v>2038.18</v>
      </c>
    </row>
    <row r="2411" spans="1:4" x14ac:dyDescent="0.2">
      <c r="A2411" s="895">
        <v>100305</v>
      </c>
      <c r="B2411" s="895" t="s">
        <v>20598</v>
      </c>
      <c r="C2411" s="895" t="s">
        <v>226</v>
      </c>
      <c r="D2411" s="895">
        <v>2127</v>
      </c>
    </row>
    <row r="2412" spans="1:4" x14ac:dyDescent="0.2">
      <c r="A2412" s="895">
        <v>100306</v>
      </c>
      <c r="B2412" s="895" t="s">
        <v>20599</v>
      </c>
      <c r="C2412" s="895" t="s">
        <v>226</v>
      </c>
      <c r="D2412" s="895">
        <v>2747.3</v>
      </c>
    </row>
    <row r="2413" spans="1:4" x14ac:dyDescent="0.2">
      <c r="A2413" s="895">
        <v>100307</v>
      </c>
      <c r="B2413" s="895" t="s">
        <v>20600</v>
      </c>
      <c r="C2413" s="895" t="s">
        <v>226</v>
      </c>
      <c r="D2413" s="895">
        <v>2862.56</v>
      </c>
    </row>
    <row r="2414" spans="1:4" x14ac:dyDescent="0.2">
      <c r="A2414" s="895">
        <v>100308</v>
      </c>
      <c r="B2414" s="895" t="s">
        <v>20601</v>
      </c>
      <c r="C2414" s="895" t="s">
        <v>226</v>
      </c>
      <c r="D2414" s="895">
        <v>3822.78</v>
      </c>
    </row>
    <row r="2415" spans="1:4" x14ac:dyDescent="0.2">
      <c r="A2415" s="895">
        <v>100309</v>
      </c>
      <c r="B2415" s="895" t="s">
        <v>20602</v>
      </c>
      <c r="C2415" s="895" t="s">
        <v>226</v>
      </c>
      <c r="D2415" s="895">
        <v>4444.62</v>
      </c>
    </row>
    <row r="2416" spans="1:4" x14ac:dyDescent="0.2">
      <c r="A2416" s="895">
        <v>100310</v>
      </c>
      <c r="B2416" s="895" t="s">
        <v>20603</v>
      </c>
      <c r="C2416" s="895" t="s">
        <v>226</v>
      </c>
      <c r="D2416" s="895">
        <v>8590.6200000000008</v>
      </c>
    </row>
    <row r="2417" spans="1:4" x14ac:dyDescent="0.2">
      <c r="A2417" s="895">
        <v>100311</v>
      </c>
      <c r="B2417" s="895" t="s">
        <v>20604</v>
      </c>
      <c r="C2417" s="895" t="s">
        <v>226</v>
      </c>
      <c r="D2417" s="895">
        <v>8481.4</v>
      </c>
    </row>
    <row r="2418" spans="1:4" x14ac:dyDescent="0.2">
      <c r="A2418" s="895">
        <v>100312</v>
      </c>
      <c r="B2418" s="895" t="s">
        <v>20605</v>
      </c>
      <c r="C2418" s="895" t="s">
        <v>226</v>
      </c>
      <c r="D2418" s="895">
        <v>11047.45</v>
      </c>
    </row>
    <row r="2419" spans="1:4" x14ac:dyDescent="0.2">
      <c r="A2419" s="895">
        <v>100313</v>
      </c>
      <c r="B2419" s="895" t="s">
        <v>20606</v>
      </c>
      <c r="C2419" s="895" t="s">
        <v>226</v>
      </c>
      <c r="D2419" s="895">
        <v>16047.94</v>
      </c>
    </row>
    <row r="2420" spans="1:4" x14ac:dyDescent="0.2">
      <c r="A2420" s="895">
        <v>100314</v>
      </c>
      <c r="B2420" s="895" t="s">
        <v>20607</v>
      </c>
      <c r="C2420" s="895" t="s">
        <v>226</v>
      </c>
      <c r="D2420" s="895">
        <v>20636.419999999998</v>
      </c>
    </row>
    <row r="2421" spans="1:4" x14ac:dyDescent="0.2">
      <c r="A2421" s="895">
        <v>100342</v>
      </c>
      <c r="B2421" s="895" t="s">
        <v>20608</v>
      </c>
      <c r="C2421" s="895" t="s">
        <v>158</v>
      </c>
      <c r="D2421" s="895">
        <v>130.19999999999999</v>
      </c>
    </row>
    <row r="2422" spans="1:4" x14ac:dyDescent="0.2">
      <c r="A2422" s="895">
        <v>100344</v>
      </c>
      <c r="B2422" s="895" t="s">
        <v>20609</v>
      </c>
      <c r="C2422" s="895" t="s">
        <v>158</v>
      </c>
      <c r="D2422" s="895">
        <v>169.12</v>
      </c>
    </row>
    <row r="2423" spans="1:4" x14ac:dyDescent="0.2">
      <c r="A2423" s="895">
        <v>100352</v>
      </c>
      <c r="B2423" s="895" t="s">
        <v>20588</v>
      </c>
      <c r="C2423" s="895" t="s">
        <v>226</v>
      </c>
      <c r="D2423" s="895">
        <v>82.97</v>
      </c>
    </row>
    <row r="2424" spans="1:4" x14ac:dyDescent="0.2">
      <c r="A2424" s="895">
        <v>100354</v>
      </c>
      <c r="B2424" s="895" t="s">
        <v>20589</v>
      </c>
      <c r="C2424" s="895" t="s">
        <v>226</v>
      </c>
      <c r="D2424" s="895">
        <v>137.32</v>
      </c>
    </row>
    <row r="2425" spans="1:4" x14ac:dyDescent="0.2">
      <c r="A2425" s="895">
        <v>100362</v>
      </c>
      <c r="B2425" s="895" t="s">
        <v>20610</v>
      </c>
      <c r="C2425" s="895" t="s">
        <v>226</v>
      </c>
      <c r="D2425" s="895">
        <v>141.36000000000001</v>
      </c>
    </row>
    <row r="2426" spans="1:4" x14ac:dyDescent="0.2">
      <c r="A2426" s="895">
        <v>100364</v>
      </c>
      <c r="B2426" s="895" t="s">
        <v>20611</v>
      </c>
      <c r="C2426" s="895" t="s">
        <v>226</v>
      </c>
      <c r="D2426" s="895">
        <v>233.23</v>
      </c>
    </row>
    <row r="2427" spans="1:4" x14ac:dyDescent="0.2">
      <c r="A2427" s="895">
        <v>100365</v>
      </c>
      <c r="B2427" s="895" t="s">
        <v>20612</v>
      </c>
      <c r="C2427" s="895" t="s">
        <v>226</v>
      </c>
      <c r="D2427" s="895">
        <v>302.27999999999997</v>
      </c>
    </row>
    <row r="2428" spans="1:4" x14ac:dyDescent="0.2">
      <c r="A2428" s="895">
        <v>100366</v>
      </c>
      <c r="B2428" s="895" t="s">
        <v>20613</v>
      </c>
      <c r="C2428" s="895" t="s">
        <v>226</v>
      </c>
      <c r="D2428" s="895">
        <v>502.79</v>
      </c>
    </row>
    <row r="2429" spans="1:4" x14ac:dyDescent="0.2">
      <c r="A2429" s="895">
        <v>100367</v>
      </c>
      <c r="B2429" s="895" t="s">
        <v>20614</v>
      </c>
      <c r="C2429" s="895" t="s">
        <v>226</v>
      </c>
      <c r="D2429" s="895">
        <v>596.71</v>
      </c>
    </row>
    <row r="2430" spans="1:4" x14ac:dyDescent="0.2">
      <c r="A2430" s="895">
        <v>100368</v>
      </c>
      <c r="B2430" s="895" t="s">
        <v>20615</v>
      </c>
      <c r="C2430" s="895" t="s">
        <v>226</v>
      </c>
      <c r="D2430" s="895">
        <v>1006.76</v>
      </c>
    </row>
    <row r="2431" spans="1:4" x14ac:dyDescent="0.2">
      <c r="A2431" s="895">
        <v>100372</v>
      </c>
      <c r="B2431" s="895" t="s">
        <v>20616</v>
      </c>
      <c r="C2431" s="895" t="s">
        <v>226</v>
      </c>
      <c r="D2431" s="895">
        <v>100.57</v>
      </c>
    </row>
    <row r="2432" spans="1:4" x14ac:dyDescent="0.2">
      <c r="A2432" s="895">
        <v>100373</v>
      </c>
      <c r="B2432" s="895" t="s">
        <v>20617</v>
      </c>
      <c r="C2432" s="895" t="s">
        <v>226</v>
      </c>
      <c r="D2432" s="895">
        <v>158.29</v>
      </c>
    </row>
    <row r="2433" spans="1:4" x14ac:dyDescent="0.2">
      <c r="A2433" s="895">
        <v>100374</v>
      </c>
      <c r="B2433" s="895" t="s">
        <v>20618</v>
      </c>
      <c r="C2433" s="895" t="s">
        <v>226</v>
      </c>
      <c r="D2433" s="895">
        <v>176.29</v>
      </c>
    </row>
    <row r="2434" spans="1:4" x14ac:dyDescent="0.2">
      <c r="A2434" s="895">
        <v>100375</v>
      </c>
      <c r="B2434" s="895" t="s">
        <v>20619</v>
      </c>
      <c r="C2434" s="895" t="s">
        <v>226</v>
      </c>
      <c r="D2434" s="895">
        <v>220.19</v>
      </c>
    </row>
    <row r="2435" spans="1:4" x14ac:dyDescent="0.2">
      <c r="A2435" s="895">
        <v>100376</v>
      </c>
      <c r="B2435" s="895" t="s">
        <v>20620</v>
      </c>
      <c r="C2435" s="895" t="s">
        <v>226</v>
      </c>
      <c r="D2435" s="895">
        <v>378.76</v>
      </c>
    </row>
    <row r="2436" spans="1:4" x14ac:dyDescent="0.2">
      <c r="A2436" s="895">
        <v>100377</v>
      </c>
      <c r="B2436" s="895" t="s">
        <v>20621</v>
      </c>
      <c r="C2436" s="895" t="s">
        <v>226</v>
      </c>
      <c r="D2436" s="895">
        <v>499.22</v>
      </c>
    </row>
    <row r="2437" spans="1:4" x14ac:dyDescent="0.2">
      <c r="A2437" s="895">
        <v>100378</v>
      </c>
      <c r="B2437" s="895" t="s">
        <v>20622</v>
      </c>
      <c r="C2437" s="895" t="s">
        <v>226</v>
      </c>
      <c r="D2437" s="895">
        <v>935.7</v>
      </c>
    </row>
    <row r="2438" spans="1:4" x14ac:dyDescent="0.2">
      <c r="A2438" s="895">
        <v>100390</v>
      </c>
      <c r="B2438" s="895" t="s">
        <v>20623</v>
      </c>
      <c r="C2438" s="895" t="s">
        <v>226</v>
      </c>
      <c r="D2438" s="895">
        <v>101.1</v>
      </c>
    </row>
    <row r="2439" spans="1:4" x14ac:dyDescent="0.2">
      <c r="A2439" s="895">
        <v>100400</v>
      </c>
      <c r="B2439" s="895" t="s">
        <v>20624</v>
      </c>
      <c r="C2439" s="895" t="s">
        <v>18269</v>
      </c>
      <c r="D2439" s="895" t="s">
        <v>18269</v>
      </c>
    </row>
    <row r="2440" spans="1:4" x14ac:dyDescent="0.2">
      <c r="A2440" s="895">
        <v>100402</v>
      </c>
      <c r="B2440" s="895" t="s">
        <v>20579</v>
      </c>
      <c r="C2440" s="895" t="s">
        <v>158</v>
      </c>
      <c r="D2440" s="895">
        <v>76.150000000000006</v>
      </c>
    </row>
    <row r="2441" spans="1:4" x14ac:dyDescent="0.2">
      <c r="A2441" s="895">
        <v>100403</v>
      </c>
      <c r="B2441" s="895" t="s">
        <v>20580</v>
      </c>
      <c r="C2441" s="895" t="s">
        <v>158</v>
      </c>
      <c r="D2441" s="895">
        <v>101.69</v>
      </c>
    </row>
    <row r="2442" spans="1:4" x14ac:dyDescent="0.2">
      <c r="A2442" s="895">
        <v>100404</v>
      </c>
      <c r="B2442" s="895" t="s">
        <v>20625</v>
      </c>
      <c r="C2442" s="895" t="s">
        <v>158</v>
      </c>
      <c r="D2442" s="895">
        <v>115.92</v>
      </c>
    </row>
    <row r="2443" spans="1:4" x14ac:dyDescent="0.2">
      <c r="A2443" s="895">
        <v>100405</v>
      </c>
      <c r="B2443" s="895" t="s">
        <v>20581</v>
      </c>
      <c r="C2443" s="895" t="s">
        <v>158</v>
      </c>
      <c r="D2443" s="895">
        <v>141.79</v>
      </c>
    </row>
    <row r="2444" spans="1:4" x14ac:dyDescent="0.2">
      <c r="A2444" s="895">
        <v>100406</v>
      </c>
      <c r="B2444" s="895" t="s">
        <v>20582</v>
      </c>
      <c r="C2444" s="895" t="s">
        <v>158</v>
      </c>
      <c r="D2444" s="895">
        <v>171.06</v>
      </c>
    </row>
    <row r="2445" spans="1:4" x14ac:dyDescent="0.2">
      <c r="A2445" s="895">
        <v>100407</v>
      </c>
      <c r="B2445" s="895" t="s">
        <v>20626</v>
      </c>
      <c r="C2445" s="895" t="s">
        <v>158</v>
      </c>
      <c r="D2445" s="895">
        <v>219.35</v>
      </c>
    </row>
    <row r="2446" spans="1:4" x14ac:dyDescent="0.2">
      <c r="A2446" s="895">
        <v>100408</v>
      </c>
      <c r="B2446" s="895" t="s">
        <v>20627</v>
      </c>
      <c r="C2446" s="895" t="s">
        <v>158</v>
      </c>
      <c r="D2446" s="895">
        <v>241.46</v>
      </c>
    </row>
    <row r="2447" spans="1:4" x14ac:dyDescent="0.2">
      <c r="A2447" s="895">
        <v>100409</v>
      </c>
      <c r="B2447" s="895" t="s">
        <v>20628</v>
      </c>
      <c r="C2447" s="895" t="s">
        <v>158</v>
      </c>
      <c r="D2447" s="895">
        <v>316.54000000000002</v>
      </c>
    </row>
    <row r="2448" spans="1:4" x14ac:dyDescent="0.2">
      <c r="A2448" s="895">
        <v>100462</v>
      </c>
      <c r="B2448" s="895" t="s">
        <v>20583</v>
      </c>
      <c r="C2448" s="895" t="s">
        <v>158</v>
      </c>
      <c r="D2448" s="895">
        <v>27.54</v>
      </c>
    </row>
    <row r="2449" spans="1:4" x14ac:dyDescent="0.2">
      <c r="A2449" s="895">
        <v>100463</v>
      </c>
      <c r="B2449" s="895" t="s">
        <v>20584</v>
      </c>
      <c r="C2449" s="895" t="s">
        <v>158</v>
      </c>
      <c r="D2449" s="895">
        <v>39.25</v>
      </c>
    </row>
    <row r="2450" spans="1:4" x14ac:dyDescent="0.2">
      <c r="A2450" s="895">
        <v>100464</v>
      </c>
      <c r="B2450" s="895" t="s">
        <v>20629</v>
      </c>
      <c r="C2450" s="895" t="s">
        <v>158</v>
      </c>
      <c r="D2450" s="895">
        <v>48.5</v>
      </c>
    </row>
    <row r="2451" spans="1:4" x14ac:dyDescent="0.2">
      <c r="A2451" s="895">
        <v>100465</v>
      </c>
      <c r="B2451" s="895" t="s">
        <v>20585</v>
      </c>
      <c r="C2451" s="895" t="s">
        <v>158</v>
      </c>
      <c r="D2451" s="895">
        <v>54.8</v>
      </c>
    </row>
    <row r="2452" spans="1:4" x14ac:dyDescent="0.2">
      <c r="A2452" s="895">
        <v>100466</v>
      </c>
      <c r="B2452" s="895" t="s">
        <v>20586</v>
      </c>
      <c r="C2452" s="895" t="s">
        <v>158</v>
      </c>
      <c r="D2452" s="895">
        <v>79.19</v>
      </c>
    </row>
    <row r="2453" spans="1:4" x14ac:dyDescent="0.2">
      <c r="A2453" s="895">
        <v>100467</v>
      </c>
      <c r="B2453" s="895" t="s">
        <v>20630</v>
      </c>
      <c r="C2453" s="895" t="s">
        <v>158</v>
      </c>
      <c r="D2453" s="895">
        <v>114.68</v>
      </c>
    </row>
    <row r="2454" spans="1:4" x14ac:dyDescent="0.2">
      <c r="A2454" s="895">
        <v>100468</v>
      </c>
      <c r="B2454" s="895" t="s">
        <v>20631</v>
      </c>
      <c r="C2454" s="895" t="s">
        <v>158</v>
      </c>
      <c r="D2454" s="895">
        <v>136.80000000000001</v>
      </c>
    </row>
    <row r="2455" spans="1:4" x14ac:dyDescent="0.2">
      <c r="A2455" s="895">
        <v>100469</v>
      </c>
      <c r="B2455" s="895" t="s">
        <v>20632</v>
      </c>
      <c r="C2455" s="895" t="s">
        <v>158</v>
      </c>
      <c r="D2455" s="895">
        <v>181.21</v>
      </c>
    </row>
    <row r="2456" spans="1:4" x14ac:dyDescent="0.2">
      <c r="A2456" s="895">
        <v>100498</v>
      </c>
      <c r="B2456" s="895" t="s">
        <v>20569</v>
      </c>
      <c r="C2456" s="895" t="s">
        <v>158</v>
      </c>
      <c r="D2456" s="895">
        <v>36.93</v>
      </c>
    </row>
    <row r="2457" spans="1:4" x14ac:dyDescent="0.2">
      <c r="A2457" s="895">
        <v>100500</v>
      </c>
      <c r="B2457" s="895" t="s">
        <v>20633</v>
      </c>
      <c r="C2457" s="895" t="s">
        <v>18269</v>
      </c>
      <c r="D2457" s="895" t="s">
        <v>18269</v>
      </c>
    </row>
    <row r="2458" spans="1:4" x14ac:dyDescent="0.2">
      <c r="A2458" s="895">
        <v>100502</v>
      </c>
      <c r="B2458" s="895" t="s">
        <v>20587</v>
      </c>
      <c r="C2458" s="895" t="s">
        <v>226</v>
      </c>
      <c r="D2458" s="895">
        <v>72.69</v>
      </c>
    </row>
    <row r="2459" spans="1:4" x14ac:dyDescent="0.2">
      <c r="A2459" s="895">
        <v>100503</v>
      </c>
      <c r="B2459" s="895" t="s">
        <v>20588</v>
      </c>
      <c r="C2459" s="895" t="s">
        <v>226</v>
      </c>
      <c r="D2459" s="895">
        <v>82.97</v>
      </c>
    </row>
    <row r="2460" spans="1:4" x14ac:dyDescent="0.2">
      <c r="A2460" s="895">
        <v>100504</v>
      </c>
      <c r="B2460" s="895" t="s">
        <v>20634</v>
      </c>
      <c r="C2460" s="895" t="s">
        <v>226</v>
      </c>
      <c r="D2460" s="895">
        <v>115.98</v>
      </c>
    </row>
    <row r="2461" spans="1:4" x14ac:dyDescent="0.2">
      <c r="A2461" s="895">
        <v>100505</v>
      </c>
      <c r="B2461" s="895" t="s">
        <v>20589</v>
      </c>
      <c r="C2461" s="895" t="s">
        <v>226</v>
      </c>
      <c r="D2461" s="895">
        <v>137.32</v>
      </c>
    </row>
    <row r="2462" spans="1:4" x14ac:dyDescent="0.2">
      <c r="A2462" s="895">
        <v>100506</v>
      </c>
      <c r="B2462" s="895" t="s">
        <v>20590</v>
      </c>
      <c r="C2462" s="895" t="s">
        <v>226</v>
      </c>
      <c r="D2462" s="895">
        <v>172.02</v>
      </c>
    </row>
    <row r="2463" spans="1:4" x14ac:dyDescent="0.2">
      <c r="A2463" s="895">
        <v>100507</v>
      </c>
      <c r="B2463" s="895" t="s">
        <v>20635</v>
      </c>
      <c r="C2463" s="895" t="s">
        <v>226</v>
      </c>
      <c r="D2463" s="895">
        <v>383.99</v>
      </c>
    </row>
    <row r="2464" spans="1:4" x14ac:dyDescent="0.2">
      <c r="A2464" s="895">
        <v>100508</v>
      </c>
      <c r="B2464" s="895" t="s">
        <v>20636</v>
      </c>
      <c r="C2464" s="895" t="s">
        <v>226</v>
      </c>
      <c r="D2464" s="895">
        <v>569.46</v>
      </c>
    </row>
    <row r="2465" spans="1:4" x14ac:dyDescent="0.2">
      <c r="A2465" s="895">
        <v>100509</v>
      </c>
      <c r="B2465" s="895" t="s">
        <v>20637</v>
      </c>
      <c r="C2465" s="895" t="s">
        <v>226</v>
      </c>
      <c r="D2465" s="895">
        <v>938.04</v>
      </c>
    </row>
    <row r="2466" spans="1:4" x14ac:dyDescent="0.2">
      <c r="A2466" s="895">
        <v>100531</v>
      </c>
      <c r="B2466" s="895" t="s">
        <v>20638</v>
      </c>
      <c r="C2466" s="895" t="s">
        <v>226</v>
      </c>
      <c r="D2466" s="895">
        <v>115.05</v>
      </c>
    </row>
    <row r="2467" spans="1:4" x14ac:dyDescent="0.2">
      <c r="A2467" s="895">
        <v>100532</v>
      </c>
      <c r="B2467" s="895" t="s">
        <v>20639</v>
      </c>
      <c r="C2467" s="895" t="s">
        <v>226</v>
      </c>
      <c r="D2467" s="895">
        <v>137.29</v>
      </c>
    </row>
    <row r="2468" spans="1:4" x14ac:dyDescent="0.2">
      <c r="A2468" s="895">
        <v>100533</v>
      </c>
      <c r="B2468" s="895" t="s">
        <v>20640</v>
      </c>
      <c r="C2468" s="895" t="s">
        <v>226</v>
      </c>
      <c r="D2468" s="895">
        <v>233.14</v>
      </c>
    </row>
    <row r="2469" spans="1:4" x14ac:dyDescent="0.2">
      <c r="A2469" s="895">
        <v>100534</v>
      </c>
      <c r="B2469" s="895" t="s">
        <v>20641</v>
      </c>
      <c r="C2469" s="895" t="s">
        <v>226</v>
      </c>
      <c r="D2469" s="895">
        <v>208.4</v>
      </c>
    </row>
    <row r="2470" spans="1:4" x14ac:dyDescent="0.2">
      <c r="A2470" s="895">
        <v>100540</v>
      </c>
      <c r="B2470" s="895" t="s">
        <v>20642</v>
      </c>
      <c r="C2470" s="895" t="s">
        <v>226</v>
      </c>
      <c r="D2470" s="895">
        <v>92.29</v>
      </c>
    </row>
    <row r="2471" spans="1:4" x14ac:dyDescent="0.2">
      <c r="A2471" s="895">
        <v>100541</v>
      </c>
      <c r="B2471" s="895" t="s">
        <v>20643</v>
      </c>
      <c r="C2471" s="895" t="s">
        <v>226</v>
      </c>
      <c r="D2471" s="895">
        <v>93.04</v>
      </c>
    </row>
    <row r="2472" spans="1:4" x14ac:dyDescent="0.2">
      <c r="A2472" s="895">
        <v>100551</v>
      </c>
      <c r="B2472" s="895" t="s">
        <v>20644</v>
      </c>
      <c r="C2472" s="895" t="s">
        <v>226</v>
      </c>
      <c r="D2472" s="895">
        <v>106.75</v>
      </c>
    </row>
    <row r="2473" spans="1:4" x14ac:dyDescent="0.2">
      <c r="A2473" s="895">
        <v>100560</v>
      </c>
      <c r="B2473" s="895" t="s">
        <v>20645</v>
      </c>
      <c r="C2473" s="895" t="s">
        <v>226</v>
      </c>
      <c r="D2473" s="895">
        <v>452.22</v>
      </c>
    </row>
    <row r="2474" spans="1:4" x14ac:dyDescent="0.2">
      <c r="A2474" s="895">
        <v>100600</v>
      </c>
      <c r="B2474" s="895" t="s">
        <v>20646</v>
      </c>
      <c r="C2474" s="895" t="s">
        <v>18269</v>
      </c>
      <c r="D2474" s="895" t="s">
        <v>18269</v>
      </c>
    </row>
    <row r="2475" spans="1:4" x14ac:dyDescent="0.2">
      <c r="A2475" s="895">
        <v>100620</v>
      </c>
      <c r="B2475" s="895" t="s">
        <v>20647</v>
      </c>
      <c r="C2475" s="895" t="s">
        <v>158</v>
      </c>
      <c r="D2475" s="895">
        <v>66.260000000000005</v>
      </c>
    </row>
    <row r="2476" spans="1:4" x14ac:dyDescent="0.2">
      <c r="A2476" s="895">
        <v>100621</v>
      </c>
      <c r="B2476" s="895" t="s">
        <v>20648</v>
      </c>
      <c r="C2476" s="895" t="s">
        <v>158</v>
      </c>
      <c r="D2476" s="895">
        <v>102.31</v>
      </c>
    </row>
    <row r="2477" spans="1:4" x14ac:dyDescent="0.2">
      <c r="A2477" s="895">
        <v>100622</v>
      </c>
      <c r="B2477" s="895" t="s">
        <v>20649</v>
      </c>
      <c r="C2477" s="895" t="s">
        <v>158</v>
      </c>
      <c r="D2477" s="895">
        <v>118.88</v>
      </c>
    </row>
    <row r="2478" spans="1:4" x14ac:dyDescent="0.2">
      <c r="A2478" s="895">
        <v>100623</v>
      </c>
      <c r="B2478" s="895" t="s">
        <v>20650</v>
      </c>
      <c r="C2478" s="895" t="s">
        <v>158</v>
      </c>
      <c r="D2478" s="895">
        <v>191.37</v>
      </c>
    </row>
    <row r="2479" spans="1:4" x14ac:dyDescent="0.2">
      <c r="A2479" s="895">
        <v>100624</v>
      </c>
      <c r="B2479" s="895" t="s">
        <v>20651</v>
      </c>
      <c r="C2479" s="895" t="s">
        <v>158</v>
      </c>
      <c r="D2479" s="895">
        <v>220.89</v>
      </c>
    </row>
    <row r="2480" spans="1:4" x14ac:dyDescent="0.2">
      <c r="A2480" s="895">
        <v>100626</v>
      </c>
      <c r="B2480" s="895" t="s">
        <v>20652</v>
      </c>
      <c r="C2480" s="895" t="s">
        <v>158</v>
      </c>
      <c r="D2480" s="895">
        <v>90.69</v>
      </c>
    </row>
    <row r="2481" spans="1:4" x14ac:dyDescent="0.2">
      <c r="A2481" s="895">
        <v>100627</v>
      </c>
      <c r="B2481" s="895" t="s">
        <v>20653</v>
      </c>
      <c r="C2481" s="895" t="s">
        <v>158</v>
      </c>
      <c r="D2481" s="895">
        <v>126.36</v>
      </c>
    </row>
    <row r="2482" spans="1:4" x14ac:dyDescent="0.2">
      <c r="A2482" s="895">
        <v>100628</v>
      </c>
      <c r="B2482" s="895" t="s">
        <v>20654</v>
      </c>
      <c r="C2482" s="895" t="s">
        <v>158</v>
      </c>
      <c r="D2482" s="895">
        <v>156.36000000000001</v>
      </c>
    </row>
    <row r="2483" spans="1:4" x14ac:dyDescent="0.2">
      <c r="A2483" s="895">
        <v>100629</v>
      </c>
      <c r="B2483" s="895" t="s">
        <v>20655</v>
      </c>
      <c r="C2483" s="895" t="s">
        <v>158</v>
      </c>
      <c r="D2483" s="895">
        <v>247.35</v>
      </c>
    </row>
    <row r="2484" spans="1:4" x14ac:dyDescent="0.2">
      <c r="A2484" s="895">
        <v>100630</v>
      </c>
      <c r="B2484" s="895" t="s">
        <v>20656</v>
      </c>
      <c r="C2484" s="895" t="s">
        <v>158</v>
      </c>
      <c r="D2484" s="895">
        <v>284.20999999999998</v>
      </c>
    </row>
    <row r="2485" spans="1:4" x14ac:dyDescent="0.2">
      <c r="A2485" s="895">
        <v>100654</v>
      </c>
      <c r="B2485" s="895" t="s">
        <v>20589</v>
      </c>
      <c r="C2485" s="895" t="s">
        <v>226</v>
      </c>
      <c r="D2485" s="895">
        <v>137.32</v>
      </c>
    </row>
    <row r="2486" spans="1:4" x14ac:dyDescent="0.2">
      <c r="A2486" s="895">
        <v>100700</v>
      </c>
      <c r="B2486" s="895" t="s">
        <v>20657</v>
      </c>
      <c r="C2486" s="895" t="s">
        <v>18269</v>
      </c>
      <c r="D2486" s="895" t="s">
        <v>18269</v>
      </c>
    </row>
    <row r="2487" spans="1:4" x14ac:dyDescent="0.2">
      <c r="A2487" s="895">
        <v>100711</v>
      </c>
      <c r="B2487" s="895" t="s">
        <v>20658</v>
      </c>
      <c r="C2487" s="895" t="s">
        <v>158</v>
      </c>
      <c r="D2487" s="895">
        <v>70.44</v>
      </c>
    </row>
    <row r="2488" spans="1:4" x14ac:dyDescent="0.2">
      <c r="A2488" s="895">
        <v>100712</v>
      </c>
      <c r="B2488" s="895" t="s">
        <v>20659</v>
      </c>
      <c r="C2488" s="895" t="s">
        <v>158</v>
      </c>
      <c r="D2488" s="895">
        <v>100.03</v>
      </c>
    </row>
    <row r="2489" spans="1:4" x14ac:dyDescent="0.2">
      <c r="A2489" s="895">
        <v>100713</v>
      </c>
      <c r="B2489" s="895" t="s">
        <v>20660</v>
      </c>
      <c r="C2489" s="895" t="s">
        <v>158</v>
      </c>
      <c r="D2489" s="895">
        <v>131.57</v>
      </c>
    </row>
    <row r="2490" spans="1:4" x14ac:dyDescent="0.2">
      <c r="A2490" s="895">
        <v>100714</v>
      </c>
      <c r="B2490" s="895" t="s">
        <v>20661</v>
      </c>
      <c r="C2490" s="895" t="s">
        <v>158</v>
      </c>
      <c r="D2490" s="895">
        <v>143.96</v>
      </c>
    </row>
    <row r="2491" spans="1:4" x14ac:dyDescent="0.2">
      <c r="A2491" s="895">
        <v>100720</v>
      </c>
      <c r="B2491" s="895" t="s">
        <v>20662</v>
      </c>
      <c r="C2491" s="895" t="s">
        <v>226</v>
      </c>
      <c r="D2491" s="895">
        <v>66.7</v>
      </c>
    </row>
    <row r="2492" spans="1:4" x14ac:dyDescent="0.2">
      <c r="A2492" s="895">
        <v>100760</v>
      </c>
      <c r="B2492" s="895" t="s">
        <v>20663</v>
      </c>
      <c r="C2492" s="895" t="s">
        <v>226</v>
      </c>
      <c r="D2492" s="895">
        <v>649.83000000000004</v>
      </c>
    </row>
    <row r="2493" spans="1:4" x14ac:dyDescent="0.2">
      <c r="A2493" s="895">
        <v>100762</v>
      </c>
      <c r="B2493" s="895" t="s">
        <v>20664</v>
      </c>
      <c r="C2493" s="895" t="s">
        <v>226</v>
      </c>
      <c r="D2493" s="895">
        <v>848.02</v>
      </c>
    </row>
    <row r="2494" spans="1:4" x14ac:dyDescent="0.2">
      <c r="A2494" s="895">
        <v>100763</v>
      </c>
      <c r="B2494" s="895" t="s">
        <v>20665</v>
      </c>
      <c r="C2494" s="895" t="s">
        <v>226</v>
      </c>
      <c r="D2494" s="895">
        <v>1588.2</v>
      </c>
    </row>
    <row r="2495" spans="1:4" x14ac:dyDescent="0.2">
      <c r="A2495" s="895">
        <v>100764</v>
      </c>
      <c r="B2495" s="895" t="s">
        <v>20666</v>
      </c>
      <c r="C2495" s="895" t="s">
        <v>226</v>
      </c>
      <c r="D2495" s="895">
        <v>2065.15</v>
      </c>
    </row>
    <row r="2496" spans="1:4" x14ac:dyDescent="0.2">
      <c r="A2496" s="895">
        <v>100765</v>
      </c>
      <c r="B2496" s="895" t="s">
        <v>20667</v>
      </c>
      <c r="C2496" s="895" t="s">
        <v>226</v>
      </c>
      <c r="D2496" s="895">
        <v>2646.93</v>
      </c>
    </row>
    <row r="2497" spans="1:4" x14ac:dyDescent="0.2">
      <c r="A2497" s="895">
        <v>100767</v>
      </c>
      <c r="B2497" s="895" t="s">
        <v>20668</v>
      </c>
      <c r="C2497" s="895" t="s">
        <v>226</v>
      </c>
      <c r="D2497" s="895">
        <v>2446.29</v>
      </c>
    </row>
    <row r="2498" spans="1:4" x14ac:dyDescent="0.2">
      <c r="A2498" s="895">
        <v>100768</v>
      </c>
      <c r="B2498" s="895" t="s">
        <v>20669</v>
      </c>
      <c r="C2498" s="895" t="s">
        <v>226</v>
      </c>
      <c r="D2498" s="895">
        <v>3109.16</v>
      </c>
    </row>
    <row r="2499" spans="1:4" x14ac:dyDescent="0.2">
      <c r="A2499" s="895">
        <v>100769</v>
      </c>
      <c r="B2499" s="895" t="s">
        <v>20670</v>
      </c>
      <c r="C2499" s="895" t="s">
        <v>226</v>
      </c>
      <c r="D2499" s="895">
        <v>1923.3</v>
      </c>
    </row>
    <row r="2500" spans="1:4" x14ac:dyDescent="0.2">
      <c r="A2500" s="895">
        <v>100770</v>
      </c>
      <c r="B2500" s="895" t="s">
        <v>20671</v>
      </c>
      <c r="C2500" s="895" t="s">
        <v>226</v>
      </c>
      <c r="D2500" s="895">
        <v>2461.96</v>
      </c>
    </row>
    <row r="2501" spans="1:4" x14ac:dyDescent="0.2">
      <c r="A2501" s="895">
        <v>100771</v>
      </c>
      <c r="B2501" s="895" t="s">
        <v>20672</v>
      </c>
      <c r="C2501" s="895" t="s">
        <v>226</v>
      </c>
      <c r="D2501" s="895">
        <v>3117.76</v>
      </c>
    </row>
    <row r="2502" spans="1:4" x14ac:dyDescent="0.2">
      <c r="A2502" s="895">
        <v>100780</v>
      </c>
      <c r="B2502" s="895" t="s">
        <v>20673</v>
      </c>
      <c r="C2502" s="895" t="s">
        <v>226</v>
      </c>
      <c r="D2502" s="895">
        <v>17.57</v>
      </c>
    </row>
    <row r="2503" spans="1:4" x14ac:dyDescent="0.2">
      <c r="A2503" s="895">
        <v>100781</v>
      </c>
      <c r="B2503" s="895" t="s">
        <v>20674</v>
      </c>
      <c r="C2503" s="895" t="s">
        <v>226</v>
      </c>
      <c r="D2503" s="895">
        <v>904.72</v>
      </c>
    </row>
    <row r="2504" spans="1:4" x14ac:dyDescent="0.2">
      <c r="A2504" s="895">
        <v>100782</v>
      </c>
      <c r="B2504" s="895" t="s">
        <v>20675</v>
      </c>
      <c r="C2504" s="895" t="s">
        <v>226</v>
      </c>
      <c r="D2504" s="895">
        <v>1078.73</v>
      </c>
    </row>
    <row r="2505" spans="1:4" x14ac:dyDescent="0.2">
      <c r="A2505" s="895">
        <v>100783</v>
      </c>
      <c r="B2505" s="895" t="s">
        <v>20676</v>
      </c>
      <c r="C2505" s="895" t="s">
        <v>226</v>
      </c>
      <c r="D2505" s="895">
        <v>1225.3699999999999</v>
      </c>
    </row>
    <row r="2506" spans="1:4" x14ac:dyDescent="0.2">
      <c r="A2506" s="895">
        <v>100785</v>
      </c>
      <c r="B2506" s="895" t="s">
        <v>20677</v>
      </c>
      <c r="C2506" s="895" t="s">
        <v>226</v>
      </c>
      <c r="D2506" s="895">
        <v>305.99</v>
      </c>
    </row>
    <row r="2507" spans="1:4" x14ac:dyDescent="0.2">
      <c r="A2507" s="895">
        <v>100786</v>
      </c>
      <c r="B2507" s="895" t="s">
        <v>20678</v>
      </c>
      <c r="C2507" s="895" t="s">
        <v>226</v>
      </c>
      <c r="D2507" s="895">
        <v>943</v>
      </c>
    </row>
    <row r="2508" spans="1:4" x14ac:dyDescent="0.2">
      <c r="A2508" s="895">
        <v>100790</v>
      </c>
      <c r="B2508" s="895" t="s">
        <v>20679</v>
      </c>
      <c r="C2508" s="895" t="s">
        <v>226</v>
      </c>
      <c r="D2508" s="895">
        <v>190.85</v>
      </c>
    </row>
    <row r="2509" spans="1:4" x14ac:dyDescent="0.2">
      <c r="A2509" s="895">
        <v>100795</v>
      </c>
      <c r="B2509" s="895" t="s">
        <v>20568</v>
      </c>
      <c r="C2509" s="895" t="s">
        <v>158</v>
      </c>
      <c r="D2509" s="895">
        <v>3.11</v>
      </c>
    </row>
    <row r="2510" spans="1:4" x14ac:dyDescent="0.2">
      <c r="A2510" s="895">
        <v>100798</v>
      </c>
      <c r="B2510" s="895" t="s">
        <v>20569</v>
      </c>
      <c r="C2510" s="895" t="s">
        <v>158</v>
      </c>
      <c r="D2510" s="895">
        <v>36.93</v>
      </c>
    </row>
    <row r="2511" spans="1:4" x14ac:dyDescent="0.2">
      <c r="A2511" s="895">
        <v>100800</v>
      </c>
      <c r="B2511" s="895" t="s">
        <v>20680</v>
      </c>
      <c r="C2511" s="895" t="s">
        <v>18269</v>
      </c>
      <c r="D2511" s="895" t="s">
        <v>18269</v>
      </c>
    </row>
    <row r="2512" spans="1:4" x14ac:dyDescent="0.2">
      <c r="A2512" s="895">
        <v>100802</v>
      </c>
      <c r="B2512" s="895" t="s">
        <v>20681</v>
      </c>
      <c r="C2512" s="895" t="s">
        <v>158</v>
      </c>
      <c r="D2512" s="895">
        <v>278.93</v>
      </c>
    </row>
    <row r="2513" spans="1:4" x14ac:dyDescent="0.2">
      <c r="A2513" s="895">
        <v>100803</v>
      </c>
      <c r="B2513" s="895" t="s">
        <v>20682</v>
      </c>
      <c r="C2513" s="895" t="s">
        <v>158</v>
      </c>
      <c r="D2513" s="895">
        <v>315.91000000000003</v>
      </c>
    </row>
    <row r="2514" spans="1:4" x14ac:dyDescent="0.2">
      <c r="A2514" s="895">
        <v>100805</v>
      </c>
      <c r="B2514" s="895" t="s">
        <v>20683</v>
      </c>
      <c r="C2514" s="895" t="s">
        <v>158</v>
      </c>
      <c r="D2514" s="895">
        <v>427.27</v>
      </c>
    </row>
    <row r="2515" spans="1:4" x14ac:dyDescent="0.2">
      <c r="A2515" s="895">
        <v>100806</v>
      </c>
      <c r="B2515" s="895" t="s">
        <v>20684</v>
      </c>
      <c r="C2515" s="895" t="s">
        <v>158</v>
      </c>
      <c r="D2515" s="895">
        <v>656.56</v>
      </c>
    </row>
    <row r="2516" spans="1:4" x14ac:dyDescent="0.2">
      <c r="A2516" s="895">
        <v>100831</v>
      </c>
      <c r="B2516" s="895" t="s">
        <v>20635</v>
      </c>
      <c r="C2516" s="895" t="s">
        <v>226</v>
      </c>
      <c r="D2516" s="895">
        <v>383.99</v>
      </c>
    </row>
    <row r="2517" spans="1:4" x14ac:dyDescent="0.2">
      <c r="A2517" s="895">
        <v>100832</v>
      </c>
      <c r="B2517" s="895" t="s">
        <v>20636</v>
      </c>
      <c r="C2517" s="895" t="s">
        <v>226</v>
      </c>
      <c r="D2517" s="895">
        <v>569.46</v>
      </c>
    </row>
    <row r="2518" spans="1:4" x14ac:dyDescent="0.2">
      <c r="A2518" s="895">
        <v>100834</v>
      </c>
      <c r="B2518" s="895" t="s">
        <v>20637</v>
      </c>
      <c r="C2518" s="895" t="s">
        <v>226</v>
      </c>
      <c r="D2518" s="895">
        <v>938.04</v>
      </c>
    </row>
    <row r="2519" spans="1:4" x14ac:dyDescent="0.2">
      <c r="A2519" s="895">
        <v>100849</v>
      </c>
      <c r="B2519" s="895" t="s">
        <v>20569</v>
      </c>
      <c r="C2519" s="895" t="s">
        <v>158</v>
      </c>
      <c r="D2519" s="895">
        <v>36.93</v>
      </c>
    </row>
    <row r="2520" spans="1:4" x14ac:dyDescent="0.2">
      <c r="A2520" s="895">
        <v>100850</v>
      </c>
      <c r="B2520" s="895" t="s">
        <v>20685</v>
      </c>
      <c r="C2520" s="895" t="s">
        <v>226</v>
      </c>
      <c r="D2520" s="895">
        <v>790.04</v>
      </c>
    </row>
    <row r="2521" spans="1:4" x14ac:dyDescent="0.2">
      <c r="A2521" s="895">
        <v>100855</v>
      </c>
      <c r="B2521" s="895" t="s">
        <v>20686</v>
      </c>
      <c r="C2521" s="895" t="s">
        <v>226</v>
      </c>
      <c r="D2521" s="895">
        <v>414.34</v>
      </c>
    </row>
    <row r="2522" spans="1:4" x14ac:dyDescent="0.2">
      <c r="A2522" s="895">
        <v>100860</v>
      </c>
      <c r="B2522" s="895" t="s">
        <v>20687</v>
      </c>
      <c r="C2522" s="895" t="s">
        <v>226</v>
      </c>
      <c r="D2522" s="895">
        <v>540.34</v>
      </c>
    </row>
    <row r="2523" spans="1:4" x14ac:dyDescent="0.2">
      <c r="A2523" s="895">
        <v>100865</v>
      </c>
      <c r="B2523" s="895" t="s">
        <v>20688</v>
      </c>
      <c r="C2523" s="895" t="s">
        <v>226</v>
      </c>
      <c r="D2523" s="895">
        <v>395.14</v>
      </c>
    </row>
    <row r="2524" spans="1:4" x14ac:dyDescent="0.2">
      <c r="A2524" s="895">
        <v>100868</v>
      </c>
      <c r="B2524" s="895" t="s">
        <v>20689</v>
      </c>
      <c r="C2524" s="895" t="s">
        <v>226</v>
      </c>
      <c r="D2524" s="895">
        <v>587.49</v>
      </c>
    </row>
    <row r="2525" spans="1:4" x14ac:dyDescent="0.2">
      <c r="A2525" s="895">
        <v>100872</v>
      </c>
      <c r="B2525" s="895" t="s">
        <v>20690</v>
      </c>
      <c r="C2525" s="895" t="s">
        <v>226</v>
      </c>
      <c r="D2525" s="895">
        <v>1010.77</v>
      </c>
    </row>
    <row r="2526" spans="1:4" x14ac:dyDescent="0.2">
      <c r="A2526" s="895">
        <v>100873</v>
      </c>
      <c r="B2526" s="895" t="s">
        <v>20691</v>
      </c>
      <c r="C2526" s="895" t="s">
        <v>226</v>
      </c>
      <c r="D2526" s="895">
        <v>72.790000000000006</v>
      </c>
    </row>
    <row r="2527" spans="1:4" x14ac:dyDescent="0.2">
      <c r="A2527" s="895">
        <v>100877</v>
      </c>
      <c r="B2527" s="895" t="s">
        <v>20692</v>
      </c>
      <c r="C2527" s="895" t="s">
        <v>226</v>
      </c>
      <c r="D2527" s="895">
        <v>110.96</v>
      </c>
    </row>
    <row r="2528" spans="1:4" x14ac:dyDescent="0.2">
      <c r="A2528" s="895">
        <v>100880</v>
      </c>
      <c r="B2528" s="895" t="s">
        <v>20693</v>
      </c>
      <c r="C2528" s="895" t="s">
        <v>226</v>
      </c>
      <c r="D2528" s="895">
        <v>584.47</v>
      </c>
    </row>
    <row r="2529" spans="1:4" x14ac:dyDescent="0.2">
      <c r="A2529" s="895">
        <v>100881</v>
      </c>
      <c r="B2529" s="895" t="s">
        <v>20694</v>
      </c>
      <c r="C2529" s="895" t="s">
        <v>226</v>
      </c>
      <c r="D2529" s="895">
        <v>647.57000000000005</v>
      </c>
    </row>
    <row r="2530" spans="1:4" x14ac:dyDescent="0.2">
      <c r="A2530" s="895">
        <v>100882</v>
      </c>
      <c r="B2530" s="895" t="s">
        <v>20695</v>
      </c>
      <c r="C2530" s="895" t="s">
        <v>226</v>
      </c>
      <c r="D2530" s="895">
        <v>1440.39</v>
      </c>
    </row>
    <row r="2531" spans="1:4" x14ac:dyDescent="0.2">
      <c r="A2531" s="895">
        <v>100885</v>
      </c>
      <c r="B2531" s="895" t="s">
        <v>20696</v>
      </c>
      <c r="C2531" s="895" t="s">
        <v>226</v>
      </c>
      <c r="D2531" s="895">
        <v>201.47</v>
      </c>
    </row>
    <row r="2532" spans="1:4" x14ac:dyDescent="0.2">
      <c r="A2532" s="895">
        <v>100888</v>
      </c>
      <c r="B2532" s="895" t="s">
        <v>20697</v>
      </c>
      <c r="C2532" s="895" t="s">
        <v>226</v>
      </c>
      <c r="D2532" s="895">
        <v>878.79</v>
      </c>
    </row>
    <row r="2533" spans="1:4" x14ac:dyDescent="0.2">
      <c r="A2533" s="895">
        <v>100890</v>
      </c>
      <c r="B2533" s="895" t="s">
        <v>20698</v>
      </c>
      <c r="C2533" s="895" t="s">
        <v>226</v>
      </c>
      <c r="D2533" s="895">
        <v>194.91</v>
      </c>
    </row>
    <row r="2534" spans="1:4" x14ac:dyDescent="0.2">
      <c r="A2534" s="895">
        <v>100892</v>
      </c>
      <c r="B2534" s="895" t="s">
        <v>20699</v>
      </c>
      <c r="C2534" s="895" t="s">
        <v>226</v>
      </c>
      <c r="D2534" s="895">
        <v>265.73</v>
      </c>
    </row>
    <row r="2535" spans="1:4" x14ac:dyDescent="0.2">
      <c r="A2535" s="895">
        <v>100893</v>
      </c>
      <c r="B2535" s="895" t="s">
        <v>20700</v>
      </c>
      <c r="C2535" s="895" t="s">
        <v>226</v>
      </c>
      <c r="D2535" s="895">
        <v>311.05</v>
      </c>
    </row>
    <row r="2536" spans="1:4" x14ac:dyDescent="0.2">
      <c r="A2536" s="895">
        <v>100895</v>
      </c>
      <c r="B2536" s="895" t="s">
        <v>20701</v>
      </c>
      <c r="C2536" s="895" t="s">
        <v>226</v>
      </c>
      <c r="D2536" s="895">
        <v>23.64</v>
      </c>
    </row>
    <row r="2537" spans="1:4" x14ac:dyDescent="0.2">
      <c r="A2537" s="895">
        <v>100900</v>
      </c>
      <c r="B2537" s="895" t="s">
        <v>20702</v>
      </c>
      <c r="C2537" s="895" t="s">
        <v>18269</v>
      </c>
      <c r="D2537" s="895" t="s">
        <v>18269</v>
      </c>
    </row>
    <row r="2538" spans="1:4" x14ac:dyDescent="0.2">
      <c r="A2538" s="895">
        <v>100910</v>
      </c>
      <c r="B2538" s="895" t="s">
        <v>20703</v>
      </c>
      <c r="C2538" s="895" t="s">
        <v>158</v>
      </c>
      <c r="D2538" s="895">
        <v>350.58</v>
      </c>
    </row>
    <row r="2539" spans="1:4" x14ac:dyDescent="0.2">
      <c r="A2539" s="895">
        <v>100911</v>
      </c>
      <c r="B2539" s="895" t="s">
        <v>20704</v>
      </c>
      <c r="C2539" s="895" t="s">
        <v>158</v>
      </c>
      <c r="D2539" s="895">
        <v>420.45</v>
      </c>
    </row>
    <row r="2540" spans="1:4" x14ac:dyDescent="0.2">
      <c r="A2540" s="895">
        <v>100912</v>
      </c>
      <c r="B2540" s="895" t="s">
        <v>20705</v>
      </c>
      <c r="C2540" s="895" t="s">
        <v>158</v>
      </c>
      <c r="D2540" s="895">
        <v>484.77</v>
      </c>
    </row>
    <row r="2541" spans="1:4" x14ac:dyDescent="0.2">
      <c r="A2541" s="895">
        <v>100913</v>
      </c>
      <c r="B2541" s="895" t="s">
        <v>20706</v>
      </c>
      <c r="C2541" s="895" t="s">
        <v>158</v>
      </c>
      <c r="D2541" s="895">
        <v>500.04</v>
      </c>
    </row>
    <row r="2542" spans="1:4" x14ac:dyDescent="0.2">
      <c r="A2542" s="895">
        <v>100930</v>
      </c>
      <c r="B2542" s="895" t="s">
        <v>20707</v>
      </c>
      <c r="C2542" s="895" t="s">
        <v>158</v>
      </c>
      <c r="D2542" s="895">
        <v>32.74</v>
      </c>
    </row>
    <row r="2543" spans="1:4" x14ac:dyDescent="0.2">
      <c r="A2543" s="895">
        <v>100931</v>
      </c>
      <c r="B2543" s="895" t="s">
        <v>20708</v>
      </c>
      <c r="C2543" s="895" t="s">
        <v>158</v>
      </c>
      <c r="D2543" s="895">
        <v>42.97</v>
      </c>
    </row>
    <row r="2544" spans="1:4" x14ac:dyDescent="0.2">
      <c r="A2544" s="895">
        <v>100932</v>
      </c>
      <c r="B2544" s="895" t="s">
        <v>20709</v>
      </c>
      <c r="C2544" s="895" t="s">
        <v>158</v>
      </c>
      <c r="D2544" s="895">
        <v>64.12</v>
      </c>
    </row>
    <row r="2545" spans="1:4" x14ac:dyDescent="0.2">
      <c r="A2545" s="895">
        <v>100933</v>
      </c>
      <c r="B2545" s="895" t="s">
        <v>20710</v>
      </c>
      <c r="C2545" s="895" t="s">
        <v>158</v>
      </c>
      <c r="D2545" s="895">
        <v>73.19</v>
      </c>
    </row>
    <row r="2546" spans="1:4" x14ac:dyDescent="0.2">
      <c r="A2546" s="895">
        <v>100934</v>
      </c>
      <c r="B2546" s="895" t="s">
        <v>20711</v>
      </c>
      <c r="C2546" s="895" t="s">
        <v>158</v>
      </c>
      <c r="D2546" s="895">
        <v>116.13</v>
      </c>
    </row>
    <row r="2547" spans="1:4" x14ac:dyDescent="0.2">
      <c r="A2547" s="895">
        <v>100935</v>
      </c>
      <c r="B2547" s="895" t="s">
        <v>20712</v>
      </c>
      <c r="C2547" s="895" t="s">
        <v>158</v>
      </c>
      <c r="D2547" s="895">
        <v>174.54</v>
      </c>
    </row>
    <row r="2548" spans="1:4" x14ac:dyDescent="0.2">
      <c r="A2548" s="895">
        <v>100998</v>
      </c>
      <c r="B2548" s="895" t="s">
        <v>20569</v>
      </c>
      <c r="C2548" s="895" t="s">
        <v>158</v>
      </c>
      <c r="D2548" s="895">
        <v>36.93</v>
      </c>
    </row>
    <row r="2549" spans="1:4" x14ac:dyDescent="0.2">
      <c r="A2549" s="895">
        <v>101000</v>
      </c>
      <c r="B2549" s="895" t="s">
        <v>20713</v>
      </c>
      <c r="C2549" s="895" t="s">
        <v>18269</v>
      </c>
      <c r="D2549" s="895" t="s">
        <v>18269</v>
      </c>
    </row>
    <row r="2550" spans="1:4" x14ac:dyDescent="0.2">
      <c r="A2550" s="895">
        <v>101001</v>
      </c>
      <c r="B2550" s="895" t="s">
        <v>20714</v>
      </c>
      <c r="C2550" s="895" t="s">
        <v>226</v>
      </c>
      <c r="D2550" s="895">
        <v>112.72</v>
      </c>
    </row>
    <row r="2551" spans="1:4" x14ac:dyDescent="0.2">
      <c r="A2551" s="895">
        <v>101010</v>
      </c>
      <c r="B2551" s="895" t="s">
        <v>20715</v>
      </c>
      <c r="C2551" s="895" t="s">
        <v>226</v>
      </c>
      <c r="D2551" s="895">
        <v>119.59</v>
      </c>
    </row>
    <row r="2552" spans="1:4" x14ac:dyDescent="0.2">
      <c r="A2552" s="895">
        <v>101012</v>
      </c>
      <c r="B2552" s="895" t="s">
        <v>20716</v>
      </c>
      <c r="C2552" s="895" t="s">
        <v>226</v>
      </c>
      <c r="D2552" s="895">
        <v>126.89</v>
      </c>
    </row>
    <row r="2553" spans="1:4" x14ac:dyDescent="0.2">
      <c r="A2553" s="895">
        <v>101015</v>
      </c>
      <c r="B2553" s="895" t="s">
        <v>20717</v>
      </c>
      <c r="C2553" s="895" t="s">
        <v>226</v>
      </c>
      <c r="D2553" s="895">
        <v>238.9</v>
      </c>
    </row>
    <row r="2554" spans="1:4" x14ac:dyDescent="0.2">
      <c r="A2554" s="895">
        <v>101035</v>
      </c>
      <c r="B2554" s="895" t="s">
        <v>20718</v>
      </c>
      <c r="C2554" s="895" t="s">
        <v>226</v>
      </c>
      <c r="D2554" s="895">
        <v>165.62</v>
      </c>
    </row>
    <row r="2555" spans="1:4" x14ac:dyDescent="0.2">
      <c r="A2555" s="895">
        <v>101036</v>
      </c>
      <c r="B2555" s="895" t="s">
        <v>20719</v>
      </c>
      <c r="C2555" s="895" t="s">
        <v>226</v>
      </c>
      <c r="D2555" s="895">
        <v>455.85</v>
      </c>
    </row>
    <row r="2556" spans="1:4" x14ac:dyDescent="0.2">
      <c r="A2556" s="895">
        <v>101059</v>
      </c>
      <c r="B2556" s="895" t="s">
        <v>20720</v>
      </c>
      <c r="C2556" s="895" t="s">
        <v>226</v>
      </c>
      <c r="D2556" s="895">
        <v>365.47</v>
      </c>
    </row>
    <row r="2557" spans="1:4" x14ac:dyDescent="0.2">
      <c r="A2557" s="895">
        <v>101060</v>
      </c>
      <c r="B2557" s="895" t="s">
        <v>20721</v>
      </c>
      <c r="C2557" s="895" t="s">
        <v>226</v>
      </c>
      <c r="D2557" s="895">
        <v>4026.65</v>
      </c>
    </row>
    <row r="2558" spans="1:4" x14ac:dyDescent="0.2">
      <c r="A2558" s="895">
        <v>101061</v>
      </c>
      <c r="B2558" s="895" t="s">
        <v>20722</v>
      </c>
      <c r="C2558" s="895" t="s">
        <v>226</v>
      </c>
      <c r="D2558" s="895">
        <v>5034.12</v>
      </c>
    </row>
    <row r="2559" spans="1:4" x14ac:dyDescent="0.2">
      <c r="A2559" s="895">
        <v>101064</v>
      </c>
      <c r="B2559" s="895" t="s">
        <v>20723</v>
      </c>
      <c r="C2559" s="895" t="s">
        <v>226</v>
      </c>
      <c r="D2559" s="895">
        <v>12940.81</v>
      </c>
    </row>
    <row r="2560" spans="1:4" x14ac:dyDescent="0.2">
      <c r="A2560" s="895">
        <v>101066</v>
      </c>
      <c r="B2560" s="895" t="s">
        <v>20724</v>
      </c>
      <c r="C2560" s="895" t="s">
        <v>226</v>
      </c>
      <c r="D2560" s="895">
        <v>16790.59</v>
      </c>
    </row>
    <row r="2561" spans="1:4" x14ac:dyDescent="0.2">
      <c r="A2561" s="895">
        <v>101070</v>
      </c>
      <c r="B2561" s="895" t="s">
        <v>20725</v>
      </c>
      <c r="C2561" s="895" t="s">
        <v>158</v>
      </c>
      <c r="D2561" s="895">
        <v>1114.7</v>
      </c>
    </row>
    <row r="2562" spans="1:4" x14ac:dyDescent="0.2">
      <c r="A2562" s="895">
        <v>101071</v>
      </c>
      <c r="B2562" s="895" t="s">
        <v>20726</v>
      </c>
      <c r="C2562" s="895" t="s">
        <v>226</v>
      </c>
      <c r="D2562" s="895">
        <v>1195.8599999999999</v>
      </c>
    </row>
    <row r="2563" spans="1:4" x14ac:dyDescent="0.2">
      <c r="A2563" s="895">
        <v>101081</v>
      </c>
      <c r="B2563" s="895" t="s">
        <v>20727</v>
      </c>
      <c r="C2563" s="895" t="s">
        <v>226</v>
      </c>
      <c r="D2563" s="895">
        <v>18302.560000000001</v>
      </c>
    </row>
    <row r="2564" spans="1:4" x14ac:dyDescent="0.2">
      <c r="A2564" s="895">
        <v>101084</v>
      </c>
      <c r="B2564" s="895" t="s">
        <v>20728</v>
      </c>
      <c r="C2564" s="895" t="s">
        <v>226</v>
      </c>
      <c r="D2564" s="895">
        <v>1241.49</v>
      </c>
    </row>
    <row r="2565" spans="1:4" x14ac:dyDescent="0.2">
      <c r="A2565" s="895">
        <v>101085</v>
      </c>
      <c r="B2565" s="895" t="s">
        <v>20729</v>
      </c>
      <c r="C2565" s="895" t="s">
        <v>226</v>
      </c>
      <c r="D2565" s="895">
        <v>1962.85</v>
      </c>
    </row>
    <row r="2566" spans="1:4" x14ac:dyDescent="0.2">
      <c r="A2566" s="895">
        <v>101094</v>
      </c>
      <c r="B2566" s="895" t="s">
        <v>19126</v>
      </c>
      <c r="C2566" s="895" t="s">
        <v>159</v>
      </c>
      <c r="D2566" s="895">
        <v>59.37</v>
      </c>
    </row>
    <row r="2567" spans="1:4" x14ac:dyDescent="0.2">
      <c r="A2567" s="895">
        <v>101095</v>
      </c>
      <c r="B2567" s="895" t="s">
        <v>19127</v>
      </c>
      <c r="C2567" s="895" t="s">
        <v>159</v>
      </c>
      <c r="D2567" s="895">
        <v>516.65</v>
      </c>
    </row>
    <row r="2568" spans="1:4" x14ac:dyDescent="0.2">
      <c r="A2568" s="895">
        <v>101096</v>
      </c>
      <c r="B2568" s="895" t="s">
        <v>19128</v>
      </c>
      <c r="C2568" s="895" t="s">
        <v>227</v>
      </c>
      <c r="D2568" s="895">
        <v>297.83</v>
      </c>
    </row>
    <row r="2569" spans="1:4" x14ac:dyDescent="0.2">
      <c r="A2569" s="895">
        <v>101097</v>
      </c>
      <c r="B2569" s="895" t="s">
        <v>19129</v>
      </c>
      <c r="C2569" s="895" t="s">
        <v>227</v>
      </c>
      <c r="D2569" s="895">
        <v>407.3</v>
      </c>
    </row>
    <row r="2570" spans="1:4" x14ac:dyDescent="0.2">
      <c r="A2570" s="895">
        <v>101098</v>
      </c>
      <c r="B2570" s="895" t="s">
        <v>19130</v>
      </c>
      <c r="C2570" s="895" t="s">
        <v>227</v>
      </c>
      <c r="D2570" s="895">
        <v>255.36</v>
      </c>
    </row>
    <row r="2571" spans="1:4" x14ac:dyDescent="0.2">
      <c r="A2571" s="895">
        <v>101100</v>
      </c>
      <c r="B2571" s="895" t="s">
        <v>20730</v>
      </c>
      <c r="C2571" s="895" t="s">
        <v>18269</v>
      </c>
      <c r="D2571" s="895" t="s">
        <v>18269</v>
      </c>
    </row>
    <row r="2572" spans="1:4" x14ac:dyDescent="0.2">
      <c r="A2572" s="895">
        <v>101101</v>
      </c>
      <c r="B2572" s="895" t="s">
        <v>20731</v>
      </c>
      <c r="C2572" s="895" t="s">
        <v>158</v>
      </c>
      <c r="D2572" s="895">
        <v>77.39</v>
      </c>
    </row>
    <row r="2573" spans="1:4" x14ac:dyDescent="0.2">
      <c r="A2573" s="895">
        <v>101102</v>
      </c>
      <c r="B2573" s="895" t="s">
        <v>20732</v>
      </c>
      <c r="C2573" s="895" t="s">
        <v>158</v>
      </c>
      <c r="D2573" s="895">
        <v>119.16</v>
      </c>
    </row>
    <row r="2574" spans="1:4" x14ac:dyDescent="0.2">
      <c r="A2574" s="895">
        <v>101103</v>
      </c>
      <c r="B2574" s="895" t="s">
        <v>20733</v>
      </c>
      <c r="C2574" s="895" t="s">
        <v>158</v>
      </c>
      <c r="D2574" s="895">
        <v>226.49</v>
      </c>
    </row>
    <row r="2575" spans="1:4" x14ac:dyDescent="0.2">
      <c r="A2575" s="895">
        <v>101104</v>
      </c>
      <c r="B2575" s="895" t="s">
        <v>20734</v>
      </c>
      <c r="C2575" s="895" t="s">
        <v>158</v>
      </c>
      <c r="D2575" s="895">
        <v>151.32</v>
      </c>
    </row>
    <row r="2576" spans="1:4" x14ac:dyDescent="0.2">
      <c r="A2576" s="895">
        <v>101105</v>
      </c>
      <c r="B2576" s="895" t="s">
        <v>20735</v>
      </c>
      <c r="C2576" s="895" t="s">
        <v>158</v>
      </c>
      <c r="D2576" s="895">
        <v>285.98</v>
      </c>
    </row>
    <row r="2577" spans="1:4" x14ac:dyDescent="0.2">
      <c r="A2577" s="895">
        <v>101106</v>
      </c>
      <c r="B2577" s="895" t="s">
        <v>20736</v>
      </c>
      <c r="C2577" s="895" t="s">
        <v>158</v>
      </c>
      <c r="D2577" s="895">
        <v>169.87</v>
      </c>
    </row>
    <row r="2578" spans="1:4" x14ac:dyDescent="0.2">
      <c r="A2578" s="895">
        <v>101107</v>
      </c>
      <c r="B2578" s="895" t="s">
        <v>20737</v>
      </c>
      <c r="C2578" s="895" t="s">
        <v>158</v>
      </c>
      <c r="D2578" s="895">
        <v>341.22</v>
      </c>
    </row>
    <row r="2579" spans="1:4" x14ac:dyDescent="0.2">
      <c r="A2579" s="895">
        <v>101110</v>
      </c>
      <c r="B2579" s="895" t="s">
        <v>20738</v>
      </c>
      <c r="C2579" s="895" t="s">
        <v>158</v>
      </c>
      <c r="D2579" s="895">
        <v>96.61</v>
      </c>
    </row>
    <row r="2580" spans="1:4" x14ac:dyDescent="0.2">
      <c r="A2580" s="895">
        <v>101130</v>
      </c>
      <c r="B2580" s="895" t="s">
        <v>20739</v>
      </c>
      <c r="C2580" s="895" t="s">
        <v>158</v>
      </c>
      <c r="D2580" s="895">
        <v>44.09</v>
      </c>
    </row>
    <row r="2581" spans="1:4" x14ac:dyDescent="0.2">
      <c r="A2581" s="895">
        <v>101131</v>
      </c>
      <c r="B2581" s="895" t="s">
        <v>20740</v>
      </c>
      <c r="C2581" s="895" t="s">
        <v>158</v>
      </c>
      <c r="D2581" s="895">
        <v>54.67</v>
      </c>
    </row>
    <row r="2582" spans="1:4" x14ac:dyDescent="0.2">
      <c r="A2582" s="895">
        <v>101132</v>
      </c>
      <c r="B2582" s="895" t="s">
        <v>20741</v>
      </c>
      <c r="C2582" s="895" t="s">
        <v>158</v>
      </c>
      <c r="D2582" s="895">
        <v>71.27</v>
      </c>
    </row>
    <row r="2583" spans="1:4" x14ac:dyDescent="0.2">
      <c r="A2583" s="895">
        <v>101133</v>
      </c>
      <c r="B2583" s="895" t="s">
        <v>20742</v>
      </c>
      <c r="C2583" s="895" t="s">
        <v>158</v>
      </c>
      <c r="D2583" s="895">
        <v>113.35</v>
      </c>
    </row>
    <row r="2584" spans="1:4" x14ac:dyDescent="0.2">
      <c r="A2584" s="895">
        <v>101134</v>
      </c>
      <c r="B2584" s="895" t="s">
        <v>20743</v>
      </c>
      <c r="C2584" s="895" t="s">
        <v>158</v>
      </c>
      <c r="D2584" s="895">
        <v>206.91</v>
      </c>
    </row>
    <row r="2585" spans="1:4" x14ac:dyDescent="0.2">
      <c r="A2585" s="895">
        <v>101135</v>
      </c>
      <c r="B2585" s="895" t="s">
        <v>20744</v>
      </c>
      <c r="C2585" s="895" t="s">
        <v>158</v>
      </c>
      <c r="D2585" s="895">
        <v>269.42</v>
      </c>
    </row>
    <row r="2586" spans="1:4" x14ac:dyDescent="0.2">
      <c r="A2586" s="895">
        <v>101136</v>
      </c>
      <c r="B2586" s="895" t="s">
        <v>20745</v>
      </c>
      <c r="C2586" s="895" t="s">
        <v>158</v>
      </c>
      <c r="D2586" s="895">
        <v>271.23</v>
      </c>
    </row>
    <row r="2587" spans="1:4" x14ac:dyDescent="0.2">
      <c r="A2587" s="895">
        <v>101170</v>
      </c>
      <c r="B2587" s="895" t="s">
        <v>20746</v>
      </c>
      <c r="C2587" s="895" t="s">
        <v>158</v>
      </c>
      <c r="D2587" s="895">
        <v>104.7</v>
      </c>
    </row>
    <row r="2588" spans="1:4" x14ac:dyDescent="0.2">
      <c r="A2588" s="895">
        <v>101171</v>
      </c>
      <c r="B2588" s="895" t="s">
        <v>20747</v>
      </c>
      <c r="C2588" s="895" t="s">
        <v>158</v>
      </c>
      <c r="D2588" s="895">
        <v>116.01</v>
      </c>
    </row>
    <row r="2589" spans="1:4" x14ac:dyDescent="0.2">
      <c r="A2589" s="895">
        <v>101172</v>
      </c>
      <c r="B2589" s="895" t="s">
        <v>20748</v>
      </c>
      <c r="C2589" s="895" t="s">
        <v>158</v>
      </c>
      <c r="D2589" s="895">
        <v>108.56</v>
      </c>
    </row>
    <row r="2590" spans="1:4" x14ac:dyDescent="0.2">
      <c r="A2590" s="895">
        <v>101173</v>
      </c>
      <c r="B2590" s="895" t="s">
        <v>20749</v>
      </c>
      <c r="C2590" s="895" t="s">
        <v>158</v>
      </c>
      <c r="D2590" s="895">
        <v>117.36</v>
      </c>
    </row>
    <row r="2591" spans="1:4" x14ac:dyDescent="0.2">
      <c r="A2591" s="895">
        <v>101176</v>
      </c>
      <c r="B2591" s="895" t="s">
        <v>20750</v>
      </c>
      <c r="C2591" s="895" t="s">
        <v>158</v>
      </c>
      <c r="D2591" s="895">
        <v>65.88</v>
      </c>
    </row>
    <row r="2592" spans="1:4" x14ac:dyDescent="0.2">
      <c r="A2592" s="895">
        <v>101177</v>
      </c>
      <c r="B2592" s="895" t="s">
        <v>20751</v>
      </c>
      <c r="C2592" s="895" t="s">
        <v>158</v>
      </c>
      <c r="D2592" s="895">
        <v>106.79</v>
      </c>
    </row>
    <row r="2593" spans="1:4" x14ac:dyDescent="0.2">
      <c r="A2593" s="895">
        <v>101185</v>
      </c>
      <c r="B2593" s="895" t="s">
        <v>20752</v>
      </c>
      <c r="C2593" s="895" t="s">
        <v>158</v>
      </c>
      <c r="D2593" s="895">
        <v>81.14</v>
      </c>
    </row>
    <row r="2594" spans="1:4" x14ac:dyDescent="0.2">
      <c r="A2594" s="895">
        <v>101186</v>
      </c>
      <c r="B2594" s="895" t="s">
        <v>20753</v>
      </c>
      <c r="C2594" s="895" t="s">
        <v>158</v>
      </c>
      <c r="D2594" s="895">
        <v>168.84</v>
      </c>
    </row>
    <row r="2595" spans="1:4" x14ac:dyDescent="0.2">
      <c r="A2595" s="895">
        <v>101187</v>
      </c>
      <c r="B2595" s="895" t="s">
        <v>20754</v>
      </c>
      <c r="C2595" s="895" t="s">
        <v>158</v>
      </c>
      <c r="D2595" s="895">
        <v>177.45</v>
      </c>
    </row>
    <row r="2596" spans="1:4" x14ac:dyDescent="0.2">
      <c r="A2596" s="895">
        <v>101189</v>
      </c>
      <c r="B2596" s="895" t="s">
        <v>20755</v>
      </c>
      <c r="C2596" s="895" t="s">
        <v>158</v>
      </c>
      <c r="D2596" s="895">
        <v>83.55</v>
      </c>
    </row>
    <row r="2597" spans="1:4" x14ac:dyDescent="0.2">
      <c r="A2597" s="895">
        <v>101190</v>
      </c>
      <c r="B2597" s="895" t="s">
        <v>20756</v>
      </c>
      <c r="C2597" s="895" t="s">
        <v>158</v>
      </c>
      <c r="D2597" s="895">
        <v>91.05</v>
      </c>
    </row>
    <row r="2598" spans="1:4" x14ac:dyDescent="0.2">
      <c r="A2598" s="895">
        <v>101192</v>
      </c>
      <c r="B2598" s="895" t="s">
        <v>20757</v>
      </c>
      <c r="C2598" s="895" t="s">
        <v>158</v>
      </c>
      <c r="D2598" s="895">
        <v>232.05</v>
      </c>
    </row>
    <row r="2599" spans="1:4" x14ac:dyDescent="0.2">
      <c r="A2599" s="895">
        <v>101193</v>
      </c>
      <c r="B2599" s="895" t="s">
        <v>20758</v>
      </c>
      <c r="C2599" s="895" t="s">
        <v>158</v>
      </c>
      <c r="D2599" s="895">
        <v>685.72</v>
      </c>
    </row>
    <row r="2600" spans="1:4" x14ac:dyDescent="0.2">
      <c r="A2600" s="895">
        <v>101194</v>
      </c>
      <c r="B2600" s="895" t="s">
        <v>20759</v>
      </c>
      <c r="C2600" s="895" t="s">
        <v>158</v>
      </c>
      <c r="D2600" s="895">
        <v>779.4</v>
      </c>
    </row>
    <row r="2601" spans="1:4" x14ac:dyDescent="0.2">
      <c r="A2601" s="895">
        <v>101196</v>
      </c>
      <c r="B2601" s="895" t="s">
        <v>20760</v>
      </c>
      <c r="C2601" s="895" t="s">
        <v>158</v>
      </c>
      <c r="D2601" s="895">
        <v>66.739999999999995</v>
      </c>
    </row>
    <row r="2602" spans="1:4" x14ac:dyDescent="0.2">
      <c r="A2602" s="895">
        <v>101197</v>
      </c>
      <c r="B2602" s="895" t="s">
        <v>20761</v>
      </c>
      <c r="C2602" s="895" t="s">
        <v>158</v>
      </c>
      <c r="D2602" s="895">
        <v>86.91</v>
      </c>
    </row>
    <row r="2603" spans="1:4" x14ac:dyDescent="0.2">
      <c r="A2603" s="895">
        <v>101199</v>
      </c>
      <c r="B2603" s="895" t="s">
        <v>20762</v>
      </c>
      <c r="C2603" s="895" t="s">
        <v>158</v>
      </c>
      <c r="D2603" s="895">
        <v>91.7</v>
      </c>
    </row>
    <row r="2604" spans="1:4" x14ac:dyDescent="0.2">
      <c r="A2604" s="895">
        <v>101200</v>
      </c>
      <c r="B2604" s="895" t="s">
        <v>20763</v>
      </c>
      <c r="C2604" s="895" t="s">
        <v>18269</v>
      </c>
      <c r="D2604" s="895" t="s">
        <v>18269</v>
      </c>
    </row>
    <row r="2605" spans="1:4" x14ac:dyDescent="0.2">
      <c r="A2605" s="895">
        <v>101210</v>
      </c>
      <c r="B2605" s="895" t="s">
        <v>20764</v>
      </c>
      <c r="C2605" s="895" t="s">
        <v>158</v>
      </c>
      <c r="D2605" s="895">
        <v>289.83999999999997</v>
      </c>
    </row>
    <row r="2606" spans="1:4" x14ac:dyDescent="0.2">
      <c r="A2606" s="895">
        <v>101211</v>
      </c>
      <c r="B2606" s="895" t="s">
        <v>20765</v>
      </c>
      <c r="C2606" s="895" t="s">
        <v>158</v>
      </c>
      <c r="D2606" s="895">
        <v>358.77</v>
      </c>
    </row>
    <row r="2607" spans="1:4" x14ac:dyDescent="0.2">
      <c r="A2607" s="895">
        <v>101212</v>
      </c>
      <c r="B2607" s="895" t="s">
        <v>20766</v>
      </c>
      <c r="C2607" s="895" t="s">
        <v>158</v>
      </c>
      <c r="D2607" s="895">
        <v>417.7</v>
      </c>
    </row>
    <row r="2608" spans="1:4" x14ac:dyDescent="0.2">
      <c r="A2608" s="895">
        <v>101213</v>
      </c>
      <c r="B2608" s="895" t="s">
        <v>20767</v>
      </c>
      <c r="C2608" s="895" t="s">
        <v>158</v>
      </c>
      <c r="D2608" s="895">
        <v>430.22</v>
      </c>
    </row>
    <row r="2609" spans="1:4" x14ac:dyDescent="0.2">
      <c r="A2609" s="895">
        <v>101214</v>
      </c>
      <c r="B2609" s="895" t="s">
        <v>20768</v>
      </c>
      <c r="C2609" s="895" t="s">
        <v>158</v>
      </c>
      <c r="D2609" s="895">
        <v>28.32</v>
      </c>
    </row>
    <row r="2610" spans="1:4" x14ac:dyDescent="0.2">
      <c r="A2610" s="895">
        <v>101215</v>
      </c>
      <c r="B2610" s="895" t="s">
        <v>20769</v>
      </c>
      <c r="C2610" s="895" t="s">
        <v>158</v>
      </c>
      <c r="D2610" s="895">
        <v>39.71</v>
      </c>
    </row>
    <row r="2611" spans="1:4" x14ac:dyDescent="0.2">
      <c r="A2611" s="895">
        <v>101216</v>
      </c>
      <c r="B2611" s="895" t="s">
        <v>20770</v>
      </c>
      <c r="C2611" s="895" t="s">
        <v>158</v>
      </c>
      <c r="D2611" s="895">
        <v>43.89</v>
      </c>
    </row>
    <row r="2612" spans="1:4" x14ac:dyDescent="0.2">
      <c r="A2612" s="895">
        <v>101217</v>
      </c>
      <c r="B2612" s="895" t="s">
        <v>20771</v>
      </c>
      <c r="C2612" s="895" t="s">
        <v>158</v>
      </c>
      <c r="D2612" s="895">
        <v>81.95</v>
      </c>
    </row>
    <row r="2613" spans="1:4" x14ac:dyDescent="0.2">
      <c r="A2613" s="895">
        <v>101218</v>
      </c>
      <c r="B2613" s="895" t="s">
        <v>20772</v>
      </c>
      <c r="C2613" s="895" t="s">
        <v>158</v>
      </c>
      <c r="D2613" s="895">
        <v>140.36000000000001</v>
      </c>
    </row>
    <row r="2614" spans="1:4" x14ac:dyDescent="0.2">
      <c r="A2614" s="895">
        <v>101226</v>
      </c>
      <c r="B2614" s="895" t="s">
        <v>20773</v>
      </c>
      <c r="C2614" s="895" t="s">
        <v>226</v>
      </c>
      <c r="D2614" s="895">
        <v>11.65</v>
      </c>
    </row>
    <row r="2615" spans="1:4" x14ac:dyDescent="0.2">
      <c r="A2615" s="895">
        <v>101227</v>
      </c>
      <c r="B2615" s="895" t="s">
        <v>20774</v>
      </c>
      <c r="C2615" s="895" t="s">
        <v>226</v>
      </c>
      <c r="D2615" s="895">
        <v>16.559999999999999</v>
      </c>
    </row>
    <row r="2616" spans="1:4" x14ac:dyDescent="0.2">
      <c r="A2616" s="895">
        <v>101228</v>
      </c>
      <c r="B2616" s="895" t="s">
        <v>20775</v>
      </c>
      <c r="C2616" s="895" t="s">
        <v>226</v>
      </c>
      <c r="D2616" s="895">
        <v>37.83</v>
      </c>
    </row>
    <row r="2617" spans="1:4" x14ac:dyDescent="0.2">
      <c r="A2617" s="895">
        <v>101229</v>
      </c>
      <c r="B2617" s="895" t="s">
        <v>20776</v>
      </c>
      <c r="C2617" s="895" t="s">
        <v>226</v>
      </c>
      <c r="D2617" s="895">
        <v>210.83</v>
      </c>
    </row>
    <row r="2618" spans="1:4" x14ac:dyDescent="0.2">
      <c r="A2618" s="895">
        <v>101230</v>
      </c>
      <c r="B2618" s="895" t="s">
        <v>20777</v>
      </c>
      <c r="C2618" s="895" t="s">
        <v>226</v>
      </c>
      <c r="D2618" s="895">
        <v>197.68</v>
      </c>
    </row>
    <row r="2619" spans="1:4" x14ac:dyDescent="0.2">
      <c r="A2619" s="895">
        <v>101231</v>
      </c>
      <c r="B2619" s="895" t="s">
        <v>20778</v>
      </c>
      <c r="C2619" s="895" t="s">
        <v>226</v>
      </c>
      <c r="D2619" s="895">
        <v>247.16</v>
      </c>
    </row>
    <row r="2620" spans="1:4" x14ac:dyDescent="0.2">
      <c r="A2620" s="895">
        <v>101232</v>
      </c>
      <c r="B2620" s="895" t="s">
        <v>20779</v>
      </c>
      <c r="C2620" s="895" t="s">
        <v>226</v>
      </c>
      <c r="D2620" s="895">
        <v>495.56</v>
      </c>
    </row>
    <row r="2621" spans="1:4" x14ac:dyDescent="0.2">
      <c r="A2621" s="895">
        <v>101234</v>
      </c>
      <c r="B2621" s="895" t="s">
        <v>20780</v>
      </c>
      <c r="C2621" s="895" t="s">
        <v>158</v>
      </c>
      <c r="D2621" s="895">
        <v>267.93</v>
      </c>
    </row>
    <row r="2622" spans="1:4" x14ac:dyDescent="0.2">
      <c r="A2622" s="895">
        <v>101280</v>
      </c>
      <c r="B2622" s="895" t="s">
        <v>19119</v>
      </c>
      <c r="C2622" s="895" t="s">
        <v>158</v>
      </c>
      <c r="D2622" s="895">
        <v>107.4</v>
      </c>
    </row>
    <row r="2623" spans="1:4" x14ac:dyDescent="0.2">
      <c r="A2623" s="895">
        <v>101281</v>
      </c>
      <c r="B2623" s="895" t="s">
        <v>19120</v>
      </c>
      <c r="C2623" s="895" t="s">
        <v>158</v>
      </c>
      <c r="D2623" s="895">
        <v>130.81</v>
      </c>
    </row>
    <row r="2624" spans="1:4" x14ac:dyDescent="0.2">
      <c r="A2624" s="895">
        <v>101282</v>
      </c>
      <c r="B2624" s="895" t="s">
        <v>19121</v>
      </c>
      <c r="C2624" s="895" t="s">
        <v>158</v>
      </c>
      <c r="D2624" s="895">
        <v>166.53</v>
      </c>
    </row>
    <row r="2625" spans="1:4" x14ac:dyDescent="0.2">
      <c r="A2625" s="895">
        <v>101283</v>
      </c>
      <c r="B2625" s="895" t="s">
        <v>19122</v>
      </c>
      <c r="C2625" s="895" t="s">
        <v>158</v>
      </c>
      <c r="D2625" s="895">
        <v>203.78</v>
      </c>
    </row>
    <row r="2626" spans="1:4" x14ac:dyDescent="0.2">
      <c r="A2626" s="895">
        <v>101290</v>
      </c>
      <c r="B2626" s="895" t="s">
        <v>19126</v>
      </c>
      <c r="C2626" s="895" t="s">
        <v>159</v>
      </c>
      <c r="D2626" s="895">
        <v>59.37</v>
      </c>
    </row>
    <row r="2627" spans="1:4" x14ac:dyDescent="0.2">
      <c r="A2627" s="895">
        <v>101291</v>
      </c>
      <c r="B2627" s="895" t="s">
        <v>19127</v>
      </c>
      <c r="C2627" s="895" t="s">
        <v>159</v>
      </c>
      <c r="D2627" s="895">
        <v>516.65</v>
      </c>
    </row>
    <row r="2628" spans="1:4" x14ac:dyDescent="0.2">
      <c r="A2628" s="895">
        <v>101292</v>
      </c>
      <c r="B2628" s="895" t="s">
        <v>19128</v>
      </c>
      <c r="C2628" s="895" t="s">
        <v>227</v>
      </c>
      <c r="D2628" s="895">
        <v>261.81</v>
      </c>
    </row>
    <row r="2629" spans="1:4" x14ac:dyDescent="0.2">
      <c r="A2629" s="895">
        <v>101293</v>
      </c>
      <c r="B2629" s="895" t="s">
        <v>19129</v>
      </c>
      <c r="C2629" s="895" t="s">
        <v>227</v>
      </c>
      <c r="D2629" s="895">
        <v>369.21</v>
      </c>
    </row>
    <row r="2630" spans="1:4" x14ac:dyDescent="0.2">
      <c r="A2630" s="895">
        <v>101294</v>
      </c>
      <c r="B2630" s="895" t="s">
        <v>19130</v>
      </c>
      <c r="C2630" s="895" t="s">
        <v>227</v>
      </c>
      <c r="D2630" s="895">
        <v>255.36</v>
      </c>
    </row>
    <row r="2631" spans="1:4" x14ac:dyDescent="0.2">
      <c r="A2631" s="895">
        <v>101298</v>
      </c>
      <c r="B2631" s="895" t="s">
        <v>20569</v>
      </c>
      <c r="C2631" s="895" t="s">
        <v>158</v>
      </c>
      <c r="D2631" s="895">
        <v>36.93</v>
      </c>
    </row>
    <row r="2632" spans="1:4" x14ac:dyDescent="0.2">
      <c r="A2632" s="895">
        <v>101300</v>
      </c>
      <c r="B2632" s="895" t="s">
        <v>20781</v>
      </c>
      <c r="C2632" s="895" t="s">
        <v>18269</v>
      </c>
      <c r="D2632" s="895" t="s">
        <v>18269</v>
      </c>
    </row>
    <row r="2633" spans="1:4" x14ac:dyDescent="0.2">
      <c r="A2633" s="895">
        <v>101301</v>
      </c>
      <c r="B2633" s="895" t="s">
        <v>20782</v>
      </c>
      <c r="C2633" s="895" t="s">
        <v>226</v>
      </c>
      <c r="D2633" s="895">
        <v>436.85</v>
      </c>
    </row>
    <row r="2634" spans="1:4" x14ac:dyDescent="0.2">
      <c r="A2634" s="895">
        <v>101303</v>
      </c>
      <c r="B2634" s="895" t="s">
        <v>20783</v>
      </c>
      <c r="C2634" s="895" t="s">
        <v>226</v>
      </c>
      <c r="D2634" s="895">
        <v>869.16</v>
      </c>
    </row>
    <row r="2635" spans="1:4" x14ac:dyDescent="0.2">
      <c r="A2635" s="895">
        <v>101304</v>
      </c>
      <c r="B2635" s="895" t="s">
        <v>20784</v>
      </c>
      <c r="C2635" s="895" t="s">
        <v>226</v>
      </c>
      <c r="D2635" s="895">
        <v>711.34</v>
      </c>
    </row>
    <row r="2636" spans="1:4" x14ac:dyDescent="0.2">
      <c r="A2636" s="895">
        <v>101305</v>
      </c>
      <c r="B2636" s="895" t="s">
        <v>20785</v>
      </c>
      <c r="C2636" s="895" t="s">
        <v>226</v>
      </c>
      <c r="D2636" s="895">
        <v>884.73</v>
      </c>
    </row>
    <row r="2637" spans="1:4" x14ac:dyDescent="0.2">
      <c r="A2637" s="895">
        <v>101308</v>
      </c>
      <c r="B2637" s="895" t="s">
        <v>20786</v>
      </c>
      <c r="C2637" s="895" t="s">
        <v>226</v>
      </c>
      <c r="D2637" s="895">
        <v>513.54999999999995</v>
      </c>
    </row>
    <row r="2638" spans="1:4" x14ac:dyDescent="0.2">
      <c r="A2638" s="895">
        <v>101314</v>
      </c>
      <c r="B2638" s="895" t="s">
        <v>20787</v>
      </c>
      <c r="C2638" s="895" t="s">
        <v>226</v>
      </c>
      <c r="D2638" s="895">
        <v>1190.45</v>
      </c>
    </row>
    <row r="2639" spans="1:4" x14ac:dyDescent="0.2">
      <c r="A2639" s="895">
        <v>101316</v>
      </c>
      <c r="B2639" s="895" t="s">
        <v>20788</v>
      </c>
      <c r="C2639" s="895" t="s">
        <v>226</v>
      </c>
      <c r="D2639" s="895">
        <v>384.94</v>
      </c>
    </row>
    <row r="2640" spans="1:4" x14ac:dyDescent="0.2">
      <c r="A2640" s="895">
        <v>101319</v>
      </c>
      <c r="B2640" s="895" t="s">
        <v>20789</v>
      </c>
      <c r="C2640" s="895" t="s">
        <v>158</v>
      </c>
      <c r="D2640" s="895">
        <v>2328.65</v>
      </c>
    </row>
    <row r="2641" spans="1:4" x14ac:dyDescent="0.2">
      <c r="A2641" s="895">
        <v>101325</v>
      </c>
      <c r="B2641" s="895" t="s">
        <v>20790</v>
      </c>
      <c r="C2641" s="895" t="s">
        <v>226</v>
      </c>
      <c r="D2641" s="895">
        <v>744.8</v>
      </c>
    </row>
    <row r="2642" spans="1:4" x14ac:dyDescent="0.2">
      <c r="A2642" s="895">
        <v>101336</v>
      </c>
      <c r="B2642" s="895" t="s">
        <v>20791</v>
      </c>
      <c r="C2642" s="895" t="s">
        <v>226</v>
      </c>
      <c r="D2642" s="895">
        <v>1898.65</v>
      </c>
    </row>
    <row r="2643" spans="1:4" x14ac:dyDescent="0.2">
      <c r="A2643" s="895">
        <v>101338</v>
      </c>
      <c r="B2643" s="895" t="s">
        <v>20792</v>
      </c>
      <c r="C2643" s="895" t="s">
        <v>158</v>
      </c>
      <c r="D2643" s="895">
        <v>1392.6</v>
      </c>
    </row>
    <row r="2644" spans="1:4" x14ac:dyDescent="0.2">
      <c r="A2644" s="895">
        <v>101339</v>
      </c>
      <c r="B2644" s="895" t="s">
        <v>20793</v>
      </c>
      <c r="C2644" s="895" t="s">
        <v>226</v>
      </c>
      <c r="D2644" s="895">
        <v>667.99</v>
      </c>
    </row>
    <row r="2645" spans="1:4" x14ac:dyDescent="0.2">
      <c r="A2645" s="895">
        <v>101340</v>
      </c>
      <c r="B2645" s="895" t="s">
        <v>20794</v>
      </c>
      <c r="C2645" s="895" t="s">
        <v>226</v>
      </c>
      <c r="D2645" s="895">
        <v>873.13</v>
      </c>
    </row>
    <row r="2646" spans="1:4" x14ac:dyDescent="0.2">
      <c r="A2646" s="895">
        <v>101350</v>
      </c>
      <c r="B2646" s="895" t="s">
        <v>20795</v>
      </c>
      <c r="C2646" s="895" t="s">
        <v>226</v>
      </c>
      <c r="D2646" s="895">
        <v>899.68</v>
      </c>
    </row>
    <row r="2647" spans="1:4" x14ac:dyDescent="0.2">
      <c r="A2647" s="895">
        <v>101351</v>
      </c>
      <c r="B2647" s="895" t="s">
        <v>20796</v>
      </c>
      <c r="C2647" s="895" t="s">
        <v>226</v>
      </c>
      <c r="D2647" s="895">
        <v>756.39</v>
      </c>
    </row>
    <row r="2648" spans="1:4" x14ac:dyDescent="0.2">
      <c r="A2648" s="895">
        <v>101352</v>
      </c>
      <c r="B2648" s="895" t="s">
        <v>20797</v>
      </c>
      <c r="C2648" s="895" t="s">
        <v>226</v>
      </c>
      <c r="D2648" s="895">
        <v>825.18</v>
      </c>
    </row>
    <row r="2649" spans="1:4" x14ac:dyDescent="0.2">
      <c r="A2649" s="895">
        <v>101353</v>
      </c>
      <c r="B2649" s="895" t="s">
        <v>20798</v>
      </c>
      <c r="C2649" s="895" t="s">
        <v>226</v>
      </c>
      <c r="D2649" s="895">
        <v>740.91</v>
      </c>
    </row>
    <row r="2650" spans="1:4" x14ac:dyDescent="0.2">
      <c r="A2650" s="895">
        <v>101355</v>
      </c>
      <c r="B2650" s="895" t="s">
        <v>20799</v>
      </c>
      <c r="C2650" s="895" t="s">
        <v>226</v>
      </c>
      <c r="D2650" s="895">
        <v>1267.56</v>
      </c>
    </row>
    <row r="2651" spans="1:4" x14ac:dyDescent="0.2">
      <c r="A2651" s="895">
        <v>101357</v>
      </c>
      <c r="B2651" s="895" t="s">
        <v>20800</v>
      </c>
      <c r="C2651" s="895" t="s">
        <v>226</v>
      </c>
      <c r="D2651" s="895">
        <v>1415.69</v>
      </c>
    </row>
    <row r="2652" spans="1:4" x14ac:dyDescent="0.2">
      <c r="A2652" s="895">
        <v>101358</v>
      </c>
      <c r="B2652" s="895" t="s">
        <v>20801</v>
      </c>
      <c r="C2652" s="895" t="s">
        <v>226</v>
      </c>
      <c r="D2652" s="895">
        <v>1720.32</v>
      </c>
    </row>
    <row r="2653" spans="1:4" x14ac:dyDescent="0.2">
      <c r="A2653" s="895">
        <v>101359</v>
      </c>
      <c r="B2653" s="895" t="s">
        <v>20802</v>
      </c>
      <c r="C2653" s="895" t="s">
        <v>226</v>
      </c>
      <c r="D2653" s="895">
        <v>1945.49</v>
      </c>
    </row>
    <row r="2654" spans="1:4" x14ac:dyDescent="0.2">
      <c r="A2654" s="895">
        <v>101360</v>
      </c>
      <c r="B2654" s="895" t="s">
        <v>20803</v>
      </c>
      <c r="C2654" s="895" t="s">
        <v>226</v>
      </c>
      <c r="D2654" s="895">
        <v>2242.7399999999998</v>
      </c>
    </row>
    <row r="2655" spans="1:4" x14ac:dyDescent="0.2">
      <c r="A2655" s="895">
        <v>101361</v>
      </c>
      <c r="B2655" s="895" t="s">
        <v>20804</v>
      </c>
      <c r="C2655" s="895" t="s">
        <v>226</v>
      </c>
      <c r="D2655" s="895">
        <v>933.67</v>
      </c>
    </row>
    <row r="2656" spans="1:4" x14ac:dyDescent="0.2">
      <c r="A2656" s="895">
        <v>101362</v>
      </c>
      <c r="B2656" s="895" t="s">
        <v>20805</v>
      </c>
      <c r="C2656" s="895" t="s">
        <v>226</v>
      </c>
      <c r="D2656" s="895">
        <v>1873.44</v>
      </c>
    </row>
    <row r="2657" spans="1:4" x14ac:dyDescent="0.2">
      <c r="A2657" s="895">
        <v>101370</v>
      </c>
      <c r="B2657" s="895" t="s">
        <v>20806</v>
      </c>
      <c r="C2657" s="895" t="s">
        <v>226</v>
      </c>
      <c r="D2657" s="895">
        <v>1611.47</v>
      </c>
    </row>
    <row r="2658" spans="1:4" x14ac:dyDescent="0.2">
      <c r="A2658" s="895">
        <v>101371</v>
      </c>
      <c r="B2658" s="895" t="s">
        <v>20807</v>
      </c>
      <c r="C2658" s="895" t="s">
        <v>226</v>
      </c>
      <c r="D2658" s="895">
        <v>1655.82</v>
      </c>
    </row>
    <row r="2659" spans="1:4" x14ac:dyDescent="0.2">
      <c r="A2659" s="895">
        <v>101378</v>
      </c>
      <c r="B2659" s="895" t="s">
        <v>20808</v>
      </c>
      <c r="C2659" s="895" t="s">
        <v>226</v>
      </c>
      <c r="D2659" s="895">
        <v>256.48</v>
      </c>
    </row>
    <row r="2660" spans="1:4" x14ac:dyDescent="0.2">
      <c r="A2660" s="895">
        <v>101400</v>
      </c>
      <c r="B2660" s="895" t="s">
        <v>20809</v>
      </c>
      <c r="C2660" s="895" t="s">
        <v>18269</v>
      </c>
      <c r="D2660" s="895" t="s">
        <v>18269</v>
      </c>
    </row>
    <row r="2661" spans="1:4" x14ac:dyDescent="0.2">
      <c r="A2661" s="895">
        <v>101403</v>
      </c>
      <c r="B2661" s="895" t="s">
        <v>20810</v>
      </c>
      <c r="C2661" s="895" t="s">
        <v>226</v>
      </c>
      <c r="D2661" s="895">
        <v>50.06</v>
      </c>
    </row>
    <row r="2662" spans="1:4" x14ac:dyDescent="0.2">
      <c r="A2662" s="895">
        <v>101404</v>
      </c>
      <c r="B2662" s="895" t="s">
        <v>20811</v>
      </c>
      <c r="C2662" s="895" t="s">
        <v>226</v>
      </c>
      <c r="D2662" s="895">
        <v>50.69</v>
      </c>
    </row>
    <row r="2663" spans="1:4" x14ac:dyDescent="0.2">
      <c r="A2663" s="895">
        <v>101408</v>
      </c>
      <c r="B2663" s="895" t="s">
        <v>20812</v>
      </c>
      <c r="C2663" s="895" t="s">
        <v>226</v>
      </c>
      <c r="D2663" s="895">
        <v>200.63</v>
      </c>
    </row>
    <row r="2664" spans="1:4" x14ac:dyDescent="0.2">
      <c r="A2664" s="895">
        <v>101409</v>
      </c>
      <c r="B2664" s="895" t="s">
        <v>20813</v>
      </c>
      <c r="C2664" s="895" t="s">
        <v>226</v>
      </c>
      <c r="D2664" s="895">
        <v>254.83</v>
      </c>
    </row>
    <row r="2665" spans="1:4" x14ac:dyDescent="0.2">
      <c r="A2665" s="895">
        <v>101410</v>
      </c>
      <c r="B2665" s="895" t="s">
        <v>20814</v>
      </c>
      <c r="C2665" s="895" t="s">
        <v>226</v>
      </c>
      <c r="D2665" s="895">
        <v>479.63</v>
      </c>
    </row>
    <row r="2666" spans="1:4" x14ac:dyDescent="0.2">
      <c r="A2666" s="895">
        <v>101411</v>
      </c>
      <c r="B2666" s="895" t="s">
        <v>20815</v>
      </c>
      <c r="C2666" s="895" t="s">
        <v>226</v>
      </c>
      <c r="D2666" s="895">
        <v>1664.21</v>
      </c>
    </row>
    <row r="2667" spans="1:4" x14ac:dyDescent="0.2">
      <c r="A2667" s="895">
        <v>101412</v>
      </c>
      <c r="B2667" s="895" t="s">
        <v>20816</v>
      </c>
      <c r="C2667" s="895" t="s">
        <v>226</v>
      </c>
      <c r="D2667" s="895">
        <v>483.45</v>
      </c>
    </row>
    <row r="2668" spans="1:4" x14ac:dyDescent="0.2">
      <c r="A2668" s="895">
        <v>101413</v>
      </c>
      <c r="B2668" s="895" t="s">
        <v>20817</v>
      </c>
      <c r="C2668" s="895" t="s">
        <v>226</v>
      </c>
      <c r="D2668" s="895">
        <v>371.61</v>
      </c>
    </row>
    <row r="2669" spans="1:4" x14ac:dyDescent="0.2">
      <c r="A2669" s="895">
        <v>101415</v>
      </c>
      <c r="B2669" s="895" t="s">
        <v>20818</v>
      </c>
      <c r="C2669" s="895" t="s">
        <v>226</v>
      </c>
      <c r="D2669" s="895">
        <v>116.02</v>
      </c>
    </row>
    <row r="2670" spans="1:4" x14ac:dyDescent="0.2">
      <c r="A2670" s="895">
        <v>101416</v>
      </c>
      <c r="B2670" s="895" t="s">
        <v>20819</v>
      </c>
      <c r="C2670" s="895" t="s">
        <v>226</v>
      </c>
      <c r="D2670" s="895">
        <v>497.58</v>
      </c>
    </row>
    <row r="2671" spans="1:4" x14ac:dyDescent="0.2">
      <c r="A2671" s="895">
        <v>101417</v>
      </c>
      <c r="B2671" s="895" t="s">
        <v>20820</v>
      </c>
      <c r="C2671" s="895" t="s">
        <v>226</v>
      </c>
      <c r="D2671" s="895">
        <v>300.85000000000002</v>
      </c>
    </row>
    <row r="2672" spans="1:4" x14ac:dyDescent="0.2">
      <c r="A2672" s="895">
        <v>101418</v>
      </c>
      <c r="B2672" s="895" t="s">
        <v>20821</v>
      </c>
      <c r="C2672" s="895" t="s">
        <v>226</v>
      </c>
      <c r="D2672" s="895">
        <v>173.26</v>
      </c>
    </row>
    <row r="2673" spans="1:4" x14ac:dyDescent="0.2">
      <c r="A2673" s="895">
        <v>101419</v>
      </c>
      <c r="B2673" s="895" t="s">
        <v>20822</v>
      </c>
      <c r="C2673" s="895" t="s">
        <v>226</v>
      </c>
      <c r="D2673" s="895">
        <v>807.15</v>
      </c>
    </row>
    <row r="2674" spans="1:4" x14ac:dyDescent="0.2">
      <c r="A2674" s="895">
        <v>101424</v>
      </c>
      <c r="B2674" s="895" t="s">
        <v>20823</v>
      </c>
      <c r="C2674" s="895" t="s">
        <v>226</v>
      </c>
      <c r="D2674" s="895">
        <v>418.19</v>
      </c>
    </row>
    <row r="2675" spans="1:4" x14ac:dyDescent="0.2">
      <c r="A2675" s="895">
        <v>101425</v>
      </c>
      <c r="B2675" s="895" t="s">
        <v>20824</v>
      </c>
      <c r="C2675" s="895" t="s">
        <v>226</v>
      </c>
      <c r="D2675" s="895">
        <v>373.64</v>
      </c>
    </row>
    <row r="2676" spans="1:4" x14ac:dyDescent="0.2">
      <c r="A2676" s="895">
        <v>101426</v>
      </c>
      <c r="B2676" s="895" t="s">
        <v>20825</v>
      </c>
      <c r="C2676" s="895" t="s">
        <v>226</v>
      </c>
      <c r="D2676" s="895">
        <v>324.20999999999998</v>
      </c>
    </row>
    <row r="2677" spans="1:4" x14ac:dyDescent="0.2">
      <c r="A2677" s="895">
        <v>101430</v>
      </c>
      <c r="B2677" s="895" t="s">
        <v>20826</v>
      </c>
      <c r="C2677" s="895" t="s">
        <v>226</v>
      </c>
      <c r="D2677" s="895">
        <v>936.87</v>
      </c>
    </row>
    <row r="2678" spans="1:4" x14ac:dyDescent="0.2">
      <c r="A2678" s="895">
        <v>101431</v>
      </c>
      <c r="B2678" s="895" t="s">
        <v>20827</v>
      </c>
      <c r="C2678" s="895" t="s">
        <v>226</v>
      </c>
      <c r="D2678" s="895">
        <v>673.09</v>
      </c>
    </row>
    <row r="2679" spans="1:4" x14ac:dyDescent="0.2">
      <c r="A2679" s="895">
        <v>101432</v>
      </c>
      <c r="B2679" s="895" t="s">
        <v>20828</v>
      </c>
      <c r="C2679" s="895" t="s">
        <v>226</v>
      </c>
      <c r="D2679" s="895">
        <v>807.45</v>
      </c>
    </row>
    <row r="2680" spans="1:4" x14ac:dyDescent="0.2">
      <c r="A2680" s="895">
        <v>101433</v>
      </c>
      <c r="B2680" s="895" t="s">
        <v>20829</v>
      </c>
      <c r="C2680" s="895" t="s">
        <v>226</v>
      </c>
      <c r="D2680" s="895">
        <v>427.47</v>
      </c>
    </row>
    <row r="2681" spans="1:4" x14ac:dyDescent="0.2">
      <c r="A2681" s="895">
        <v>101437</v>
      </c>
      <c r="B2681" s="895" t="s">
        <v>20830</v>
      </c>
      <c r="C2681" s="895" t="s">
        <v>226</v>
      </c>
      <c r="D2681" s="895">
        <v>285.16000000000003</v>
      </c>
    </row>
    <row r="2682" spans="1:4" x14ac:dyDescent="0.2">
      <c r="A2682" s="895">
        <v>101440</v>
      </c>
      <c r="B2682" s="895" t="s">
        <v>20831</v>
      </c>
      <c r="C2682" s="895" t="s">
        <v>226</v>
      </c>
      <c r="D2682" s="895">
        <v>241.49</v>
      </c>
    </row>
    <row r="2683" spans="1:4" x14ac:dyDescent="0.2">
      <c r="A2683" s="895">
        <v>101442</v>
      </c>
      <c r="B2683" s="895" t="s">
        <v>20832</v>
      </c>
      <c r="C2683" s="895" t="s">
        <v>226</v>
      </c>
      <c r="D2683" s="895">
        <v>160.62</v>
      </c>
    </row>
    <row r="2684" spans="1:4" x14ac:dyDescent="0.2">
      <c r="A2684" s="895">
        <v>101444</v>
      </c>
      <c r="B2684" s="895" t="s">
        <v>20833</v>
      </c>
      <c r="C2684" s="895" t="s">
        <v>226</v>
      </c>
      <c r="D2684" s="895">
        <v>509.32</v>
      </c>
    </row>
    <row r="2685" spans="1:4" x14ac:dyDescent="0.2">
      <c r="A2685" s="895">
        <v>101445</v>
      </c>
      <c r="B2685" s="895" t="s">
        <v>20834</v>
      </c>
      <c r="C2685" s="895" t="s">
        <v>226</v>
      </c>
      <c r="D2685" s="895">
        <v>820.34</v>
      </c>
    </row>
    <row r="2686" spans="1:4" x14ac:dyDescent="0.2">
      <c r="A2686" s="895">
        <v>101448</v>
      </c>
      <c r="B2686" s="895" t="s">
        <v>20835</v>
      </c>
      <c r="C2686" s="895" t="s">
        <v>226</v>
      </c>
      <c r="D2686" s="895">
        <v>553.66999999999996</v>
      </c>
    </row>
    <row r="2687" spans="1:4" x14ac:dyDescent="0.2">
      <c r="A2687" s="895">
        <v>101449</v>
      </c>
      <c r="B2687" s="895" t="s">
        <v>20836</v>
      </c>
      <c r="C2687" s="895" t="s">
        <v>226</v>
      </c>
      <c r="D2687" s="895">
        <v>337.45</v>
      </c>
    </row>
    <row r="2688" spans="1:4" x14ac:dyDescent="0.2">
      <c r="A2688" s="895">
        <v>101452</v>
      </c>
      <c r="B2688" s="895" t="s">
        <v>20837</v>
      </c>
      <c r="C2688" s="895" t="s">
        <v>226</v>
      </c>
      <c r="D2688" s="895">
        <v>75.33</v>
      </c>
    </row>
    <row r="2689" spans="1:4" x14ac:dyDescent="0.2">
      <c r="A2689" s="895">
        <v>101466</v>
      </c>
      <c r="B2689" s="895" t="s">
        <v>20838</v>
      </c>
      <c r="C2689" s="895" t="s">
        <v>226</v>
      </c>
      <c r="D2689" s="895">
        <v>265.72000000000003</v>
      </c>
    </row>
    <row r="2690" spans="1:4" x14ac:dyDescent="0.2">
      <c r="A2690" s="895">
        <v>101473</v>
      </c>
      <c r="B2690" s="895" t="s">
        <v>20839</v>
      </c>
      <c r="C2690" s="895" t="s">
        <v>158</v>
      </c>
      <c r="D2690" s="895">
        <v>85.37</v>
      </c>
    </row>
    <row r="2691" spans="1:4" x14ac:dyDescent="0.2">
      <c r="A2691" s="895">
        <v>101474</v>
      </c>
      <c r="B2691" s="895" t="s">
        <v>20840</v>
      </c>
      <c r="C2691" s="895" t="s">
        <v>158</v>
      </c>
      <c r="D2691" s="895">
        <v>84.8</v>
      </c>
    </row>
    <row r="2692" spans="1:4" x14ac:dyDescent="0.2">
      <c r="A2692" s="895">
        <v>101475</v>
      </c>
      <c r="B2692" s="895" t="s">
        <v>20841</v>
      </c>
      <c r="C2692" s="895" t="s">
        <v>227</v>
      </c>
      <c r="D2692" s="895">
        <v>546.4</v>
      </c>
    </row>
    <row r="2693" spans="1:4" x14ac:dyDescent="0.2">
      <c r="A2693" s="895">
        <v>101476</v>
      </c>
      <c r="B2693" s="895" t="s">
        <v>20842</v>
      </c>
      <c r="C2693" s="895" t="s">
        <v>227</v>
      </c>
      <c r="D2693" s="895">
        <v>620.6</v>
      </c>
    </row>
    <row r="2694" spans="1:4" x14ac:dyDescent="0.2">
      <c r="A2694" s="895">
        <v>101477</v>
      </c>
      <c r="B2694" s="895" t="s">
        <v>20843</v>
      </c>
      <c r="C2694" s="895" t="s">
        <v>227</v>
      </c>
      <c r="D2694" s="895">
        <v>621.70000000000005</v>
      </c>
    </row>
    <row r="2695" spans="1:4" x14ac:dyDescent="0.2">
      <c r="A2695" s="895">
        <v>101478</v>
      </c>
      <c r="B2695" s="895" t="s">
        <v>20844</v>
      </c>
      <c r="C2695" s="895" t="s">
        <v>227</v>
      </c>
      <c r="D2695" s="895">
        <v>893.93</v>
      </c>
    </row>
    <row r="2696" spans="1:4" x14ac:dyDescent="0.2">
      <c r="A2696" s="895">
        <v>101482</v>
      </c>
      <c r="B2696" s="895" t="s">
        <v>20845</v>
      </c>
      <c r="C2696" s="895" t="s">
        <v>227</v>
      </c>
      <c r="D2696" s="895">
        <v>633.86</v>
      </c>
    </row>
    <row r="2697" spans="1:4" x14ac:dyDescent="0.2">
      <c r="A2697" s="895">
        <v>101486</v>
      </c>
      <c r="B2697" s="895" t="s">
        <v>20846</v>
      </c>
      <c r="C2697" s="895" t="s">
        <v>227</v>
      </c>
      <c r="D2697" s="895">
        <v>1652.75</v>
      </c>
    </row>
    <row r="2698" spans="1:4" x14ac:dyDescent="0.2">
      <c r="A2698" s="895">
        <v>101488</v>
      </c>
      <c r="B2698" s="895" t="s">
        <v>20847</v>
      </c>
      <c r="C2698" s="895" t="s">
        <v>227</v>
      </c>
      <c r="D2698" s="895">
        <v>198.86</v>
      </c>
    </row>
    <row r="2699" spans="1:4" x14ac:dyDescent="0.2">
      <c r="A2699" s="895">
        <v>101489</v>
      </c>
      <c r="B2699" s="895" t="s">
        <v>20848</v>
      </c>
      <c r="C2699" s="895" t="s">
        <v>227</v>
      </c>
      <c r="D2699" s="895">
        <v>202.94</v>
      </c>
    </row>
    <row r="2700" spans="1:4" x14ac:dyDescent="0.2">
      <c r="A2700" s="895">
        <v>101491</v>
      </c>
      <c r="B2700" s="895" t="s">
        <v>20849</v>
      </c>
      <c r="C2700" s="895" t="s">
        <v>226</v>
      </c>
      <c r="D2700" s="895">
        <v>59.72</v>
      </c>
    </row>
    <row r="2701" spans="1:4" x14ac:dyDescent="0.2">
      <c r="A2701" s="895">
        <v>101497</v>
      </c>
      <c r="B2701" s="895" t="s">
        <v>20850</v>
      </c>
      <c r="C2701" s="895" t="s">
        <v>226</v>
      </c>
      <c r="D2701" s="895">
        <v>79.17</v>
      </c>
    </row>
    <row r="2702" spans="1:4" x14ac:dyDescent="0.2">
      <c r="A2702" s="895">
        <v>105000</v>
      </c>
      <c r="B2702" s="895" t="s">
        <v>19214</v>
      </c>
      <c r="C2702" s="895" t="s">
        <v>18269</v>
      </c>
      <c r="D2702" s="895" t="s">
        <v>18269</v>
      </c>
    </row>
    <row r="2703" spans="1:4" x14ac:dyDescent="0.2">
      <c r="A2703" s="895">
        <v>105001</v>
      </c>
      <c r="B2703" s="895" t="s">
        <v>20851</v>
      </c>
      <c r="C2703" s="895" t="s">
        <v>158</v>
      </c>
      <c r="D2703" s="895">
        <v>6.6</v>
      </c>
    </row>
    <row r="2704" spans="1:4" x14ac:dyDescent="0.2">
      <c r="A2704" s="895">
        <v>105002</v>
      </c>
      <c r="B2704" s="895" t="s">
        <v>20852</v>
      </c>
      <c r="C2704" s="895" t="s">
        <v>158</v>
      </c>
      <c r="D2704" s="895">
        <v>11</v>
      </c>
    </row>
    <row r="2705" spans="1:4" x14ac:dyDescent="0.2">
      <c r="A2705" s="895">
        <v>105003</v>
      </c>
      <c r="B2705" s="895" t="s">
        <v>20853</v>
      </c>
      <c r="C2705" s="895" t="s">
        <v>158</v>
      </c>
      <c r="D2705" s="895">
        <v>5.5</v>
      </c>
    </row>
    <row r="2706" spans="1:4" x14ac:dyDescent="0.2">
      <c r="A2706" s="895">
        <v>105004</v>
      </c>
      <c r="B2706" s="895" t="s">
        <v>20854</v>
      </c>
      <c r="C2706" s="895" t="s">
        <v>158</v>
      </c>
      <c r="D2706" s="895">
        <v>9.9</v>
      </c>
    </row>
    <row r="2707" spans="1:4" x14ac:dyDescent="0.2">
      <c r="A2707" s="895">
        <v>105005</v>
      </c>
      <c r="B2707" s="895" t="s">
        <v>20855</v>
      </c>
      <c r="C2707" s="895" t="s">
        <v>158</v>
      </c>
      <c r="D2707" s="895">
        <v>6.6</v>
      </c>
    </row>
    <row r="2708" spans="1:4" x14ac:dyDescent="0.2">
      <c r="A2708" s="895">
        <v>105018</v>
      </c>
      <c r="B2708" s="895" t="s">
        <v>20856</v>
      </c>
      <c r="C2708" s="895" t="s">
        <v>226</v>
      </c>
      <c r="D2708" s="895">
        <v>5.5</v>
      </c>
    </row>
    <row r="2709" spans="1:4" x14ac:dyDescent="0.2">
      <c r="A2709" s="895">
        <v>105032</v>
      </c>
      <c r="B2709" s="895" t="s">
        <v>20857</v>
      </c>
      <c r="C2709" s="895" t="s">
        <v>158</v>
      </c>
      <c r="D2709" s="895">
        <v>5.0599999999999996</v>
      </c>
    </row>
    <row r="2710" spans="1:4" x14ac:dyDescent="0.2">
      <c r="A2710" s="895">
        <v>105033</v>
      </c>
      <c r="B2710" s="895" t="s">
        <v>20858</v>
      </c>
      <c r="C2710" s="895" t="s">
        <v>158</v>
      </c>
      <c r="D2710" s="895">
        <v>3.3</v>
      </c>
    </row>
    <row r="2711" spans="1:4" x14ac:dyDescent="0.2">
      <c r="A2711" s="895">
        <v>106000</v>
      </c>
      <c r="B2711" s="895" t="s">
        <v>19341</v>
      </c>
      <c r="C2711" s="895" t="s">
        <v>18269</v>
      </c>
      <c r="D2711" s="895" t="s">
        <v>18269</v>
      </c>
    </row>
    <row r="2712" spans="1:4" x14ac:dyDescent="0.2">
      <c r="A2712" s="895">
        <v>106001</v>
      </c>
      <c r="B2712" s="895" t="s">
        <v>20859</v>
      </c>
      <c r="C2712" s="895" t="s">
        <v>158</v>
      </c>
      <c r="D2712" s="895">
        <v>13.42</v>
      </c>
    </row>
    <row r="2713" spans="1:4" x14ac:dyDescent="0.2">
      <c r="A2713" s="895">
        <v>106002</v>
      </c>
      <c r="B2713" s="895" t="s">
        <v>20860</v>
      </c>
      <c r="C2713" s="895" t="s">
        <v>158</v>
      </c>
      <c r="D2713" s="895">
        <v>16.100000000000001</v>
      </c>
    </row>
    <row r="2714" spans="1:4" x14ac:dyDescent="0.2">
      <c r="A2714" s="895">
        <v>106003</v>
      </c>
      <c r="B2714" s="895" t="s">
        <v>20861</v>
      </c>
      <c r="C2714" s="895" t="s">
        <v>158</v>
      </c>
      <c r="D2714" s="895">
        <v>12.08</v>
      </c>
    </row>
    <row r="2715" spans="1:4" x14ac:dyDescent="0.2">
      <c r="A2715" s="895">
        <v>106004</v>
      </c>
      <c r="B2715" s="895" t="s">
        <v>20862</v>
      </c>
      <c r="C2715" s="895" t="s">
        <v>158</v>
      </c>
      <c r="D2715" s="895">
        <v>14.76</v>
      </c>
    </row>
    <row r="2716" spans="1:4" x14ac:dyDescent="0.2">
      <c r="A2716" s="895">
        <v>106005</v>
      </c>
      <c r="B2716" s="895" t="s">
        <v>20863</v>
      </c>
      <c r="C2716" s="895" t="s">
        <v>158</v>
      </c>
      <c r="D2716" s="895">
        <v>13.42</v>
      </c>
    </row>
    <row r="2717" spans="1:4" x14ac:dyDescent="0.2">
      <c r="A2717" s="895">
        <v>106006</v>
      </c>
      <c r="B2717" s="895" t="s">
        <v>20864</v>
      </c>
      <c r="C2717" s="895" t="s">
        <v>158</v>
      </c>
      <c r="D2717" s="895">
        <v>16.100000000000001</v>
      </c>
    </row>
    <row r="2718" spans="1:4" x14ac:dyDescent="0.2">
      <c r="A2718" s="895">
        <v>106007</v>
      </c>
      <c r="B2718" s="895" t="s">
        <v>20865</v>
      </c>
      <c r="C2718" s="895" t="s">
        <v>158</v>
      </c>
      <c r="D2718" s="895">
        <v>13.42</v>
      </c>
    </row>
    <row r="2719" spans="1:4" x14ac:dyDescent="0.2">
      <c r="A2719" s="895">
        <v>106008</v>
      </c>
      <c r="B2719" s="895" t="s">
        <v>20866</v>
      </c>
      <c r="C2719" s="895" t="s">
        <v>158</v>
      </c>
      <c r="D2719" s="895">
        <v>16.100000000000001</v>
      </c>
    </row>
    <row r="2720" spans="1:4" x14ac:dyDescent="0.2">
      <c r="A2720" s="895">
        <v>106009</v>
      </c>
      <c r="B2720" s="895" t="s">
        <v>20867</v>
      </c>
      <c r="C2720" s="895" t="s">
        <v>158</v>
      </c>
      <c r="D2720" s="895">
        <v>12.08</v>
      </c>
    </row>
    <row r="2721" spans="1:4" x14ac:dyDescent="0.2">
      <c r="A2721" s="895">
        <v>106010</v>
      </c>
      <c r="B2721" s="895" t="s">
        <v>20868</v>
      </c>
      <c r="C2721" s="895" t="s">
        <v>158</v>
      </c>
      <c r="D2721" s="895">
        <v>14.76</v>
      </c>
    </row>
    <row r="2722" spans="1:4" x14ac:dyDescent="0.2">
      <c r="A2722" s="895">
        <v>106011</v>
      </c>
      <c r="B2722" s="895" t="s">
        <v>20869</v>
      </c>
      <c r="C2722" s="895" t="s">
        <v>158</v>
      </c>
      <c r="D2722" s="895">
        <v>18.79</v>
      </c>
    </row>
    <row r="2723" spans="1:4" x14ac:dyDescent="0.2">
      <c r="A2723" s="895">
        <v>106012</v>
      </c>
      <c r="B2723" s="895" t="s">
        <v>20870</v>
      </c>
      <c r="C2723" s="895" t="s">
        <v>158</v>
      </c>
      <c r="D2723" s="895">
        <v>21.47</v>
      </c>
    </row>
    <row r="2724" spans="1:4" x14ac:dyDescent="0.2">
      <c r="A2724" s="895">
        <v>106015</v>
      </c>
      <c r="B2724" s="895" t="s">
        <v>20871</v>
      </c>
      <c r="C2724" s="895" t="s">
        <v>226</v>
      </c>
      <c r="D2724" s="895">
        <v>146.47999999999999</v>
      </c>
    </row>
    <row r="2725" spans="1:4" x14ac:dyDescent="0.2">
      <c r="A2725" s="895">
        <v>106018</v>
      </c>
      <c r="B2725" s="895" t="s">
        <v>20872</v>
      </c>
      <c r="C2725" s="895" t="s">
        <v>226</v>
      </c>
      <c r="D2725" s="895">
        <v>107.46</v>
      </c>
    </row>
    <row r="2726" spans="1:4" x14ac:dyDescent="0.2">
      <c r="A2726" s="895">
        <v>106022</v>
      </c>
      <c r="B2726" s="895" t="s">
        <v>20873</v>
      </c>
      <c r="C2726" s="895" t="s">
        <v>226</v>
      </c>
      <c r="D2726" s="895">
        <v>29.52</v>
      </c>
    </row>
    <row r="2727" spans="1:4" x14ac:dyDescent="0.2">
      <c r="A2727" s="895">
        <v>106024</v>
      </c>
      <c r="B2727" s="895" t="s">
        <v>20874</v>
      </c>
      <c r="C2727" s="895" t="s">
        <v>226</v>
      </c>
      <c r="D2727" s="895">
        <v>214.7</v>
      </c>
    </row>
    <row r="2728" spans="1:4" x14ac:dyDescent="0.2">
      <c r="A2728" s="895">
        <v>106026</v>
      </c>
      <c r="B2728" s="895" t="s">
        <v>20875</v>
      </c>
      <c r="C2728" s="895" t="s">
        <v>226</v>
      </c>
      <c r="D2728" s="895">
        <v>14.76</v>
      </c>
    </row>
    <row r="2729" spans="1:4" x14ac:dyDescent="0.2">
      <c r="A2729" s="895">
        <v>106029</v>
      </c>
      <c r="B2729" s="895" t="s">
        <v>20876</v>
      </c>
      <c r="C2729" s="895" t="s">
        <v>226</v>
      </c>
      <c r="D2729" s="895">
        <v>80.510000000000005</v>
      </c>
    </row>
    <row r="2730" spans="1:4" x14ac:dyDescent="0.2">
      <c r="A2730" s="895">
        <v>106032</v>
      </c>
      <c r="B2730" s="895" t="s">
        <v>20877</v>
      </c>
      <c r="C2730" s="895" t="s">
        <v>158</v>
      </c>
      <c r="D2730" s="895">
        <v>6.71</v>
      </c>
    </row>
    <row r="2731" spans="1:4" x14ac:dyDescent="0.2">
      <c r="A2731" s="895">
        <v>106033</v>
      </c>
      <c r="B2731" s="895" t="s">
        <v>20878</v>
      </c>
      <c r="C2731" s="895" t="s">
        <v>158</v>
      </c>
      <c r="D2731" s="895">
        <v>4.29</v>
      </c>
    </row>
    <row r="2732" spans="1:4" x14ac:dyDescent="0.2">
      <c r="A2732" s="895">
        <v>106035</v>
      </c>
      <c r="B2732" s="895" t="s">
        <v>20879</v>
      </c>
      <c r="C2732" s="895" t="s">
        <v>226</v>
      </c>
      <c r="D2732" s="895">
        <v>40.26</v>
      </c>
    </row>
    <row r="2733" spans="1:4" x14ac:dyDescent="0.2">
      <c r="A2733" s="895">
        <v>106040</v>
      </c>
      <c r="B2733" s="895" t="s">
        <v>20880</v>
      </c>
      <c r="C2733" s="895" t="s">
        <v>226</v>
      </c>
      <c r="D2733" s="895">
        <v>10.73</v>
      </c>
    </row>
    <row r="2734" spans="1:4" x14ac:dyDescent="0.2">
      <c r="A2734" s="895">
        <v>106042</v>
      </c>
      <c r="B2734" s="895" t="s">
        <v>20881</v>
      </c>
      <c r="C2734" s="895" t="s">
        <v>226</v>
      </c>
      <c r="D2734" s="895">
        <v>6.98</v>
      </c>
    </row>
    <row r="2735" spans="1:4" x14ac:dyDescent="0.2">
      <c r="A2735" s="895">
        <v>106045</v>
      </c>
      <c r="B2735" s="895" t="s">
        <v>20882</v>
      </c>
      <c r="C2735" s="895" t="s">
        <v>226</v>
      </c>
      <c r="D2735" s="895">
        <v>20.399999999999999</v>
      </c>
    </row>
    <row r="2736" spans="1:4" x14ac:dyDescent="0.2">
      <c r="A2736" s="895">
        <v>106050</v>
      </c>
      <c r="B2736" s="895" t="s">
        <v>20883</v>
      </c>
      <c r="C2736" s="895" t="s">
        <v>227</v>
      </c>
      <c r="D2736" s="895">
        <v>12.26</v>
      </c>
    </row>
    <row r="2737" spans="1:4" x14ac:dyDescent="0.2">
      <c r="A2737" s="895">
        <v>107000</v>
      </c>
      <c r="B2737" s="895" t="s">
        <v>19348</v>
      </c>
      <c r="C2737" s="895" t="s">
        <v>18269</v>
      </c>
      <c r="D2737" s="895" t="s">
        <v>18269</v>
      </c>
    </row>
    <row r="2738" spans="1:4" x14ac:dyDescent="0.2">
      <c r="A2738" s="895">
        <v>107018</v>
      </c>
      <c r="B2738" s="895" t="s">
        <v>20884</v>
      </c>
      <c r="C2738" s="895" t="s">
        <v>226</v>
      </c>
      <c r="D2738" s="895">
        <v>99.35</v>
      </c>
    </row>
    <row r="2739" spans="1:4" x14ac:dyDescent="0.2">
      <c r="A2739" s="895">
        <v>107022</v>
      </c>
      <c r="B2739" s="895" t="s">
        <v>20885</v>
      </c>
      <c r="C2739" s="895" t="s">
        <v>226</v>
      </c>
      <c r="D2739" s="895">
        <v>51.16</v>
      </c>
    </row>
    <row r="2740" spans="1:4" x14ac:dyDescent="0.2">
      <c r="A2740" s="895">
        <v>107024</v>
      </c>
      <c r="B2740" s="895" t="s">
        <v>20886</v>
      </c>
      <c r="C2740" s="895" t="s">
        <v>226</v>
      </c>
      <c r="D2740" s="895">
        <v>195.31</v>
      </c>
    </row>
    <row r="2741" spans="1:4" x14ac:dyDescent="0.2">
      <c r="A2741" s="895">
        <v>107026</v>
      </c>
      <c r="B2741" s="895" t="s">
        <v>20887</v>
      </c>
      <c r="C2741" s="895" t="s">
        <v>226</v>
      </c>
      <c r="D2741" s="895">
        <v>94.79</v>
      </c>
    </row>
    <row r="2742" spans="1:4" x14ac:dyDescent="0.2">
      <c r="A2742" s="895">
        <v>107029</v>
      </c>
      <c r="B2742" s="895" t="s">
        <v>20888</v>
      </c>
      <c r="C2742" s="895" t="s">
        <v>226</v>
      </c>
      <c r="D2742" s="895">
        <v>253.9</v>
      </c>
    </row>
    <row r="2743" spans="1:4" x14ac:dyDescent="0.2">
      <c r="A2743" s="895">
        <v>107032</v>
      </c>
      <c r="B2743" s="895" t="s">
        <v>20889</v>
      </c>
      <c r="C2743" s="895" t="s">
        <v>158</v>
      </c>
      <c r="D2743" s="895">
        <v>65.180000000000007</v>
      </c>
    </row>
    <row r="2744" spans="1:4" x14ac:dyDescent="0.2">
      <c r="A2744" s="895">
        <v>107033</v>
      </c>
      <c r="B2744" s="895" t="s">
        <v>20890</v>
      </c>
      <c r="C2744" s="895" t="s">
        <v>158</v>
      </c>
      <c r="D2744" s="895">
        <v>53.3</v>
      </c>
    </row>
    <row r="2745" spans="1:4" x14ac:dyDescent="0.2">
      <c r="A2745" s="895">
        <v>107035</v>
      </c>
      <c r="B2745" s="895" t="s">
        <v>20891</v>
      </c>
      <c r="C2745" s="895" t="s">
        <v>226</v>
      </c>
      <c r="D2745" s="895">
        <v>146.47999999999999</v>
      </c>
    </row>
    <row r="2746" spans="1:4" x14ac:dyDescent="0.2">
      <c r="A2746" s="895">
        <v>107040</v>
      </c>
      <c r="B2746" s="895" t="s">
        <v>20892</v>
      </c>
      <c r="C2746" s="895" t="s">
        <v>226</v>
      </c>
      <c r="D2746" s="895">
        <v>24.41</v>
      </c>
    </row>
    <row r="2747" spans="1:4" x14ac:dyDescent="0.2">
      <c r="A2747" s="895">
        <v>107042</v>
      </c>
      <c r="B2747" s="895" t="s">
        <v>20893</v>
      </c>
      <c r="C2747" s="895" t="s">
        <v>226</v>
      </c>
      <c r="D2747" s="895">
        <v>13.42</v>
      </c>
    </row>
    <row r="2748" spans="1:4" x14ac:dyDescent="0.2">
      <c r="A2748" s="895">
        <v>107045</v>
      </c>
      <c r="B2748" s="895" t="s">
        <v>20894</v>
      </c>
      <c r="C2748" s="895" t="s">
        <v>226</v>
      </c>
      <c r="D2748" s="895">
        <v>122.07</v>
      </c>
    </row>
    <row r="2749" spans="1:4" x14ac:dyDescent="0.2">
      <c r="A2749" s="895">
        <v>108000</v>
      </c>
      <c r="B2749" s="895" t="s">
        <v>19393</v>
      </c>
      <c r="C2749" s="895" t="s">
        <v>18269</v>
      </c>
      <c r="D2749" s="895" t="s">
        <v>18269</v>
      </c>
    </row>
    <row r="2750" spans="1:4" x14ac:dyDescent="0.2">
      <c r="A2750" s="895">
        <v>108070</v>
      </c>
      <c r="B2750" s="895" t="s">
        <v>20895</v>
      </c>
      <c r="C2750" s="895" t="s">
        <v>226</v>
      </c>
      <c r="D2750" s="895">
        <v>48.2</v>
      </c>
    </row>
    <row r="2751" spans="1:4" x14ac:dyDescent="0.2">
      <c r="A2751" s="895">
        <v>108072</v>
      </c>
      <c r="B2751" s="895" t="s">
        <v>20896</v>
      </c>
      <c r="C2751" s="895" t="s">
        <v>226</v>
      </c>
      <c r="D2751" s="895">
        <v>191.15</v>
      </c>
    </row>
    <row r="2752" spans="1:4" x14ac:dyDescent="0.2">
      <c r="A2752" s="895">
        <v>108073</v>
      </c>
      <c r="B2752" s="895" t="s">
        <v>20897</v>
      </c>
      <c r="C2752" s="895" t="s">
        <v>226</v>
      </c>
      <c r="D2752" s="895">
        <v>232.71</v>
      </c>
    </row>
    <row r="2753" spans="1:4" x14ac:dyDescent="0.2">
      <c r="A2753" s="895">
        <v>108074</v>
      </c>
      <c r="B2753" s="895" t="s">
        <v>20898</v>
      </c>
      <c r="C2753" s="895" t="s">
        <v>226</v>
      </c>
      <c r="D2753" s="895">
        <v>146.68</v>
      </c>
    </row>
    <row r="2754" spans="1:4" x14ac:dyDescent="0.2">
      <c r="A2754" s="895">
        <v>108076</v>
      </c>
      <c r="B2754" s="895" t="s">
        <v>20899</v>
      </c>
      <c r="C2754" s="895" t="s">
        <v>226</v>
      </c>
      <c r="D2754" s="895">
        <v>20.53</v>
      </c>
    </row>
    <row r="2755" spans="1:4" x14ac:dyDescent="0.2">
      <c r="A2755" s="895">
        <v>108081</v>
      </c>
      <c r="B2755" s="895" t="s">
        <v>20900</v>
      </c>
      <c r="C2755" s="895" t="s">
        <v>226</v>
      </c>
      <c r="D2755" s="895">
        <v>34.409999999999997</v>
      </c>
    </row>
    <row r="2756" spans="1:4" x14ac:dyDescent="0.2">
      <c r="A2756" s="895">
        <v>108086</v>
      </c>
      <c r="B2756" s="895" t="s">
        <v>20901</v>
      </c>
      <c r="C2756" s="895" t="s">
        <v>226</v>
      </c>
      <c r="D2756" s="895">
        <v>60.5</v>
      </c>
    </row>
    <row r="2757" spans="1:4" x14ac:dyDescent="0.2">
      <c r="A2757" s="895">
        <v>108093</v>
      </c>
      <c r="B2757" s="895" t="s">
        <v>20902</v>
      </c>
      <c r="C2757" s="895" t="s">
        <v>226</v>
      </c>
      <c r="D2757" s="895">
        <v>69.239999999999995</v>
      </c>
    </row>
    <row r="2758" spans="1:4" x14ac:dyDescent="0.2">
      <c r="A2758" s="895">
        <v>108097</v>
      </c>
      <c r="B2758" s="895" t="s">
        <v>20903</v>
      </c>
      <c r="C2758" s="895" t="s">
        <v>226</v>
      </c>
      <c r="D2758" s="895">
        <v>41.94</v>
      </c>
    </row>
    <row r="2759" spans="1:4" x14ac:dyDescent="0.2">
      <c r="A2759" s="895">
        <v>109000</v>
      </c>
      <c r="B2759" s="895" t="s">
        <v>19220</v>
      </c>
      <c r="C2759" s="895" t="s">
        <v>18269</v>
      </c>
      <c r="D2759" s="895" t="s">
        <v>18269</v>
      </c>
    </row>
    <row r="2760" spans="1:4" x14ac:dyDescent="0.2">
      <c r="A2760" s="895">
        <v>109001</v>
      </c>
      <c r="B2760" s="895" t="s">
        <v>20904</v>
      </c>
      <c r="C2760" s="895" t="s">
        <v>158</v>
      </c>
      <c r="D2760" s="895">
        <v>12.41</v>
      </c>
    </row>
    <row r="2761" spans="1:4" x14ac:dyDescent="0.2">
      <c r="A2761" s="895">
        <v>110000</v>
      </c>
      <c r="B2761" s="895" t="s">
        <v>20905</v>
      </c>
    </row>
    <row r="2762" spans="1:4" x14ac:dyDescent="0.2">
      <c r="A2762" s="895">
        <v>110100</v>
      </c>
      <c r="B2762" s="895" t="s">
        <v>20906</v>
      </c>
      <c r="C2762" s="895" t="s">
        <v>18269</v>
      </c>
      <c r="D2762" s="895" t="s">
        <v>18269</v>
      </c>
    </row>
    <row r="2763" spans="1:4" x14ac:dyDescent="0.2">
      <c r="A2763" s="895">
        <v>110101</v>
      </c>
      <c r="B2763" s="895" t="s">
        <v>20907</v>
      </c>
      <c r="C2763" s="895" t="s">
        <v>227</v>
      </c>
      <c r="D2763" s="895">
        <v>16.61</v>
      </c>
    </row>
    <row r="2764" spans="1:4" x14ac:dyDescent="0.2">
      <c r="A2764" s="895">
        <v>110108</v>
      </c>
      <c r="B2764" s="895" t="s">
        <v>20908</v>
      </c>
      <c r="C2764" s="895" t="s">
        <v>227</v>
      </c>
      <c r="D2764" s="895">
        <v>46.37</v>
      </c>
    </row>
    <row r="2765" spans="1:4" x14ac:dyDescent="0.2">
      <c r="A2765" s="895">
        <v>110109</v>
      </c>
      <c r="B2765" s="895" t="s">
        <v>20909</v>
      </c>
      <c r="C2765" s="895" t="s">
        <v>227</v>
      </c>
      <c r="D2765" s="895">
        <v>47.29</v>
      </c>
    </row>
    <row r="2766" spans="1:4" x14ac:dyDescent="0.2">
      <c r="A2766" s="895">
        <v>110113</v>
      </c>
      <c r="B2766" s="895" t="s">
        <v>20910</v>
      </c>
      <c r="C2766" s="895" t="s">
        <v>227</v>
      </c>
      <c r="D2766" s="895">
        <v>34.54</v>
      </c>
    </row>
    <row r="2767" spans="1:4" x14ac:dyDescent="0.2">
      <c r="A2767" s="895">
        <v>110200</v>
      </c>
      <c r="B2767" s="895" t="s">
        <v>20911</v>
      </c>
      <c r="C2767" s="895" t="s">
        <v>18269</v>
      </c>
      <c r="D2767" s="895" t="s">
        <v>18269</v>
      </c>
    </row>
    <row r="2768" spans="1:4" x14ac:dyDescent="0.2">
      <c r="A2768" s="895">
        <v>110201</v>
      </c>
      <c r="B2768" s="895" t="s">
        <v>20907</v>
      </c>
      <c r="C2768" s="895" t="s">
        <v>227</v>
      </c>
      <c r="D2768" s="895">
        <v>8.5399999999999991</v>
      </c>
    </row>
    <row r="2769" spans="1:4" x14ac:dyDescent="0.2">
      <c r="A2769" s="895">
        <v>110208</v>
      </c>
      <c r="B2769" s="895" t="s">
        <v>20912</v>
      </c>
      <c r="C2769" s="895" t="s">
        <v>227</v>
      </c>
      <c r="D2769" s="895">
        <v>43.02</v>
      </c>
    </row>
    <row r="2770" spans="1:4" x14ac:dyDescent="0.2">
      <c r="A2770" s="895">
        <v>110209</v>
      </c>
      <c r="B2770" s="895" t="s">
        <v>20913</v>
      </c>
      <c r="C2770" s="895" t="s">
        <v>227</v>
      </c>
      <c r="D2770" s="895">
        <v>42.39</v>
      </c>
    </row>
    <row r="2771" spans="1:4" x14ac:dyDescent="0.2">
      <c r="A2771" s="895">
        <v>110210</v>
      </c>
      <c r="B2771" s="895" t="s">
        <v>20914</v>
      </c>
      <c r="C2771" s="895" t="s">
        <v>227</v>
      </c>
      <c r="D2771" s="895">
        <v>43.93</v>
      </c>
    </row>
    <row r="2772" spans="1:4" x14ac:dyDescent="0.2">
      <c r="A2772" s="895">
        <v>110213</v>
      </c>
      <c r="B2772" s="895" t="s">
        <v>20910</v>
      </c>
      <c r="C2772" s="895" t="s">
        <v>227</v>
      </c>
      <c r="D2772" s="895">
        <v>31.28</v>
      </c>
    </row>
    <row r="2773" spans="1:4" x14ac:dyDescent="0.2">
      <c r="A2773" s="895">
        <v>110215</v>
      </c>
      <c r="B2773" s="895" t="s">
        <v>20915</v>
      </c>
      <c r="C2773" s="895" t="s">
        <v>227</v>
      </c>
      <c r="D2773" s="895">
        <v>24.26</v>
      </c>
    </row>
    <row r="2774" spans="1:4" x14ac:dyDescent="0.2">
      <c r="A2774" s="895">
        <v>110225</v>
      </c>
      <c r="B2774" s="895" t="s">
        <v>20916</v>
      </c>
      <c r="C2774" s="895" t="s">
        <v>227</v>
      </c>
      <c r="D2774" s="895">
        <v>79.05</v>
      </c>
    </row>
    <row r="2775" spans="1:4" x14ac:dyDescent="0.2">
      <c r="A2775" s="895">
        <v>110229</v>
      </c>
      <c r="B2775" s="895" t="s">
        <v>20917</v>
      </c>
      <c r="C2775" s="895" t="s">
        <v>227</v>
      </c>
      <c r="D2775" s="895">
        <v>68.75</v>
      </c>
    </row>
    <row r="2776" spans="1:4" x14ac:dyDescent="0.2">
      <c r="A2776" s="895">
        <v>110275</v>
      </c>
      <c r="B2776" s="895" t="s">
        <v>20918</v>
      </c>
      <c r="C2776" s="895" t="s">
        <v>227</v>
      </c>
      <c r="D2776" s="895">
        <v>181.5</v>
      </c>
    </row>
    <row r="2777" spans="1:4" x14ac:dyDescent="0.2">
      <c r="A2777" s="895">
        <v>110300</v>
      </c>
      <c r="B2777" s="895" t="s">
        <v>20919</v>
      </c>
      <c r="C2777" s="895" t="s">
        <v>18269</v>
      </c>
      <c r="D2777" s="895" t="s">
        <v>18269</v>
      </c>
    </row>
    <row r="2778" spans="1:4" x14ac:dyDescent="0.2">
      <c r="A2778" s="895">
        <v>110301</v>
      </c>
      <c r="B2778" s="895" t="s">
        <v>20907</v>
      </c>
      <c r="C2778" s="895" t="s">
        <v>227</v>
      </c>
      <c r="D2778" s="895">
        <v>8.5399999999999991</v>
      </c>
    </row>
    <row r="2779" spans="1:4" x14ac:dyDescent="0.2">
      <c r="A2779" s="895">
        <v>110303</v>
      </c>
      <c r="B2779" s="895" t="s">
        <v>20920</v>
      </c>
      <c r="C2779" s="895" t="s">
        <v>227</v>
      </c>
      <c r="D2779" s="895">
        <v>14.55</v>
      </c>
    </row>
    <row r="2780" spans="1:4" x14ac:dyDescent="0.2">
      <c r="A2780" s="895">
        <v>110304</v>
      </c>
      <c r="B2780" s="895" t="s">
        <v>20921</v>
      </c>
      <c r="C2780" s="895" t="s">
        <v>227</v>
      </c>
      <c r="D2780" s="895">
        <v>20.88</v>
      </c>
    </row>
    <row r="2781" spans="1:4" x14ac:dyDescent="0.2">
      <c r="A2781" s="895">
        <v>110308</v>
      </c>
      <c r="B2781" s="895" t="s">
        <v>20922</v>
      </c>
      <c r="C2781" s="895" t="s">
        <v>227</v>
      </c>
      <c r="D2781" s="895">
        <v>43.02</v>
      </c>
    </row>
    <row r="2782" spans="1:4" x14ac:dyDescent="0.2">
      <c r="A2782" s="895">
        <v>110309</v>
      </c>
      <c r="B2782" s="895" t="s">
        <v>20923</v>
      </c>
      <c r="C2782" s="895" t="s">
        <v>227</v>
      </c>
      <c r="D2782" s="895">
        <v>42.39</v>
      </c>
    </row>
    <row r="2783" spans="1:4" x14ac:dyDescent="0.2">
      <c r="A2783" s="895">
        <v>110310</v>
      </c>
      <c r="B2783" s="895" t="s">
        <v>20924</v>
      </c>
      <c r="C2783" s="895" t="s">
        <v>227</v>
      </c>
      <c r="D2783" s="895">
        <v>43.93</v>
      </c>
    </row>
    <row r="2784" spans="1:4" x14ac:dyDescent="0.2">
      <c r="A2784" s="895">
        <v>110313</v>
      </c>
      <c r="B2784" s="895" t="s">
        <v>20925</v>
      </c>
      <c r="C2784" s="895" t="s">
        <v>227</v>
      </c>
      <c r="D2784" s="895">
        <v>31.92</v>
      </c>
    </row>
    <row r="2785" spans="1:4" x14ac:dyDescent="0.2">
      <c r="A2785" s="895">
        <v>110341</v>
      </c>
      <c r="B2785" s="895" t="s">
        <v>20926</v>
      </c>
      <c r="C2785" s="895" t="s">
        <v>158</v>
      </c>
      <c r="D2785" s="895">
        <v>100.38</v>
      </c>
    </row>
    <row r="2786" spans="1:4" x14ac:dyDescent="0.2">
      <c r="A2786" s="895">
        <v>110345</v>
      </c>
      <c r="B2786" s="895" t="s">
        <v>20927</v>
      </c>
      <c r="C2786" s="895" t="s">
        <v>227</v>
      </c>
      <c r="D2786" s="895">
        <v>178.11</v>
      </c>
    </row>
    <row r="2787" spans="1:4" x14ac:dyDescent="0.2">
      <c r="A2787" s="895">
        <v>110346</v>
      </c>
      <c r="B2787" s="895" t="s">
        <v>20928</v>
      </c>
      <c r="C2787" s="895" t="s">
        <v>227</v>
      </c>
      <c r="D2787" s="895">
        <v>72.3</v>
      </c>
    </row>
    <row r="2788" spans="1:4" x14ac:dyDescent="0.2">
      <c r="A2788" s="895">
        <v>110347</v>
      </c>
      <c r="B2788" s="895" t="s">
        <v>20929</v>
      </c>
      <c r="C2788" s="895" t="s">
        <v>227</v>
      </c>
      <c r="D2788" s="895">
        <v>224.85</v>
      </c>
    </row>
    <row r="2789" spans="1:4" x14ac:dyDescent="0.2">
      <c r="A2789" s="895">
        <v>110348</v>
      </c>
      <c r="B2789" s="895" t="s">
        <v>20930</v>
      </c>
      <c r="C2789" s="895" t="s">
        <v>227</v>
      </c>
      <c r="D2789" s="895">
        <v>119.04</v>
      </c>
    </row>
    <row r="2790" spans="1:4" x14ac:dyDescent="0.2">
      <c r="A2790" s="895">
        <v>110400</v>
      </c>
      <c r="B2790" s="895" t="s">
        <v>20931</v>
      </c>
      <c r="C2790" s="895" t="s">
        <v>18269</v>
      </c>
      <c r="D2790" s="895" t="s">
        <v>18269</v>
      </c>
    </row>
    <row r="2791" spans="1:4" x14ac:dyDescent="0.2">
      <c r="A2791" s="895">
        <v>110404</v>
      </c>
      <c r="B2791" s="895" t="s">
        <v>20932</v>
      </c>
      <c r="C2791" s="895" t="s">
        <v>158</v>
      </c>
      <c r="D2791" s="895">
        <v>43.04</v>
      </c>
    </row>
    <row r="2792" spans="1:4" x14ac:dyDescent="0.2">
      <c r="A2792" s="895">
        <v>110405</v>
      </c>
      <c r="B2792" s="895" t="s">
        <v>20933</v>
      </c>
      <c r="C2792" s="895" t="s">
        <v>158</v>
      </c>
      <c r="D2792" s="895">
        <v>38.4</v>
      </c>
    </row>
    <row r="2793" spans="1:4" x14ac:dyDescent="0.2">
      <c r="A2793" s="895">
        <v>110406</v>
      </c>
      <c r="B2793" s="895" t="s">
        <v>20934</v>
      </c>
      <c r="C2793" s="895" t="s">
        <v>158</v>
      </c>
      <c r="D2793" s="895">
        <v>41.75</v>
      </c>
    </row>
    <row r="2794" spans="1:4" x14ac:dyDescent="0.2">
      <c r="A2794" s="895">
        <v>110413</v>
      </c>
      <c r="B2794" s="895" t="s">
        <v>20935</v>
      </c>
      <c r="C2794" s="895" t="s">
        <v>158</v>
      </c>
      <c r="D2794" s="895">
        <v>31.9</v>
      </c>
    </row>
    <row r="2795" spans="1:4" x14ac:dyDescent="0.2">
      <c r="A2795" s="895">
        <v>110417</v>
      </c>
      <c r="B2795" s="895" t="s">
        <v>20936</v>
      </c>
      <c r="C2795" s="895" t="s">
        <v>158</v>
      </c>
      <c r="D2795" s="895">
        <v>35.409999999999997</v>
      </c>
    </row>
    <row r="2796" spans="1:4" x14ac:dyDescent="0.2">
      <c r="A2796" s="895">
        <v>110450</v>
      </c>
      <c r="B2796" s="895" t="s">
        <v>20937</v>
      </c>
      <c r="C2796" s="895" t="s">
        <v>158</v>
      </c>
      <c r="D2796" s="895">
        <v>18.95</v>
      </c>
    </row>
    <row r="2797" spans="1:4" x14ac:dyDescent="0.2">
      <c r="A2797" s="895">
        <v>110456</v>
      </c>
      <c r="B2797" s="895" t="s">
        <v>20938</v>
      </c>
      <c r="C2797" s="895" t="s">
        <v>158</v>
      </c>
      <c r="D2797" s="895">
        <v>130.13</v>
      </c>
    </row>
    <row r="2798" spans="1:4" x14ac:dyDescent="0.2">
      <c r="A2798" s="895">
        <v>110458</v>
      </c>
      <c r="B2798" s="895" t="s">
        <v>20939</v>
      </c>
      <c r="C2798" s="895" t="s">
        <v>158</v>
      </c>
      <c r="D2798" s="895">
        <v>135.22</v>
      </c>
    </row>
    <row r="2799" spans="1:4" x14ac:dyDescent="0.2">
      <c r="A2799" s="895">
        <v>115000</v>
      </c>
      <c r="B2799" s="895" t="s">
        <v>19214</v>
      </c>
      <c r="C2799" s="895" t="s">
        <v>18269</v>
      </c>
      <c r="D2799" s="895" t="s">
        <v>18269</v>
      </c>
    </row>
    <row r="2800" spans="1:4" x14ac:dyDescent="0.2">
      <c r="A2800" s="895">
        <v>115002</v>
      </c>
      <c r="B2800" s="895" t="s">
        <v>20940</v>
      </c>
      <c r="C2800" s="895" t="s">
        <v>227</v>
      </c>
      <c r="D2800" s="895">
        <v>4.9400000000000004</v>
      </c>
    </row>
    <row r="2801" spans="1:4" x14ac:dyDescent="0.2">
      <c r="A2801" s="895">
        <v>115003</v>
      </c>
      <c r="B2801" s="895" t="s">
        <v>20941</v>
      </c>
      <c r="C2801" s="895" t="s">
        <v>227</v>
      </c>
      <c r="D2801" s="895">
        <v>9.8800000000000008</v>
      </c>
    </row>
    <row r="2802" spans="1:4" x14ac:dyDescent="0.2">
      <c r="A2802" s="895">
        <v>115005</v>
      </c>
      <c r="B2802" s="895" t="s">
        <v>20942</v>
      </c>
      <c r="C2802" s="895" t="s">
        <v>227</v>
      </c>
      <c r="D2802" s="895">
        <v>34.58</v>
      </c>
    </row>
    <row r="2803" spans="1:4" x14ac:dyDescent="0.2">
      <c r="A2803" s="895">
        <v>115010</v>
      </c>
      <c r="B2803" s="895" t="s">
        <v>20943</v>
      </c>
      <c r="C2803" s="895" t="s">
        <v>227</v>
      </c>
      <c r="D2803" s="895">
        <v>30.87</v>
      </c>
    </row>
    <row r="2804" spans="1:4" x14ac:dyDescent="0.2">
      <c r="A2804" s="895">
        <v>115015</v>
      </c>
      <c r="B2804" s="895" t="s">
        <v>20944</v>
      </c>
      <c r="C2804" s="895" t="s">
        <v>227</v>
      </c>
      <c r="D2804" s="895">
        <v>61.74</v>
      </c>
    </row>
    <row r="2805" spans="1:4" x14ac:dyDescent="0.2">
      <c r="A2805" s="895">
        <v>116000</v>
      </c>
      <c r="B2805" s="895" t="s">
        <v>19341</v>
      </c>
      <c r="C2805" s="895" t="s">
        <v>18269</v>
      </c>
      <c r="D2805" s="895" t="s">
        <v>18269</v>
      </c>
    </row>
    <row r="2806" spans="1:4" x14ac:dyDescent="0.2">
      <c r="A2806" s="895">
        <v>116005</v>
      </c>
      <c r="B2806" s="895" t="s">
        <v>20945</v>
      </c>
      <c r="C2806" s="895" t="s">
        <v>227</v>
      </c>
      <c r="D2806" s="895">
        <v>34.58</v>
      </c>
    </row>
    <row r="2807" spans="1:4" x14ac:dyDescent="0.2">
      <c r="A2807" s="895">
        <v>116010</v>
      </c>
      <c r="B2807" s="895" t="s">
        <v>20946</v>
      </c>
      <c r="C2807" s="895" t="s">
        <v>227</v>
      </c>
      <c r="D2807" s="895">
        <v>8.14</v>
      </c>
    </row>
    <row r="2808" spans="1:4" x14ac:dyDescent="0.2">
      <c r="A2808" s="895">
        <v>116015</v>
      </c>
      <c r="B2808" s="895" t="s">
        <v>20947</v>
      </c>
      <c r="C2808" s="895" t="s">
        <v>227</v>
      </c>
      <c r="D2808" s="895">
        <v>24.43</v>
      </c>
    </row>
    <row r="2809" spans="1:4" x14ac:dyDescent="0.2">
      <c r="A2809" s="895">
        <v>117000</v>
      </c>
      <c r="B2809" s="895" t="s">
        <v>19348</v>
      </c>
      <c r="C2809" s="895" t="s">
        <v>18269</v>
      </c>
      <c r="D2809" s="895" t="s">
        <v>18269</v>
      </c>
    </row>
    <row r="2810" spans="1:4" x14ac:dyDescent="0.2">
      <c r="A2810" s="895">
        <v>117005</v>
      </c>
      <c r="B2810" s="895" t="s">
        <v>20948</v>
      </c>
      <c r="C2810" s="895" t="s">
        <v>227</v>
      </c>
      <c r="D2810" s="895">
        <v>25.7</v>
      </c>
    </row>
    <row r="2811" spans="1:4" x14ac:dyDescent="0.2">
      <c r="A2811" s="895">
        <v>118000</v>
      </c>
      <c r="B2811" s="895" t="s">
        <v>19393</v>
      </c>
      <c r="C2811" s="895" t="s">
        <v>18269</v>
      </c>
      <c r="D2811" s="895" t="s">
        <v>18269</v>
      </c>
    </row>
    <row r="2812" spans="1:4" x14ac:dyDescent="0.2">
      <c r="A2812" s="895">
        <v>118001</v>
      </c>
      <c r="B2812" s="895" t="s">
        <v>20949</v>
      </c>
      <c r="C2812" s="895" t="s">
        <v>158</v>
      </c>
      <c r="D2812" s="895">
        <v>44.65</v>
      </c>
    </row>
    <row r="2813" spans="1:4" x14ac:dyDescent="0.2">
      <c r="A2813" s="895">
        <v>118005</v>
      </c>
      <c r="B2813" s="895" t="s">
        <v>20950</v>
      </c>
      <c r="C2813" s="895" t="s">
        <v>227</v>
      </c>
      <c r="D2813" s="895">
        <v>59.94</v>
      </c>
    </row>
    <row r="2814" spans="1:4" x14ac:dyDescent="0.2">
      <c r="A2814" s="895">
        <v>118006</v>
      </c>
      <c r="B2814" s="895" t="s">
        <v>20951</v>
      </c>
      <c r="C2814" s="895" t="s">
        <v>227</v>
      </c>
      <c r="D2814" s="895">
        <v>30.95</v>
      </c>
    </row>
    <row r="2815" spans="1:4" x14ac:dyDescent="0.2">
      <c r="A2815" s="895">
        <v>120000</v>
      </c>
      <c r="B2815" s="895" t="s">
        <v>20952</v>
      </c>
    </row>
    <row r="2816" spans="1:4" x14ac:dyDescent="0.2">
      <c r="A2816" s="895">
        <v>120100</v>
      </c>
      <c r="B2816" s="895" t="s">
        <v>20953</v>
      </c>
      <c r="C2816" s="895" t="s">
        <v>18269</v>
      </c>
      <c r="D2816" s="895" t="s">
        <v>18269</v>
      </c>
    </row>
    <row r="2817" spans="1:4" x14ac:dyDescent="0.2">
      <c r="A2817" s="895">
        <v>120130</v>
      </c>
      <c r="B2817" s="895" t="s">
        <v>20954</v>
      </c>
      <c r="C2817" s="895" t="s">
        <v>227</v>
      </c>
      <c r="D2817" s="895">
        <v>118.9</v>
      </c>
    </row>
    <row r="2818" spans="1:4" x14ac:dyDescent="0.2">
      <c r="A2818" s="895">
        <v>120140</v>
      </c>
      <c r="B2818" s="895" t="s">
        <v>20955</v>
      </c>
      <c r="C2818" s="895" t="s">
        <v>227</v>
      </c>
      <c r="D2818" s="895">
        <v>71.319999999999993</v>
      </c>
    </row>
    <row r="2819" spans="1:4" x14ac:dyDescent="0.2">
      <c r="A2819" s="895">
        <v>120142</v>
      </c>
      <c r="B2819" s="895" t="s">
        <v>20956</v>
      </c>
      <c r="C2819" s="895" t="s">
        <v>227</v>
      </c>
      <c r="D2819" s="895">
        <v>86.99</v>
      </c>
    </row>
    <row r="2820" spans="1:4" x14ac:dyDescent="0.2">
      <c r="A2820" s="895">
        <v>120143</v>
      </c>
      <c r="B2820" s="895" t="s">
        <v>20957</v>
      </c>
      <c r="C2820" s="895" t="s">
        <v>227</v>
      </c>
      <c r="D2820" s="895">
        <v>94.78</v>
      </c>
    </row>
    <row r="2821" spans="1:4" x14ac:dyDescent="0.2">
      <c r="A2821" s="895">
        <v>120145</v>
      </c>
      <c r="B2821" s="895" t="s">
        <v>20958</v>
      </c>
      <c r="C2821" s="895" t="s">
        <v>227</v>
      </c>
      <c r="D2821" s="895">
        <v>83.26</v>
      </c>
    </row>
    <row r="2822" spans="1:4" x14ac:dyDescent="0.2">
      <c r="A2822" s="895">
        <v>125000</v>
      </c>
      <c r="B2822" s="895" t="s">
        <v>19214</v>
      </c>
      <c r="C2822" s="895" t="s">
        <v>18269</v>
      </c>
      <c r="D2822" s="895" t="s">
        <v>18269</v>
      </c>
    </row>
    <row r="2823" spans="1:4" x14ac:dyDescent="0.2">
      <c r="A2823" s="895">
        <v>125001</v>
      </c>
      <c r="B2823" s="895" t="s">
        <v>20959</v>
      </c>
      <c r="C2823" s="895" t="s">
        <v>227</v>
      </c>
      <c r="D2823" s="895">
        <v>6.6</v>
      </c>
    </row>
    <row r="2824" spans="1:4" x14ac:dyDescent="0.2">
      <c r="A2824" s="895">
        <v>125002</v>
      </c>
      <c r="B2824" s="895" t="s">
        <v>20960</v>
      </c>
      <c r="C2824" s="895" t="s">
        <v>227</v>
      </c>
      <c r="D2824" s="895">
        <v>8.8000000000000007</v>
      </c>
    </row>
    <row r="2825" spans="1:4" x14ac:dyDescent="0.2">
      <c r="A2825" s="895">
        <v>125005</v>
      </c>
      <c r="B2825" s="895" t="s">
        <v>20961</v>
      </c>
      <c r="C2825" s="895" t="s">
        <v>227</v>
      </c>
      <c r="D2825" s="895">
        <v>6.6</v>
      </c>
    </row>
    <row r="2826" spans="1:4" x14ac:dyDescent="0.2">
      <c r="A2826" s="895">
        <v>125020</v>
      </c>
      <c r="B2826" s="895" t="s">
        <v>20962</v>
      </c>
      <c r="C2826" s="895" t="s">
        <v>227</v>
      </c>
      <c r="D2826" s="895">
        <v>8.8000000000000007</v>
      </c>
    </row>
    <row r="2827" spans="1:4" x14ac:dyDescent="0.2">
      <c r="A2827" s="895">
        <v>126000</v>
      </c>
      <c r="B2827" s="895" t="s">
        <v>19341</v>
      </c>
      <c r="C2827" s="895" t="s">
        <v>18269</v>
      </c>
      <c r="D2827" s="895" t="s">
        <v>18269</v>
      </c>
    </row>
    <row r="2828" spans="1:4" x14ac:dyDescent="0.2">
      <c r="A2828" s="895">
        <v>126001</v>
      </c>
      <c r="B2828" s="895" t="s">
        <v>20963</v>
      </c>
      <c r="C2828" s="895" t="s">
        <v>227</v>
      </c>
      <c r="D2828" s="895">
        <v>16.420000000000002</v>
      </c>
    </row>
    <row r="2829" spans="1:4" x14ac:dyDescent="0.2">
      <c r="A2829" s="895">
        <v>126002</v>
      </c>
      <c r="B2829" s="895" t="s">
        <v>20964</v>
      </c>
      <c r="C2829" s="895" t="s">
        <v>227</v>
      </c>
      <c r="D2829" s="895">
        <v>7.11</v>
      </c>
    </row>
    <row r="2830" spans="1:4" x14ac:dyDescent="0.2">
      <c r="A2830" s="895">
        <v>126020</v>
      </c>
      <c r="B2830" s="895" t="s">
        <v>20965</v>
      </c>
      <c r="C2830" s="895" t="s">
        <v>227</v>
      </c>
      <c r="D2830" s="895">
        <v>19.649999999999999</v>
      </c>
    </row>
    <row r="2831" spans="1:4" x14ac:dyDescent="0.2">
      <c r="A2831" s="895">
        <v>126030</v>
      </c>
      <c r="B2831" s="895" t="s">
        <v>20966</v>
      </c>
      <c r="C2831" s="895" t="s">
        <v>227</v>
      </c>
      <c r="D2831" s="895">
        <v>9.83</v>
      </c>
    </row>
    <row r="2832" spans="1:4" x14ac:dyDescent="0.2">
      <c r="A2832" s="895">
        <v>127000</v>
      </c>
      <c r="B2832" s="895" t="s">
        <v>19348</v>
      </c>
      <c r="C2832" s="895" t="s">
        <v>18269</v>
      </c>
      <c r="D2832" s="895" t="s">
        <v>18269</v>
      </c>
    </row>
    <row r="2833" spans="1:4" x14ac:dyDescent="0.2">
      <c r="A2833" s="895">
        <v>127030</v>
      </c>
      <c r="B2833" s="895" t="s">
        <v>20967</v>
      </c>
      <c r="C2833" s="895" t="s">
        <v>227</v>
      </c>
      <c r="D2833" s="895">
        <v>14.74</v>
      </c>
    </row>
    <row r="2834" spans="1:4" x14ac:dyDescent="0.2">
      <c r="A2834" s="895">
        <v>127031</v>
      </c>
      <c r="B2834" s="895" t="s">
        <v>20968</v>
      </c>
      <c r="C2834" s="895" t="s">
        <v>227</v>
      </c>
      <c r="D2834" s="895">
        <v>7.37</v>
      </c>
    </row>
    <row r="2835" spans="1:4" x14ac:dyDescent="0.2">
      <c r="A2835" s="895">
        <v>130000</v>
      </c>
      <c r="B2835" s="895" t="s">
        <v>20969</v>
      </c>
    </row>
    <row r="2836" spans="1:4" x14ac:dyDescent="0.2">
      <c r="A2836" s="895">
        <v>130100</v>
      </c>
      <c r="B2836" s="895" t="s">
        <v>20970</v>
      </c>
      <c r="C2836" s="895" t="s">
        <v>18269</v>
      </c>
      <c r="D2836" s="895" t="s">
        <v>18269</v>
      </c>
    </row>
    <row r="2837" spans="1:4" x14ac:dyDescent="0.2">
      <c r="A2837" s="895">
        <v>130101</v>
      </c>
      <c r="B2837" s="895" t="s">
        <v>20971</v>
      </c>
      <c r="C2837" s="895" t="s">
        <v>159</v>
      </c>
      <c r="D2837" s="895">
        <v>241.89</v>
      </c>
    </row>
    <row r="2838" spans="1:4" x14ac:dyDescent="0.2">
      <c r="A2838" s="895">
        <v>130102</v>
      </c>
      <c r="B2838" s="895" t="s">
        <v>20972</v>
      </c>
      <c r="C2838" s="895" t="s">
        <v>159</v>
      </c>
      <c r="D2838" s="895">
        <v>601.57000000000005</v>
      </c>
    </row>
    <row r="2839" spans="1:4" x14ac:dyDescent="0.2">
      <c r="A2839" s="895">
        <v>130110</v>
      </c>
      <c r="B2839" s="895" t="s">
        <v>19110</v>
      </c>
      <c r="C2839" s="895" t="s">
        <v>159</v>
      </c>
      <c r="D2839" s="895">
        <v>194.68</v>
      </c>
    </row>
    <row r="2840" spans="1:4" x14ac:dyDescent="0.2">
      <c r="A2840" s="895">
        <v>130111</v>
      </c>
      <c r="B2840" s="895" t="s">
        <v>19109</v>
      </c>
      <c r="C2840" s="895" t="s">
        <v>159</v>
      </c>
      <c r="D2840" s="895">
        <v>139.82</v>
      </c>
    </row>
    <row r="2841" spans="1:4" x14ac:dyDescent="0.2">
      <c r="A2841" s="895">
        <v>130114</v>
      </c>
      <c r="B2841" s="895" t="s">
        <v>19194</v>
      </c>
      <c r="C2841" s="895" t="s">
        <v>159</v>
      </c>
      <c r="D2841" s="895">
        <v>478.71</v>
      </c>
    </row>
    <row r="2842" spans="1:4" x14ac:dyDescent="0.2">
      <c r="A2842" s="895">
        <v>130115</v>
      </c>
      <c r="B2842" s="895" t="s">
        <v>20973</v>
      </c>
      <c r="C2842" s="895" t="s">
        <v>159</v>
      </c>
      <c r="D2842" s="895">
        <v>516.65</v>
      </c>
    </row>
    <row r="2843" spans="1:4" x14ac:dyDescent="0.2">
      <c r="A2843" s="895">
        <v>130117</v>
      </c>
      <c r="B2843" s="895" t="s">
        <v>20974</v>
      </c>
      <c r="C2843" s="895" t="s">
        <v>159</v>
      </c>
      <c r="D2843" s="895">
        <v>838.58</v>
      </c>
    </row>
    <row r="2844" spans="1:4" x14ac:dyDescent="0.2">
      <c r="A2844" s="895">
        <v>130118</v>
      </c>
      <c r="B2844" s="895" t="s">
        <v>20975</v>
      </c>
      <c r="C2844" s="895" t="s">
        <v>159</v>
      </c>
      <c r="D2844" s="895">
        <v>996.47</v>
      </c>
    </row>
    <row r="2845" spans="1:4" x14ac:dyDescent="0.2">
      <c r="A2845" s="895">
        <v>130119</v>
      </c>
      <c r="B2845" s="895" t="s">
        <v>20976</v>
      </c>
      <c r="C2845" s="895" t="s">
        <v>159</v>
      </c>
      <c r="D2845" s="895">
        <v>425.7</v>
      </c>
    </row>
    <row r="2846" spans="1:4" x14ac:dyDescent="0.2">
      <c r="A2846" s="895">
        <v>130120</v>
      </c>
      <c r="B2846" s="895" t="s">
        <v>20977</v>
      </c>
      <c r="C2846" s="895" t="s">
        <v>159</v>
      </c>
      <c r="D2846" s="895">
        <v>467.67</v>
      </c>
    </row>
    <row r="2847" spans="1:4" x14ac:dyDescent="0.2">
      <c r="A2847" s="895">
        <v>130200</v>
      </c>
      <c r="B2847" s="895" t="s">
        <v>20978</v>
      </c>
      <c r="C2847" s="895" t="s">
        <v>18269</v>
      </c>
      <c r="D2847" s="895" t="s">
        <v>18269</v>
      </c>
    </row>
    <row r="2848" spans="1:4" x14ac:dyDescent="0.2">
      <c r="A2848" s="895">
        <v>130201</v>
      </c>
      <c r="B2848" s="895" t="s">
        <v>20979</v>
      </c>
      <c r="C2848" s="895" t="s">
        <v>227</v>
      </c>
      <c r="D2848" s="895">
        <v>57.52</v>
      </c>
    </row>
    <row r="2849" spans="1:4" x14ac:dyDescent="0.2">
      <c r="A2849" s="895">
        <v>130202</v>
      </c>
      <c r="B2849" s="895" t="s">
        <v>20980</v>
      </c>
      <c r="C2849" s="895" t="s">
        <v>227</v>
      </c>
      <c r="D2849" s="895">
        <v>60.22</v>
      </c>
    </row>
    <row r="2850" spans="1:4" x14ac:dyDescent="0.2">
      <c r="A2850" s="895">
        <v>130203</v>
      </c>
      <c r="B2850" s="895" t="s">
        <v>20981</v>
      </c>
      <c r="C2850" s="895" t="s">
        <v>227</v>
      </c>
      <c r="D2850" s="895">
        <v>65.36</v>
      </c>
    </row>
    <row r="2851" spans="1:4" x14ac:dyDescent="0.2">
      <c r="A2851" s="895">
        <v>130204</v>
      </c>
      <c r="B2851" s="895" t="s">
        <v>20982</v>
      </c>
      <c r="C2851" s="895" t="s">
        <v>227</v>
      </c>
      <c r="D2851" s="895">
        <v>6.46</v>
      </c>
    </row>
    <row r="2852" spans="1:4" x14ac:dyDescent="0.2">
      <c r="A2852" s="895">
        <v>130205</v>
      </c>
      <c r="B2852" s="895" t="s">
        <v>20983</v>
      </c>
      <c r="C2852" s="895" t="s">
        <v>227</v>
      </c>
      <c r="D2852" s="895">
        <v>138.38</v>
      </c>
    </row>
    <row r="2853" spans="1:4" x14ac:dyDescent="0.2">
      <c r="A2853" s="895">
        <v>130206</v>
      </c>
      <c r="B2853" s="895" t="s">
        <v>20984</v>
      </c>
      <c r="C2853" s="895" t="s">
        <v>227</v>
      </c>
      <c r="D2853" s="895">
        <v>54.2</v>
      </c>
    </row>
    <row r="2854" spans="1:4" x14ac:dyDescent="0.2">
      <c r="A2854" s="895">
        <v>130207</v>
      </c>
      <c r="B2854" s="895" t="s">
        <v>20985</v>
      </c>
      <c r="C2854" s="895" t="s">
        <v>227</v>
      </c>
      <c r="D2854" s="895">
        <v>132.47</v>
      </c>
    </row>
    <row r="2855" spans="1:4" x14ac:dyDescent="0.2">
      <c r="A2855" s="895">
        <v>130208</v>
      </c>
      <c r="B2855" s="895" t="s">
        <v>20986</v>
      </c>
      <c r="C2855" s="895" t="s">
        <v>227</v>
      </c>
      <c r="D2855" s="895">
        <v>133.97999999999999</v>
      </c>
    </row>
    <row r="2856" spans="1:4" x14ac:dyDescent="0.2">
      <c r="A2856" s="895">
        <v>130209</v>
      </c>
      <c r="B2856" s="895" t="s">
        <v>20987</v>
      </c>
      <c r="C2856" s="895" t="s">
        <v>227</v>
      </c>
      <c r="D2856" s="895">
        <v>56.25</v>
      </c>
    </row>
    <row r="2857" spans="1:4" x14ac:dyDescent="0.2">
      <c r="A2857" s="895">
        <v>130210</v>
      </c>
      <c r="B2857" s="895" t="s">
        <v>20988</v>
      </c>
      <c r="C2857" s="895" t="s">
        <v>227</v>
      </c>
      <c r="D2857" s="895">
        <v>50.46</v>
      </c>
    </row>
    <row r="2858" spans="1:4" x14ac:dyDescent="0.2">
      <c r="A2858" s="895">
        <v>130211</v>
      </c>
      <c r="B2858" s="895" t="s">
        <v>20989</v>
      </c>
      <c r="C2858" s="895" t="s">
        <v>227</v>
      </c>
      <c r="D2858" s="895">
        <v>88.52</v>
      </c>
    </row>
    <row r="2859" spans="1:4" x14ac:dyDescent="0.2">
      <c r="A2859" s="895">
        <v>130237</v>
      </c>
      <c r="B2859" s="895" t="s">
        <v>20990</v>
      </c>
      <c r="C2859" s="895" t="s">
        <v>227</v>
      </c>
      <c r="D2859" s="895">
        <v>163.15</v>
      </c>
    </row>
    <row r="2860" spans="1:4" x14ac:dyDescent="0.2">
      <c r="A2860" s="895">
        <v>130238</v>
      </c>
      <c r="B2860" s="895" t="s">
        <v>20991</v>
      </c>
      <c r="C2860" s="895" t="s">
        <v>227</v>
      </c>
      <c r="D2860" s="895">
        <v>278.89999999999998</v>
      </c>
    </row>
    <row r="2861" spans="1:4" x14ac:dyDescent="0.2">
      <c r="A2861" s="895">
        <v>130239</v>
      </c>
      <c r="B2861" s="895" t="s">
        <v>20992</v>
      </c>
      <c r="C2861" s="895" t="s">
        <v>227</v>
      </c>
      <c r="D2861" s="895">
        <v>208.55</v>
      </c>
    </row>
    <row r="2862" spans="1:4" x14ac:dyDescent="0.2">
      <c r="A2862" s="895">
        <v>130240</v>
      </c>
      <c r="B2862" s="895" t="s">
        <v>20993</v>
      </c>
      <c r="C2862" s="895" t="s">
        <v>227</v>
      </c>
      <c r="D2862" s="895">
        <v>164.64</v>
      </c>
    </row>
    <row r="2863" spans="1:4" x14ac:dyDescent="0.2">
      <c r="A2863" s="895">
        <v>130242</v>
      </c>
      <c r="B2863" s="895" t="s">
        <v>20994</v>
      </c>
      <c r="C2863" s="895" t="s">
        <v>227</v>
      </c>
      <c r="D2863" s="895">
        <v>94.29</v>
      </c>
    </row>
    <row r="2864" spans="1:4" x14ac:dyDescent="0.2">
      <c r="A2864" s="895">
        <v>130243</v>
      </c>
      <c r="B2864" s="895" t="s">
        <v>20995</v>
      </c>
      <c r="C2864" s="895" t="s">
        <v>227</v>
      </c>
      <c r="D2864" s="895">
        <v>216.75</v>
      </c>
    </row>
    <row r="2865" spans="1:4" x14ac:dyDescent="0.2">
      <c r="A2865" s="895">
        <v>130244</v>
      </c>
      <c r="B2865" s="895" t="s">
        <v>20996</v>
      </c>
      <c r="C2865" s="895" t="s">
        <v>227</v>
      </c>
      <c r="D2865" s="895">
        <v>385.19</v>
      </c>
    </row>
    <row r="2866" spans="1:4" x14ac:dyDescent="0.2">
      <c r="A2866" s="895">
        <v>130246</v>
      </c>
      <c r="B2866" s="895" t="s">
        <v>20997</v>
      </c>
      <c r="C2866" s="895" t="s">
        <v>227</v>
      </c>
      <c r="D2866" s="895">
        <v>115.62</v>
      </c>
    </row>
    <row r="2867" spans="1:4" x14ac:dyDescent="0.2">
      <c r="A2867" s="895">
        <v>130247</v>
      </c>
      <c r="B2867" s="895" t="s">
        <v>20998</v>
      </c>
      <c r="C2867" s="895" t="s">
        <v>227</v>
      </c>
      <c r="D2867" s="895">
        <v>187.83</v>
      </c>
    </row>
    <row r="2868" spans="1:4" x14ac:dyDescent="0.2">
      <c r="A2868" s="895">
        <v>130254</v>
      </c>
      <c r="B2868" s="895" t="s">
        <v>20999</v>
      </c>
      <c r="C2868" s="895" t="s">
        <v>227</v>
      </c>
      <c r="D2868" s="895">
        <v>236.79</v>
      </c>
    </row>
    <row r="2869" spans="1:4" x14ac:dyDescent="0.2">
      <c r="A2869" s="895">
        <v>130258</v>
      </c>
      <c r="B2869" s="895" t="s">
        <v>21000</v>
      </c>
      <c r="C2869" s="895" t="s">
        <v>227</v>
      </c>
      <c r="D2869" s="895">
        <v>520.41999999999996</v>
      </c>
    </row>
    <row r="2870" spans="1:4" x14ac:dyDescent="0.2">
      <c r="A2870" s="895">
        <v>130260</v>
      </c>
      <c r="B2870" s="895" t="s">
        <v>21001</v>
      </c>
      <c r="C2870" s="895" t="s">
        <v>227</v>
      </c>
      <c r="D2870" s="895">
        <v>461.36</v>
      </c>
    </row>
    <row r="2871" spans="1:4" x14ac:dyDescent="0.2">
      <c r="A2871" s="895">
        <v>130262</v>
      </c>
      <c r="B2871" s="895" t="s">
        <v>21002</v>
      </c>
      <c r="C2871" s="895" t="s">
        <v>227</v>
      </c>
      <c r="D2871" s="895">
        <v>593.73</v>
      </c>
    </row>
    <row r="2872" spans="1:4" x14ac:dyDescent="0.2">
      <c r="A2872" s="895">
        <v>130287</v>
      </c>
      <c r="B2872" s="895" t="s">
        <v>21003</v>
      </c>
      <c r="C2872" s="895" t="s">
        <v>227</v>
      </c>
      <c r="D2872" s="895">
        <v>142.82</v>
      </c>
    </row>
    <row r="2873" spans="1:4" x14ac:dyDescent="0.2">
      <c r="A2873" s="895">
        <v>130288</v>
      </c>
      <c r="B2873" s="895" t="s">
        <v>21004</v>
      </c>
      <c r="C2873" s="895" t="s">
        <v>227</v>
      </c>
      <c r="D2873" s="895">
        <v>217.06</v>
      </c>
    </row>
    <row r="2874" spans="1:4" x14ac:dyDescent="0.2">
      <c r="A2874" s="895">
        <v>130290</v>
      </c>
      <c r="B2874" s="895" t="s">
        <v>21005</v>
      </c>
      <c r="C2874" s="895" t="s">
        <v>227</v>
      </c>
      <c r="D2874" s="895">
        <v>129.88999999999999</v>
      </c>
    </row>
    <row r="2875" spans="1:4" x14ac:dyDescent="0.2">
      <c r="A2875" s="895">
        <v>130291</v>
      </c>
      <c r="B2875" s="895" t="s">
        <v>21006</v>
      </c>
      <c r="C2875" s="895" t="s">
        <v>227</v>
      </c>
      <c r="D2875" s="895">
        <v>107.62</v>
      </c>
    </row>
    <row r="2876" spans="1:4" x14ac:dyDescent="0.2">
      <c r="A2876" s="895">
        <v>130292</v>
      </c>
      <c r="B2876" s="895" t="s">
        <v>21007</v>
      </c>
      <c r="C2876" s="895" t="s">
        <v>227</v>
      </c>
      <c r="D2876" s="895">
        <v>201.18</v>
      </c>
    </row>
    <row r="2877" spans="1:4" x14ac:dyDescent="0.2">
      <c r="A2877" s="895">
        <v>130293</v>
      </c>
      <c r="B2877" s="895" t="s">
        <v>21008</v>
      </c>
      <c r="C2877" s="895" t="s">
        <v>227</v>
      </c>
      <c r="D2877" s="895">
        <v>184.58</v>
      </c>
    </row>
    <row r="2878" spans="1:4" x14ac:dyDescent="0.2">
      <c r="A2878" s="895">
        <v>130300</v>
      </c>
      <c r="B2878" s="895" t="s">
        <v>21009</v>
      </c>
      <c r="C2878" s="895" t="s">
        <v>18269</v>
      </c>
      <c r="D2878" s="895" t="s">
        <v>18269</v>
      </c>
    </row>
    <row r="2879" spans="1:4" x14ac:dyDescent="0.2">
      <c r="A2879" s="895">
        <v>130302</v>
      </c>
      <c r="B2879" s="895" t="s">
        <v>21010</v>
      </c>
      <c r="C2879" s="895" t="s">
        <v>158</v>
      </c>
      <c r="D2879" s="895">
        <v>11.25</v>
      </c>
    </row>
    <row r="2880" spans="1:4" x14ac:dyDescent="0.2">
      <c r="A2880" s="895">
        <v>130304</v>
      </c>
      <c r="B2880" s="895" t="s">
        <v>21011</v>
      </c>
      <c r="C2880" s="895" t="s">
        <v>158</v>
      </c>
      <c r="D2880" s="895">
        <v>79.61</v>
      </c>
    </row>
    <row r="2881" spans="1:4" x14ac:dyDescent="0.2">
      <c r="A2881" s="895">
        <v>130305</v>
      </c>
      <c r="B2881" s="895" t="s">
        <v>21012</v>
      </c>
      <c r="C2881" s="895" t="s">
        <v>158</v>
      </c>
      <c r="D2881" s="895">
        <v>70.709999999999994</v>
      </c>
    </row>
    <row r="2882" spans="1:4" x14ac:dyDescent="0.2">
      <c r="A2882" s="895">
        <v>130307</v>
      </c>
      <c r="B2882" s="895" t="s">
        <v>21013</v>
      </c>
      <c r="C2882" s="895" t="s">
        <v>158</v>
      </c>
      <c r="D2882" s="895">
        <v>71.040000000000006</v>
      </c>
    </row>
    <row r="2883" spans="1:4" x14ac:dyDescent="0.2">
      <c r="A2883" s="895">
        <v>130309</v>
      </c>
      <c r="B2883" s="895" t="s">
        <v>21014</v>
      </c>
      <c r="C2883" s="895" t="s">
        <v>158</v>
      </c>
      <c r="D2883" s="895">
        <v>24.23</v>
      </c>
    </row>
    <row r="2884" spans="1:4" x14ac:dyDescent="0.2">
      <c r="A2884" s="895">
        <v>130327</v>
      </c>
      <c r="B2884" s="895" t="s">
        <v>21015</v>
      </c>
      <c r="C2884" s="895" t="s">
        <v>158</v>
      </c>
      <c r="D2884" s="895">
        <v>51.76</v>
      </c>
    </row>
    <row r="2885" spans="1:4" x14ac:dyDescent="0.2">
      <c r="A2885" s="895">
        <v>130331</v>
      </c>
      <c r="B2885" s="895" t="s">
        <v>21016</v>
      </c>
      <c r="C2885" s="895" t="s">
        <v>158</v>
      </c>
      <c r="D2885" s="895">
        <v>34.18</v>
      </c>
    </row>
    <row r="2886" spans="1:4" x14ac:dyDescent="0.2">
      <c r="A2886" s="895">
        <v>130335</v>
      </c>
      <c r="B2886" s="895" t="s">
        <v>21017</v>
      </c>
      <c r="C2886" s="895" t="s">
        <v>158</v>
      </c>
      <c r="D2886" s="895">
        <v>32.74</v>
      </c>
    </row>
    <row r="2887" spans="1:4" x14ac:dyDescent="0.2">
      <c r="A2887" s="895">
        <v>130336</v>
      </c>
      <c r="B2887" s="895" t="s">
        <v>21018</v>
      </c>
      <c r="C2887" s="895" t="s">
        <v>158</v>
      </c>
      <c r="D2887" s="895">
        <v>78.55</v>
      </c>
    </row>
    <row r="2888" spans="1:4" x14ac:dyDescent="0.2">
      <c r="A2888" s="895">
        <v>130340</v>
      </c>
      <c r="B2888" s="895" t="s">
        <v>21019</v>
      </c>
      <c r="C2888" s="895" t="s">
        <v>158</v>
      </c>
      <c r="D2888" s="895">
        <v>17.78</v>
      </c>
    </row>
    <row r="2889" spans="1:4" x14ac:dyDescent="0.2">
      <c r="A2889" s="895">
        <v>130365</v>
      </c>
      <c r="B2889" s="895" t="s">
        <v>21020</v>
      </c>
      <c r="C2889" s="895" t="s">
        <v>158</v>
      </c>
      <c r="D2889" s="895">
        <v>46.14</v>
      </c>
    </row>
    <row r="2890" spans="1:4" x14ac:dyDescent="0.2">
      <c r="A2890" s="895">
        <v>130367</v>
      </c>
      <c r="B2890" s="895" t="s">
        <v>21021</v>
      </c>
      <c r="C2890" s="895" t="s">
        <v>158</v>
      </c>
      <c r="D2890" s="895">
        <v>100.75</v>
      </c>
    </row>
    <row r="2891" spans="1:4" x14ac:dyDescent="0.2">
      <c r="A2891" s="895">
        <v>130369</v>
      </c>
      <c r="B2891" s="895" t="s">
        <v>21022</v>
      </c>
      <c r="C2891" s="895" t="s">
        <v>158</v>
      </c>
      <c r="D2891" s="895">
        <v>91.49</v>
      </c>
    </row>
    <row r="2892" spans="1:4" x14ac:dyDescent="0.2">
      <c r="A2892" s="895">
        <v>130385</v>
      </c>
      <c r="B2892" s="895" t="s">
        <v>21023</v>
      </c>
      <c r="C2892" s="895" t="s">
        <v>158</v>
      </c>
      <c r="D2892" s="895">
        <v>118.96</v>
      </c>
    </row>
    <row r="2893" spans="1:4" x14ac:dyDescent="0.2">
      <c r="A2893" s="895">
        <v>130387</v>
      </c>
      <c r="B2893" s="895" t="s">
        <v>21024</v>
      </c>
      <c r="C2893" s="895" t="s">
        <v>158</v>
      </c>
      <c r="D2893" s="895">
        <v>96.24</v>
      </c>
    </row>
    <row r="2894" spans="1:4" x14ac:dyDescent="0.2">
      <c r="A2894" s="895">
        <v>130394</v>
      </c>
      <c r="B2894" s="895" t="s">
        <v>21025</v>
      </c>
      <c r="C2894" s="895" t="s">
        <v>158</v>
      </c>
      <c r="D2894" s="895">
        <v>12.48</v>
      </c>
    </row>
    <row r="2895" spans="1:4" x14ac:dyDescent="0.2">
      <c r="A2895" s="895">
        <v>130400</v>
      </c>
      <c r="B2895" s="895" t="s">
        <v>21026</v>
      </c>
      <c r="C2895" s="895" t="s">
        <v>18269</v>
      </c>
      <c r="D2895" s="895" t="s">
        <v>18269</v>
      </c>
    </row>
    <row r="2896" spans="1:4" x14ac:dyDescent="0.2">
      <c r="A2896" s="895">
        <v>130405</v>
      </c>
      <c r="B2896" s="895" t="s">
        <v>21027</v>
      </c>
      <c r="C2896" s="895" t="s">
        <v>158</v>
      </c>
      <c r="D2896" s="895">
        <v>101.77</v>
      </c>
    </row>
    <row r="2897" spans="1:4" x14ac:dyDescent="0.2">
      <c r="A2897" s="895">
        <v>135000</v>
      </c>
      <c r="B2897" s="895" t="s">
        <v>19214</v>
      </c>
      <c r="C2897" s="895" t="s">
        <v>18269</v>
      </c>
      <c r="D2897" s="895" t="s">
        <v>18269</v>
      </c>
    </row>
    <row r="2898" spans="1:4" x14ac:dyDescent="0.2">
      <c r="A2898" s="895">
        <v>135001</v>
      </c>
      <c r="B2898" s="895" t="s">
        <v>18770</v>
      </c>
      <c r="C2898" s="895" t="s">
        <v>159</v>
      </c>
      <c r="D2898" s="895">
        <v>321.06</v>
      </c>
    </row>
    <row r="2899" spans="1:4" x14ac:dyDescent="0.2">
      <c r="A2899" s="895">
        <v>135005</v>
      </c>
      <c r="B2899" s="895" t="s">
        <v>21028</v>
      </c>
      <c r="C2899" s="895" t="s">
        <v>227</v>
      </c>
      <c r="D2899" s="895">
        <v>37.049999999999997</v>
      </c>
    </row>
    <row r="2900" spans="1:4" x14ac:dyDescent="0.2">
      <c r="A2900" s="895">
        <v>135010</v>
      </c>
      <c r="B2900" s="895" t="s">
        <v>21029</v>
      </c>
      <c r="C2900" s="895" t="s">
        <v>227</v>
      </c>
      <c r="D2900" s="895">
        <v>24.7</v>
      </c>
    </row>
    <row r="2901" spans="1:4" x14ac:dyDescent="0.2">
      <c r="A2901" s="895">
        <v>135012</v>
      </c>
      <c r="B2901" s="895" t="s">
        <v>21030</v>
      </c>
      <c r="C2901" s="895" t="s">
        <v>227</v>
      </c>
      <c r="D2901" s="895">
        <v>24.7</v>
      </c>
    </row>
    <row r="2902" spans="1:4" x14ac:dyDescent="0.2">
      <c r="A2902" s="895">
        <v>135014</v>
      </c>
      <c r="B2902" s="895" t="s">
        <v>21031</v>
      </c>
      <c r="C2902" s="895" t="s">
        <v>227</v>
      </c>
      <c r="D2902" s="895">
        <v>29.64</v>
      </c>
    </row>
    <row r="2903" spans="1:4" x14ac:dyDescent="0.2">
      <c r="A2903" s="895">
        <v>135020</v>
      </c>
      <c r="B2903" s="895" t="s">
        <v>21032</v>
      </c>
      <c r="C2903" s="895" t="s">
        <v>227</v>
      </c>
      <c r="D2903" s="895">
        <v>22.23</v>
      </c>
    </row>
    <row r="2904" spans="1:4" x14ac:dyDescent="0.2">
      <c r="A2904" s="895">
        <v>135030</v>
      </c>
      <c r="B2904" s="895" t="s">
        <v>21033</v>
      </c>
      <c r="C2904" s="895" t="s">
        <v>158</v>
      </c>
      <c r="D2904" s="895">
        <v>3.21</v>
      </c>
    </row>
    <row r="2905" spans="1:4" x14ac:dyDescent="0.2">
      <c r="A2905" s="895">
        <v>135040</v>
      </c>
      <c r="B2905" s="895" t="s">
        <v>21034</v>
      </c>
      <c r="C2905" s="895" t="s">
        <v>158</v>
      </c>
      <c r="D2905" s="895">
        <v>9.8800000000000008</v>
      </c>
    </row>
    <row r="2906" spans="1:4" x14ac:dyDescent="0.2">
      <c r="A2906" s="895">
        <v>136000</v>
      </c>
      <c r="B2906" s="895" t="s">
        <v>19341</v>
      </c>
      <c r="C2906" s="895" t="s">
        <v>18269</v>
      </c>
      <c r="D2906" s="895" t="s">
        <v>18269</v>
      </c>
    </row>
    <row r="2907" spans="1:4" x14ac:dyDescent="0.2">
      <c r="A2907" s="895">
        <v>136002</v>
      </c>
      <c r="B2907" s="895" t="s">
        <v>20945</v>
      </c>
      <c r="C2907" s="895" t="s">
        <v>227</v>
      </c>
      <c r="D2907" s="895">
        <v>34.58</v>
      </c>
    </row>
    <row r="2908" spans="1:4" x14ac:dyDescent="0.2">
      <c r="A2908" s="895">
        <v>136010</v>
      </c>
      <c r="B2908" s="895" t="s">
        <v>21035</v>
      </c>
      <c r="C2908" s="895" t="s">
        <v>227</v>
      </c>
      <c r="D2908" s="895">
        <v>37.049999999999997</v>
      </c>
    </row>
    <row r="2909" spans="1:4" x14ac:dyDescent="0.2">
      <c r="A2909" s="895">
        <v>136012</v>
      </c>
      <c r="B2909" s="895" t="s">
        <v>21036</v>
      </c>
      <c r="C2909" s="895" t="s">
        <v>227</v>
      </c>
      <c r="D2909" s="895">
        <v>35.56</v>
      </c>
    </row>
    <row r="2910" spans="1:4" x14ac:dyDescent="0.2">
      <c r="A2910" s="895">
        <v>136014</v>
      </c>
      <c r="B2910" s="895" t="s">
        <v>21037</v>
      </c>
      <c r="C2910" s="895" t="s">
        <v>227</v>
      </c>
      <c r="D2910" s="895">
        <v>42.68</v>
      </c>
    </row>
    <row r="2911" spans="1:4" x14ac:dyDescent="0.2">
      <c r="A2911" s="895">
        <v>136020</v>
      </c>
      <c r="B2911" s="895" t="s">
        <v>21038</v>
      </c>
      <c r="C2911" s="895" t="s">
        <v>227</v>
      </c>
      <c r="D2911" s="895">
        <v>35.1</v>
      </c>
    </row>
    <row r="2912" spans="1:4" x14ac:dyDescent="0.2">
      <c r="A2912" s="895">
        <v>136030</v>
      </c>
      <c r="B2912" s="895" t="s">
        <v>21039</v>
      </c>
      <c r="C2912" s="895" t="s">
        <v>158</v>
      </c>
      <c r="D2912" s="895">
        <v>6.17</v>
      </c>
    </row>
    <row r="2913" spans="1:4" x14ac:dyDescent="0.2">
      <c r="A2913" s="895">
        <v>137000</v>
      </c>
      <c r="B2913" s="895" t="s">
        <v>19348</v>
      </c>
      <c r="C2913" s="895" t="s">
        <v>18269</v>
      </c>
      <c r="D2913" s="895" t="s">
        <v>18269</v>
      </c>
    </row>
    <row r="2914" spans="1:4" x14ac:dyDescent="0.2">
      <c r="A2914" s="895">
        <v>137010</v>
      </c>
      <c r="B2914" s="895" t="s">
        <v>21040</v>
      </c>
      <c r="C2914" s="895" t="s">
        <v>227</v>
      </c>
      <c r="D2914" s="895">
        <v>113.07</v>
      </c>
    </row>
    <row r="2915" spans="1:4" x14ac:dyDescent="0.2">
      <c r="A2915" s="895">
        <v>137012</v>
      </c>
      <c r="B2915" s="895" t="s">
        <v>21041</v>
      </c>
      <c r="C2915" s="895" t="s">
        <v>227</v>
      </c>
      <c r="D2915" s="895">
        <v>28.84</v>
      </c>
    </row>
    <row r="2916" spans="1:4" x14ac:dyDescent="0.2">
      <c r="A2916" s="895">
        <v>137014</v>
      </c>
      <c r="B2916" s="895" t="s">
        <v>21042</v>
      </c>
      <c r="C2916" s="895" t="s">
        <v>227</v>
      </c>
      <c r="D2916" s="895">
        <v>77.98</v>
      </c>
    </row>
    <row r="2917" spans="1:4" x14ac:dyDescent="0.2">
      <c r="A2917" s="895">
        <v>137020</v>
      </c>
      <c r="B2917" s="895" t="s">
        <v>21043</v>
      </c>
      <c r="C2917" s="895" t="s">
        <v>227</v>
      </c>
      <c r="D2917" s="895">
        <v>14.96</v>
      </c>
    </row>
    <row r="2918" spans="1:4" x14ac:dyDescent="0.2">
      <c r="A2918" s="895">
        <v>137030</v>
      </c>
      <c r="B2918" s="895" t="s">
        <v>21044</v>
      </c>
      <c r="C2918" s="895" t="s">
        <v>158</v>
      </c>
      <c r="D2918" s="895">
        <v>22.55</v>
      </c>
    </row>
    <row r="2919" spans="1:4" x14ac:dyDescent="0.2">
      <c r="A2919" s="895">
        <v>138000</v>
      </c>
      <c r="B2919" s="895" t="s">
        <v>19393</v>
      </c>
      <c r="C2919" s="895" t="s">
        <v>18269</v>
      </c>
      <c r="D2919" s="895" t="s">
        <v>18269</v>
      </c>
    </row>
    <row r="2920" spans="1:4" x14ac:dyDescent="0.2">
      <c r="A2920" s="895">
        <v>138015</v>
      </c>
      <c r="B2920" s="895" t="s">
        <v>21045</v>
      </c>
      <c r="C2920" s="895" t="s">
        <v>227</v>
      </c>
      <c r="D2920" s="895">
        <v>317.95</v>
      </c>
    </row>
    <row r="2921" spans="1:4" x14ac:dyDescent="0.2">
      <c r="A2921" s="895">
        <v>138016</v>
      </c>
      <c r="B2921" s="895" t="s">
        <v>21046</v>
      </c>
      <c r="C2921" s="895" t="s">
        <v>227</v>
      </c>
      <c r="D2921" s="895">
        <v>35.29</v>
      </c>
    </row>
    <row r="2922" spans="1:4" x14ac:dyDescent="0.2">
      <c r="A2922" s="895">
        <v>138017</v>
      </c>
      <c r="B2922" s="895" t="s">
        <v>21047</v>
      </c>
      <c r="C2922" s="895" t="s">
        <v>227</v>
      </c>
      <c r="D2922" s="895">
        <v>8.43</v>
      </c>
    </row>
    <row r="2923" spans="1:4" x14ac:dyDescent="0.2">
      <c r="A2923" s="895">
        <v>138018</v>
      </c>
      <c r="B2923" s="895" t="s">
        <v>21048</v>
      </c>
      <c r="C2923" s="895" t="s">
        <v>227</v>
      </c>
      <c r="D2923" s="895">
        <v>469.45</v>
      </c>
    </row>
    <row r="2924" spans="1:4" x14ac:dyDescent="0.2">
      <c r="A2924" s="895">
        <v>138041</v>
      </c>
      <c r="B2924" s="895" t="s">
        <v>21049</v>
      </c>
      <c r="C2924" s="895" t="s">
        <v>158</v>
      </c>
      <c r="D2924" s="895">
        <v>25.89</v>
      </c>
    </row>
    <row r="2925" spans="1:4" x14ac:dyDescent="0.2">
      <c r="A2925" s="895">
        <v>138061</v>
      </c>
      <c r="B2925" s="895" t="s">
        <v>21050</v>
      </c>
      <c r="C2925" s="895" t="s">
        <v>227</v>
      </c>
      <c r="D2925" s="895">
        <v>7.69</v>
      </c>
    </row>
    <row r="2926" spans="1:4" x14ac:dyDescent="0.2">
      <c r="A2926" s="895">
        <v>138062</v>
      </c>
      <c r="B2926" s="895" t="s">
        <v>21051</v>
      </c>
      <c r="C2926" s="895" t="s">
        <v>227</v>
      </c>
      <c r="D2926" s="895">
        <v>7.69</v>
      </c>
    </row>
    <row r="2927" spans="1:4" x14ac:dyDescent="0.2">
      <c r="A2927" s="895">
        <v>138070</v>
      </c>
      <c r="B2927" s="895" t="s">
        <v>21052</v>
      </c>
      <c r="C2927" s="895" t="s">
        <v>227</v>
      </c>
      <c r="D2927" s="895">
        <v>32.68</v>
      </c>
    </row>
    <row r="2928" spans="1:4" x14ac:dyDescent="0.2">
      <c r="A2928" s="895">
        <v>138071</v>
      </c>
      <c r="B2928" s="895" t="s">
        <v>21053</v>
      </c>
      <c r="C2928" s="895" t="s">
        <v>227</v>
      </c>
      <c r="D2928" s="895">
        <v>44.99</v>
      </c>
    </row>
    <row r="2929" spans="1:4" x14ac:dyDescent="0.2">
      <c r="A2929" s="895">
        <v>138072</v>
      </c>
      <c r="B2929" s="895" t="s">
        <v>21054</v>
      </c>
      <c r="C2929" s="895" t="s">
        <v>227</v>
      </c>
      <c r="D2929" s="895">
        <v>54.2</v>
      </c>
    </row>
    <row r="2930" spans="1:4" x14ac:dyDescent="0.2">
      <c r="A2930" s="895">
        <v>138073</v>
      </c>
      <c r="B2930" s="895" t="s">
        <v>21055</v>
      </c>
      <c r="C2930" s="895" t="s">
        <v>158</v>
      </c>
      <c r="D2930" s="895">
        <v>16.91</v>
      </c>
    </row>
    <row r="2931" spans="1:4" x14ac:dyDescent="0.2">
      <c r="A2931" s="895">
        <v>138074</v>
      </c>
      <c r="B2931" s="895" t="s">
        <v>21056</v>
      </c>
      <c r="C2931" s="895" t="s">
        <v>158</v>
      </c>
      <c r="D2931" s="895">
        <v>23.28</v>
      </c>
    </row>
    <row r="2932" spans="1:4" x14ac:dyDescent="0.2">
      <c r="A2932" s="895">
        <v>138075</v>
      </c>
      <c r="B2932" s="895" t="s">
        <v>21057</v>
      </c>
      <c r="C2932" s="895" t="s">
        <v>158</v>
      </c>
      <c r="D2932" s="895">
        <v>28.05</v>
      </c>
    </row>
    <row r="2933" spans="1:4" x14ac:dyDescent="0.2">
      <c r="A2933" s="895">
        <v>138076</v>
      </c>
      <c r="B2933" s="895" t="s">
        <v>21058</v>
      </c>
      <c r="C2933" s="895" t="s">
        <v>227</v>
      </c>
      <c r="D2933" s="895">
        <v>19.46</v>
      </c>
    </row>
    <row r="2934" spans="1:4" x14ac:dyDescent="0.2">
      <c r="A2934" s="895">
        <v>140000</v>
      </c>
      <c r="B2934" s="895" t="s">
        <v>21059</v>
      </c>
    </row>
    <row r="2935" spans="1:4" x14ac:dyDescent="0.2">
      <c r="A2935" s="895">
        <v>140100</v>
      </c>
      <c r="B2935" s="895" t="s">
        <v>21060</v>
      </c>
      <c r="C2935" s="895" t="s">
        <v>18269</v>
      </c>
      <c r="D2935" s="895" t="s">
        <v>18269</v>
      </c>
    </row>
    <row r="2936" spans="1:4" x14ac:dyDescent="0.2">
      <c r="A2936" s="895">
        <v>140103</v>
      </c>
      <c r="B2936" s="895" t="s">
        <v>21061</v>
      </c>
      <c r="C2936" s="895" t="s">
        <v>227</v>
      </c>
      <c r="D2936" s="895">
        <v>200.92</v>
      </c>
    </row>
    <row r="2937" spans="1:4" x14ac:dyDescent="0.2">
      <c r="A2937" s="895">
        <v>140104</v>
      </c>
      <c r="B2937" s="895" t="s">
        <v>21062</v>
      </c>
      <c r="C2937" s="895" t="s">
        <v>227</v>
      </c>
      <c r="D2937" s="895">
        <v>213.88</v>
      </c>
    </row>
    <row r="2938" spans="1:4" x14ac:dyDescent="0.2">
      <c r="A2938" s="895">
        <v>140105</v>
      </c>
      <c r="B2938" s="895" t="s">
        <v>21063</v>
      </c>
      <c r="C2938" s="895" t="s">
        <v>227</v>
      </c>
      <c r="D2938" s="895">
        <v>237.15</v>
      </c>
    </row>
    <row r="2939" spans="1:4" x14ac:dyDescent="0.2">
      <c r="A2939" s="895">
        <v>140111</v>
      </c>
      <c r="B2939" s="895" t="s">
        <v>21064</v>
      </c>
      <c r="C2939" s="895" t="s">
        <v>227</v>
      </c>
      <c r="D2939" s="895">
        <v>187.96</v>
      </c>
    </row>
    <row r="2940" spans="1:4" x14ac:dyDescent="0.2">
      <c r="A2940" s="895">
        <v>140130</v>
      </c>
      <c r="B2940" s="895" t="s">
        <v>21065</v>
      </c>
      <c r="C2940" s="895" t="s">
        <v>227</v>
      </c>
      <c r="D2940" s="895">
        <v>421.87</v>
      </c>
    </row>
    <row r="2941" spans="1:4" x14ac:dyDescent="0.2">
      <c r="A2941" s="895">
        <v>140137</v>
      </c>
      <c r="B2941" s="895" t="s">
        <v>21066</v>
      </c>
      <c r="C2941" s="895" t="s">
        <v>227</v>
      </c>
      <c r="D2941" s="895">
        <v>610.34</v>
      </c>
    </row>
    <row r="2942" spans="1:4" x14ac:dyDescent="0.2">
      <c r="A2942" s="895">
        <v>140150</v>
      </c>
      <c r="B2942" s="895" t="s">
        <v>21067</v>
      </c>
      <c r="C2942" s="895" t="s">
        <v>227</v>
      </c>
      <c r="D2942" s="895">
        <v>374.79</v>
      </c>
    </row>
    <row r="2943" spans="1:4" x14ac:dyDescent="0.2">
      <c r="A2943" s="895">
        <v>140152</v>
      </c>
      <c r="B2943" s="895" t="s">
        <v>21068</v>
      </c>
      <c r="C2943" s="895" t="s">
        <v>227</v>
      </c>
      <c r="D2943" s="895">
        <v>438.41</v>
      </c>
    </row>
    <row r="2944" spans="1:4" x14ac:dyDescent="0.2">
      <c r="A2944" s="895">
        <v>140170</v>
      </c>
      <c r="B2944" s="895" t="s">
        <v>21069</v>
      </c>
      <c r="C2944" s="895" t="s">
        <v>227</v>
      </c>
      <c r="D2944" s="895">
        <v>218.01</v>
      </c>
    </row>
    <row r="2945" spans="1:4" x14ac:dyDescent="0.2">
      <c r="A2945" s="895">
        <v>140172</v>
      </c>
      <c r="B2945" s="895" t="s">
        <v>21070</v>
      </c>
      <c r="C2945" s="895" t="s">
        <v>227</v>
      </c>
      <c r="D2945" s="895">
        <v>667.34</v>
      </c>
    </row>
    <row r="2946" spans="1:4" x14ac:dyDescent="0.2">
      <c r="A2946" s="895">
        <v>145000</v>
      </c>
      <c r="B2946" s="895" t="s">
        <v>19214</v>
      </c>
      <c r="C2946" s="895" t="s">
        <v>18269</v>
      </c>
      <c r="D2946" s="895" t="s">
        <v>18269</v>
      </c>
    </row>
    <row r="2947" spans="1:4" x14ac:dyDescent="0.2">
      <c r="A2947" s="895">
        <v>145001</v>
      </c>
      <c r="B2947" s="895" t="s">
        <v>21071</v>
      </c>
      <c r="C2947" s="895" t="s">
        <v>227</v>
      </c>
      <c r="D2947" s="895">
        <v>90.64</v>
      </c>
    </row>
    <row r="2948" spans="1:4" x14ac:dyDescent="0.2">
      <c r="A2948" s="895">
        <v>146000</v>
      </c>
      <c r="B2948" s="895" t="s">
        <v>19341</v>
      </c>
      <c r="C2948" s="895" t="s">
        <v>18269</v>
      </c>
      <c r="D2948" s="895" t="s">
        <v>18269</v>
      </c>
    </row>
    <row r="2949" spans="1:4" x14ac:dyDescent="0.2">
      <c r="A2949" s="895">
        <v>146001</v>
      </c>
      <c r="B2949" s="895" t="s">
        <v>21072</v>
      </c>
      <c r="C2949" s="895" t="s">
        <v>227</v>
      </c>
      <c r="D2949" s="895">
        <v>135.96</v>
      </c>
    </row>
    <row r="2950" spans="1:4" x14ac:dyDescent="0.2">
      <c r="A2950" s="895">
        <v>147000</v>
      </c>
      <c r="B2950" s="895" t="s">
        <v>19348</v>
      </c>
      <c r="C2950" s="895" t="s">
        <v>18269</v>
      </c>
      <c r="D2950" s="895" t="s">
        <v>18269</v>
      </c>
    </row>
    <row r="2951" spans="1:4" x14ac:dyDescent="0.2">
      <c r="A2951" s="895">
        <v>147001</v>
      </c>
      <c r="B2951" s="895" t="s">
        <v>21073</v>
      </c>
      <c r="C2951" s="895" t="s">
        <v>227</v>
      </c>
      <c r="D2951" s="895">
        <v>97.52</v>
      </c>
    </row>
    <row r="2952" spans="1:4" x14ac:dyDescent="0.2">
      <c r="A2952" s="895">
        <v>150000</v>
      </c>
      <c r="B2952" s="895" t="s">
        <v>191</v>
      </c>
    </row>
    <row r="2953" spans="1:4" x14ac:dyDescent="0.2">
      <c r="A2953" s="895">
        <v>150100</v>
      </c>
      <c r="B2953" s="895" t="s">
        <v>21074</v>
      </c>
      <c r="C2953" s="895" t="s">
        <v>18269</v>
      </c>
      <c r="D2953" s="895" t="s">
        <v>18269</v>
      </c>
    </row>
    <row r="2954" spans="1:4" x14ac:dyDescent="0.2">
      <c r="A2954" s="895">
        <v>150101</v>
      </c>
      <c r="B2954" s="895" t="s">
        <v>21075</v>
      </c>
      <c r="C2954" s="895" t="s">
        <v>227</v>
      </c>
      <c r="D2954" s="895">
        <v>7.9</v>
      </c>
    </row>
    <row r="2955" spans="1:4" x14ac:dyDescent="0.2">
      <c r="A2955" s="895">
        <v>150102</v>
      </c>
      <c r="B2955" s="895" t="s">
        <v>21076</v>
      </c>
      <c r="C2955" s="895" t="s">
        <v>227</v>
      </c>
      <c r="D2955" s="895">
        <v>10.77</v>
      </c>
    </row>
    <row r="2956" spans="1:4" x14ac:dyDescent="0.2">
      <c r="A2956" s="895">
        <v>150108</v>
      </c>
      <c r="B2956" s="895" t="s">
        <v>21077</v>
      </c>
      <c r="C2956" s="895" t="s">
        <v>227</v>
      </c>
      <c r="D2956" s="895">
        <v>12.29</v>
      </c>
    </row>
    <row r="2957" spans="1:4" x14ac:dyDescent="0.2">
      <c r="A2957" s="895">
        <v>150110</v>
      </c>
      <c r="B2957" s="895" t="s">
        <v>18834</v>
      </c>
      <c r="C2957" s="895" t="s">
        <v>227</v>
      </c>
      <c r="D2957" s="895">
        <v>25.64</v>
      </c>
    </row>
    <row r="2958" spans="1:4" x14ac:dyDescent="0.2">
      <c r="A2958" s="895">
        <v>150111</v>
      </c>
      <c r="B2958" s="895" t="s">
        <v>21078</v>
      </c>
      <c r="C2958" s="895" t="s">
        <v>227</v>
      </c>
      <c r="D2958" s="895">
        <v>38.42</v>
      </c>
    </row>
    <row r="2959" spans="1:4" x14ac:dyDescent="0.2">
      <c r="A2959" s="895">
        <v>150115</v>
      </c>
      <c r="B2959" s="895" t="s">
        <v>21079</v>
      </c>
      <c r="C2959" s="895" t="s">
        <v>227</v>
      </c>
      <c r="D2959" s="895">
        <v>26.13</v>
      </c>
    </row>
    <row r="2960" spans="1:4" x14ac:dyDescent="0.2">
      <c r="A2960" s="895">
        <v>150116</v>
      </c>
      <c r="B2960" s="895" t="s">
        <v>21080</v>
      </c>
      <c r="C2960" s="895" t="s">
        <v>227</v>
      </c>
      <c r="D2960" s="895">
        <v>42.33</v>
      </c>
    </row>
    <row r="2961" spans="1:4" x14ac:dyDescent="0.2">
      <c r="A2961" s="895">
        <v>150118</v>
      </c>
      <c r="B2961" s="895" t="s">
        <v>21081</v>
      </c>
      <c r="C2961" s="895" t="s">
        <v>227</v>
      </c>
      <c r="D2961" s="895">
        <v>76.92</v>
      </c>
    </row>
    <row r="2962" spans="1:4" x14ac:dyDescent="0.2">
      <c r="A2962" s="895">
        <v>150119</v>
      </c>
      <c r="B2962" s="895" t="s">
        <v>21082</v>
      </c>
      <c r="C2962" s="895" t="s">
        <v>227</v>
      </c>
      <c r="D2962" s="895">
        <v>28.26</v>
      </c>
    </row>
    <row r="2963" spans="1:4" x14ac:dyDescent="0.2">
      <c r="A2963" s="895">
        <v>150123</v>
      </c>
      <c r="B2963" s="895" t="s">
        <v>21083</v>
      </c>
      <c r="C2963" s="895" t="s">
        <v>227</v>
      </c>
      <c r="D2963" s="895">
        <v>28.91</v>
      </c>
    </row>
    <row r="2964" spans="1:4" x14ac:dyDescent="0.2">
      <c r="A2964" s="895">
        <v>150124</v>
      </c>
      <c r="B2964" s="895" t="s">
        <v>21084</v>
      </c>
      <c r="C2964" s="895" t="s">
        <v>227</v>
      </c>
      <c r="D2964" s="895">
        <v>56.98</v>
      </c>
    </row>
    <row r="2965" spans="1:4" x14ac:dyDescent="0.2">
      <c r="A2965" s="895">
        <v>150125</v>
      </c>
      <c r="B2965" s="895" t="s">
        <v>21085</v>
      </c>
      <c r="C2965" s="895" t="s">
        <v>227</v>
      </c>
      <c r="D2965" s="895">
        <v>70.37</v>
      </c>
    </row>
    <row r="2966" spans="1:4" x14ac:dyDescent="0.2">
      <c r="A2966" s="895">
        <v>150136</v>
      </c>
      <c r="B2966" s="895" t="s">
        <v>21086</v>
      </c>
      <c r="C2966" s="895" t="s">
        <v>227</v>
      </c>
      <c r="D2966" s="895">
        <v>177.84</v>
      </c>
    </row>
    <row r="2967" spans="1:4" x14ac:dyDescent="0.2">
      <c r="A2967" s="895">
        <v>150170</v>
      </c>
      <c r="B2967" s="895" t="s">
        <v>21087</v>
      </c>
      <c r="C2967" s="895" t="s">
        <v>227</v>
      </c>
      <c r="D2967" s="895">
        <v>127.66</v>
      </c>
    </row>
    <row r="2968" spans="1:4" x14ac:dyDescent="0.2">
      <c r="A2968" s="895">
        <v>150176</v>
      </c>
      <c r="B2968" s="895" t="s">
        <v>21088</v>
      </c>
      <c r="C2968" s="895" t="s">
        <v>227</v>
      </c>
      <c r="D2968" s="895">
        <v>30.51</v>
      </c>
    </row>
    <row r="2969" spans="1:4" x14ac:dyDescent="0.2">
      <c r="A2969" s="895">
        <v>150177</v>
      </c>
      <c r="B2969" s="895" t="s">
        <v>21089</v>
      </c>
      <c r="C2969" s="895" t="s">
        <v>227</v>
      </c>
      <c r="D2969" s="895">
        <v>44.13</v>
      </c>
    </row>
    <row r="2970" spans="1:4" x14ac:dyDescent="0.2">
      <c r="A2970" s="895">
        <v>150200</v>
      </c>
      <c r="B2970" s="895" t="s">
        <v>21090</v>
      </c>
      <c r="C2970" s="895" t="s">
        <v>18269</v>
      </c>
      <c r="D2970" s="895" t="s">
        <v>18269</v>
      </c>
    </row>
    <row r="2971" spans="1:4" x14ac:dyDescent="0.2">
      <c r="A2971" s="895">
        <v>150210</v>
      </c>
      <c r="B2971" s="895" t="s">
        <v>21091</v>
      </c>
      <c r="C2971" s="895" t="s">
        <v>227</v>
      </c>
      <c r="D2971" s="895">
        <v>31.85</v>
      </c>
    </row>
    <row r="2972" spans="1:4" x14ac:dyDescent="0.2">
      <c r="A2972" s="895">
        <v>150211</v>
      </c>
      <c r="B2972" s="895" t="s">
        <v>21092</v>
      </c>
      <c r="C2972" s="895" t="s">
        <v>227</v>
      </c>
      <c r="D2972" s="895">
        <v>53.79</v>
      </c>
    </row>
    <row r="2973" spans="1:4" x14ac:dyDescent="0.2">
      <c r="A2973" s="895">
        <v>150212</v>
      </c>
      <c r="B2973" s="895" t="s">
        <v>21093</v>
      </c>
      <c r="C2973" s="895" t="s">
        <v>227</v>
      </c>
      <c r="D2973" s="895">
        <v>16.18</v>
      </c>
    </row>
    <row r="2974" spans="1:4" x14ac:dyDescent="0.2">
      <c r="A2974" s="895">
        <v>150214</v>
      </c>
      <c r="B2974" s="895" t="s">
        <v>21094</v>
      </c>
      <c r="C2974" s="895" t="s">
        <v>158</v>
      </c>
      <c r="D2974" s="895">
        <v>5.74</v>
      </c>
    </row>
    <row r="2975" spans="1:4" x14ac:dyDescent="0.2">
      <c r="A2975" s="895">
        <v>150240</v>
      </c>
      <c r="B2975" s="895" t="s">
        <v>21095</v>
      </c>
      <c r="C2975" s="895" t="s">
        <v>227</v>
      </c>
      <c r="D2975" s="895">
        <v>17.2</v>
      </c>
    </row>
    <row r="2976" spans="1:4" x14ac:dyDescent="0.2">
      <c r="A2976" s="895">
        <v>150260</v>
      </c>
      <c r="B2976" s="895" t="s">
        <v>21096</v>
      </c>
      <c r="C2976" s="895" t="s">
        <v>227</v>
      </c>
      <c r="D2976" s="895">
        <v>26.26</v>
      </c>
    </row>
    <row r="2977" spans="1:4" x14ac:dyDescent="0.2">
      <c r="A2977" s="895">
        <v>150300</v>
      </c>
      <c r="B2977" s="895" t="s">
        <v>21097</v>
      </c>
      <c r="C2977" s="895" t="s">
        <v>18269</v>
      </c>
      <c r="D2977" s="895" t="s">
        <v>18269</v>
      </c>
    </row>
    <row r="2978" spans="1:4" x14ac:dyDescent="0.2">
      <c r="A2978" s="895">
        <v>150304</v>
      </c>
      <c r="B2978" s="895" t="s">
        <v>21098</v>
      </c>
      <c r="C2978" s="895" t="s">
        <v>158</v>
      </c>
      <c r="D2978" s="895">
        <v>10.57</v>
      </c>
    </row>
    <row r="2979" spans="1:4" x14ac:dyDescent="0.2">
      <c r="A2979" s="895">
        <v>150310</v>
      </c>
      <c r="B2979" s="895" t="s">
        <v>21099</v>
      </c>
      <c r="C2979" s="895" t="s">
        <v>227</v>
      </c>
      <c r="D2979" s="895">
        <v>62.29</v>
      </c>
    </row>
    <row r="2980" spans="1:4" x14ac:dyDescent="0.2">
      <c r="A2980" s="895">
        <v>150312</v>
      </c>
      <c r="B2980" s="895" t="s">
        <v>21100</v>
      </c>
      <c r="C2980" s="895" t="s">
        <v>227</v>
      </c>
      <c r="D2980" s="895">
        <v>26.92</v>
      </c>
    </row>
    <row r="2981" spans="1:4" x14ac:dyDescent="0.2">
      <c r="A2981" s="895">
        <v>150314</v>
      </c>
      <c r="B2981" s="895" t="s">
        <v>21101</v>
      </c>
      <c r="C2981" s="895" t="s">
        <v>158</v>
      </c>
      <c r="D2981" s="895">
        <v>16.18</v>
      </c>
    </row>
    <row r="2982" spans="1:4" x14ac:dyDescent="0.2">
      <c r="A2982" s="895">
        <v>155000</v>
      </c>
      <c r="B2982" s="895" t="s">
        <v>19214</v>
      </c>
      <c r="C2982" s="895" t="s">
        <v>18269</v>
      </c>
      <c r="D2982" s="895" t="s">
        <v>18269</v>
      </c>
    </row>
    <row r="2983" spans="1:4" x14ac:dyDescent="0.2">
      <c r="A2983" s="895">
        <v>155001</v>
      </c>
      <c r="B2983" s="895" t="s">
        <v>21102</v>
      </c>
      <c r="C2983" s="895" t="s">
        <v>227</v>
      </c>
      <c r="D2983" s="895">
        <v>2.87</v>
      </c>
    </row>
    <row r="2984" spans="1:4" x14ac:dyDescent="0.2">
      <c r="A2984" s="895">
        <v>155003</v>
      </c>
      <c r="B2984" s="895" t="s">
        <v>21103</v>
      </c>
      <c r="C2984" s="895" t="s">
        <v>227</v>
      </c>
      <c r="D2984" s="895">
        <v>6.52</v>
      </c>
    </row>
    <row r="2985" spans="1:4" x14ac:dyDescent="0.2">
      <c r="A2985" s="895">
        <v>155004</v>
      </c>
      <c r="B2985" s="895" t="s">
        <v>21104</v>
      </c>
      <c r="C2985" s="895" t="s">
        <v>227</v>
      </c>
      <c r="D2985" s="895">
        <v>12.14</v>
      </c>
    </row>
    <row r="2986" spans="1:4" x14ac:dyDescent="0.2">
      <c r="A2986" s="895">
        <v>155005</v>
      </c>
      <c r="B2986" s="895" t="s">
        <v>21105</v>
      </c>
      <c r="C2986" s="895" t="s">
        <v>227</v>
      </c>
      <c r="D2986" s="895">
        <v>128.97999999999999</v>
      </c>
    </row>
    <row r="2987" spans="1:4" x14ac:dyDescent="0.2">
      <c r="A2987" s="895">
        <v>155010</v>
      </c>
      <c r="B2987" s="895" t="s">
        <v>21106</v>
      </c>
      <c r="C2987" s="895" t="s">
        <v>227</v>
      </c>
      <c r="D2987" s="895">
        <v>8.93</v>
      </c>
    </row>
    <row r="2988" spans="1:4" x14ac:dyDescent="0.2">
      <c r="A2988" s="895">
        <v>155011</v>
      </c>
      <c r="B2988" s="895" t="s">
        <v>21107</v>
      </c>
      <c r="C2988" s="895" t="s">
        <v>227</v>
      </c>
      <c r="D2988" s="895">
        <v>15.01</v>
      </c>
    </row>
    <row r="2989" spans="1:4" x14ac:dyDescent="0.2">
      <c r="A2989" s="895">
        <v>155013</v>
      </c>
      <c r="B2989" s="895" t="s">
        <v>21108</v>
      </c>
      <c r="C2989" s="895" t="s">
        <v>158</v>
      </c>
      <c r="D2989" s="895">
        <v>1.5</v>
      </c>
    </row>
    <row r="2990" spans="1:4" x14ac:dyDescent="0.2">
      <c r="A2990" s="895">
        <v>155014</v>
      </c>
      <c r="B2990" s="895" t="s">
        <v>21109</v>
      </c>
      <c r="C2990" s="895" t="s">
        <v>158</v>
      </c>
      <c r="D2990" s="895">
        <v>2.14</v>
      </c>
    </row>
    <row r="2991" spans="1:4" x14ac:dyDescent="0.2">
      <c r="A2991" s="895">
        <v>155020</v>
      </c>
      <c r="B2991" s="895" t="s">
        <v>21110</v>
      </c>
      <c r="C2991" s="895" t="s">
        <v>227</v>
      </c>
      <c r="D2991" s="895">
        <v>8.74</v>
      </c>
    </row>
    <row r="2992" spans="1:4" x14ac:dyDescent="0.2">
      <c r="A2992" s="895">
        <v>155021</v>
      </c>
      <c r="B2992" s="895" t="s">
        <v>21111</v>
      </c>
      <c r="C2992" s="895" t="s">
        <v>227</v>
      </c>
      <c r="D2992" s="895">
        <v>13.57</v>
      </c>
    </row>
    <row r="2993" spans="1:4" x14ac:dyDescent="0.2">
      <c r="A2993" s="895">
        <v>155023</v>
      </c>
      <c r="B2993" s="895" t="s">
        <v>21112</v>
      </c>
      <c r="C2993" s="895" t="s">
        <v>227</v>
      </c>
      <c r="D2993" s="895">
        <v>128.97999999999999</v>
      </c>
    </row>
    <row r="2994" spans="1:4" x14ac:dyDescent="0.2">
      <c r="A2994" s="895">
        <v>158000</v>
      </c>
      <c r="B2994" s="895" t="s">
        <v>19393</v>
      </c>
      <c r="C2994" s="895" t="s">
        <v>18269</v>
      </c>
      <c r="D2994" s="895" t="s">
        <v>18269</v>
      </c>
    </row>
    <row r="2995" spans="1:4" x14ac:dyDescent="0.2">
      <c r="A2995" s="895">
        <v>158001</v>
      </c>
      <c r="B2995" s="895" t="s">
        <v>21113</v>
      </c>
      <c r="C2995" s="895" t="s">
        <v>227</v>
      </c>
      <c r="D2995" s="895">
        <v>21</v>
      </c>
    </row>
    <row r="2996" spans="1:4" x14ac:dyDescent="0.2">
      <c r="A2996" s="895">
        <v>158005</v>
      </c>
      <c r="B2996" s="895" t="s">
        <v>21114</v>
      </c>
      <c r="C2996" s="895" t="s">
        <v>227</v>
      </c>
      <c r="D2996" s="895">
        <v>22.05</v>
      </c>
    </row>
    <row r="2997" spans="1:4" x14ac:dyDescent="0.2">
      <c r="A2997" s="895">
        <v>158030</v>
      </c>
      <c r="B2997" s="895" t="s">
        <v>21115</v>
      </c>
      <c r="C2997" s="895" t="s">
        <v>227</v>
      </c>
      <c r="D2997" s="895">
        <v>28.22</v>
      </c>
    </row>
    <row r="2998" spans="1:4" x14ac:dyDescent="0.2">
      <c r="A2998" s="895">
        <v>158031</v>
      </c>
      <c r="B2998" s="895" t="s">
        <v>21116</v>
      </c>
      <c r="C2998" s="895" t="s">
        <v>227</v>
      </c>
      <c r="D2998" s="895">
        <v>13.72</v>
      </c>
    </row>
    <row r="2999" spans="1:4" x14ac:dyDescent="0.2">
      <c r="A2999" s="895">
        <v>158032</v>
      </c>
      <c r="B2999" s="895" t="s">
        <v>21117</v>
      </c>
      <c r="C2999" s="895" t="s">
        <v>227</v>
      </c>
      <c r="D2999" s="895">
        <v>21.38</v>
      </c>
    </row>
    <row r="3000" spans="1:4" x14ac:dyDescent="0.2">
      <c r="A3000" s="895">
        <v>158033</v>
      </c>
      <c r="B3000" s="895" t="s">
        <v>21118</v>
      </c>
      <c r="C3000" s="895" t="s">
        <v>158</v>
      </c>
      <c r="D3000" s="895">
        <v>3.59</v>
      </c>
    </row>
    <row r="3001" spans="1:4" x14ac:dyDescent="0.2">
      <c r="A3001" s="895">
        <v>158034</v>
      </c>
      <c r="B3001" s="895" t="s">
        <v>21119</v>
      </c>
      <c r="C3001" s="895" t="s">
        <v>227</v>
      </c>
      <c r="D3001" s="895">
        <v>36.24</v>
      </c>
    </row>
    <row r="3002" spans="1:4" x14ac:dyDescent="0.2">
      <c r="A3002" s="895">
        <v>170000</v>
      </c>
      <c r="B3002" s="895" t="s">
        <v>21120</v>
      </c>
    </row>
    <row r="3003" spans="1:4" x14ac:dyDescent="0.2">
      <c r="A3003" s="895">
        <v>170100</v>
      </c>
      <c r="B3003" s="895" t="s">
        <v>21121</v>
      </c>
      <c r="C3003" s="895" t="s">
        <v>18269</v>
      </c>
      <c r="D3003" s="895" t="s">
        <v>18269</v>
      </c>
    </row>
    <row r="3004" spans="1:4" x14ac:dyDescent="0.2">
      <c r="A3004" s="895">
        <v>170127</v>
      </c>
      <c r="B3004" s="895" t="s">
        <v>21122</v>
      </c>
      <c r="C3004" s="895" t="s">
        <v>158</v>
      </c>
      <c r="D3004" s="895">
        <v>579</v>
      </c>
    </row>
    <row r="3005" spans="1:4" x14ac:dyDescent="0.2">
      <c r="A3005" s="895">
        <v>170128</v>
      </c>
      <c r="B3005" s="895" t="s">
        <v>21123</v>
      </c>
      <c r="C3005" s="895" t="s">
        <v>158</v>
      </c>
      <c r="D3005" s="895">
        <v>241.98</v>
      </c>
    </row>
    <row r="3006" spans="1:4" x14ac:dyDescent="0.2">
      <c r="A3006" s="895">
        <v>170129</v>
      </c>
      <c r="B3006" s="895" t="s">
        <v>21124</v>
      </c>
      <c r="C3006" s="895" t="s">
        <v>158</v>
      </c>
      <c r="D3006" s="895">
        <v>911.24</v>
      </c>
    </row>
    <row r="3007" spans="1:4" x14ac:dyDescent="0.2">
      <c r="A3007" s="895">
        <v>170130</v>
      </c>
      <c r="B3007" s="895" t="s">
        <v>21125</v>
      </c>
      <c r="C3007" s="895" t="s">
        <v>158</v>
      </c>
      <c r="D3007" s="895">
        <v>968.97</v>
      </c>
    </row>
    <row r="3008" spans="1:4" x14ac:dyDescent="0.2">
      <c r="A3008" s="895">
        <v>170131</v>
      </c>
      <c r="B3008" s="895" t="s">
        <v>21126</v>
      </c>
      <c r="C3008" s="895" t="s">
        <v>158</v>
      </c>
      <c r="D3008" s="895">
        <v>1543.68</v>
      </c>
    </row>
    <row r="3009" spans="1:4" x14ac:dyDescent="0.2">
      <c r="A3009" s="895">
        <v>170132</v>
      </c>
      <c r="B3009" s="895" t="s">
        <v>21127</v>
      </c>
      <c r="C3009" s="895" t="s">
        <v>158</v>
      </c>
      <c r="D3009" s="895">
        <v>1658.86</v>
      </c>
    </row>
    <row r="3010" spans="1:4" x14ac:dyDescent="0.2">
      <c r="A3010" s="895">
        <v>170133</v>
      </c>
      <c r="B3010" s="895" t="s">
        <v>21128</v>
      </c>
      <c r="C3010" s="895" t="s">
        <v>158</v>
      </c>
      <c r="D3010" s="895">
        <v>387.79</v>
      </c>
    </row>
    <row r="3011" spans="1:4" x14ac:dyDescent="0.2">
      <c r="A3011" s="895">
        <v>170134</v>
      </c>
      <c r="B3011" s="895" t="s">
        <v>21129</v>
      </c>
      <c r="C3011" s="895" t="s">
        <v>226</v>
      </c>
      <c r="D3011" s="895">
        <v>4535.33</v>
      </c>
    </row>
    <row r="3012" spans="1:4" x14ac:dyDescent="0.2">
      <c r="A3012" s="895">
        <v>170135</v>
      </c>
      <c r="B3012" s="895" t="s">
        <v>21130</v>
      </c>
      <c r="C3012" s="895" t="s">
        <v>226</v>
      </c>
      <c r="D3012" s="895">
        <v>3910.8</v>
      </c>
    </row>
    <row r="3013" spans="1:4" x14ac:dyDescent="0.2">
      <c r="A3013" s="895">
        <v>170136</v>
      </c>
      <c r="B3013" s="895" t="s">
        <v>21131</v>
      </c>
      <c r="C3013" s="895" t="s">
        <v>226</v>
      </c>
      <c r="D3013" s="895">
        <v>6145.54</v>
      </c>
    </row>
    <row r="3014" spans="1:4" x14ac:dyDescent="0.2">
      <c r="A3014" s="895">
        <v>170137</v>
      </c>
      <c r="B3014" s="895" t="s">
        <v>21132</v>
      </c>
      <c r="C3014" s="895" t="s">
        <v>226</v>
      </c>
      <c r="D3014" s="895">
        <v>7481.6</v>
      </c>
    </row>
    <row r="3015" spans="1:4" x14ac:dyDescent="0.2">
      <c r="A3015" s="895">
        <v>170138</v>
      </c>
      <c r="B3015" s="895" t="s">
        <v>21133</v>
      </c>
      <c r="C3015" s="895" t="s">
        <v>226</v>
      </c>
      <c r="D3015" s="895">
        <v>10191.9</v>
      </c>
    </row>
    <row r="3016" spans="1:4" x14ac:dyDescent="0.2">
      <c r="A3016" s="895">
        <v>170140</v>
      </c>
      <c r="B3016" s="895" t="s">
        <v>21134</v>
      </c>
      <c r="C3016" s="895" t="s">
        <v>227</v>
      </c>
      <c r="D3016" s="895">
        <v>746.28</v>
      </c>
    </row>
    <row r="3017" spans="1:4" x14ac:dyDescent="0.2">
      <c r="A3017" s="895">
        <v>170141</v>
      </c>
      <c r="B3017" s="895" t="s">
        <v>21135</v>
      </c>
      <c r="C3017" s="895" t="s">
        <v>227</v>
      </c>
      <c r="D3017" s="895">
        <v>588.85</v>
      </c>
    </row>
    <row r="3018" spans="1:4" x14ac:dyDescent="0.2">
      <c r="A3018" s="895">
        <v>170142</v>
      </c>
      <c r="B3018" s="895" t="s">
        <v>21136</v>
      </c>
      <c r="C3018" s="895" t="s">
        <v>227</v>
      </c>
      <c r="D3018" s="895">
        <v>739.99</v>
      </c>
    </row>
    <row r="3019" spans="1:4" x14ac:dyDescent="0.2">
      <c r="A3019" s="895">
        <v>170143</v>
      </c>
      <c r="B3019" s="895" t="s">
        <v>21137</v>
      </c>
      <c r="C3019" s="895" t="s">
        <v>227</v>
      </c>
      <c r="D3019" s="895">
        <v>580.36</v>
      </c>
    </row>
    <row r="3020" spans="1:4" x14ac:dyDescent="0.2">
      <c r="A3020" s="895">
        <v>170144</v>
      </c>
      <c r="B3020" s="895" t="s">
        <v>21138</v>
      </c>
      <c r="C3020" s="895" t="s">
        <v>227</v>
      </c>
      <c r="D3020" s="895">
        <v>775.66</v>
      </c>
    </row>
    <row r="3021" spans="1:4" x14ac:dyDescent="0.2">
      <c r="A3021" s="895">
        <v>170145</v>
      </c>
      <c r="B3021" s="895" t="s">
        <v>21139</v>
      </c>
      <c r="C3021" s="895" t="s">
        <v>227</v>
      </c>
      <c r="D3021" s="895">
        <v>620.14</v>
      </c>
    </row>
    <row r="3022" spans="1:4" x14ac:dyDescent="0.2">
      <c r="A3022" s="895">
        <v>170164</v>
      </c>
      <c r="B3022" s="895" t="s">
        <v>21140</v>
      </c>
      <c r="C3022" s="895" t="s">
        <v>158</v>
      </c>
      <c r="D3022" s="895">
        <v>796.33</v>
      </c>
    </row>
    <row r="3023" spans="1:4" x14ac:dyDescent="0.2">
      <c r="A3023" s="895">
        <v>170170</v>
      </c>
      <c r="B3023" s="895" t="s">
        <v>21141</v>
      </c>
      <c r="C3023" s="895" t="s">
        <v>158</v>
      </c>
      <c r="D3023" s="895">
        <v>2391.71</v>
      </c>
    </row>
    <row r="3024" spans="1:4" x14ac:dyDescent="0.2">
      <c r="A3024" s="895">
        <v>170171</v>
      </c>
      <c r="B3024" s="895" t="s">
        <v>21142</v>
      </c>
      <c r="C3024" s="895" t="s">
        <v>158</v>
      </c>
      <c r="D3024" s="895">
        <v>4203.13</v>
      </c>
    </row>
    <row r="3025" spans="1:4" x14ac:dyDescent="0.2">
      <c r="A3025" s="895">
        <v>170172</v>
      </c>
      <c r="B3025" s="895" t="s">
        <v>21143</v>
      </c>
      <c r="C3025" s="895" t="s">
        <v>158</v>
      </c>
      <c r="D3025" s="895">
        <v>8084.99</v>
      </c>
    </row>
    <row r="3026" spans="1:4" x14ac:dyDescent="0.2">
      <c r="A3026" s="895">
        <v>170173</v>
      </c>
      <c r="B3026" s="895" t="s">
        <v>21144</v>
      </c>
      <c r="C3026" s="895" t="s">
        <v>158</v>
      </c>
      <c r="D3026" s="895">
        <v>9510.51</v>
      </c>
    </row>
    <row r="3027" spans="1:4" x14ac:dyDescent="0.2">
      <c r="A3027" s="895">
        <v>170176</v>
      </c>
      <c r="B3027" s="895" t="s">
        <v>21145</v>
      </c>
      <c r="C3027" s="895" t="s">
        <v>158</v>
      </c>
      <c r="D3027" s="895">
        <v>429.6</v>
      </c>
    </row>
    <row r="3028" spans="1:4" x14ac:dyDescent="0.2">
      <c r="A3028" s="895">
        <v>170180</v>
      </c>
      <c r="B3028" s="895" t="s">
        <v>21146</v>
      </c>
      <c r="C3028" s="895" t="s">
        <v>158</v>
      </c>
      <c r="D3028" s="895">
        <v>1096.55</v>
      </c>
    </row>
    <row r="3029" spans="1:4" x14ac:dyDescent="0.2">
      <c r="A3029" s="895">
        <v>170181</v>
      </c>
      <c r="B3029" s="895" t="s">
        <v>21147</v>
      </c>
      <c r="C3029" s="895" t="s">
        <v>158</v>
      </c>
      <c r="D3029" s="895">
        <v>1107.46</v>
      </c>
    </row>
    <row r="3030" spans="1:4" x14ac:dyDescent="0.2">
      <c r="A3030" s="895">
        <v>170182</v>
      </c>
      <c r="B3030" s="895" t="s">
        <v>21148</v>
      </c>
      <c r="C3030" s="895" t="s">
        <v>158</v>
      </c>
      <c r="D3030" s="895">
        <v>1005.37</v>
      </c>
    </row>
    <row r="3031" spans="1:4" x14ac:dyDescent="0.2">
      <c r="A3031" s="895">
        <v>170183</v>
      </c>
      <c r="B3031" s="895" t="s">
        <v>21149</v>
      </c>
      <c r="C3031" s="895" t="s">
        <v>158</v>
      </c>
      <c r="D3031" s="895">
        <v>198.09</v>
      </c>
    </row>
    <row r="3032" spans="1:4" x14ac:dyDescent="0.2">
      <c r="A3032" s="895">
        <v>170190</v>
      </c>
      <c r="B3032" s="895" t="s">
        <v>21150</v>
      </c>
      <c r="C3032" s="895" t="s">
        <v>227</v>
      </c>
      <c r="D3032" s="895">
        <v>372.65</v>
      </c>
    </row>
    <row r="3033" spans="1:4" x14ac:dyDescent="0.2">
      <c r="A3033" s="895">
        <v>170191</v>
      </c>
      <c r="B3033" s="895" t="s">
        <v>21151</v>
      </c>
      <c r="C3033" s="895" t="s">
        <v>227</v>
      </c>
      <c r="D3033" s="895">
        <v>305.68</v>
      </c>
    </row>
    <row r="3034" spans="1:4" x14ac:dyDescent="0.2">
      <c r="A3034" s="895">
        <v>170192</v>
      </c>
      <c r="B3034" s="895" t="s">
        <v>21152</v>
      </c>
      <c r="C3034" s="895" t="s">
        <v>227</v>
      </c>
      <c r="D3034" s="895">
        <v>978.75</v>
      </c>
    </row>
    <row r="3035" spans="1:4" x14ac:dyDescent="0.2">
      <c r="A3035" s="895">
        <v>170193</v>
      </c>
      <c r="B3035" s="895" t="s">
        <v>21153</v>
      </c>
      <c r="C3035" s="895" t="s">
        <v>227</v>
      </c>
      <c r="D3035" s="895">
        <v>1124.69</v>
      </c>
    </row>
    <row r="3036" spans="1:4" x14ac:dyDescent="0.2">
      <c r="A3036" s="895">
        <v>170194</v>
      </c>
      <c r="B3036" s="895" t="s">
        <v>21154</v>
      </c>
      <c r="C3036" s="895" t="s">
        <v>227</v>
      </c>
      <c r="D3036" s="895">
        <v>901.03</v>
      </c>
    </row>
    <row r="3037" spans="1:4" x14ac:dyDescent="0.2">
      <c r="A3037" s="895">
        <v>170195</v>
      </c>
      <c r="B3037" s="895" t="s">
        <v>21155</v>
      </c>
      <c r="C3037" s="895" t="s">
        <v>227</v>
      </c>
      <c r="D3037" s="895">
        <v>1030.0999999999999</v>
      </c>
    </row>
    <row r="3038" spans="1:4" x14ac:dyDescent="0.2">
      <c r="A3038" s="895">
        <v>170196</v>
      </c>
      <c r="B3038" s="895" t="s">
        <v>21156</v>
      </c>
      <c r="C3038" s="895" t="s">
        <v>227</v>
      </c>
      <c r="D3038" s="895">
        <v>1123.6099999999999</v>
      </c>
    </row>
    <row r="3039" spans="1:4" x14ac:dyDescent="0.2">
      <c r="A3039" s="895">
        <v>170197</v>
      </c>
      <c r="B3039" s="895" t="s">
        <v>21157</v>
      </c>
      <c r="C3039" s="895" t="s">
        <v>227</v>
      </c>
      <c r="D3039" s="895">
        <v>1214.48</v>
      </c>
    </row>
    <row r="3040" spans="1:4" x14ac:dyDescent="0.2">
      <c r="A3040" s="895">
        <v>170200</v>
      </c>
      <c r="B3040" s="895" t="s">
        <v>195</v>
      </c>
      <c r="C3040" s="895" t="s">
        <v>18269</v>
      </c>
      <c r="D3040" s="895" t="s">
        <v>18269</v>
      </c>
    </row>
    <row r="3041" spans="1:4" x14ac:dyDescent="0.2">
      <c r="A3041" s="895">
        <v>170201</v>
      </c>
      <c r="B3041" s="895" t="s">
        <v>21158</v>
      </c>
      <c r="C3041" s="895" t="s">
        <v>159</v>
      </c>
      <c r="D3041" s="895">
        <v>855.38</v>
      </c>
    </row>
    <row r="3042" spans="1:4" x14ac:dyDescent="0.2">
      <c r="A3042" s="895">
        <v>170202</v>
      </c>
      <c r="B3042" s="895" t="s">
        <v>21159</v>
      </c>
      <c r="C3042" s="895" t="s">
        <v>227</v>
      </c>
      <c r="D3042" s="895">
        <v>67.44</v>
      </c>
    </row>
    <row r="3043" spans="1:4" x14ac:dyDescent="0.2">
      <c r="A3043" s="895">
        <v>170210</v>
      </c>
      <c r="B3043" s="895" t="s">
        <v>21160</v>
      </c>
      <c r="C3043" s="895" t="s">
        <v>227</v>
      </c>
      <c r="D3043" s="895">
        <v>93.6</v>
      </c>
    </row>
    <row r="3044" spans="1:4" x14ac:dyDescent="0.2">
      <c r="A3044" s="895">
        <v>170211</v>
      </c>
      <c r="B3044" s="895" t="s">
        <v>21161</v>
      </c>
      <c r="C3044" s="895" t="s">
        <v>227</v>
      </c>
      <c r="D3044" s="895">
        <v>97.71</v>
      </c>
    </row>
    <row r="3045" spans="1:4" x14ac:dyDescent="0.2">
      <c r="A3045" s="895">
        <v>170212</v>
      </c>
      <c r="B3045" s="895" t="s">
        <v>21162</v>
      </c>
      <c r="C3045" s="895" t="s">
        <v>227</v>
      </c>
      <c r="D3045" s="895">
        <v>117.74</v>
      </c>
    </row>
    <row r="3046" spans="1:4" x14ac:dyDescent="0.2">
      <c r="A3046" s="895">
        <v>170213</v>
      </c>
      <c r="B3046" s="895" t="s">
        <v>21163</v>
      </c>
      <c r="C3046" s="895" t="s">
        <v>159</v>
      </c>
      <c r="D3046" s="895">
        <v>808.73</v>
      </c>
    </row>
    <row r="3047" spans="1:4" x14ac:dyDescent="0.2">
      <c r="A3047" s="895">
        <v>170214</v>
      </c>
      <c r="B3047" s="895" t="s">
        <v>21164</v>
      </c>
      <c r="C3047" s="895" t="s">
        <v>227</v>
      </c>
      <c r="D3047" s="895">
        <v>64.400000000000006</v>
      </c>
    </row>
    <row r="3048" spans="1:4" x14ac:dyDescent="0.2">
      <c r="A3048" s="895">
        <v>170215</v>
      </c>
      <c r="B3048" s="895" t="s">
        <v>21165</v>
      </c>
      <c r="C3048" s="895" t="s">
        <v>227</v>
      </c>
      <c r="D3048" s="895">
        <v>71.77</v>
      </c>
    </row>
    <row r="3049" spans="1:4" x14ac:dyDescent="0.2">
      <c r="A3049" s="895">
        <v>170218</v>
      </c>
      <c r="B3049" s="895" t="s">
        <v>21166</v>
      </c>
      <c r="C3049" s="895" t="s">
        <v>227</v>
      </c>
      <c r="D3049" s="895">
        <v>65.23</v>
      </c>
    </row>
    <row r="3050" spans="1:4" x14ac:dyDescent="0.2">
      <c r="A3050" s="895">
        <v>170219</v>
      </c>
      <c r="B3050" s="895" t="s">
        <v>21167</v>
      </c>
      <c r="C3050" s="895" t="s">
        <v>227</v>
      </c>
      <c r="D3050" s="895">
        <v>67.41</v>
      </c>
    </row>
    <row r="3051" spans="1:4" x14ac:dyDescent="0.2">
      <c r="A3051" s="895">
        <v>170225</v>
      </c>
      <c r="B3051" s="895" t="s">
        <v>21168</v>
      </c>
      <c r="C3051" s="895" t="s">
        <v>227</v>
      </c>
      <c r="D3051" s="895">
        <v>223.01</v>
      </c>
    </row>
    <row r="3052" spans="1:4" x14ac:dyDescent="0.2">
      <c r="A3052" s="895">
        <v>170226</v>
      </c>
      <c r="B3052" s="895" t="s">
        <v>21169</v>
      </c>
      <c r="C3052" s="895" t="s">
        <v>227</v>
      </c>
      <c r="D3052" s="895">
        <v>255.34</v>
      </c>
    </row>
    <row r="3053" spans="1:4" x14ac:dyDescent="0.2">
      <c r="A3053" s="895">
        <v>170229</v>
      </c>
      <c r="B3053" s="895" t="s">
        <v>21170</v>
      </c>
      <c r="C3053" s="895" t="s">
        <v>159</v>
      </c>
      <c r="D3053" s="895">
        <v>202.84</v>
      </c>
    </row>
    <row r="3054" spans="1:4" x14ac:dyDescent="0.2">
      <c r="A3054" s="895">
        <v>170230</v>
      </c>
      <c r="B3054" s="895" t="s">
        <v>21171</v>
      </c>
      <c r="C3054" s="895" t="s">
        <v>227</v>
      </c>
      <c r="D3054" s="895">
        <v>11.72</v>
      </c>
    </row>
    <row r="3055" spans="1:4" x14ac:dyDescent="0.2">
      <c r="A3055" s="895">
        <v>170231</v>
      </c>
      <c r="B3055" s="895" t="s">
        <v>21172</v>
      </c>
      <c r="C3055" s="895" t="s">
        <v>227</v>
      </c>
      <c r="D3055" s="895">
        <v>32.409999999999997</v>
      </c>
    </row>
    <row r="3056" spans="1:4" x14ac:dyDescent="0.2">
      <c r="A3056" s="895">
        <v>170232</v>
      </c>
      <c r="B3056" s="895" t="s">
        <v>21173</v>
      </c>
      <c r="C3056" s="895" t="s">
        <v>227</v>
      </c>
      <c r="D3056" s="895">
        <v>12.42</v>
      </c>
    </row>
    <row r="3057" spans="1:4" x14ac:dyDescent="0.2">
      <c r="A3057" s="895">
        <v>170233</v>
      </c>
      <c r="B3057" s="895" t="s">
        <v>21174</v>
      </c>
      <c r="C3057" s="895" t="s">
        <v>159</v>
      </c>
      <c r="D3057" s="895">
        <v>113.09</v>
      </c>
    </row>
    <row r="3058" spans="1:4" x14ac:dyDescent="0.2">
      <c r="A3058" s="895">
        <v>170234</v>
      </c>
      <c r="B3058" s="895" t="s">
        <v>21175</v>
      </c>
      <c r="C3058" s="895" t="s">
        <v>227</v>
      </c>
      <c r="D3058" s="895">
        <v>5.58</v>
      </c>
    </row>
    <row r="3059" spans="1:4" x14ac:dyDescent="0.2">
      <c r="A3059" s="895">
        <v>170235</v>
      </c>
      <c r="B3059" s="895" t="s">
        <v>21176</v>
      </c>
      <c r="C3059" s="895" t="s">
        <v>227</v>
      </c>
      <c r="D3059" s="895">
        <v>11.32</v>
      </c>
    </row>
    <row r="3060" spans="1:4" x14ac:dyDescent="0.2">
      <c r="A3060" s="895">
        <v>170236</v>
      </c>
      <c r="B3060" s="895" t="s">
        <v>21177</v>
      </c>
      <c r="C3060" s="895" t="s">
        <v>227</v>
      </c>
      <c r="D3060" s="895">
        <v>5.89</v>
      </c>
    </row>
    <row r="3061" spans="1:4" x14ac:dyDescent="0.2">
      <c r="A3061" s="895">
        <v>170238</v>
      </c>
      <c r="B3061" s="895" t="s">
        <v>21178</v>
      </c>
      <c r="C3061" s="895" t="s">
        <v>227</v>
      </c>
      <c r="D3061" s="895">
        <v>187.95</v>
      </c>
    </row>
    <row r="3062" spans="1:4" x14ac:dyDescent="0.2">
      <c r="A3062" s="895">
        <v>170240</v>
      </c>
      <c r="B3062" s="895" t="s">
        <v>21179</v>
      </c>
      <c r="C3062" s="895" t="s">
        <v>227</v>
      </c>
      <c r="D3062" s="895">
        <v>72.02</v>
      </c>
    </row>
    <row r="3063" spans="1:4" x14ac:dyDescent="0.2">
      <c r="A3063" s="895">
        <v>170242</v>
      </c>
      <c r="B3063" s="895" t="s">
        <v>21180</v>
      </c>
      <c r="C3063" s="895" t="s">
        <v>159</v>
      </c>
      <c r="D3063" s="895">
        <v>756.88</v>
      </c>
    </row>
    <row r="3064" spans="1:4" x14ac:dyDescent="0.2">
      <c r="A3064" s="895">
        <v>170243</v>
      </c>
      <c r="B3064" s="895" t="s">
        <v>21181</v>
      </c>
      <c r="C3064" s="895" t="s">
        <v>159</v>
      </c>
      <c r="D3064" s="895">
        <v>1347.44</v>
      </c>
    </row>
    <row r="3065" spans="1:4" x14ac:dyDescent="0.2">
      <c r="A3065" s="895">
        <v>170244</v>
      </c>
      <c r="B3065" s="895" t="s">
        <v>21182</v>
      </c>
      <c r="C3065" s="895" t="s">
        <v>159</v>
      </c>
      <c r="D3065" s="895">
        <v>776.74</v>
      </c>
    </row>
    <row r="3066" spans="1:4" x14ac:dyDescent="0.2">
      <c r="A3066" s="895">
        <v>170245</v>
      </c>
      <c r="B3066" s="895" t="s">
        <v>21183</v>
      </c>
      <c r="C3066" s="895" t="s">
        <v>159</v>
      </c>
      <c r="D3066" s="895">
        <v>1367.29</v>
      </c>
    </row>
    <row r="3067" spans="1:4" x14ac:dyDescent="0.2">
      <c r="A3067" s="895">
        <v>170246</v>
      </c>
      <c r="B3067" s="895" t="s">
        <v>18539</v>
      </c>
      <c r="C3067" s="895" t="s">
        <v>159</v>
      </c>
      <c r="D3067" s="895">
        <v>316.95999999999998</v>
      </c>
    </row>
    <row r="3068" spans="1:4" x14ac:dyDescent="0.2">
      <c r="A3068" s="895">
        <v>170247</v>
      </c>
      <c r="B3068" s="895" t="s">
        <v>18540</v>
      </c>
      <c r="C3068" s="895" t="s">
        <v>159</v>
      </c>
      <c r="D3068" s="895">
        <v>907.51</v>
      </c>
    </row>
    <row r="3069" spans="1:4" x14ac:dyDescent="0.2">
      <c r="A3069" s="895">
        <v>170250</v>
      </c>
      <c r="B3069" s="895" t="s">
        <v>21184</v>
      </c>
      <c r="C3069" s="895" t="s">
        <v>158</v>
      </c>
      <c r="D3069" s="895">
        <v>88.6</v>
      </c>
    </row>
    <row r="3070" spans="1:4" x14ac:dyDescent="0.2">
      <c r="A3070" s="895">
        <v>170251</v>
      </c>
      <c r="B3070" s="895" t="s">
        <v>21185</v>
      </c>
      <c r="C3070" s="895" t="s">
        <v>158</v>
      </c>
      <c r="D3070" s="895">
        <v>88.13</v>
      </c>
    </row>
    <row r="3071" spans="1:4" x14ac:dyDescent="0.2">
      <c r="A3071" s="895">
        <v>170252</v>
      </c>
      <c r="B3071" s="895" t="s">
        <v>21186</v>
      </c>
      <c r="C3071" s="895" t="s">
        <v>159</v>
      </c>
      <c r="D3071" s="895">
        <v>749.83</v>
      </c>
    </row>
    <row r="3072" spans="1:4" x14ac:dyDescent="0.2">
      <c r="A3072" s="895">
        <v>170254</v>
      </c>
      <c r="B3072" s="895" t="s">
        <v>21187</v>
      </c>
      <c r="C3072" s="895" t="s">
        <v>158</v>
      </c>
      <c r="D3072" s="895">
        <v>36.43</v>
      </c>
    </row>
    <row r="3073" spans="1:4" x14ac:dyDescent="0.2">
      <c r="A3073" s="895">
        <v>170255</v>
      </c>
      <c r="B3073" s="895" t="s">
        <v>21188</v>
      </c>
      <c r="C3073" s="895" t="s">
        <v>158</v>
      </c>
      <c r="D3073" s="895">
        <v>35.75</v>
      </c>
    </row>
    <row r="3074" spans="1:4" x14ac:dyDescent="0.2">
      <c r="A3074" s="895">
        <v>170260</v>
      </c>
      <c r="B3074" s="895" t="s">
        <v>21189</v>
      </c>
      <c r="C3074" s="895" t="s">
        <v>227</v>
      </c>
      <c r="D3074" s="895">
        <v>99.76</v>
      </c>
    </row>
    <row r="3075" spans="1:4" x14ac:dyDescent="0.2">
      <c r="A3075" s="895">
        <v>170261</v>
      </c>
      <c r="B3075" s="895" t="s">
        <v>21190</v>
      </c>
      <c r="C3075" s="895" t="s">
        <v>227</v>
      </c>
      <c r="D3075" s="895">
        <v>114.03</v>
      </c>
    </row>
    <row r="3076" spans="1:4" x14ac:dyDescent="0.2">
      <c r="A3076" s="895">
        <v>170265</v>
      </c>
      <c r="B3076" s="895" t="s">
        <v>18537</v>
      </c>
      <c r="C3076" s="895" t="s">
        <v>227</v>
      </c>
      <c r="D3076" s="895">
        <v>147.32</v>
      </c>
    </row>
    <row r="3077" spans="1:4" x14ac:dyDescent="0.2">
      <c r="A3077" s="895">
        <v>170266</v>
      </c>
      <c r="B3077" s="895" t="s">
        <v>18538</v>
      </c>
      <c r="C3077" s="895" t="s">
        <v>227</v>
      </c>
      <c r="D3077" s="895">
        <v>149.13999999999999</v>
      </c>
    </row>
    <row r="3078" spans="1:4" x14ac:dyDescent="0.2">
      <c r="A3078" s="895">
        <v>170300</v>
      </c>
      <c r="B3078" s="895" t="s">
        <v>20023</v>
      </c>
      <c r="C3078" s="895" t="s">
        <v>18269</v>
      </c>
      <c r="D3078" s="895" t="s">
        <v>18269</v>
      </c>
    </row>
    <row r="3079" spans="1:4" x14ac:dyDescent="0.2">
      <c r="A3079" s="895">
        <v>170319</v>
      </c>
      <c r="B3079" s="895" t="s">
        <v>21191</v>
      </c>
      <c r="C3079" s="895" t="s">
        <v>226</v>
      </c>
      <c r="D3079" s="895">
        <v>6564.59</v>
      </c>
    </row>
    <row r="3080" spans="1:4" x14ac:dyDescent="0.2">
      <c r="A3080" s="895">
        <v>170320</v>
      </c>
      <c r="B3080" s="895" t="s">
        <v>21192</v>
      </c>
      <c r="C3080" s="895" t="s">
        <v>226</v>
      </c>
      <c r="D3080" s="895">
        <v>10134.77</v>
      </c>
    </row>
    <row r="3081" spans="1:4" x14ac:dyDescent="0.2">
      <c r="A3081" s="895">
        <v>170351</v>
      </c>
      <c r="B3081" s="895" t="s">
        <v>21193</v>
      </c>
      <c r="C3081" s="895" t="s">
        <v>227</v>
      </c>
      <c r="D3081" s="895">
        <v>136.02000000000001</v>
      </c>
    </row>
    <row r="3082" spans="1:4" x14ac:dyDescent="0.2">
      <c r="A3082" s="895">
        <v>170354</v>
      </c>
      <c r="B3082" s="895" t="s">
        <v>21194</v>
      </c>
      <c r="C3082" s="895" t="s">
        <v>227</v>
      </c>
      <c r="D3082" s="895">
        <v>127.5</v>
      </c>
    </row>
    <row r="3083" spans="1:4" x14ac:dyDescent="0.2">
      <c r="A3083" s="895">
        <v>170355</v>
      </c>
      <c r="B3083" s="895" t="s">
        <v>21195</v>
      </c>
      <c r="C3083" s="895" t="s">
        <v>226</v>
      </c>
      <c r="D3083" s="895">
        <v>266.56</v>
      </c>
    </row>
    <row r="3084" spans="1:4" x14ac:dyDescent="0.2">
      <c r="A3084" s="895">
        <v>170356</v>
      </c>
      <c r="B3084" s="895" t="s">
        <v>21196</v>
      </c>
      <c r="C3084" s="895" t="s">
        <v>226</v>
      </c>
      <c r="D3084" s="895">
        <v>493.63</v>
      </c>
    </row>
    <row r="3085" spans="1:4" x14ac:dyDescent="0.2">
      <c r="A3085" s="895">
        <v>170357</v>
      </c>
      <c r="B3085" s="895" t="s">
        <v>21197</v>
      </c>
      <c r="C3085" s="895" t="s">
        <v>226</v>
      </c>
      <c r="D3085" s="895">
        <v>658.17</v>
      </c>
    </row>
    <row r="3086" spans="1:4" x14ac:dyDescent="0.2">
      <c r="A3086" s="895">
        <v>170358</v>
      </c>
      <c r="B3086" s="895" t="s">
        <v>21198</v>
      </c>
      <c r="C3086" s="895" t="s">
        <v>226</v>
      </c>
      <c r="D3086" s="895">
        <v>366.13</v>
      </c>
    </row>
    <row r="3087" spans="1:4" x14ac:dyDescent="0.2">
      <c r="A3087" s="895">
        <v>170359</v>
      </c>
      <c r="B3087" s="895" t="s">
        <v>21199</v>
      </c>
      <c r="C3087" s="895" t="s">
        <v>226</v>
      </c>
      <c r="D3087" s="895">
        <v>279.45</v>
      </c>
    </row>
    <row r="3088" spans="1:4" x14ac:dyDescent="0.2">
      <c r="A3088" s="895">
        <v>170360</v>
      </c>
      <c r="B3088" s="895" t="s">
        <v>21200</v>
      </c>
      <c r="C3088" s="895" t="s">
        <v>226</v>
      </c>
      <c r="D3088" s="895">
        <v>3264.97</v>
      </c>
    </row>
    <row r="3089" spans="1:4" x14ac:dyDescent="0.2">
      <c r="A3089" s="895">
        <v>170361</v>
      </c>
      <c r="B3089" s="895" t="s">
        <v>21201</v>
      </c>
      <c r="C3089" s="895" t="s">
        <v>226</v>
      </c>
      <c r="D3089" s="895">
        <v>3480.09</v>
      </c>
    </row>
    <row r="3090" spans="1:4" x14ac:dyDescent="0.2">
      <c r="A3090" s="895">
        <v>170363</v>
      </c>
      <c r="B3090" s="895" t="s">
        <v>21202</v>
      </c>
      <c r="C3090" s="895" t="s">
        <v>226</v>
      </c>
      <c r="D3090" s="895">
        <v>6445.99</v>
      </c>
    </row>
    <row r="3091" spans="1:4" x14ac:dyDescent="0.2">
      <c r="A3091" s="895">
        <v>170365</v>
      </c>
      <c r="B3091" s="895" t="s">
        <v>21203</v>
      </c>
      <c r="C3091" s="895" t="s">
        <v>227</v>
      </c>
      <c r="D3091" s="895">
        <v>12.15</v>
      </c>
    </row>
    <row r="3092" spans="1:4" x14ac:dyDescent="0.2">
      <c r="A3092" s="895">
        <v>170370</v>
      </c>
      <c r="B3092" s="895" t="s">
        <v>21204</v>
      </c>
      <c r="C3092" s="895" t="s">
        <v>227</v>
      </c>
      <c r="D3092" s="895">
        <v>32.69</v>
      </c>
    </row>
    <row r="3093" spans="1:4" x14ac:dyDescent="0.2">
      <c r="A3093" s="895">
        <v>170371</v>
      </c>
      <c r="B3093" s="895" t="s">
        <v>21205</v>
      </c>
      <c r="C3093" s="895" t="s">
        <v>227</v>
      </c>
      <c r="D3093" s="895">
        <v>37.39</v>
      </c>
    </row>
    <row r="3094" spans="1:4" x14ac:dyDescent="0.2">
      <c r="A3094" s="895">
        <v>170372</v>
      </c>
      <c r="B3094" s="895" t="s">
        <v>21206</v>
      </c>
      <c r="C3094" s="895" t="s">
        <v>158</v>
      </c>
      <c r="D3094" s="895">
        <v>7.58</v>
      </c>
    </row>
    <row r="3095" spans="1:4" x14ac:dyDescent="0.2">
      <c r="A3095" s="895">
        <v>170373</v>
      </c>
      <c r="B3095" s="895" t="s">
        <v>21207</v>
      </c>
      <c r="C3095" s="895" t="s">
        <v>158</v>
      </c>
      <c r="D3095" s="895">
        <v>8.9600000000000009</v>
      </c>
    </row>
    <row r="3096" spans="1:4" x14ac:dyDescent="0.2">
      <c r="A3096" s="895">
        <v>170383</v>
      </c>
      <c r="B3096" s="895" t="s">
        <v>21208</v>
      </c>
      <c r="C3096" s="895" t="s">
        <v>226</v>
      </c>
      <c r="D3096" s="895">
        <v>3605.76</v>
      </c>
    </row>
    <row r="3097" spans="1:4" x14ac:dyDescent="0.2">
      <c r="A3097" s="895">
        <v>170385</v>
      </c>
      <c r="B3097" s="895" t="s">
        <v>21209</v>
      </c>
      <c r="C3097" s="895" t="s">
        <v>226</v>
      </c>
      <c r="D3097" s="895">
        <v>3718.65</v>
      </c>
    </row>
    <row r="3098" spans="1:4" x14ac:dyDescent="0.2">
      <c r="A3098" s="895">
        <v>170389</v>
      </c>
      <c r="B3098" s="895" t="s">
        <v>21210</v>
      </c>
      <c r="C3098" s="895" t="s">
        <v>227</v>
      </c>
      <c r="D3098" s="895">
        <v>194.79</v>
      </c>
    </row>
    <row r="3099" spans="1:4" x14ac:dyDescent="0.2">
      <c r="A3099" s="895">
        <v>170390</v>
      </c>
      <c r="B3099" s="895" t="s">
        <v>21211</v>
      </c>
      <c r="C3099" s="895" t="s">
        <v>227</v>
      </c>
      <c r="D3099" s="895">
        <v>198.86</v>
      </c>
    </row>
    <row r="3100" spans="1:4" x14ac:dyDescent="0.2">
      <c r="A3100" s="895">
        <v>170391</v>
      </c>
      <c r="B3100" s="895" t="s">
        <v>21212</v>
      </c>
      <c r="C3100" s="895" t="s">
        <v>227</v>
      </c>
      <c r="D3100" s="895">
        <v>202.94</v>
      </c>
    </row>
    <row r="3101" spans="1:4" x14ac:dyDescent="0.2">
      <c r="A3101" s="895">
        <v>170400</v>
      </c>
      <c r="B3101" s="895" t="s">
        <v>21213</v>
      </c>
      <c r="C3101" s="895" t="s">
        <v>18269</v>
      </c>
      <c r="D3101" s="895" t="s">
        <v>18269</v>
      </c>
    </row>
    <row r="3102" spans="1:4" x14ac:dyDescent="0.2">
      <c r="A3102" s="895">
        <v>170401</v>
      </c>
      <c r="B3102" s="895" t="s">
        <v>21214</v>
      </c>
      <c r="C3102" s="895" t="s">
        <v>227</v>
      </c>
      <c r="D3102" s="895">
        <v>13.19</v>
      </c>
    </row>
    <row r="3103" spans="1:4" x14ac:dyDescent="0.2">
      <c r="A3103" s="895">
        <v>170409</v>
      </c>
      <c r="B3103" s="895" t="s">
        <v>21215</v>
      </c>
      <c r="C3103" s="895" t="s">
        <v>227</v>
      </c>
      <c r="D3103" s="895">
        <v>11</v>
      </c>
    </row>
    <row r="3104" spans="1:4" x14ac:dyDescent="0.2">
      <c r="A3104" s="895">
        <v>170410</v>
      </c>
      <c r="B3104" s="895" t="s">
        <v>21216</v>
      </c>
      <c r="C3104" s="895" t="s">
        <v>227</v>
      </c>
      <c r="D3104" s="895">
        <v>16.489999999999998</v>
      </c>
    </row>
    <row r="3105" spans="1:4" x14ac:dyDescent="0.2">
      <c r="A3105" s="895">
        <v>170412</v>
      </c>
      <c r="B3105" s="895" t="s">
        <v>21217</v>
      </c>
      <c r="C3105" s="895" t="s">
        <v>227</v>
      </c>
      <c r="D3105" s="895">
        <v>6.92</v>
      </c>
    </row>
    <row r="3106" spans="1:4" x14ac:dyDescent="0.2">
      <c r="A3106" s="895">
        <v>170413</v>
      </c>
      <c r="B3106" s="895" t="s">
        <v>21218</v>
      </c>
      <c r="C3106" s="895" t="s">
        <v>227</v>
      </c>
      <c r="D3106" s="895">
        <v>10.96</v>
      </c>
    </row>
    <row r="3107" spans="1:4" x14ac:dyDescent="0.2">
      <c r="A3107" s="895">
        <v>170414</v>
      </c>
      <c r="B3107" s="895" t="s">
        <v>21219</v>
      </c>
      <c r="C3107" s="895" t="s">
        <v>227</v>
      </c>
      <c r="D3107" s="895">
        <v>6.92</v>
      </c>
    </row>
    <row r="3108" spans="1:4" x14ac:dyDescent="0.2">
      <c r="A3108" s="895">
        <v>170420</v>
      </c>
      <c r="B3108" s="895" t="s">
        <v>21220</v>
      </c>
      <c r="C3108" s="895" t="s">
        <v>226</v>
      </c>
      <c r="D3108" s="895">
        <v>65.97</v>
      </c>
    </row>
    <row r="3109" spans="1:4" x14ac:dyDescent="0.2">
      <c r="A3109" s="895">
        <v>170421</v>
      </c>
      <c r="B3109" s="895" t="s">
        <v>21221</v>
      </c>
      <c r="C3109" s="895" t="s">
        <v>226</v>
      </c>
      <c r="D3109" s="895">
        <v>175.92</v>
      </c>
    </row>
    <row r="3110" spans="1:4" x14ac:dyDescent="0.2">
      <c r="A3110" s="895">
        <v>170422</v>
      </c>
      <c r="B3110" s="895" t="s">
        <v>21222</v>
      </c>
      <c r="C3110" s="895" t="s">
        <v>226</v>
      </c>
      <c r="D3110" s="895">
        <v>395.83</v>
      </c>
    </row>
    <row r="3111" spans="1:4" x14ac:dyDescent="0.2">
      <c r="A3111" s="895">
        <v>170425</v>
      </c>
      <c r="B3111" s="895" t="s">
        <v>21223</v>
      </c>
      <c r="C3111" s="895" t="s">
        <v>158</v>
      </c>
      <c r="D3111" s="895">
        <v>3.3</v>
      </c>
    </row>
    <row r="3112" spans="1:4" x14ac:dyDescent="0.2">
      <c r="A3112" s="895">
        <v>170430</v>
      </c>
      <c r="B3112" s="895" t="s">
        <v>21224</v>
      </c>
      <c r="C3112" s="895" t="s">
        <v>226</v>
      </c>
      <c r="D3112" s="895">
        <v>6.6</v>
      </c>
    </row>
    <row r="3113" spans="1:4" x14ac:dyDescent="0.2">
      <c r="A3113" s="895">
        <v>170431</v>
      </c>
      <c r="B3113" s="895" t="s">
        <v>21225</v>
      </c>
      <c r="C3113" s="895" t="s">
        <v>159</v>
      </c>
      <c r="D3113" s="895">
        <v>180.21</v>
      </c>
    </row>
    <row r="3114" spans="1:4" x14ac:dyDescent="0.2">
      <c r="A3114" s="895">
        <v>170432</v>
      </c>
      <c r="B3114" s="895" t="s">
        <v>21226</v>
      </c>
      <c r="C3114" s="895" t="s">
        <v>21227</v>
      </c>
      <c r="D3114" s="895">
        <v>1393.91</v>
      </c>
    </row>
    <row r="3115" spans="1:4" x14ac:dyDescent="0.2">
      <c r="A3115" s="895">
        <v>170450</v>
      </c>
      <c r="B3115" s="895" t="s">
        <v>21228</v>
      </c>
      <c r="C3115" s="895" t="s">
        <v>227</v>
      </c>
      <c r="D3115" s="895">
        <v>10.1</v>
      </c>
    </row>
    <row r="3116" spans="1:4" x14ac:dyDescent="0.2">
      <c r="A3116" s="895">
        <v>170500</v>
      </c>
      <c r="B3116" s="895" t="s">
        <v>21229</v>
      </c>
      <c r="C3116" s="895" t="s">
        <v>18269</v>
      </c>
      <c r="D3116" s="895" t="s">
        <v>18269</v>
      </c>
    </row>
    <row r="3117" spans="1:4" x14ac:dyDescent="0.2">
      <c r="A3117" s="895">
        <v>170501</v>
      </c>
      <c r="B3117" s="895" t="s">
        <v>21230</v>
      </c>
      <c r="C3117" s="895" t="s">
        <v>227</v>
      </c>
      <c r="D3117" s="895">
        <v>394.55</v>
      </c>
    </row>
    <row r="3118" spans="1:4" x14ac:dyDescent="0.2">
      <c r="A3118" s="895">
        <v>170502</v>
      </c>
      <c r="B3118" s="895" t="s">
        <v>21231</v>
      </c>
      <c r="C3118" s="895" t="s">
        <v>227</v>
      </c>
      <c r="D3118" s="895">
        <v>429.53</v>
      </c>
    </row>
    <row r="3119" spans="1:4" x14ac:dyDescent="0.2">
      <c r="A3119" s="895">
        <v>170503</v>
      </c>
      <c r="B3119" s="895" t="s">
        <v>21232</v>
      </c>
      <c r="C3119" s="895" t="s">
        <v>227</v>
      </c>
      <c r="D3119" s="895">
        <v>385.67</v>
      </c>
    </row>
    <row r="3120" spans="1:4" x14ac:dyDescent="0.2">
      <c r="A3120" s="895">
        <v>170505</v>
      </c>
      <c r="B3120" s="895" t="s">
        <v>21233</v>
      </c>
      <c r="C3120" s="895" t="s">
        <v>227</v>
      </c>
      <c r="D3120" s="895">
        <v>214.75</v>
      </c>
    </row>
    <row r="3121" spans="1:4" x14ac:dyDescent="0.2">
      <c r="A3121" s="895">
        <v>170507</v>
      </c>
      <c r="B3121" s="895" t="s">
        <v>21234</v>
      </c>
      <c r="C3121" s="895" t="s">
        <v>227</v>
      </c>
      <c r="D3121" s="895">
        <v>597.97</v>
      </c>
    </row>
    <row r="3122" spans="1:4" x14ac:dyDescent="0.2">
      <c r="A3122" s="895">
        <v>170511</v>
      </c>
      <c r="B3122" s="895" t="s">
        <v>21235</v>
      </c>
      <c r="C3122" s="895" t="s">
        <v>226</v>
      </c>
      <c r="D3122" s="895">
        <v>57.78</v>
      </c>
    </row>
    <row r="3123" spans="1:4" x14ac:dyDescent="0.2">
      <c r="A3123" s="895">
        <v>170512</v>
      </c>
      <c r="B3123" s="895" t="s">
        <v>21236</v>
      </c>
      <c r="C3123" s="895" t="s">
        <v>226</v>
      </c>
      <c r="D3123" s="895">
        <v>54.79</v>
      </c>
    </row>
    <row r="3124" spans="1:4" x14ac:dyDescent="0.2">
      <c r="A3124" s="895">
        <v>170516</v>
      </c>
      <c r="B3124" s="895" t="s">
        <v>21237</v>
      </c>
      <c r="C3124" s="895" t="s">
        <v>158</v>
      </c>
      <c r="D3124" s="895">
        <v>363.16</v>
      </c>
    </row>
    <row r="3125" spans="1:4" x14ac:dyDescent="0.2">
      <c r="A3125" s="895">
        <v>170517</v>
      </c>
      <c r="B3125" s="895" t="s">
        <v>21238</v>
      </c>
      <c r="C3125" s="895" t="s">
        <v>158</v>
      </c>
      <c r="D3125" s="895">
        <v>260.74</v>
      </c>
    </row>
    <row r="3126" spans="1:4" x14ac:dyDescent="0.2">
      <c r="A3126" s="895">
        <v>170520</v>
      </c>
      <c r="B3126" s="895" t="s">
        <v>21239</v>
      </c>
      <c r="C3126" s="895" t="s">
        <v>226</v>
      </c>
      <c r="D3126" s="895">
        <v>202.6</v>
      </c>
    </row>
    <row r="3127" spans="1:4" x14ac:dyDescent="0.2">
      <c r="A3127" s="895">
        <v>170521</v>
      </c>
      <c r="B3127" s="895" t="s">
        <v>21240</v>
      </c>
      <c r="C3127" s="895" t="s">
        <v>226</v>
      </c>
      <c r="D3127" s="895">
        <v>260.95999999999998</v>
      </c>
    </row>
    <row r="3128" spans="1:4" x14ac:dyDescent="0.2">
      <c r="A3128" s="895">
        <v>170522</v>
      </c>
      <c r="B3128" s="895" t="s">
        <v>21241</v>
      </c>
      <c r="C3128" s="895" t="s">
        <v>226</v>
      </c>
      <c r="D3128" s="895">
        <v>237.68</v>
      </c>
    </row>
    <row r="3129" spans="1:4" x14ac:dyDescent="0.2">
      <c r="A3129" s="895">
        <v>170523</v>
      </c>
      <c r="B3129" s="895" t="s">
        <v>21242</v>
      </c>
      <c r="C3129" s="895" t="s">
        <v>226</v>
      </c>
      <c r="D3129" s="895">
        <v>345.48</v>
      </c>
    </row>
    <row r="3130" spans="1:4" x14ac:dyDescent="0.2">
      <c r="A3130" s="895">
        <v>170524</v>
      </c>
      <c r="B3130" s="895" t="s">
        <v>21243</v>
      </c>
      <c r="C3130" s="895" t="s">
        <v>158</v>
      </c>
      <c r="D3130" s="895">
        <v>85.3</v>
      </c>
    </row>
    <row r="3131" spans="1:4" x14ac:dyDescent="0.2">
      <c r="A3131" s="895">
        <v>170525</v>
      </c>
      <c r="B3131" s="895" t="s">
        <v>21244</v>
      </c>
      <c r="C3131" s="895" t="s">
        <v>158</v>
      </c>
      <c r="D3131" s="895">
        <v>490.16</v>
      </c>
    </row>
    <row r="3132" spans="1:4" x14ac:dyDescent="0.2">
      <c r="A3132" s="895">
        <v>170526</v>
      </c>
      <c r="B3132" s="895" t="s">
        <v>21245</v>
      </c>
      <c r="C3132" s="895" t="s">
        <v>226</v>
      </c>
      <c r="D3132" s="895">
        <v>29.11</v>
      </c>
    </row>
    <row r="3133" spans="1:4" x14ac:dyDescent="0.2">
      <c r="A3133" s="895">
        <v>170527</v>
      </c>
      <c r="B3133" s="895" t="s">
        <v>21246</v>
      </c>
      <c r="C3133" s="895" t="s">
        <v>226</v>
      </c>
      <c r="D3133" s="895">
        <v>420.1</v>
      </c>
    </row>
    <row r="3134" spans="1:4" x14ac:dyDescent="0.2">
      <c r="A3134" s="895">
        <v>170533</v>
      </c>
      <c r="B3134" s="895" t="s">
        <v>21247</v>
      </c>
      <c r="C3134" s="895" t="s">
        <v>227</v>
      </c>
      <c r="D3134" s="895">
        <v>353.8</v>
      </c>
    </row>
    <row r="3135" spans="1:4" x14ac:dyDescent="0.2">
      <c r="A3135" s="895">
        <v>170535</v>
      </c>
      <c r="B3135" s="895" t="s">
        <v>21248</v>
      </c>
      <c r="C3135" s="895" t="s">
        <v>227</v>
      </c>
      <c r="D3135" s="895">
        <v>275.97000000000003</v>
      </c>
    </row>
    <row r="3136" spans="1:4" x14ac:dyDescent="0.2">
      <c r="A3136" s="895">
        <v>170540</v>
      </c>
      <c r="B3136" s="895" t="s">
        <v>21249</v>
      </c>
      <c r="C3136" s="895" t="s">
        <v>158</v>
      </c>
      <c r="D3136" s="895">
        <v>188.75</v>
      </c>
    </row>
    <row r="3137" spans="1:4" x14ac:dyDescent="0.2">
      <c r="A3137" s="895">
        <v>170541</v>
      </c>
      <c r="B3137" s="895" t="s">
        <v>21250</v>
      </c>
      <c r="C3137" s="895" t="s">
        <v>158</v>
      </c>
      <c r="D3137" s="895">
        <v>48.31</v>
      </c>
    </row>
    <row r="3138" spans="1:4" x14ac:dyDescent="0.2">
      <c r="A3138" s="895">
        <v>170551</v>
      </c>
      <c r="B3138" s="895" t="s">
        <v>21251</v>
      </c>
      <c r="C3138" s="895" t="s">
        <v>158</v>
      </c>
      <c r="D3138" s="895">
        <v>212.3</v>
      </c>
    </row>
    <row r="3139" spans="1:4" x14ac:dyDescent="0.2">
      <c r="A3139" s="895">
        <v>170552</v>
      </c>
      <c r="B3139" s="895" t="s">
        <v>21252</v>
      </c>
      <c r="C3139" s="895" t="s">
        <v>158</v>
      </c>
      <c r="D3139" s="895">
        <v>457.72</v>
      </c>
    </row>
    <row r="3140" spans="1:4" x14ac:dyDescent="0.2">
      <c r="A3140" s="895">
        <v>170553</v>
      </c>
      <c r="B3140" s="895" t="s">
        <v>21253</v>
      </c>
      <c r="C3140" s="895" t="s">
        <v>158</v>
      </c>
      <c r="D3140" s="895">
        <v>185.26</v>
      </c>
    </row>
    <row r="3141" spans="1:4" x14ac:dyDescent="0.2">
      <c r="A3141" s="895">
        <v>170561</v>
      </c>
      <c r="B3141" s="895" t="s">
        <v>21254</v>
      </c>
      <c r="C3141" s="895" t="s">
        <v>226</v>
      </c>
      <c r="D3141" s="895">
        <v>928.39</v>
      </c>
    </row>
    <row r="3142" spans="1:4" x14ac:dyDescent="0.2">
      <c r="A3142" s="895">
        <v>170575</v>
      </c>
      <c r="B3142" s="895" t="s">
        <v>21255</v>
      </c>
      <c r="C3142" s="895" t="s">
        <v>226</v>
      </c>
      <c r="D3142" s="895">
        <v>1299.04</v>
      </c>
    </row>
    <row r="3143" spans="1:4" x14ac:dyDescent="0.2">
      <c r="A3143" s="895">
        <v>170580</v>
      </c>
      <c r="B3143" s="895" t="s">
        <v>21256</v>
      </c>
      <c r="C3143" s="895" t="s">
        <v>226</v>
      </c>
      <c r="D3143" s="895">
        <v>2929.37</v>
      </c>
    </row>
    <row r="3144" spans="1:4" x14ac:dyDescent="0.2">
      <c r="A3144" s="895">
        <v>170590</v>
      </c>
      <c r="B3144" s="895" t="s">
        <v>21257</v>
      </c>
      <c r="C3144" s="895" t="s">
        <v>226</v>
      </c>
      <c r="D3144" s="895">
        <v>2120.8000000000002</v>
      </c>
    </row>
    <row r="3145" spans="1:4" x14ac:dyDescent="0.2">
      <c r="A3145" s="895">
        <v>170591</v>
      </c>
      <c r="B3145" s="895" t="s">
        <v>21258</v>
      </c>
      <c r="C3145" s="895" t="s">
        <v>226</v>
      </c>
      <c r="D3145" s="895">
        <v>1898.33</v>
      </c>
    </row>
    <row r="3146" spans="1:4" x14ac:dyDescent="0.2">
      <c r="A3146" s="895">
        <v>170592</v>
      </c>
      <c r="B3146" s="895" t="s">
        <v>21259</v>
      </c>
      <c r="C3146" s="895" t="s">
        <v>226</v>
      </c>
      <c r="D3146" s="895">
        <v>799.03</v>
      </c>
    </row>
    <row r="3147" spans="1:4" x14ac:dyDescent="0.2">
      <c r="A3147" s="895">
        <v>170593</v>
      </c>
      <c r="B3147" s="895" t="s">
        <v>21260</v>
      </c>
      <c r="C3147" s="895" t="s">
        <v>226</v>
      </c>
      <c r="D3147" s="895">
        <v>57.06</v>
      </c>
    </row>
    <row r="3148" spans="1:4" x14ac:dyDescent="0.2">
      <c r="A3148" s="895">
        <v>170594</v>
      </c>
      <c r="B3148" s="895" t="s">
        <v>21261</v>
      </c>
      <c r="C3148" s="895" t="s">
        <v>226</v>
      </c>
      <c r="D3148" s="895">
        <v>108.58</v>
      </c>
    </row>
    <row r="3149" spans="1:4" x14ac:dyDescent="0.2">
      <c r="A3149" s="895">
        <v>170595</v>
      </c>
      <c r="B3149" s="895" t="s">
        <v>21262</v>
      </c>
      <c r="C3149" s="895" t="s">
        <v>226</v>
      </c>
      <c r="D3149" s="895">
        <v>17.09</v>
      </c>
    </row>
    <row r="3150" spans="1:4" x14ac:dyDescent="0.2">
      <c r="A3150" s="895">
        <v>170596</v>
      </c>
      <c r="B3150" s="895" t="s">
        <v>21263</v>
      </c>
      <c r="C3150" s="895" t="s">
        <v>226</v>
      </c>
      <c r="D3150" s="895">
        <v>16.97</v>
      </c>
    </row>
    <row r="3151" spans="1:4" x14ac:dyDescent="0.2">
      <c r="A3151" s="895">
        <v>170597</v>
      </c>
      <c r="B3151" s="895" t="s">
        <v>21264</v>
      </c>
      <c r="C3151" s="895" t="s">
        <v>226</v>
      </c>
      <c r="D3151" s="895">
        <v>33.21</v>
      </c>
    </row>
    <row r="3152" spans="1:4" x14ac:dyDescent="0.2">
      <c r="A3152" s="895">
        <v>170598</v>
      </c>
      <c r="B3152" s="895" t="s">
        <v>21265</v>
      </c>
      <c r="C3152" s="895" t="s">
        <v>226</v>
      </c>
      <c r="D3152" s="895">
        <v>7.07</v>
      </c>
    </row>
    <row r="3153" spans="1:4" x14ac:dyDescent="0.2">
      <c r="A3153" s="895">
        <v>171000</v>
      </c>
      <c r="B3153" s="895" t="s">
        <v>21266</v>
      </c>
      <c r="C3153" s="895" t="s">
        <v>18269</v>
      </c>
      <c r="D3153" s="895" t="s">
        <v>18269</v>
      </c>
    </row>
    <row r="3154" spans="1:4" x14ac:dyDescent="0.2">
      <c r="A3154" s="895">
        <v>171001</v>
      </c>
      <c r="B3154" s="895" t="s">
        <v>21267</v>
      </c>
      <c r="C3154" s="895" t="s">
        <v>226</v>
      </c>
      <c r="D3154" s="895">
        <v>152085.57999999999</v>
      </c>
    </row>
    <row r="3155" spans="1:4" x14ac:dyDescent="0.2">
      <c r="A3155" s="895">
        <v>171002</v>
      </c>
      <c r="B3155" s="895" t="s">
        <v>21268</v>
      </c>
      <c r="C3155" s="895" t="s">
        <v>226</v>
      </c>
      <c r="D3155" s="895">
        <v>127696.37</v>
      </c>
    </row>
    <row r="3156" spans="1:4" x14ac:dyDescent="0.2">
      <c r="A3156" s="895">
        <v>171003</v>
      </c>
      <c r="B3156" s="895" t="s">
        <v>21269</v>
      </c>
      <c r="C3156" s="895" t="s">
        <v>226</v>
      </c>
      <c r="D3156" s="895">
        <v>130139.1</v>
      </c>
    </row>
    <row r="3157" spans="1:4" x14ac:dyDescent="0.2">
      <c r="A3157" s="895">
        <v>171004</v>
      </c>
      <c r="B3157" s="895" t="s">
        <v>21270</v>
      </c>
      <c r="C3157" s="895" t="s">
        <v>226</v>
      </c>
      <c r="D3157" s="895">
        <v>135269.06</v>
      </c>
    </row>
    <row r="3158" spans="1:4" x14ac:dyDescent="0.2">
      <c r="A3158" s="895">
        <v>171011</v>
      </c>
      <c r="B3158" s="895" t="s">
        <v>21271</v>
      </c>
      <c r="C3158" s="895" t="s">
        <v>226</v>
      </c>
      <c r="D3158" s="895">
        <v>2372.5500000000002</v>
      </c>
    </row>
    <row r="3159" spans="1:4" x14ac:dyDescent="0.2">
      <c r="A3159" s="895">
        <v>171012</v>
      </c>
      <c r="B3159" s="895" t="s">
        <v>21272</v>
      </c>
      <c r="C3159" s="895" t="s">
        <v>226</v>
      </c>
      <c r="D3159" s="895">
        <v>3174.63</v>
      </c>
    </row>
    <row r="3160" spans="1:4" x14ac:dyDescent="0.2">
      <c r="A3160" s="895">
        <v>171017</v>
      </c>
      <c r="B3160" s="895" t="s">
        <v>21273</v>
      </c>
      <c r="C3160" s="895" t="s">
        <v>226</v>
      </c>
      <c r="D3160" s="895">
        <v>228.26</v>
      </c>
    </row>
    <row r="3161" spans="1:4" x14ac:dyDescent="0.2">
      <c r="A3161" s="895">
        <v>171018</v>
      </c>
      <c r="B3161" s="895" t="s">
        <v>21274</v>
      </c>
      <c r="C3161" s="895" t="s">
        <v>158</v>
      </c>
      <c r="D3161" s="895">
        <v>380.98</v>
      </c>
    </row>
    <row r="3162" spans="1:4" x14ac:dyDescent="0.2">
      <c r="A3162" s="895">
        <v>171019</v>
      </c>
      <c r="B3162" s="895" t="s">
        <v>21275</v>
      </c>
      <c r="C3162" s="895" t="s">
        <v>226</v>
      </c>
      <c r="D3162" s="895">
        <v>396.75</v>
      </c>
    </row>
    <row r="3163" spans="1:4" x14ac:dyDescent="0.2">
      <c r="A3163" s="895">
        <v>171025</v>
      </c>
      <c r="B3163" s="895" t="s">
        <v>21276</v>
      </c>
      <c r="C3163" s="895" t="s">
        <v>226</v>
      </c>
      <c r="D3163" s="895">
        <v>1608.83</v>
      </c>
    </row>
    <row r="3164" spans="1:4" x14ac:dyDescent="0.2">
      <c r="A3164" s="895">
        <v>171031</v>
      </c>
      <c r="B3164" s="895" t="s">
        <v>21277</v>
      </c>
      <c r="C3164" s="895" t="s">
        <v>226</v>
      </c>
      <c r="D3164" s="895">
        <v>2298.17</v>
      </c>
    </row>
    <row r="3165" spans="1:4" x14ac:dyDescent="0.2">
      <c r="A3165" s="895">
        <v>171032</v>
      </c>
      <c r="B3165" s="895" t="s">
        <v>21278</v>
      </c>
      <c r="C3165" s="895" t="s">
        <v>226</v>
      </c>
      <c r="D3165" s="895">
        <v>2952.13</v>
      </c>
    </row>
    <row r="3166" spans="1:4" x14ac:dyDescent="0.2">
      <c r="A3166" s="895">
        <v>171070</v>
      </c>
      <c r="B3166" s="895" t="s">
        <v>21279</v>
      </c>
      <c r="C3166" s="895" t="s">
        <v>226</v>
      </c>
      <c r="D3166" s="895">
        <v>24374.34</v>
      </c>
    </row>
    <row r="3167" spans="1:4" x14ac:dyDescent="0.2">
      <c r="A3167" s="895">
        <v>171071</v>
      </c>
      <c r="B3167" s="895" t="s">
        <v>21280</v>
      </c>
      <c r="C3167" s="895" t="s">
        <v>226</v>
      </c>
      <c r="D3167" s="895">
        <v>640.16999999999996</v>
      </c>
    </row>
    <row r="3168" spans="1:4" x14ac:dyDescent="0.2">
      <c r="A3168" s="895">
        <v>171073</v>
      </c>
      <c r="B3168" s="895" t="s">
        <v>21281</v>
      </c>
      <c r="C3168" s="895" t="s">
        <v>226</v>
      </c>
      <c r="D3168" s="895">
        <v>1869.69</v>
      </c>
    </row>
    <row r="3169" spans="1:4" x14ac:dyDescent="0.2">
      <c r="A3169" s="895">
        <v>171074</v>
      </c>
      <c r="B3169" s="895" t="s">
        <v>21282</v>
      </c>
      <c r="C3169" s="895" t="s">
        <v>226</v>
      </c>
      <c r="D3169" s="895">
        <v>102.7</v>
      </c>
    </row>
    <row r="3170" spans="1:4" x14ac:dyDescent="0.2">
      <c r="A3170" s="895">
        <v>171075</v>
      </c>
      <c r="B3170" s="895" t="s">
        <v>21283</v>
      </c>
      <c r="C3170" s="895" t="s">
        <v>226</v>
      </c>
      <c r="D3170" s="895">
        <v>331.8</v>
      </c>
    </row>
    <row r="3171" spans="1:4" x14ac:dyDescent="0.2">
      <c r="A3171" s="895">
        <v>171076</v>
      </c>
      <c r="B3171" s="895" t="s">
        <v>21284</v>
      </c>
      <c r="C3171" s="895" t="s">
        <v>226</v>
      </c>
      <c r="D3171" s="895">
        <v>681.16</v>
      </c>
    </row>
    <row r="3172" spans="1:4" x14ac:dyDescent="0.2">
      <c r="A3172" s="895">
        <v>173000</v>
      </c>
      <c r="B3172" s="895" t="s">
        <v>21285</v>
      </c>
      <c r="C3172" s="895" t="s">
        <v>18269</v>
      </c>
      <c r="D3172" s="895" t="s">
        <v>18269</v>
      </c>
    </row>
    <row r="3173" spans="1:4" x14ac:dyDescent="0.2">
      <c r="A3173" s="895">
        <v>173001</v>
      </c>
      <c r="B3173" s="895" t="s">
        <v>21286</v>
      </c>
      <c r="C3173" s="895" t="s">
        <v>226</v>
      </c>
      <c r="D3173" s="895">
        <v>3418.99</v>
      </c>
    </row>
    <row r="3174" spans="1:4" x14ac:dyDescent="0.2">
      <c r="A3174" s="895">
        <v>173002</v>
      </c>
      <c r="B3174" s="895" t="s">
        <v>18827</v>
      </c>
      <c r="C3174" s="895" t="s">
        <v>227</v>
      </c>
      <c r="D3174" s="895">
        <v>405.63</v>
      </c>
    </row>
    <row r="3175" spans="1:4" x14ac:dyDescent="0.2">
      <c r="A3175" s="895">
        <v>174000</v>
      </c>
      <c r="B3175" s="895" t="s">
        <v>21287</v>
      </c>
      <c r="C3175" s="895" t="s">
        <v>18269</v>
      </c>
      <c r="D3175" s="895" t="s">
        <v>18269</v>
      </c>
    </row>
    <row r="3176" spans="1:4" x14ac:dyDescent="0.2">
      <c r="A3176" s="895">
        <v>174001</v>
      </c>
      <c r="B3176" s="895" t="s">
        <v>21288</v>
      </c>
      <c r="C3176" s="895" t="s">
        <v>227</v>
      </c>
      <c r="D3176" s="895">
        <v>3052.63</v>
      </c>
    </row>
    <row r="3177" spans="1:4" x14ac:dyDescent="0.2">
      <c r="A3177" s="895">
        <v>174002</v>
      </c>
      <c r="B3177" s="895" t="s">
        <v>21289</v>
      </c>
      <c r="C3177" s="895" t="s">
        <v>227</v>
      </c>
      <c r="D3177" s="895">
        <v>941.49</v>
      </c>
    </row>
    <row r="3178" spans="1:4" x14ac:dyDescent="0.2">
      <c r="A3178" s="895">
        <v>174003</v>
      </c>
      <c r="B3178" s="895" t="s">
        <v>21290</v>
      </c>
      <c r="C3178" s="895" t="s">
        <v>16628</v>
      </c>
      <c r="D3178" s="895">
        <v>11.04</v>
      </c>
    </row>
    <row r="3179" spans="1:4" x14ac:dyDescent="0.2">
      <c r="A3179" s="895">
        <v>174005</v>
      </c>
      <c r="B3179" s="895" t="s">
        <v>21291</v>
      </c>
      <c r="C3179" s="895" t="s">
        <v>16628</v>
      </c>
      <c r="D3179" s="895">
        <v>17.670000000000002</v>
      </c>
    </row>
    <row r="3180" spans="1:4" x14ac:dyDescent="0.2">
      <c r="A3180" s="895">
        <v>174006</v>
      </c>
      <c r="B3180" s="895" t="s">
        <v>21292</v>
      </c>
      <c r="C3180" s="895" t="s">
        <v>226</v>
      </c>
      <c r="D3180" s="895">
        <v>4523.8599999999997</v>
      </c>
    </row>
    <row r="3181" spans="1:4" x14ac:dyDescent="0.2">
      <c r="A3181" s="895">
        <v>174007</v>
      </c>
      <c r="B3181" s="895" t="s">
        <v>21293</v>
      </c>
      <c r="C3181" s="895" t="s">
        <v>16628</v>
      </c>
      <c r="D3181" s="895">
        <v>17.579999999999998</v>
      </c>
    </row>
    <row r="3182" spans="1:4" x14ac:dyDescent="0.2">
      <c r="A3182" s="895">
        <v>174008</v>
      </c>
      <c r="B3182" s="895" t="s">
        <v>21294</v>
      </c>
      <c r="C3182" s="895" t="s">
        <v>16628</v>
      </c>
      <c r="D3182" s="895">
        <v>15.95</v>
      </c>
    </row>
    <row r="3183" spans="1:4" x14ac:dyDescent="0.2">
      <c r="A3183" s="895">
        <v>174010</v>
      </c>
      <c r="B3183" s="895" t="s">
        <v>21295</v>
      </c>
      <c r="C3183" s="895" t="s">
        <v>226</v>
      </c>
      <c r="D3183" s="895">
        <v>2934.43</v>
      </c>
    </row>
    <row r="3184" spans="1:4" x14ac:dyDescent="0.2">
      <c r="A3184" s="895">
        <v>174011</v>
      </c>
      <c r="B3184" s="895" t="s">
        <v>21296</v>
      </c>
      <c r="C3184" s="895" t="s">
        <v>226</v>
      </c>
      <c r="D3184" s="895">
        <v>2220.08</v>
      </c>
    </row>
    <row r="3185" spans="1:4" x14ac:dyDescent="0.2">
      <c r="A3185" s="895">
        <v>174013</v>
      </c>
      <c r="B3185" s="895" t="s">
        <v>21297</v>
      </c>
      <c r="C3185" s="895" t="s">
        <v>227</v>
      </c>
      <c r="D3185" s="895">
        <v>207.65</v>
      </c>
    </row>
    <row r="3186" spans="1:4" x14ac:dyDescent="0.2">
      <c r="A3186" s="895">
        <v>174501</v>
      </c>
      <c r="B3186" s="895" t="s">
        <v>18804</v>
      </c>
      <c r="C3186" s="895" t="s">
        <v>21298</v>
      </c>
      <c r="D3186" s="895">
        <v>9.73</v>
      </c>
    </row>
    <row r="3187" spans="1:4" x14ac:dyDescent="0.2">
      <c r="A3187" s="895">
        <v>174502</v>
      </c>
      <c r="B3187" s="895" t="s">
        <v>18806</v>
      </c>
      <c r="C3187" s="895" t="s">
        <v>159</v>
      </c>
      <c r="D3187" s="895">
        <v>7.58</v>
      </c>
    </row>
    <row r="3188" spans="1:4" x14ac:dyDescent="0.2">
      <c r="A3188" s="895">
        <v>175000</v>
      </c>
      <c r="B3188" s="895" t="s">
        <v>19214</v>
      </c>
      <c r="C3188" s="895" t="s">
        <v>18269</v>
      </c>
      <c r="D3188" s="895" t="s">
        <v>18269</v>
      </c>
    </row>
    <row r="3189" spans="1:4" x14ac:dyDescent="0.2">
      <c r="A3189" s="895">
        <v>175001</v>
      </c>
      <c r="B3189" s="895" t="s">
        <v>21299</v>
      </c>
      <c r="C3189" s="895" t="s">
        <v>158</v>
      </c>
      <c r="D3189" s="895">
        <v>54.98</v>
      </c>
    </row>
    <row r="3190" spans="1:4" x14ac:dyDescent="0.2">
      <c r="A3190" s="895">
        <v>175015</v>
      </c>
      <c r="B3190" s="895" t="s">
        <v>21300</v>
      </c>
      <c r="C3190" s="895" t="s">
        <v>227</v>
      </c>
      <c r="D3190" s="895">
        <v>2.4500000000000002</v>
      </c>
    </row>
    <row r="3191" spans="1:4" x14ac:dyDescent="0.2">
      <c r="A3191" s="895">
        <v>175020</v>
      </c>
      <c r="B3191" s="895" t="s">
        <v>19216</v>
      </c>
      <c r="C3191" s="895" t="s">
        <v>159</v>
      </c>
      <c r="D3191" s="895">
        <v>241.89</v>
      </c>
    </row>
    <row r="3192" spans="1:4" x14ac:dyDescent="0.2">
      <c r="A3192" s="895">
        <v>175021</v>
      </c>
      <c r="B3192" s="895" t="s">
        <v>19217</v>
      </c>
      <c r="C3192" s="895" t="s">
        <v>159</v>
      </c>
      <c r="D3192" s="895">
        <v>439.81</v>
      </c>
    </row>
    <row r="3193" spans="1:4" x14ac:dyDescent="0.2">
      <c r="A3193" s="895">
        <v>175022</v>
      </c>
      <c r="B3193" s="895" t="s">
        <v>19218</v>
      </c>
      <c r="C3193" s="895" t="s">
        <v>159</v>
      </c>
      <c r="D3193" s="895">
        <v>207</v>
      </c>
    </row>
    <row r="3194" spans="1:4" x14ac:dyDescent="0.2">
      <c r="A3194" s="895">
        <v>175023</v>
      </c>
      <c r="B3194" s="895" t="s">
        <v>19219</v>
      </c>
      <c r="C3194" s="895" t="s">
        <v>159</v>
      </c>
      <c r="D3194" s="895">
        <v>414</v>
      </c>
    </row>
    <row r="3195" spans="1:4" x14ac:dyDescent="0.2">
      <c r="A3195" s="895">
        <v>175025</v>
      </c>
      <c r="B3195" s="895" t="s">
        <v>21301</v>
      </c>
      <c r="C3195" s="895" t="s">
        <v>227</v>
      </c>
      <c r="D3195" s="895">
        <v>13.19</v>
      </c>
    </row>
    <row r="3196" spans="1:4" x14ac:dyDescent="0.2">
      <c r="A3196" s="895">
        <v>175030</v>
      </c>
      <c r="B3196" s="895" t="s">
        <v>21302</v>
      </c>
      <c r="C3196" s="895" t="s">
        <v>227</v>
      </c>
      <c r="D3196" s="895">
        <v>11</v>
      </c>
    </row>
    <row r="3197" spans="1:4" x14ac:dyDescent="0.2">
      <c r="A3197" s="895">
        <v>175040</v>
      </c>
      <c r="B3197" s="895" t="s">
        <v>21303</v>
      </c>
      <c r="C3197" s="895" t="s">
        <v>227</v>
      </c>
      <c r="D3197" s="895">
        <v>32.99</v>
      </c>
    </row>
    <row r="3198" spans="1:4" x14ac:dyDescent="0.2">
      <c r="A3198" s="895">
        <v>175045</v>
      </c>
      <c r="B3198" s="895" t="s">
        <v>21304</v>
      </c>
      <c r="C3198" s="895" t="s">
        <v>158</v>
      </c>
      <c r="D3198" s="895">
        <v>8.8000000000000007</v>
      </c>
    </row>
    <row r="3199" spans="1:4" x14ac:dyDescent="0.2">
      <c r="A3199" s="895">
        <v>175048</v>
      </c>
      <c r="B3199" s="895" t="s">
        <v>21305</v>
      </c>
      <c r="C3199" s="895" t="s">
        <v>158</v>
      </c>
      <c r="D3199" s="895">
        <v>13.19</v>
      </c>
    </row>
    <row r="3200" spans="1:4" x14ac:dyDescent="0.2">
      <c r="A3200" s="895">
        <v>176000</v>
      </c>
      <c r="B3200" s="895" t="s">
        <v>19341</v>
      </c>
      <c r="C3200" s="895" t="s">
        <v>18269</v>
      </c>
      <c r="D3200" s="895" t="s">
        <v>18269</v>
      </c>
    </row>
    <row r="3201" spans="1:4" x14ac:dyDescent="0.2">
      <c r="A3201" s="895">
        <v>176005</v>
      </c>
      <c r="B3201" s="895" t="s">
        <v>21306</v>
      </c>
      <c r="C3201" s="895" t="s">
        <v>158</v>
      </c>
      <c r="D3201" s="895">
        <v>11</v>
      </c>
    </row>
    <row r="3202" spans="1:4" x14ac:dyDescent="0.2">
      <c r="A3202" s="895">
        <v>176030</v>
      </c>
      <c r="B3202" s="895" t="s">
        <v>21307</v>
      </c>
      <c r="C3202" s="895" t="s">
        <v>227</v>
      </c>
      <c r="D3202" s="895">
        <v>15.39</v>
      </c>
    </row>
    <row r="3203" spans="1:4" x14ac:dyDescent="0.2">
      <c r="A3203" s="895">
        <v>176032</v>
      </c>
      <c r="B3203" s="895" t="s">
        <v>21308</v>
      </c>
      <c r="C3203" s="895" t="s">
        <v>227</v>
      </c>
      <c r="D3203" s="895">
        <v>28.59</v>
      </c>
    </row>
    <row r="3204" spans="1:4" x14ac:dyDescent="0.2">
      <c r="A3204" s="895">
        <v>176035</v>
      </c>
      <c r="B3204" s="895" t="s">
        <v>21309</v>
      </c>
      <c r="C3204" s="895" t="s">
        <v>227</v>
      </c>
      <c r="D3204" s="895">
        <v>13.19</v>
      </c>
    </row>
    <row r="3205" spans="1:4" x14ac:dyDescent="0.2">
      <c r="A3205" s="895">
        <v>176038</v>
      </c>
      <c r="B3205" s="895" t="s">
        <v>21310</v>
      </c>
      <c r="C3205" s="895" t="s">
        <v>227</v>
      </c>
      <c r="D3205" s="895">
        <v>13.19</v>
      </c>
    </row>
    <row r="3206" spans="1:4" x14ac:dyDescent="0.2">
      <c r="A3206" s="895">
        <v>176045</v>
      </c>
      <c r="B3206" s="895" t="s">
        <v>21311</v>
      </c>
      <c r="C3206" s="895" t="s">
        <v>158</v>
      </c>
      <c r="D3206" s="895">
        <v>11</v>
      </c>
    </row>
    <row r="3207" spans="1:4" x14ac:dyDescent="0.2">
      <c r="A3207" s="895">
        <v>176046</v>
      </c>
      <c r="B3207" s="895" t="s">
        <v>21312</v>
      </c>
      <c r="C3207" s="895" t="s">
        <v>227</v>
      </c>
      <c r="D3207" s="895">
        <v>15.39</v>
      </c>
    </row>
    <row r="3208" spans="1:4" x14ac:dyDescent="0.2">
      <c r="A3208" s="895">
        <v>176050</v>
      </c>
      <c r="B3208" s="895" t="s">
        <v>21313</v>
      </c>
      <c r="C3208" s="895" t="s">
        <v>226</v>
      </c>
      <c r="D3208" s="895">
        <v>53.66</v>
      </c>
    </row>
    <row r="3209" spans="1:4" x14ac:dyDescent="0.2">
      <c r="A3209" s="895">
        <v>176087</v>
      </c>
      <c r="B3209" s="895" t="s">
        <v>21314</v>
      </c>
      <c r="C3209" s="895" t="s">
        <v>158</v>
      </c>
      <c r="D3209" s="895">
        <v>10.86</v>
      </c>
    </row>
    <row r="3210" spans="1:4" x14ac:dyDescent="0.2">
      <c r="A3210" s="895">
        <v>176090</v>
      </c>
      <c r="B3210" s="895" t="s">
        <v>21315</v>
      </c>
      <c r="C3210" s="895" t="s">
        <v>226</v>
      </c>
      <c r="D3210" s="895">
        <v>48.65</v>
      </c>
    </row>
    <row r="3211" spans="1:4" x14ac:dyDescent="0.2">
      <c r="A3211" s="895">
        <v>176091</v>
      </c>
      <c r="B3211" s="895" t="s">
        <v>21316</v>
      </c>
      <c r="C3211" s="895" t="s">
        <v>226</v>
      </c>
      <c r="D3211" s="895">
        <v>60.82</v>
      </c>
    </row>
    <row r="3212" spans="1:4" x14ac:dyDescent="0.2">
      <c r="A3212" s="895">
        <v>176092</v>
      </c>
      <c r="B3212" s="895" t="s">
        <v>21317</v>
      </c>
      <c r="C3212" s="895" t="s">
        <v>226</v>
      </c>
      <c r="D3212" s="895">
        <v>9.2200000000000006</v>
      </c>
    </row>
    <row r="3213" spans="1:4" x14ac:dyDescent="0.2">
      <c r="A3213" s="895">
        <v>176093</v>
      </c>
      <c r="B3213" s="895" t="s">
        <v>21318</v>
      </c>
      <c r="C3213" s="895" t="s">
        <v>158</v>
      </c>
      <c r="D3213" s="895">
        <v>18.239999999999998</v>
      </c>
    </row>
    <row r="3214" spans="1:4" x14ac:dyDescent="0.2">
      <c r="A3214" s="895">
        <v>176094</v>
      </c>
      <c r="B3214" s="895" t="s">
        <v>21319</v>
      </c>
      <c r="C3214" s="895" t="s">
        <v>227</v>
      </c>
      <c r="D3214" s="895">
        <v>30.41</v>
      </c>
    </row>
    <row r="3215" spans="1:4" x14ac:dyDescent="0.2">
      <c r="A3215" s="895">
        <v>176095</v>
      </c>
      <c r="B3215" s="895" t="s">
        <v>21320</v>
      </c>
      <c r="C3215" s="895" t="s">
        <v>158</v>
      </c>
      <c r="D3215" s="895">
        <v>56.7</v>
      </c>
    </row>
    <row r="3216" spans="1:4" x14ac:dyDescent="0.2">
      <c r="A3216" s="895">
        <v>176096</v>
      </c>
      <c r="B3216" s="895" t="s">
        <v>21321</v>
      </c>
      <c r="C3216" s="895" t="s">
        <v>158</v>
      </c>
      <c r="D3216" s="895">
        <v>50.07</v>
      </c>
    </row>
    <row r="3217" spans="1:4" x14ac:dyDescent="0.2">
      <c r="A3217" s="895">
        <v>176097</v>
      </c>
      <c r="B3217" s="895" t="s">
        <v>21322</v>
      </c>
      <c r="C3217" s="895" t="s">
        <v>227</v>
      </c>
      <c r="D3217" s="895">
        <v>73.59</v>
      </c>
    </row>
    <row r="3218" spans="1:4" x14ac:dyDescent="0.2">
      <c r="A3218" s="895">
        <v>177000</v>
      </c>
      <c r="B3218" s="895" t="s">
        <v>19348</v>
      </c>
      <c r="C3218" s="895" t="s">
        <v>18269</v>
      </c>
      <c r="D3218" s="895" t="s">
        <v>18269</v>
      </c>
    </row>
    <row r="3219" spans="1:4" x14ac:dyDescent="0.2">
      <c r="A3219" s="895">
        <v>177001</v>
      </c>
      <c r="B3219" s="895" t="s">
        <v>21323</v>
      </c>
      <c r="C3219" s="895" t="s">
        <v>227</v>
      </c>
      <c r="D3219" s="895">
        <v>38.58</v>
      </c>
    </row>
    <row r="3220" spans="1:4" x14ac:dyDescent="0.2">
      <c r="A3220" s="895">
        <v>177035</v>
      </c>
      <c r="B3220" s="895" t="s">
        <v>21324</v>
      </c>
      <c r="C3220" s="895" t="s">
        <v>227</v>
      </c>
      <c r="D3220" s="895">
        <v>37.909999999999997</v>
      </c>
    </row>
    <row r="3221" spans="1:4" x14ac:dyDescent="0.2">
      <c r="A3221" s="895">
        <v>177036</v>
      </c>
      <c r="B3221" s="895" t="s">
        <v>21325</v>
      </c>
      <c r="C3221" s="895" t="s">
        <v>227</v>
      </c>
      <c r="D3221" s="895">
        <v>30.06</v>
      </c>
    </row>
    <row r="3222" spans="1:4" x14ac:dyDescent="0.2">
      <c r="A3222" s="895">
        <v>177038</v>
      </c>
      <c r="B3222" s="895" t="s">
        <v>21326</v>
      </c>
      <c r="C3222" s="895" t="s">
        <v>227</v>
      </c>
      <c r="D3222" s="895">
        <v>80.37</v>
      </c>
    </row>
    <row r="3223" spans="1:4" x14ac:dyDescent="0.2">
      <c r="A3223" s="895">
        <v>177039</v>
      </c>
      <c r="B3223" s="895" t="s">
        <v>21327</v>
      </c>
      <c r="C3223" s="895" t="s">
        <v>227</v>
      </c>
      <c r="D3223" s="895">
        <v>55.18</v>
      </c>
    </row>
    <row r="3224" spans="1:4" x14ac:dyDescent="0.2">
      <c r="A3224" s="895">
        <v>177040</v>
      </c>
      <c r="B3224" s="895" t="s">
        <v>21328</v>
      </c>
      <c r="C3224" s="895" t="s">
        <v>227</v>
      </c>
      <c r="D3224" s="895">
        <v>73.7</v>
      </c>
    </row>
    <row r="3225" spans="1:4" x14ac:dyDescent="0.2">
      <c r="A3225" s="895">
        <v>177041</v>
      </c>
      <c r="B3225" s="895" t="s">
        <v>21329</v>
      </c>
      <c r="C3225" s="895" t="s">
        <v>227</v>
      </c>
      <c r="D3225" s="895">
        <v>48.9</v>
      </c>
    </row>
    <row r="3226" spans="1:4" x14ac:dyDescent="0.2">
      <c r="A3226" s="895">
        <v>177045</v>
      </c>
      <c r="B3226" s="895" t="s">
        <v>21330</v>
      </c>
      <c r="C3226" s="895" t="s">
        <v>158</v>
      </c>
      <c r="D3226" s="895">
        <v>59.99</v>
      </c>
    </row>
    <row r="3227" spans="1:4" x14ac:dyDescent="0.2">
      <c r="A3227" s="895">
        <v>177046</v>
      </c>
      <c r="B3227" s="895" t="s">
        <v>21331</v>
      </c>
      <c r="C3227" s="895" t="s">
        <v>227</v>
      </c>
      <c r="D3227" s="895">
        <v>30.06</v>
      </c>
    </row>
    <row r="3228" spans="1:4" x14ac:dyDescent="0.2">
      <c r="A3228" s="895">
        <v>177087</v>
      </c>
      <c r="B3228" s="895" t="s">
        <v>21332</v>
      </c>
      <c r="C3228" s="895" t="s">
        <v>158</v>
      </c>
      <c r="D3228" s="895">
        <v>26.78</v>
      </c>
    </row>
    <row r="3229" spans="1:4" x14ac:dyDescent="0.2">
      <c r="A3229" s="895">
        <v>177090</v>
      </c>
      <c r="B3229" s="895" t="s">
        <v>21333</v>
      </c>
      <c r="C3229" s="895" t="s">
        <v>226</v>
      </c>
      <c r="D3229" s="895">
        <v>94.9</v>
      </c>
    </row>
    <row r="3230" spans="1:4" x14ac:dyDescent="0.2">
      <c r="A3230" s="895">
        <v>177091</v>
      </c>
      <c r="B3230" s="895" t="s">
        <v>21334</v>
      </c>
      <c r="C3230" s="895" t="s">
        <v>226</v>
      </c>
      <c r="D3230" s="895">
        <v>125.31</v>
      </c>
    </row>
    <row r="3231" spans="1:4" x14ac:dyDescent="0.2">
      <c r="A3231" s="895">
        <v>177092</v>
      </c>
      <c r="B3231" s="895" t="s">
        <v>21335</v>
      </c>
      <c r="C3231" s="895" t="s">
        <v>226</v>
      </c>
      <c r="D3231" s="895">
        <v>39.53</v>
      </c>
    </row>
    <row r="3232" spans="1:4" x14ac:dyDescent="0.2">
      <c r="A3232" s="895">
        <v>177093</v>
      </c>
      <c r="B3232" s="895" t="s">
        <v>21336</v>
      </c>
      <c r="C3232" s="895" t="s">
        <v>158</v>
      </c>
      <c r="D3232" s="895">
        <v>26.17</v>
      </c>
    </row>
    <row r="3233" spans="1:4" x14ac:dyDescent="0.2">
      <c r="A3233" s="895">
        <v>177094</v>
      </c>
      <c r="B3233" s="895" t="s">
        <v>21337</v>
      </c>
      <c r="C3233" s="895" t="s">
        <v>227</v>
      </c>
      <c r="D3233" s="895">
        <v>91.29</v>
      </c>
    </row>
    <row r="3234" spans="1:4" x14ac:dyDescent="0.2">
      <c r="A3234" s="895">
        <v>177096</v>
      </c>
      <c r="B3234" s="895" t="s">
        <v>21338</v>
      </c>
      <c r="C3234" s="895" t="s">
        <v>158</v>
      </c>
      <c r="D3234" s="895">
        <v>76.489999999999995</v>
      </c>
    </row>
    <row r="3235" spans="1:4" x14ac:dyDescent="0.2">
      <c r="A3235" s="895">
        <v>178000</v>
      </c>
      <c r="B3235" s="895" t="s">
        <v>19393</v>
      </c>
      <c r="C3235" s="895" t="s">
        <v>18269</v>
      </c>
      <c r="D3235" s="895" t="s">
        <v>18269</v>
      </c>
    </row>
    <row r="3236" spans="1:4" x14ac:dyDescent="0.2">
      <c r="A3236" s="895">
        <v>178015</v>
      </c>
      <c r="B3236" s="895" t="s">
        <v>21339</v>
      </c>
      <c r="C3236" s="895" t="s">
        <v>227</v>
      </c>
      <c r="D3236" s="895">
        <v>113.72</v>
      </c>
    </row>
    <row r="3237" spans="1:4" x14ac:dyDescent="0.2">
      <c r="A3237" s="895">
        <v>178019</v>
      </c>
      <c r="B3237" s="895" t="s">
        <v>21340</v>
      </c>
      <c r="C3237" s="895" t="s">
        <v>6008</v>
      </c>
      <c r="D3237" s="895">
        <v>16.62</v>
      </c>
    </row>
    <row r="3238" spans="1:4" x14ac:dyDescent="0.2">
      <c r="A3238" s="895">
        <v>178070</v>
      </c>
      <c r="B3238" s="895" t="s">
        <v>21341</v>
      </c>
      <c r="C3238" s="895" t="s">
        <v>226</v>
      </c>
      <c r="D3238" s="895">
        <v>798.09</v>
      </c>
    </row>
    <row r="3239" spans="1:4" x14ac:dyDescent="0.2">
      <c r="A3239" s="895">
        <v>178072</v>
      </c>
      <c r="B3239" s="895" t="s">
        <v>21342</v>
      </c>
      <c r="C3239" s="895" t="s">
        <v>158</v>
      </c>
      <c r="D3239" s="895">
        <v>7.07</v>
      </c>
    </row>
    <row r="3240" spans="1:4" x14ac:dyDescent="0.2">
      <c r="A3240" s="895">
        <v>178073</v>
      </c>
      <c r="B3240" s="895" t="s">
        <v>21343</v>
      </c>
      <c r="C3240" s="895" t="s">
        <v>158</v>
      </c>
      <c r="D3240" s="895">
        <v>8.4499999999999993</v>
      </c>
    </row>
    <row r="3241" spans="1:4" x14ac:dyDescent="0.2">
      <c r="A3241" s="895">
        <v>180000</v>
      </c>
      <c r="B3241" s="895" t="s">
        <v>21344</v>
      </c>
    </row>
    <row r="3242" spans="1:4" x14ac:dyDescent="0.2">
      <c r="A3242" s="895">
        <v>180100</v>
      </c>
      <c r="B3242" s="895" t="s">
        <v>21345</v>
      </c>
      <c r="C3242" s="895" t="s">
        <v>18269</v>
      </c>
      <c r="D3242" s="895" t="s">
        <v>18269</v>
      </c>
    </row>
    <row r="3243" spans="1:4" x14ac:dyDescent="0.2">
      <c r="A3243" s="895">
        <v>180101</v>
      </c>
      <c r="B3243" s="895" t="s">
        <v>21346</v>
      </c>
      <c r="C3243" s="895" t="s">
        <v>226</v>
      </c>
      <c r="D3243" s="895">
        <v>26.3</v>
      </c>
    </row>
    <row r="3244" spans="1:4" x14ac:dyDescent="0.2">
      <c r="A3244" s="895">
        <v>180103</v>
      </c>
      <c r="B3244" s="895" t="s">
        <v>21347</v>
      </c>
      <c r="C3244" s="895" t="s">
        <v>226</v>
      </c>
      <c r="D3244" s="895">
        <v>137.19</v>
      </c>
    </row>
    <row r="3245" spans="1:4" x14ac:dyDescent="0.2">
      <c r="A3245" s="895">
        <v>180200</v>
      </c>
      <c r="B3245" s="895" t="s">
        <v>21348</v>
      </c>
      <c r="C3245" s="895" t="s">
        <v>18269</v>
      </c>
      <c r="D3245" s="895" t="s">
        <v>18269</v>
      </c>
    </row>
    <row r="3246" spans="1:4" x14ac:dyDescent="0.2">
      <c r="A3246" s="895">
        <v>180203</v>
      </c>
      <c r="B3246" s="895" t="s">
        <v>21349</v>
      </c>
      <c r="C3246" s="895" t="s">
        <v>226</v>
      </c>
      <c r="D3246" s="895">
        <v>289.77</v>
      </c>
    </row>
    <row r="3247" spans="1:4" x14ac:dyDescent="0.2">
      <c r="A3247" s="895">
        <v>180204</v>
      </c>
      <c r="B3247" s="895" t="s">
        <v>21350</v>
      </c>
      <c r="C3247" s="895" t="s">
        <v>226</v>
      </c>
      <c r="D3247" s="895">
        <v>273.26</v>
      </c>
    </row>
    <row r="3248" spans="1:4" x14ac:dyDescent="0.2">
      <c r="A3248" s="895">
        <v>180205</v>
      </c>
      <c r="B3248" s="895" t="s">
        <v>21351</v>
      </c>
      <c r="C3248" s="895" t="s">
        <v>226</v>
      </c>
      <c r="D3248" s="895">
        <v>217.84</v>
      </c>
    </row>
    <row r="3249" spans="1:4" x14ac:dyDescent="0.2">
      <c r="A3249" s="895">
        <v>180206</v>
      </c>
      <c r="B3249" s="895" t="s">
        <v>21352</v>
      </c>
      <c r="C3249" s="895" t="s">
        <v>226</v>
      </c>
      <c r="D3249" s="895">
        <v>214.56</v>
      </c>
    </row>
    <row r="3250" spans="1:4" x14ac:dyDescent="0.2">
      <c r="A3250" s="895">
        <v>180207</v>
      </c>
      <c r="B3250" s="895" t="s">
        <v>21353</v>
      </c>
      <c r="C3250" s="895" t="s">
        <v>226</v>
      </c>
      <c r="D3250" s="895">
        <v>198.33</v>
      </c>
    </row>
    <row r="3251" spans="1:4" x14ac:dyDescent="0.2">
      <c r="A3251" s="895">
        <v>180208</v>
      </c>
      <c r="B3251" s="895" t="s">
        <v>21354</v>
      </c>
      <c r="C3251" s="895" t="s">
        <v>226</v>
      </c>
      <c r="D3251" s="895">
        <v>226.24</v>
      </c>
    </row>
    <row r="3252" spans="1:4" x14ac:dyDescent="0.2">
      <c r="A3252" s="895">
        <v>180209</v>
      </c>
      <c r="B3252" s="895" t="s">
        <v>21355</v>
      </c>
      <c r="C3252" s="895" t="s">
        <v>226</v>
      </c>
      <c r="D3252" s="895">
        <v>212.47</v>
      </c>
    </row>
    <row r="3253" spans="1:4" x14ac:dyDescent="0.2">
      <c r="A3253" s="895">
        <v>180210</v>
      </c>
      <c r="B3253" s="895" t="s">
        <v>21356</v>
      </c>
      <c r="C3253" s="895" t="s">
        <v>226</v>
      </c>
      <c r="D3253" s="895">
        <v>289.75</v>
      </c>
    </row>
    <row r="3254" spans="1:4" x14ac:dyDescent="0.2">
      <c r="A3254" s="895">
        <v>180211</v>
      </c>
      <c r="B3254" s="895" t="s">
        <v>21357</v>
      </c>
      <c r="C3254" s="895" t="s">
        <v>226</v>
      </c>
      <c r="D3254" s="895">
        <v>201.72</v>
      </c>
    </row>
    <row r="3255" spans="1:4" x14ac:dyDescent="0.2">
      <c r="A3255" s="895">
        <v>180212</v>
      </c>
      <c r="B3255" s="895" t="s">
        <v>21358</v>
      </c>
      <c r="C3255" s="895" t="s">
        <v>226</v>
      </c>
      <c r="D3255" s="895">
        <v>198.29</v>
      </c>
    </row>
    <row r="3256" spans="1:4" x14ac:dyDescent="0.2">
      <c r="A3256" s="895">
        <v>180213</v>
      </c>
      <c r="B3256" s="895" t="s">
        <v>21359</v>
      </c>
      <c r="C3256" s="895" t="s">
        <v>226</v>
      </c>
      <c r="D3256" s="895">
        <v>201.52</v>
      </c>
    </row>
    <row r="3257" spans="1:4" x14ac:dyDescent="0.2">
      <c r="A3257" s="895">
        <v>180214</v>
      </c>
      <c r="B3257" s="895" t="s">
        <v>21360</v>
      </c>
      <c r="C3257" s="895" t="s">
        <v>226</v>
      </c>
      <c r="D3257" s="895">
        <v>239.19</v>
      </c>
    </row>
    <row r="3258" spans="1:4" x14ac:dyDescent="0.2">
      <c r="A3258" s="895">
        <v>180215</v>
      </c>
      <c r="B3258" s="895" t="s">
        <v>21361</v>
      </c>
      <c r="C3258" s="895" t="s">
        <v>226</v>
      </c>
      <c r="D3258" s="895">
        <v>151.16999999999999</v>
      </c>
    </row>
    <row r="3259" spans="1:4" x14ac:dyDescent="0.2">
      <c r="A3259" s="895">
        <v>180216</v>
      </c>
      <c r="B3259" s="895" t="s">
        <v>21362</v>
      </c>
      <c r="C3259" s="895" t="s">
        <v>226</v>
      </c>
      <c r="D3259" s="895">
        <v>182.67</v>
      </c>
    </row>
    <row r="3260" spans="1:4" x14ac:dyDescent="0.2">
      <c r="A3260" s="895">
        <v>180217</v>
      </c>
      <c r="B3260" s="895" t="s">
        <v>21363</v>
      </c>
      <c r="C3260" s="895" t="s">
        <v>226</v>
      </c>
      <c r="D3260" s="895">
        <v>283.3</v>
      </c>
    </row>
    <row r="3261" spans="1:4" x14ac:dyDescent="0.2">
      <c r="A3261" s="895">
        <v>180218</v>
      </c>
      <c r="B3261" s="895" t="s">
        <v>21364</v>
      </c>
      <c r="C3261" s="895" t="s">
        <v>226</v>
      </c>
      <c r="D3261" s="895">
        <v>154.08000000000001</v>
      </c>
    </row>
    <row r="3262" spans="1:4" x14ac:dyDescent="0.2">
      <c r="A3262" s="895">
        <v>180219</v>
      </c>
      <c r="B3262" s="895" t="s">
        <v>21365</v>
      </c>
      <c r="C3262" s="895" t="s">
        <v>226</v>
      </c>
      <c r="D3262" s="895">
        <v>203.87</v>
      </c>
    </row>
    <row r="3263" spans="1:4" x14ac:dyDescent="0.2">
      <c r="A3263" s="895">
        <v>180220</v>
      </c>
      <c r="B3263" s="895" t="s">
        <v>21366</v>
      </c>
      <c r="C3263" s="895" t="s">
        <v>226</v>
      </c>
      <c r="D3263" s="895">
        <v>203.27</v>
      </c>
    </row>
    <row r="3264" spans="1:4" x14ac:dyDescent="0.2">
      <c r="A3264" s="895">
        <v>180221</v>
      </c>
      <c r="B3264" s="895" t="s">
        <v>21367</v>
      </c>
      <c r="C3264" s="895" t="s">
        <v>226</v>
      </c>
      <c r="D3264" s="895">
        <v>208.05</v>
      </c>
    </row>
    <row r="3265" spans="1:4" x14ac:dyDescent="0.2">
      <c r="A3265" s="895">
        <v>180222</v>
      </c>
      <c r="B3265" s="895" t="s">
        <v>21368</v>
      </c>
      <c r="C3265" s="895" t="s">
        <v>226</v>
      </c>
      <c r="D3265" s="895">
        <v>237.59</v>
      </c>
    </row>
    <row r="3266" spans="1:4" x14ac:dyDescent="0.2">
      <c r="A3266" s="895">
        <v>180223</v>
      </c>
      <c r="B3266" s="895" t="s">
        <v>21369</v>
      </c>
      <c r="C3266" s="895" t="s">
        <v>226</v>
      </c>
      <c r="D3266" s="895">
        <v>161.22</v>
      </c>
    </row>
    <row r="3267" spans="1:4" x14ac:dyDescent="0.2">
      <c r="A3267" s="895">
        <v>180224</v>
      </c>
      <c r="B3267" s="895" t="s">
        <v>21370</v>
      </c>
      <c r="C3267" s="895" t="s">
        <v>226</v>
      </c>
      <c r="D3267" s="895">
        <v>235.79</v>
      </c>
    </row>
    <row r="3268" spans="1:4" x14ac:dyDescent="0.2">
      <c r="A3268" s="895">
        <v>180225</v>
      </c>
      <c r="B3268" s="895" t="s">
        <v>21371</v>
      </c>
      <c r="C3268" s="895" t="s">
        <v>226</v>
      </c>
      <c r="D3268" s="895">
        <v>181.85</v>
      </c>
    </row>
    <row r="3269" spans="1:4" x14ac:dyDescent="0.2">
      <c r="A3269" s="895">
        <v>180226</v>
      </c>
      <c r="B3269" s="895" t="s">
        <v>21372</v>
      </c>
      <c r="C3269" s="895" t="s">
        <v>226</v>
      </c>
      <c r="D3269" s="895">
        <v>292.77999999999997</v>
      </c>
    </row>
    <row r="3270" spans="1:4" x14ac:dyDescent="0.2">
      <c r="A3270" s="895">
        <v>180227</v>
      </c>
      <c r="B3270" s="895" t="s">
        <v>21373</v>
      </c>
      <c r="C3270" s="895" t="s">
        <v>226</v>
      </c>
      <c r="D3270" s="895">
        <v>288.29000000000002</v>
      </c>
    </row>
    <row r="3271" spans="1:4" x14ac:dyDescent="0.2">
      <c r="A3271" s="895">
        <v>180228</v>
      </c>
      <c r="B3271" s="895" t="s">
        <v>21374</v>
      </c>
      <c r="C3271" s="895" t="s">
        <v>226</v>
      </c>
      <c r="D3271" s="895">
        <v>168.43</v>
      </c>
    </row>
    <row r="3272" spans="1:4" x14ac:dyDescent="0.2">
      <c r="A3272" s="895">
        <v>180229</v>
      </c>
      <c r="B3272" s="895" t="s">
        <v>21375</v>
      </c>
      <c r="C3272" s="895" t="s">
        <v>226</v>
      </c>
      <c r="D3272" s="895">
        <v>245.52</v>
      </c>
    </row>
    <row r="3273" spans="1:4" x14ac:dyDescent="0.2">
      <c r="A3273" s="895">
        <v>180230</v>
      </c>
      <c r="B3273" s="895" t="s">
        <v>21376</v>
      </c>
      <c r="C3273" s="895" t="s">
        <v>226</v>
      </c>
      <c r="D3273" s="895">
        <v>173.35</v>
      </c>
    </row>
    <row r="3274" spans="1:4" x14ac:dyDescent="0.2">
      <c r="A3274" s="895">
        <v>180231</v>
      </c>
      <c r="B3274" s="895" t="s">
        <v>21377</v>
      </c>
      <c r="C3274" s="895" t="s">
        <v>226</v>
      </c>
      <c r="D3274" s="895">
        <v>175</v>
      </c>
    </row>
    <row r="3275" spans="1:4" x14ac:dyDescent="0.2">
      <c r="A3275" s="895">
        <v>180232</v>
      </c>
      <c r="B3275" s="895" t="s">
        <v>21378</v>
      </c>
      <c r="C3275" s="895" t="s">
        <v>226</v>
      </c>
      <c r="D3275" s="895">
        <v>156.25</v>
      </c>
    </row>
    <row r="3276" spans="1:4" x14ac:dyDescent="0.2">
      <c r="A3276" s="895">
        <v>180233</v>
      </c>
      <c r="B3276" s="895" t="s">
        <v>21379</v>
      </c>
      <c r="C3276" s="895" t="s">
        <v>226</v>
      </c>
      <c r="D3276" s="895">
        <v>210.21</v>
      </c>
    </row>
    <row r="3277" spans="1:4" x14ac:dyDescent="0.2">
      <c r="A3277" s="895">
        <v>180234</v>
      </c>
      <c r="B3277" s="895" t="s">
        <v>21380</v>
      </c>
      <c r="C3277" s="895" t="s">
        <v>226</v>
      </c>
      <c r="D3277" s="895">
        <v>206.75</v>
      </c>
    </row>
    <row r="3278" spans="1:4" x14ac:dyDescent="0.2">
      <c r="A3278" s="895">
        <v>180235</v>
      </c>
      <c r="B3278" s="895" t="s">
        <v>21381</v>
      </c>
      <c r="C3278" s="895" t="s">
        <v>226</v>
      </c>
      <c r="D3278" s="895">
        <v>282.95</v>
      </c>
    </row>
    <row r="3279" spans="1:4" x14ac:dyDescent="0.2">
      <c r="A3279" s="895">
        <v>180236</v>
      </c>
      <c r="B3279" s="895" t="s">
        <v>21382</v>
      </c>
      <c r="C3279" s="895" t="s">
        <v>226</v>
      </c>
      <c r="D3279" s="895">
        <v>225.21</v>
      </c>
    </row>
    <row r="3280" spans="1:4" x14ac:dyDescent="0.2">
      <c r="A3280" s="895">
        <v>180237</v>
      </c>
      <c r="B3280" s="895" t="s">
        <v>21383</v>
      </c>
      <c r="C3280" s="895" t="s">
        <v>226</v>
      </c>
      <c r="D3280" s="895">
        <v>274.5</v>
      </c>
    </row>
    <row r="3281" spans="1:4" x14ac:dyDescent="0.2">
      <c r="A3281" s="895">
        <v>180238</v>
      </c>
      <c r="B3281" s="895" t="s">
        <v>21384</v>
      </c>
      <c r="C3281" s="895" t="s">
        <v>226</v>
      </c>
      <c r="D3281" s="895">
        <v>230.65</v>
      </c>
    </row>
    <row r="3282" spans="1:4" x14ac:dyDescent="0.2">
      <c r="A3282" s="895">
        <v>180239</v>
      </c>
      <c r="B3282" s="895" t="s">
        <v>21385</v>
      </c>
      <c r="C3282" s="895" t="s">
        <v>226</v>
      </c>
      <c r="D3282" s="895">
        <v>297.89999999999998</v>
      </c>
    </row>
    <row r="3283" spans="1:4" x14ac:dyDescent="0.2">
      <c r="A3283" s="895">
        <v>180240</v>
      </c>
      <c r="B3283" s="895" t="s">
        <v>21386</v>
      </c>
      <c r="C3283" s="895" t="s">
        <v>226</v>
      </c>
      <c r="D3283" s="895">
        <v>272.37</v>
      </c>
    </row>
    <row r="3284" spans="1:4" x14ac:dyDescent="0.2">
      <c r="A3284" s="895">
        <v>180241</v>
      </c>
      <c r="B3284" s="895" t="s">
        <v>21387</v>
      </c>
      <c r="C3284" s="895" t="s">
        <v>226</v>
      </c>
      <c r="D3284" s="895">
        <v>218.66</v>
      </c>
    </row>
    <row r="3285" spans="1:4" x14ac:dyDescent="0.2">
      <c r="A3285" s="895">
        <v>180242</v>
      </c>
      <c r="B3285" s="895" t="s">
        <v>21388</v>
      </c>
      <c r="C3285" s="895" t="s">
        <v>226</v>
      </c>
      <c r="D3285" s="895">
        <v>256.67</v>
      </c>
    </row>
    <row r="3286" spans="1:4" x14ac:dyDescent="0.2">
      <c r="A3286" s="895">
        <v>180250</v>
      </c>
      <c r="B3286" s="895" t="s">
        <v>21389</v>
      </c>
      <c r="C3286" s="895" t="s">
        <v>226</v>
      </c>
      <c r="D3286" s="895">
        <v>281.08999999999997</v>
      </c>
    </row>
    <row r="3287" spans="1:4" x14ac:dyDescent="0.2">
      <c r="A3287" s="895">
        <v>180252</v>
      </c>
      <c r="B3287" s="895" t="s">
        <v>21390</v>
      </c>
      <c r="C3287" s="895" t="s">
        <v>226</v>
      </c>
      <c r="D3287" s="895">
        <v>162.69999999999999</v>
      </c>
    </row>
    <row r="3288" spans="1:4" x14ac:dyDescent="0.2">
      <c r="A3288" s="895">
        <v>180255</v>
      </c>
      <c r="B3288" s="895" t="s">
        <v>21391</v>
      </c>
      <c r="C3288" s="895" t="s">
        <v>226</v>
      </c>
      <c r="D3288" s="895">
        <v>274.91000000000003</v>
      </c>
    </row>
    <row r="3289" spans="1:4" x14ac:dyDescent="0.2">
      <c r="A3289" s="895">
        <v>180261</v>
      </c>
      <c r="B3289" s="895" t="s">
        <v>21392</v>
      </c>
      <c r="C3289" s="895" t="s">
        <v>226</v>
      </c>
      <c r="D3289" s="895">
        <v>70.709999999999994</v>
      </c>
    </row>
    <row r="3290" spans="1:4" x14ac:dyDescent="0.2">
      <c r="A3290" s="895">
        <v>180263</v>
      </c>
      <c r="B3290" s="895" t="s">
        <v>21393</v>
      </c>
      <c r="C3290" s="895" t="s">
        <v>226</v>
      </c>
      <c r="D3290" s="895">
        <v>291.94</v>
      </c>
    </row>
    <row r="3291" spans="1:4" x14ac:dyDescent="0.2">
      <c r="A3291" s="895">
        <v>180265</v>
      </c>
      <c r="B3291" s="895" t="s">
        <v>21394</v>
      </c>
      <c r="C3291" s="895" t="s">
        <v>226</v>
      </c>
      <c r="D3291" s="895">
        <v>255.64</v>
      </c>
    </row>
    <row r="3292" spans="1:4" x14ac:dyDescent="0.2">
      <c r="A3292" s="895">
        <v>180267</v>
      </c>
      <c r="B3292" s="895" t="s">
        <v>21395</v>
      </c>
      <c r="C3292" s="895" t="s">
        <v>226</v>
      </c>
      <c r="D3292" s="895">
        <v>159.44</v>
      </c>
    </row>
    <row r="3293" spans="1:4" x14ac:dyDescent="0.2">
      <c r="A3293" s="895">
        <v>180270</v>
      </c>
      <c r="B3293" s="895" t="s">
        <v>21396</v>
      </c>
      <c r="C3293" s="895" t="s">
        <v>226</v>
      </c>
      <c r="D3293" s="895">
        <v>97.59</v>
      </c>
    </row>
    <row r="3294" spans="1:4" x14ac:dyDescent="0.2">
      <c r="A3294" s="895">
        <v>180273</v>
      </c>
      <c r="B3294" s="895" t="s">
        <v>21397</v>
      </c>
      <c r="C3294" s="895" t="s">
        <v>226</v>
      </c>
      <c r="D3294" s="895">
        <v>152.22</v>
      </c>
    </row>
    <row r="3295" spans="1:4" x14ac:dyDescent="0.2">
      <c r="A3295" s="895">
        <v>180275</v>
      </c>
      <c r="B3295" s="895" t="s">
        <v>21398</v>
      </c>
      <c r="C3295" s="895" t="s">
        <v>226</v>
      </c>
      <c r="D3295" s="895">
        <v>146.61000000000001</v>
      </c>
    </row>
    <row r="3296" spans="1:4" x14ac:dyDescent="0.2">
      <c r="A3296" s="895">
        <v>180277</v>
      </c>
      <c r="B3296" s="895" t="s">
        <v>21399</v>
      </c>
      <c r="C3296" s="895" t="s">
        <v>226</v>
      </c>
      <c r="D3296" s="895">
        <v>99.82</v>
      </c>
    </row>
    <row r="3297" spans="1:4" x14ac:dyDescent="0.2">
      <c r="A3297" s="895">
        <v>180280</v>
      </c>
      <c r="B3297" s="895" t="s">
        <v>21400</v>
      </c>
      <c r="C3297" s="895" t="s">
        <v>226</v>
      </c>
      <c r="D3297" s="895">
        <v>94.79</v>
      </c>
    </row>
    <row r="3298" spans="1:4" x14ac:dyDescent="0.2">
      <c r="A3298" s="895">
        <v>180290</v>
      </c>
      <c r="B3298" s="895" t="s">
        <v>21401</v>
      </c>
      <c r="C3298" s="895" t="s">
        <v>226</v>
      </c>
      <c r="D3298" s="895">
        <v>283.57</v>
      </c>
    </row>
    <row r="3299" spans="1:4" x14ac:dyDescent="0.2">
      <c r="A3299" s="895">
        <v>180291</v>
      </c>
      <c r="B3299" s="895" t="s">
        <v>21402</v>
      </c>
      <c r="C3299" s="895" t="s">
        <v>226</v>
      </c>
      <c r="D3299" s="895">
        <v>281.99</v>
      </c>
    </row>
    <row r="3300" spans="1:4" x14ac:dyDescent="0.2">
      <c r="A3300" s="895">
        <v>180292</v>
      </c>
      <c r="B3300" s="895" t="s">
        <v>21403</v>
      </c>
      <c r="C3300" s="895" t="s">
        <v>226</v>
      </c>
      <c r="D3300" s="895">
        <v>287.57</v>
      </c>
    </row>
    <row r="3301" spans="1:4" x14ac:dyDescent="0.2">
      <c r="A3301" s="895">
        <v>180300</v>
      </c>
      <c r="B3301" s="895" t="s">
        <v>21404</v>
      </c>
      <c r="C3301" s="895" t="s">
        <v>18269</v>
      </c>
      <c r="D3301" s="895" t="s">
        <v>18269</v>
      </c>
    </row>
    <row r="3302" spans="1:4" x14ac:dyDescent="0.2">
      <c r="A3302" s="895">
        <v>180301</v>
      </c>
      <c r="B3302" s="895" t="s">
        <v>21405</v>
      </c>
      <c r="C3302" s="895" t="s">
        <v>227</v>
      </c>
      <c r="D3302" s="895">
        <v>21.52</v>
      </c>
    </row>
    <row r="3303" spans="1:4" x14ac:dyDescent="0.2">
      <c r="A3303" s="895">
        <v>180303</v>
      </c>
      <c r="B3303" s="895" t="s">
        <v>21406</v>
      </c>
      <c r="C3303" s="895" t="s">
        <v>227</v>
      </c>
      <c r="D3303" s="895">
        <v>29.95</v>
      </c>
    </row>
    <row r="3304" spans="1:4" x14ac:dyDescent="0.2">
      <c r="A3304" s="895">
        <v>180305</v>
      </c>
      <c r="B3304" s="895" t="s">
        <v>21407</v>
      </c>
      <c r="C3304" s="895" t="s">
        <v>227</v>
      </c>
      <c r="D3304" s="895">
        <v>29.07</v>
      </c>
    </row>
    <row r="3305" spans="1:4" x14ac:dyDescent="0.2">
      <c r="A3305" s="895">
        <v>180307</v>
      </c>
      <c r="B3305" s="895" t="s">
        <v>21408</v>
      </c>
      <c r="C3305" s="895" t="s">
        <v>227</v>
      </c>
      <c r="D3305" s="895">
        <v>46.86</v>
      </c>
    </row>
    <row r="3306" spans="1:4" x14ac:dyDescent="0.2">
      <c r="A3306" s="895">
        <v>180313</v>
      </c>
      <c r="B3306" s="895" t="s">
        <v>21409</v>
      </c>
      <c r="C3306" s="895" t="s">
        <v>21410</v>
      </c>
      <c r="D3306" s="895">
        <v>71</v>
      </c>
    </row>
    <row r="3307" spans="1:4" x14ac:dyDescent="0.2">
      <c r="A3307" s="895">
        <v>180315</v>
      </c>
      <c r="B3307" s="895" t="s">
        <v>21411</v>
      </c>
      <c r="C3307" s="895" t="s">
        <v>21410</v>
      </c>
      <c r="D3307" s="895">
        <v>45.15</v>
      </c>
    </row>
    <row r="3308" spans="1:4" x14ac:dyDescent="0.2">
      <c r="A3308" s="895">
        <v>180317</v>
      </c>
      <c r="B3308" s="895" t="s">
        <v>21412</v>
      </c>
      <c r="C3308" s="895" t="s">
        <v>21410</v>
      </c>
      <c r="D3308" s="895">
        <v>80.569999999999993</v>
      </c>
    </row>
    <row r="3309" spans="1:4" x14ac:dyDescent="0.2">
      <c r="A3309" s="895">
        <v>180319</v>
      </c>
      <c r="B3309" s="895" t="s">
        <v>21413</v>
      </c>
      <c r="C3309" s="895" t="s">
        <v>21410</v>
      </c>
      <c r="D3309" s="895">
        <v>46.26</v>
      </c>
    </row>
    <row r="3310" spans="1:4" x14ac:dyDescent="0.2">
      <c r="A3310" s="895">
        <v>180321</v>
      </c>
      <c r="B3310" s="895" t="s">
        <v>21414</v>
      </c>
      <c r="C3310" s="895" t="s">
        <v>21410</v>
      </c>
      <c r="D3310" s="895">
        <v>64.650000000000006</v>
      </c>
    </row>
    <row r="3311" spans="1:4" x14ac:dyDescent="0.2">
      <c r="A3311" s="895">
        <v>180323</v>
      </c>
      <c r="B3311" s="895" t="s">
        <v>21415</v>
      </c>
      <c r="C3311" s="895" t="s">
        <v>21410</v>
      </c>
      <c r="D3311" s="895">
        <v>49.67</v>
      </c>
    </row>
    <row r="3312" spans="1:4" x14ac:dyDescent="0.2">
      <c r="A3312" s="895">
        <v>180325</v>
      </c>
      <c r="B3312" s="895" t="s">
        <v>21416</v>
      </c>
      <c r="C3312" s="895" t="s">
        <v>226</v>
      </c>
      <c r="D3312" s="895">
        <v>98.45</v>
      </c>
    </row>
    <row r="3313" spans="1:4" x14ac:dyDescent="0.2">
      <c r="A3313" s="895">
        <v>180327</v>
      </c>
      <c r="B3313" s="895" t="s">
        <v>21417</v>
      </c>
      <c r="C3313" s="895" t="s">
        <v>21410</v>
      </c>
      <c r="D3313" s="895">
        <v>44.15</v>
      </c>
    </row>
    <row r="3314" spans="1:4" x14ac:dyDescent="0.2">
      <c r="A3314" s="895">
        <v>180329</v>
      </c>
      <c r="B3314" s="895" t="s">
        <v>21418</v>
      </c>
      <c r="C3314" s="895" t="s">
        <v>21410</v>
      </c>
      <c r="D3314" s="895">
        <v>52.21</v>
      </c>
    </row>
    <row r="3315" spans="1:4" x14ac:dyDescent="0.2">
      <c r="A3315" s="895">
        <v>180341</v>
      </c>
      <c r="B3315" s="895" t="s">
        <v>21419</v>
      </c>
      <c r="C3315" s="895" t="s">
        <v>226</v>
      </c>
      <c r="D3315" s="895">
        <v>48.91</v>
      </c>
    </row>
    <row r="3316" spans="1:4" x14ac:dyDescent="0.2">
      <c r="A3316" s="895">
        <v>180343</v>
      </c>
      <c r="B3316" s="895" t="s">
        <v>21420</v>
      </c>
      <c r="C3316" s="895" t="s">
        <v>226</v>
      </c>
      <c r="D3316" s="895">
        <v>62.76</v>
      </c>
    </row>
    <row r="3317" spans="1:4" x14ac:dyDescent="0.2">
      <c r="A3317" s="895">
        <v>180345</v>
      </c>
      <c r="B3317" s="895" t="s">
        <v>21421</v>
      </c>
      <c r="C3317" s="895" t="s">
        <v>226</v>
      </c>
      <c r="D3317" s="895">
        <v>60.11</v>
      </c>
    </row>
    <row r="3318" spans="1:4" x14ac:dyDescent="0.2">
      <c r="A3318" s="895">
        <v>180347</v>
      </c>
      <c r="B3318" s="895" t="s">
        <v>21422</v>
      </c>
      <c r="C3318" s="895" t="s">
        <v>226</v>
      </c>
      <c r="D3318" s="895">
        <v>58.57</v>
      </c>
    </row>
    <row r="3319" spans="1:4" x14ac:dyDescent="0.2">
      <c r="A3319" s="895">
        <v>180349</v>
      </c>
      <c r="B3319" s="895" t="s">
        <v>21423</v>
      </c>
      <c r="C3319" s="895" t="s">
        <v>226</v>
      </c>
      <c r="D3319" s="895">
        <v>75.14</v>
      </c>
    </row>
    <row r="3320" spans="1:4" x14ac:dyDescent="0.2">
      <c r="A3320" s="895">
        <v>180351</v>
      </c>
      <c r="B3320" s="895" t="s">
        <v>21424</v>
      </c>
      <c r="C3320" s="895" t="s">
        <v>226</v>
      </c>
      <c r="D3320" s="895">
        <v>56.7</v>
      </c>
    </row>
    <row r="3321" spans="1:4" x14ac:dyDescent="0.2">
      <c r="A3321" s="895">
        <v>180353</v>
      </c>
      <c r="B3321" s="895" t="s">
        <v>21425</v>
      </c>
      <c r="C3321" s="895" t="s">
        <v>226</v>
      </c>
      <c r="D3321" s="895">
        <v>8.1</v>
      </c>
    </row>
    <row r="3322" spans="1:4" x14ac:dyDescent="0.2">
      <c r="A3322" s="895">
        <v>180361</v>
      </c>
      <c r="B3322" s="895" t="s">
        <v>21426</v>
      </c>
      <c r="C3322" s="895" t="s">
        <v>226</v>
      </c>
      <c r="D3322" s="895">
        <v>48.93</v>
      </c>
    </row>
    <row r="3323" spans="1:4" x14ac:dyDescent="0.2">
      <c r="A3323" s="895">
        <v>180363</v>
      </c>
      <c r="B3323" s="895" t="s">
        <v>21427</v>
      </c>
      <c r="C3323" s="895" t="s">
        <v>226</v>
      </c>
      <c r="D3323" s="895">
        <v>53.41</v>
      </c>
    </row>
    <row r="3324" spans="1:4" x14ac:dyDescent="0.2">
      <c r="A3324" s="895">
        <v>180365</v>
      </c>
      <c r="B3324" s="895" t="s">
        <v>21428</v>
      </c>
      <c r="C3324" s="895" t="s">
        <v>226</v>
      </c>
      <c r="D3324" s="895">
        <v>51.89</v>
      </c>
    </row>
    <row r="3325" spans="1:4" x14ac:dyDescent="0.2">
      <c r="A3325" s="895">
        <v>180367</v>
      </c>
      <c r="B3325" s="895" t="s">
        <v>21429</v>
      </c>
      <c r="C3325" s="895" t="s">
        <v>226</v>
      </c>
      <c r="D3325" s="895">
        <v>64.599999999999994</v>
      </c>
    </row>
    <row r="3326" spans="1:4" x14ac:dyDescent="0.2">
      <c r="A3326" s="895">
        <v>180369</v>
      </c>
      <c r="B3326" s="895" t="s">
        <v>21430</v>
      </c>
      <c r="C3326" s="895" t="s">
        <v>226</v>
      </c>
      <c r="D3326" s="895">
        <v>65.650000000000006</v>
      </c>
    </row>
    <row r="3327" spans="1:4" x14ac:dyDescent="0.2">
      <c r="A3327" s="895">
        <v>180371</v>
      </c>
      <c r="B3327" s="895" t="s">
        <v>21431</v>
      </c>
      <c r="C3327" s="895" t="s">
        <v>226</v>
      </c>
      <c r="D3327" s="895">
        <v>42.26</v>
      </c>
    </row>
    <row r="3328" spans="1:4" x14ac:dyDescent="0.2">
      <c r="A3328" s="895">
        <v>180373</v>
      </c>
      <c r="B3328" s="895" t="s">
        <v>21432</v>
      </c>
      <c r="C3328" s="895" t="s">
        <v>226</v>
      </c>
      <c r="D3328" s="895">
        <v>46.84</v>
      </c>
    </row>
    <row r="3329" spans="1:4" x14ac:dyDescent="0.2">
      <c r="A3329" s="895">
        <v>180375</v>
      </c>
      <c r="B3329" s="895" t="s">
        <v>21433</v>
      </c>
      <c r="C3329" s="895" t="s">
        <v>226</v>
      </c>
      <c r="D3329" s="895">
        <v>37.729999999999997</v>
      </c>
    </row>
    <row r="3330" spans="1:4" x14ac:dyDescent="0.2">
      <c r="A3330" s="895">
        <v>180377</v>
      </c>
      <c r="B3330" s="895" t="s">
        <v>21434</v>
      </c>
      <c r="C3330" s="895" t="s">
        <v>226</v>
      </c>
      <c r="D3330" s="895">
        <v>56.14</v>
      </c>
    </row>
    <row r="3331" spans="1:4" x14ac:dyDescent="0.2">
      <c r="A3331" s="895">
        <v>180379</v>
      </c>
      <c r="B3331" s="895" t="s">
        <v>21435</v>
      </c>
      <c r="C3331" s="895" t="s">
        <v>226</v>
      </c>
      <c r="D3331" s="895">
        <v>57.18</v>
      </c>
    </row>
    <row r="3332" spans="1:4" x14ac:dyDescent="0.2">
      <c r="A3332" s="895">
        <v>180383</v>
      </c>
      <c r="B3332" s="895" t="s">
        <v>21436</v>
      </c>
      <c r="C3332" s="895" t="s">
        <v>226</v>
      </c>
      <c r="D3332" s="895">
        <v>48.59</v>
      </c>
    </row>
    <row r="3333" spans="1:4" x14ac:dyDescent="0.2">
      <c r="A3333" s="895">
        <v>180385</v>
      </c>
      <c r="B3333" s="895" t="s">
        <v>21437</v>
      </c>
      <c r="C3333" s="895" t="s">
        <v>226</v>
      </c>
      <c r="D3333" s="895">
        <v>46.85</v>
      </c>
    </row>
    <row r="3334" spans="1:4" x14ac:dyDescent="0.2">
      <c r="A3334" s="895">
        <v>180387</v>
      </c>
      <c r="B3334" s="895" t="s">
        <v>21438</v>
      </c>
      <c r="C3334" s="895" t="s">
        <v>226</v>
      </c>
      <c r="D3334" s="895">
        <v>57.85</v>
      </c>
    </row>
    <row r="3335" spans="1:4" x14ac:dyDescent="0.2">
      <c r="A3335" s="895">
        <v>180603</v>
      </c>
      <c r="B3335" s="895" t="s">
        <v>21439</v>
      </c>
      <c r="C3335" s="895" t="s">
        <v>226</v>
      </c>
      <c r="D3335" s="895">
        <v>7162.99</v>
      </c>
    </row>
    <row r="3336" spans="1:4" x14ac:dyDescent="0.2">
      <c r="A3336" s="895">
        <v>181000</v>
      </c>
      <c r="B3336" s="895" t="s">
        <v>21440</v>
      </c>
      <c r="C3336" s="895" t="s">
        <v>18269</v>
      </c>
      <c r="D3336" s="895" t="s">
        <v>18269</v>
      </c>
    </row>
    <row r="3337" spans="1:4" x14ac:dyDescent="0.2">
      <c r="A3337" s="895">
        <v>181050</v>
      </c>
      <c r="B3337" s="895" t="s">
        <v>21441</v>
      </c>
      <c r="C3337" s="895" t="s">
        <v>226</v>
      </c>
      <c r="D3337" s="895">
        <v>305.06</v>
      </c>
    </row>
    <row r="3338" spans="1:4" x14ac:dyDescent="0.2">
      <c r="A3338" s="895">
        <v>181056</v>
      </c>
      <c r="B3338" s="895" t="s">
        <v>21442</v>
      </c>
      <c r="C3338" s="895" t="s">
        <v>158</v>
      </c>
      <c r="D3338" s="895">
        <v>101.88</v>
      </c>
    </row>
    <row r="3339" spans="1:4" x14ac:dyDescent="0.2">
      <c r="A3339" s="895">
        <v>181060</v>
      </c>
      <c r="B3339" s="895" t="s">
        <v>21443</v>
      </c>
      <c r="C3339" s="895" t="s">
        <v>227</v>
      </c>
      <c r="D3339" s="895">
        <v>97.83</v>
      </c>
    </row>
    <row r="3340" spans="1:4" x14ac:dyDescent="0.2">
      <c r="A3340" s="895">
        <v>181090</v>
      </c>
      <c r="B3340" s="895" t="s">
        <v>21444</v>
      </c>
      <c r="C3340" s="895" t="s">
        <v>226</v>
      </c>
      <c r="D3340" s="895">
        <v>472.32</v>
      </c>
    </row>
    <row r="3341" spans="1:4" x14ac:dyDescent="0.2">
      <c r="A3341" s="895">
        <v>181200</v>
      </c>
      <c r="B3341" s="895" t="s">
        <v>21445</v>
      </c>
      <c r="C3341" s="895" t="s">
        <v>18269</v>
      </c>
      <c r="D3341" s="895" t="s">
        <v>18269</v>
      </c>
    </row>
    <row r="3342" spans="1:4" x14ac:dyDescent="0.2">
      <c r="A3342" s="895">
        <v>181201</v>
      </c>
      <c r="B3342" s="895" t="s">
        <v>21446</v>
      </c>
      <c r="C3342" s="895" t="s">
        <v>158</v>
      </c>
      <c r="D3342" s="895">
        <v>309.69</v>
      </c>
    </row>
    <row r="3343" spans="1:4" x14ac:dyDescent="0.2">
      <c r="A3343" s="895">
        <v>181202</v>
      </c>
      <c r="B3343" s="895" t="s">
        <v>21447</v>
      </c>
      <c r="C3343" s="895" t="s">
        <v>19518</v>
      </c>
      <c r="D3343" s="895">
        <v>1908.4</v>
      </c>
    </row>
    <row r="3344" spans="1:4" x14ac:dyDescent="0.2">
      <c r="A3344" s="895">
        <v>181203</v>
      </c>
      <c r="B3344" s="895" t="s">
        <v>21448</v>
      </c>
      <c r="C3344" s="895" t="s">
        <v>158</v>
      </c>
      <c r="D3344" s="895">
        <v>286.89999999999998</v>
      </c>
    </row>
    <row r="3345" spans="1:4" x14ac:dyDescent="0.2">
      <c r="A3345" s="895">
        <v>181204</v>
      </c>
      <c r="B3345" s="895" t="s">
        <v>21449</v>
      </c>
      <c r="C3345" s="895" t="s">
        <v>158</v>
      </c>
      <c r="D3345" s="895">
        <v>316.11</v>
      </c>
    </row>
    <row r="3346" spans="1:4" x14ac:dyDescent="0.2">
      <c r="A3346" s="895">
        <v>181205</v>
      </c>
      <c r="B3346" s="895" t="s">
        <v>21450</v>
      </c>
      <c r="C3346" s="895" t="s">
        <v>158</v>
      </c>
      <c r="D3346" s="895">
        <v>434.73</v>
      </c>
    </row>
    <row r="3347" spans="1:4" x14ac:dyDescent="0.2">
      <c r="A3347" s="895">
        <v>181206</v>
      </c>
      <c r="B3347" s="895" t="s">
        <v>21451</v>
      </c>
      <c r="C3347" s="895" t="s">
        <v>158</v>
      </c>
      <c r="D3347" s="895">
        <v>324.18</v>
      </c>
    </row>
    <row r="3348" spans="1:4" x14ac:dyDescent="0.2">
      <c r="A3348" s="895">
        <v>181212</v>
      </c>
      <c r="B3348" s="895" t="s">
        <v>21452</v>
      </c>
      <c r="C3348" s="895" t="s">
        <v>158</v>
      </c>
      <c r="D3348" s="895">
        <v>501.76</v>
      </c>
    </row>
    <row r="3349" spans="1:4" x14ac:dyDescent="0.2">
      <c r="A3349" s="895">
        <v>181217</v>
      </c>
      <c r="B3349" s="895" t="s">
        <v>21453</v>
      </c>
      <c r="C3349" s="895" t="s">
        <v>158</v>
      </c>
      <c r="D3349" s="895">
        <v>369.51</v>
      </c>
    </row>
    <row r="3350" spans="1:4" x14ac:dyDescent="0.2">
      <c r="A3350" s="895">
        <v>181218</v>
      </c>
      <c r="B3350" s="895" t="s">
        <v>21454</v>
      </c>
      <c r="C3350" s="895" t="s">
        <v>158</v>
      </c>
      <c r="D3350" s="895">
        <v>400.12</v>
      </c>
    </row>
    <row r="3351" spans="1:4" x14ac:dyDescent="0.2">
      <c r="A3351" s="895">
        <v>181219</v>
      </c>
      <c r="B3351" s="895" t="s">
        <v>21455</v>
      </c>
      <c r="C3351" s="895" t="s">
        <v>158</v>
      </c>
      <c r="D3351" s="895">
        <v>526.36</v>
      </c>
    </row>
    <row r="3352" spans="1:4" x14ac:dyDescent="0.2">
      <c r="A3352" s="895">
        <v>181300</v>
      </c>
      <c r="B3352" s="895" t="s">
        <v>21456</v>
      </c>
      <c r="C3352" s="895" t="s">
        <v>18269</v>
      </c>
      <c r="D3352" s="895" t="s">
        <v>18269</v>
      </c>
    </row>
    <row r="3353" spans="1:4" x14ac:dyDescent="0.2">
      <c r="A3353" s="895">
        <v>181321</v>
      </c>
      <c r="B3353" s="895" t="s">
        <v>21457</v>
      </c>
      <c r="C3353" s="895" t="s">
        <v>226</v>
      </c>
      <c r="D3353" s="895">
        <v>12405.37</v>
      </c>
    </row>
    <row r="3354" spans="1:4" x14ac:dyDescent="0.2">
      <c r="A3354" s="895">
        <v>181326</v>
      </c>
      <c r="B3354" s="895" t="s">
        <v>21458</v>
      </c>
      <c r="C3354" s="895" t="s">
        <v>226</v>
      </c>
      <c r="D3354" s="895">
        <v>3119.33</v>
      </c>
    </row>
    <row r="3355" spans="1:4" x14ac:dyDescent="0.2">
      <c r="A3355" s="895">
        <v>181341</v>
      </c>
      <c r="B3355" s="895" t="s">
        <v>21459</v>
      </c>
      <c r="C3355" s="895" t="s">
        <v>159</v>
      </c>
      <c r="D3355" s="895">
        <v>59.37</v>
      </c>
    </row>
    <row r="3356" spans="1:4" x14ac:dyDescent="0.2">
      <c r="A3356" s="895">
        <v>181342</v>
      </c>
      <c r="B3356" s="895" t="s">
        <v>21460</v>
      </c>
      <c r="C3356" s="895" t="s">
        <v>158</v>
      </c>
      <c r="D3356" s="895">
        <v>97.88</v>
      </c>
    </row>
    <row r="3357" spans="1:4" x14ac:dyDescent="0.2">
      <c r="A3357" s="895">
        <v>181343</v>
      </c>
      <c r="B3357" s="895" t="s">
        <v>21461</v>
      </c>
      <c r="C3357" s="895" t="s">
        <v>159</v>
      </c>
      <c r="D3357" s="895">
        <v>478.71</v>
      </c>
    </row>
    <row r="3358" spans="1:4" x14ac:dyDescent="0.2">
      <c r="A3358" s="895">
        <v>181344</v>
      </c>
      <c r="B3358" s="895" t="s">
        <v>21462</v>
      </c>
      <c r="C3358" s="895" t="s">
        <v>158</v>
      </c>
      <c r="D3358" s="895">
        <v>379.8</v>
      </c>
    </row>
    <row r="3359" spans="1:4" x14ac:dyDescent="0.2">
      <c r="A3359" s="895">
        <v>181345</v>
      </c>
      <c r="B3359" s="895" t="s">
        <v>21463</v>
      </c>
      <c r="C3359" s="895" t="s">
        <v>158</v>
      </c>
      <c r="D3359" s="895">
        <v>474.97</v>
      </c>
    </row>
    <row r="3360" spans="1:4" x14ac:dyDescent="0.2">
      <c r="A3360" s="895">
        <v>181346</v>
      </c>
      <c r="B3360" s="895" t="s">
        <v>21464</v>
      </c>
      <c r="C3360" s="895" t="s">
        <v>159</v>
      </c>
      <c r="D3360" s="895">
        <v>162.04</v>
      </c>
    </row>
    <row r="3361" spans="1:4" x14ac:dyDescent="0.2">
      <c r="A3361" s="895">
        <v>181351</v>
      </c>
      <c r="B3361" s="895" t="s">
        <v>21465</v>
      </c>
      <c r="C3361" s="895" t="s">
        <v>226</v>
      </c>
      <c r="D3361" s="895">
        <v>4316.05</v>
      </c>
    </row>
    <row r="3362" spans="1:4" x14ac:dyDescent="0.2">
      <c r="A3362" s="895">
        <v>181353</v>
      </c>
      <c r="B3362" s="895" t="s">
        <v>21466</v>
      </c>
      <c r="C3362" s="895" t="s">
        <v>226</v>
      </c>
      <c r="D3362" s="895">
        <v>7226.62</v>
      </c>
    </row>
    <row r="3363" spans="1:4" x14ac:dyDescent="0.2">
      <c r="A3363" s="895">
        <v>181400</v>
      </c>
      <c r="B3363" s="895" t="s">
        <v>21467</v>
      </c>
      <c r="C3363" s="895" t="s">
        <v>18269</v>
      </c>
      <c r="D3363" s="895" t="s">
        <v>18269</v>
      </c>
    </row>
    <row r="3364" spans="1:4" x14ac:dyDescent="0.2">
      <c r="A3364" s="895">
        <v>181405</v>
      </c>
      <c r="B3364" s="895" t="s">
        <v>21468</v>
      </c>
      <c r="C3364" s="895" t="s">
        <v>226</v>
      </c>
      <c r="D3364" s="895">
        <v>2211.33</v>
      </c>
    </row>
    <row r="3365" spans="1:4" x14ac:dyDescent="0.2">
      <c r="A3365" s="895">
        <v>181408</v>
      </c>
      <c r="B3365" s="895" t="s">
        <v>21469</v>
      </c>
      <c r="C3365" s="895" t="s">
        <v>226</v>
      </c>
      <c r="D3365" s="895">
        <v>2867.95</v>
      </c>
    </row>
    <row r="3366" spans="1:4" x14ac:dyDescent="0.2">
      <c r="A3366" s="895">
        <v>181411</v>
      </c>
      <c r="B3366" s="895" t="s">
        <v>21470</v>
      </c>
      <c r="C3366" s="895" t="s">
        <v>226</v>
      </c>
      <c r="D3366" s="895">
        <v>1813.69</v>
      </c>
    </row>
    <row r="3367" spans="1:4" x14ac:dyDescent="0.2">
      <c r="A3367" s="895">
        <v>181415</v>
      </c>
      <c r="B3367" s="895" t="s">
        <v>21471</v>
      </c>
      <c r="C3367" s="895" t="s">
        <v>226</v>
      </c>
      <c r="D3367" s="895">
        <v>2023.26</v>
      </c>
    </row>
    <row r="3368" spans="1:4" x14ac:dyDescent="0.2">
      <c r="A3368" s="895">
        <v>181416</v>
      </c>
      <c r="B3368" s="895" t="s">
        <v>21472</v>
      </c>
      <c r="C3368" s="895" t="s">
        <v>226</v>
      </c>
      <c r="D3368" s="895">
        <v>15264.56</v>
      </c>
    </row>
    <row r="3369" spans="1:4" x14ac:dyDescent="0.2">
      <c r="A3369" s="895">
        <v>181422</v>
      </c>
      <c r="B3369" s="895" t="s">
        <v>21473</v>
      </c>
      <c r="C3369" s="895" t="s">
        <v>226</v>
      </c>
      <c r="D3369" s="895">
        <v>1855.5</v>
      </c>
    </row>
    <row r="3370" spans="1:4" x14ac:dyDescent="0.2">
      <c r="A3370" s="895">
        <v>181424</v>
      </c>
      <c r="B3370" s="895" t="s">
        <v>21474</v>
      </c>
      <c r="C3370" s="895" t="s">
        <v>226</v>
      </c>
      <c r="D3370" s="895">
        <v>2535.87</v>
      </c>
    </row>
    <row r="3371" spans="1:4" x14ac:dyDescent="0.2">
      <c r="A3371" s="895">
        <v>181430</v>
      </c>
      <c r="B3371" s="895" t="s">
        <v>21475</v>
      </c>
      <c r="C3371" s="895" t="s">
        <v>227</v>
      </c>
      <c r="D3371" s="895">
        <v>95.59</v>
      </c>
    </row>
    <row r="3372" spans="1:4" x14ac:dyDescent="0.2">
      <c r="A3372" s="895">
        <v>181441</v>
      </c>
      <c r="B3372" s="895" t="s">
        <v>21476</v>
      </c>
      <c r="C3372" s="895" t="s">
        <v>226</v>
      </c>
      <c r="D3372" s="895">
        <v>5905.01</v>
      </c>
    </row>
    <row r="3373" spans="1:4" x14ac:dyDescent="0.2">
      <c r="A3373" s="895">
        <v>181442</v>
      </c>
      <c r="B3373" s="895" t="s">
        <v>21477</v>
      </c>
      <c r="C3373" s="895" t="s">
        <v>226</v>
      </c>
      <c r="D3373" s="895">
        <v>5661.29</v>
      </c>
    </row>
    <row r="3374" spans="1:4" x14ac:dyDescent="0.2">
      <c r="A3374" s="895">
        <v>181443</v>
      </c>
      <c r="B3374" s="895" t="s">
        <v>21478</v>
      </c>
      <c r="C3374" s="895" t="s">
        <v>226</v>
      </c>
      <c r="D3374" s="895">
        <v>3883.79</v>
      </c>
    </row>
    <row r="3375" spans="1:4" x14ac:dyDescent="0.2">
      <c r="A3375" s="895">
        <v>181444</v>
      </c>
      <c r="B3375" s="895" t="s">
        <v>21479</v>
      </c>
      <c r="C3375" s="895" t="s">
        <v>226</v>
      </c>
      <c r="D3375" s="895">
        <v>2569.61</v>
      </c>
    </row>
    <row r="3376" spans="1:4" x14ac:dyDescent="0.2">
      <c r="A3376" s="895">
        <v>181445</v>
      </c>
      <c r="B3376" s="895" t="s">
        <v>21480</v>
      </c>
      <c r="C3376" s="895" t="s">
        <v>226</v>
      </c>
      <c r="D3376" s="895">
        <v>1377.98</v>
      </c>
    </row>
    <row r="3377" spans="1:4" x14ac:dyDescent="0.2">
      <c r="A3377" s="895">
        <v>181446</v>
      </c>
      <c r="B3377" s="895" t="s">
        <v>21481</v>
      </c>
      <c r="C3377" s="895" t="s">
        <v>226</v>
      </c>
      <c r="D3377" s="895">
        <v>992.87</v>
      </c>
    </row>
    <row r="3378" spans="1:4" x14ac:dyDescent="0.2">
      <c r="A3378" s="895">
        <v>181447</v>
      </c>
      <c r="B3378" s="895" t="s">
        <v>21482</v>
      </c>
      <c r="C3378" s="895" t="s">
        <v>226</v>
      </c>
      <c r="D3378" s="895">
        <v>1013</v>
      </c>
    </row>
    <row r="3379" spans="1:4" x14ac:dyDescent="0.2">
      <c r="A3379" s="895">
        <v>181448</v>
      </c>
      <c r="B3379" s="895" t="s">
        <v>21483</v>
      </c>
      <c r="C3379" s="895" t="s">
        <v>226</v>
      </c>
      <c r="D3379" s="895">
        <v>1231.8399999999999</v>
      </c>
    </row>
    <row r="3380" spans="1:4" x14ac:dyDescent="0.2">
      <c r="A3380" s="895">
        <v>181449</v>
      </c>
      <c r="B3380" s="895" t="s">
        <v>21484</v>
      </c>
      <c r="C3380" s="895" t="s">
        <v>226</v>
      </c>
      <c r="D3380" s="895">
        <v>1242.77</v>
      </c>
    </row>
    <row r="3381" spans="1:4" x14ac:dyDescent="0.2">
      <c r="A3381" s="895">
        <v>181500</v>
      </c>
      <c r="B3381" s="895" t="s">
        <v>21485</v>
      </c>
      <c r="C3381" s="895" t="s">
        <v>18269</v>
      </c>
      <c r="D3381" s="895" t="s">
        <v>18269</v>
      </c>
    </row>
    <row r="3382" spans="1:4" x14ac:dyDescent="0.2">
      <c r="A3382" s="895">
        <v>181501</v>
      </c>
      <c r="B3382" s="895" t="s">
        <v>21486</v>
      </c>
      <c r="C3382" s="895" t="s">
        <v>226</v>
      </c>
      <c r="D3382" s="895">
        <v>891.43</v>
      </c>
    </row>
    <row r="3383" spans="1:4" x14ac:dyDescent="0.2">
      <c r="A3383" s="895">
        <v>181502</v>
      </c>
      <c r="B3383" s="895" t="s">
        <v>21487</v>
      </c>
      <c r="C3383" s="895" t="s">
        <v>226</v>
      </c>
      <c r="D3383" s="895">
        <v>876.57</v>
      </c>
    </row>
    <row r="3384" spans="1:4" x14ac:dyDescent="0.2">
      <c r="A3384" s="895">
        <v>181503</v>
      </c>
      <c r="B3384" s="895" t="s">
        <v>21488</v>
      </c>
      <c r="C3384" s="895" t="s">
        <v>226</v>
      </c>
      <c r="D3384" s="895">
        <v>779.65</v>
      </c>
    </row>
    <row r="3385" spans="1:4" x14ac:dyDescent="0.2">
      <c r="A3385" s="895">
        <v>181510</v>
      </c>
      <c r="B3385" s="895" t="s">
        <v>21489</v>
      </c>
      <c r="C3385" s="895" t="s">
        <v>226</v>
      </c>
      <c r="D3385" s="895">
        <v>306.60000000000002</v>
      </c>
    </row>
    <row r="3386" spans="1:4" x14ac:dyDescent="0.2">
      <c r="A3386" s="895">
        <v>181513</v>
      </c>
      <c r="B3386" s="895" t="s">
        <v>21490</v>
      </c>
      <c r="C3386" s="895" t="s">
        <v>226</v>
      </c>
      <c r="D3386" s="895">
        <v>165.75</v>
      </c>
    </row>
    <row r="3387" spans="1:4" x14ac:dyDescent="0.2">
      <c r="A3387" s="895">
        <v>181514</v>
      </c>
      <c r="B3387" s="895" t="s">
        <v>21491</v>
      </c>
      <c r="C3387" s="895" t="s">
        <v>226</v>
      </c>
      <c r="D3387" s="895">
        <v>1046.6300000000001</v>
      </c>
    </row>
    <row r="3388" spans="1:4" x14ac:dyDescent="0.2">
      <c r="A3388" s="895">
        <v>181550</v>
      </c>
      <c r="B3388" s="895" t="s">
        <v>21492</v>
      </c>
      <c r="C3388" s="895" t="s">
        <v>159</v>
      </c>
      <c r="D3388" s="895">
        <v>222.21</v>
      </c>
    </row>
    <row r="3389" spans="1:4" x14ac:dyDescent="0.2">
      <c r="A3389" s="895">
        <v>181551</v>
      </c>
      <c r="B3389" s="895" t="s">
        <v>21493</v>
      </c>
      <c r="C3389" s="895" t="s">
        <v>159</v>
      </c>
      <c r="D3389" s="895">
        <v>194.68</v>
      </c>
    </row>
    <row r="3390" spans="1:4" x14ac:dyDescent="0.2">
      <c r="A3390" s="895">
        <v>181601</v>
      </c>
      <c r="B3390" s="895" t="s">
        <v>21494</v>
      </c>
      <c r="C3390" s="895" t="s">
        <v>226</v>
      </c>
      <c r="D3390" s="895">
        <v>2500.7399999999998</v>
      </c>
    </row>
    <row r="3391" spans="1:4" x14ac:dyDescent="0.2">
      <c r="A3391" s="895">
        <v>181602</v>
      </c>
      <c r="B3391" s="895" t="s">
        <v>21495</v>
      </c>
      <c r="C3391" s="895" t="s">
        <v>226</v>
      </c>
      <c r="D3391" s="895">
        <v>2065.44</v>
      </c>
    </row>
    <row r="3392" spans="1:4" x14ac:dyDescent="0.2">
      <c r="A3392" s="895">
        <v>181603</v>
      </c>
      <c r="B3392" s="895" t="s">
        <v>21439</v>
      </c>
      <c r="C3392" s="895" t="s">
        <v>226</v>
      </c>
      <c r="D3392" s="895">
        <v>7162.99</v>
      </c>
    </row>
    <row r="3393" spans="1:4" x14ac:dyDescent="0.2">
      <c r="A3393" s="895">
        <v>181604</v>
      </c>
      <c r="B3393" s="895" t="s">
        <v>21496</v>
      </c>
      <c r="C3393" s="895" t="s">
        <v>226</v>
      </c>
      <c r="D3393" s="895">
        <v>4265.2</v>
      </c>
    </row>
    <row r="3394" spans="1:4" x14ac:dyDescent="0.2">
      <c r="A3394" s="895">
        <v>181605</v>
      </c>
      <c r="B3394" s="895" t="s">
        <v>21497</v>
      </c>
      <c r="C3394" s="895" t="s">
        <v>226</v>
      </c>
      <c r="D3394" s="895">
        <v>5513.82</v>
      </c>
    </row>
    <row r="3395" spans="1:4" x14ac:dyDescent="0.2">
      <c r="A3395" s="895">
        <v>181606</v>
      </c>
      <c r="B3395" s="895" t="s">
        <v>21498</v>
      </c>
      <c r="C3395" s="895" t="s">
        <v>226</v>
      </c>
      <c r="D3395" s="895">
        <v>2659.19</v>
      </c>
    </row>
    <row r="3396" spans="1:4" x14ac:dyDescent="0.2">
      <c r="A3396" s="895">
        <v>181607</v>
      </c>
      <c r="B3396" s="895" t="s">
        <v>21499</v>
      </c>
      <c r="C3396" s="895" t="s">
        <v>226</v>
      </c>
      <c r="D3396" s="895">
        <v>3720.82</v>
      </c>
    </row>
    <row r="3397" spans="1:4" x14ac:dyDescent="0.2">
      <c r="A3397" s="895">
        <v>181608</v>
      </c>
      <c r="B3397" s="895" t="s">
        <v>21500</v>
      </c>
      <c r="C3397" s="895" t="s">
        <v>226</v>
      </c>
      <c r="D3397" s="895">
        <v>2348.39</v>
      </c>
    </row>
    <row r="3398" spans="1:4" x14ac:dyDescent="0.2">
      <c r="A3398" s="895">
        <v>181609</v>
      </c>
      <c r="B3398" s="895" t="s">
        <v>21501</v>
      </c>
      <c r="C3398" s="895" t="s">
        <v>226</v>
      </c>
      <c r="D3398" s="895">
        <v>3934.88</v>
      </c>
    </row>
    <row r="3399" spans="1:4" x14ac:dyDescent="0.2">
      <c r="A3399" s="895">
        <v>181610</v>
      </c>
      <c r="B3399" s="895" t="s">
        <v>21502</v>
      </c>
      <c r="C3399" s="895" t="s">
        <v>226</v>
      </c>
      <c r="D3399" s="895">
        <v>5630.13</v>
      </c>
    </row>
    <row r="3400" spans="1:4" x14ac:dyDescent="0.2">
      <c r="A3400" s="895">
        <v>181611</v>
      </c>
      <c r="B3400" s="895" t="s">
        <v>21503</v>
      </c>
      <c r="C3400" s="895" t="s">
        <v>226</v>
      </c>
      <c r="D3400" s="895">
        <v>1530.83</v>
      </c>
    </row>
    <row r="3401" spans="1:4" x14ac:dyDescent="0.2">
      <c r="A3401" s="895">
        <v>181612</v>
      </c>
      <c r="B3401" s="895" t="s">
        <v>21504</v>
      </c>
      <c r="C3401" s="895" t="s">
        <v>226</v>
      </c>
      <c r="D3401" s="895">
        <v>1919.46</v>
      </c>
    </row>
    <row r="3402" spans="1:4" x14ac:dyDescent="0.2">
      <c r="A3402" s="895">
        <v>181613</v>
      </c>
      <c r="B3402" s="895" t="s">
        <v>21505</v>
      </c>
      <c r="C3402" s="895" t="s">
        <v>226</v>
      </c>
      <c r="D3402" s="895">
        <v>5154.58</v>
      </c>
    </row>
    <row r="3403" spans="1:4" x14ac:dyDescent="0.2">
      <c r="A3403" s="895">
        <v>181614</v>
      </c>
      <c r="B3403" s="895" t="s">
        <v>21506</v>
      </c>
      <c r="C3403" s="895" t="s">
        <v>226</v>
      </c>
      <c r="D3403" s="895">
        <v>7558.17</v>
      </c>
    </row>
    <row r="3404" spans="1:4" x14ac:dyDescent="0.2">
      <c r="A3404" s="895">
        <v>181615</v>
      </c>
      <c r="B3404" s="895" t="s">
        <v>21507</v>
      </c>
      <c r="C3404" s="895" t="s">
        <v>226</v>
      </c>
      <c r="D3404" s="895">
        <v>2067.5100000000002</v>
      </c>
    </row>
    <row r="3405" spans="1:4" x14ac:dyDescent="0.2">
      <c r="A3405" s="895">
        <v>181616</v>
      </c>
      <c r="B3405" s="895" t="s">
        <v>21508</v>
      </c>
      <c r="C3405" s="895" t="s">
        <v>226</v>
      </c>
      <c r="D3405" s="895">
        <v>5566.19</v>
      </c>
    </row>
    <row r="3406" spans="1:4" x14ac:dyDescent="0.2">
      <c r="A3406" s="895">
        <v>181617</v>
      </c>
      <c r="B3406" s="895" t="s">
        <v>21509</v>
      </c>
      <c r="C3406" s="895" t="s">
        <v>226</v>
      </c>
      <c r="D3406" s="895">
        <v>3630.47</v>
      </c>
    </row>
    <row r="3407" spans="1:4" x14ac:dyDescent="0.2">
      <c r="A3407" s="895">
        <v>181618</v>
      </c>
      <c r="B3407" s="895" t="s">
        <v>21510</v>
      </c>
      <c r="C3407" s="895" t="s">
        <v>226</v>
      </c>
      <c r="D3407" s="895">
        <v>2812.23</v>
      </c>
    </row>
    <row r="3408" spans="1:4" x14ac:dyDescent="0.2">
      <c r="A3408" s="895">
        <v>181619</v>
      </c>
      <c r="B3408" s="895" t="s">
        <v>21511</v>
      </c>
      <c r="C3408" s="895" t="s">
        <v>226</v>
      </c>
      <c r="D3408" s="895">
        <v>3085.3</v>
      </c>
    </row>
    <row r="3409" spans="1:4" x14ac:dyDescent="0.2">
      <c r="A3409" s="895">
        <v>181620</v>
      </c>
      <c r="B3409" s="895" t="s">
        <v>21512</v>
      </c>
      <c r="C3409" s="895" t="s">
        <v>226</v>
      </c>
      <c r="D3409" s="895">
        <v>1224.0999999999999</v>
      </c>
    </row>
    <row r="3410" spans="1:4" x14ac:dyDescent="0.2">
      <c r="A3410" s="895">
        <v>186000</v>
      </c>
      <c r="B3410" s="895" t="s">
        <v>19341</v>
      </c>
      <c r="C3410" s="895" t="s">
        <v>18269</v>
      </c>
      <c r="D3410" s="895" t="s">
        <v>18269</v>
      </c>
    </row>
    <row r="3411" spans="1:4" x14ac:dyDescent="0.2">
      <c r="A3411" s="895">
        <v>186007</v>
      </c>
      <c r="B3411" s="895" t="s">
        <v>21513</v>
      </c>
      <c r="C3411" s="895" t="s">
        <v>227</v>
      </c>
      <c r="D3411" s="895">
        <v>6.6</v>
      </c>
    </row>
    <row r="3412" spans="1:4" x14ac:dyDescent="0.2">
      <c r="A3412" s="895">
        <v>187000</v>
      </c>
      <c r="B3412" s="895" t="s">
        <v>19348</v>
      </c>
      <c r="C3412" s="895" t="s">
        <v>18269</v>
      </c>
      <c r="D3412" s="895" t="s">
        <v>18269</v>
      </c>
    </row>
    <row r="3413" spans="1:4" x14ac:dyDescent="0.2">
      <c r="A3413" s="895">
        <v>187007</v>
      </c>
      <c r="B3413" s="895" t="s">
        <v>21514</v>
      </c>
      <c r="C3413" s="895" t="s">
        <v>227</v>
      </c>
      <c r="D3413" s="895">
        <v>44.4</v>
      </c>
    </row>
    <row r="3414" spans="1:4" x14ac:dyDescent="0.2">
      <c r="A3414" s="895">
        <v>187040</v>
      </c>
      <c r="B3414" s="895" t="s">
        <v>21515</v>
      </c>
      <c r="C3414" s="895" t="s">
        <v>226</v>
      </c>
      <c r="D3414" s="895">
        <v>1532.33</v>
      </c>
    </row>
    <row r="3415" spans="1:4" x14ac:dyDescent="0.2">
      <c r="A3415" s="895">
        <v>187041</v>
      </c>
      <c r="B3415" s="895" t="s">
        <v>21516</v>
      </c>
      <c r="C3415" s="895" t="s">
        <v>226</v>
      </c>
      <c r="D3415" s="895">
        <v>10253.68</v>
      </c>
    </row>
    <row r="3416" spans="1:4" x14ac:dyDescent="0.2">
      <c r="A3416" s="895">
        <v>188000</v>
      </c>
      <c r="B3416" s="895" t="s">
        <v>19393</v>
      </c>
      <c r="C3416" s="895" t="s">
        <v>18269</v>
      </c>
      <c r="D3416" s="895" t="s">
        <v>18269</v>
      </c>
    </row>
    <row r="3417" spans="1:4" x14ac:dyDescent="0.2">
      <c r="A3417" s="895">
        <v>188001</v>
      </c>
      <c r="B3417" s="895" t="s">
        <v>21517</v>
      </c>
      <c r="C3417" s="895" t="s">
        <v>227</v>
      </c>
      <c r="D3417" s="895">
        <v>11</v>
      </c>
    </row>
    <row r="3418" spans="1:4" x14ac:dyDescent="0.2">
      <c r="A3418" s="895">
        <v>188011</v>
      </c>
      <c r="B3418" s="895" t="s">
        <v>21518</v>
      </c>
      <c r="C3418" s="895" t="s">
        <v>159</v>
      </c>
      <c r="D3418" s="895">
        <v>268.89</v>
      </c>
    </row>
    <row r="3419" spans="1:4" x14ac:dyDescent="0.2">
      <c r="A3419" s="895">
        <v>188013</v>
      </c>
      <c r="B3419" s="895" t="s">
        <v>21519</v>
      </c>
      <c r="C3419" s="895" t="s">
        <v>6008</v>
      </c>
      <c r="D3419" s="895">
        <v>1.03</v>
      </c>
    </row>
    <row r="3420" spans="1:4" x14ac:dyDescent="0.2">
      <c r="A3420" s="895">
        <v>188015</v>
      </c>
      <c r="B3420" s="895" t="s">
        <v>21520</v>
      </c>
      <c r="C3420" s="895" t="s">
        <v>6008</v>
      </c>
      <c r="D3420" s="895">
        <v>6.51</v>
      </c>
    </row>
    <row r="3421" spans="1:4" x14ac:dyDescent="0.2">
      <c r="A3421" s="895">
        <v>188030</v>
      </c>
      <c r="B3421" s="895" t="s">
        <v>21521</v>
      </c>
      <c r="C3421" s="895" t="s">
        <v>227</v>
      </c>
      <c r="D3421" s="895">
        <v>11</v>
      </c>
    </row>
    <row r="3422" spans="1:4" x14ac:dyDescent="0.2">
      <c r="A3422" s="895">
        <v>188035</v>
      </c>
      <c r="B3422" s="895" t="s">
        <v>21522</v>
      </c>
      <c r="C3422" s="895" t="s">
        <v>159</v>
      </c>
      <c r="D3422" s="895">
        <v>301.88</v>
      </c>
    </row>
    <row r="3423" spans="1:4" x14ac:dyDescent="0.2">
      <c r="A3423" s="895">
        <v>200000</v>
      </c>
      <c r="B3423" s="895" t="s">
        <v>21523</v>
      </c>
    </row>
    <row r="3424" spans="1:4" x14ac:dyDescent="0.2">
      <c r="A3424" s="895">
        <v>200100</v>
      </c>
      <c r="B3424" s="895" t="s">
        <v>21524</v>
      </c>
      <c r="C3424" s="895" t="s">
        <v>18269</v>
      </c>
      <c r="D3424" s="895" t="s">
        <v>18269</v>
      </c>
    </row>
    <row r="3425" spans="1:4" x14ac:dyDescent="0.2">
      <c r="A3425" s="895">
        <v>200101</v>
      </c>
      <c r="B3425" s="895" t="s">
        <v>21525</v>
      </c>
      <c r="C3425" s="895" t="s">
        <v>20551</v>
      </c>
      <c r="D3425" s="895">
        <v>3006.86</v>
      </c>
    </row>
    <row r="3426" spans="1:4" x14ac:dyDescent="0.2">
      <c r="A3426" s="895">
        <v>200102</v>
      </c>
      <c r="B3426" s="895" t="s">
        <v>21526</v>
      </c>
      <c r="C3426" s="895" t="s">
        <v>158</v>
      </c>
      <c r="D3426" s="895">
        <v>2.29</v>
      </c>
    </row>
    <row r="3427" spans="1:4" x14ac:dyDescent="0.2">
      <c r="A3427" s="895">
        <v>200113</v>
      </c>
      <c r="B3427" s="895" t="s">
        <v>21527</v>
      </c>
      <c r="C3427" s="895" t="s">
        <v>20551</v>
      </c>
      <c r="D3427" s="895">
        <v>5677.08</v>
      </c>
    </row>
    <row r="3428" spans="1:4" x14ac:dyDescent="0.2">
      <c r="A3428" s="895">
        <v>200114</v>
      </c>
      <c r="B3428" s="895" t="s">
        <v>21528</v>
      </c>
      <c r="C3428" s="895" t="s">
        <v>227</v>
      </c>
      <c r="D3428" s="895">
        <v>0.48</v>
      </c>
    </row>
    <row r="3429" spans="1:4" x14ac:dyDescent="0.2">
      <c r="A3429" s="895">
        <v>200121</v>
      </c>
      <c r="B3429" s="895" t="s">
        <v>21529</v>
      </c>
      <c r="C3429" s="895" t="s">
        <v>2451</v>
      </c>
      <c r="D3429" s="895">
        <v>20</v>
      </c>
    </row>
    <row r="3430" spans="1:4" x14ac:dyDescent="0.2">
      <c r="A3430" s="895">
        <v>200122</v>
      </c>
      <c r="B3430" s="895" t="s">
        <v>21530</v>
      </c>
      <c r="C3430" s="895" t="s">
        <v>2451</v>
      </c>
      <c r="D3430" s="895">
        <v>50</v>
      </c>
    </row>
    <row r="3431" spans="1:4" x14ac:dyDescent="0.2">
      <c r="A3431" s="895">
        <v>200123</v>
      </c>
      <c r="B3431" s="895" t="s">
        <v>21531</v>
      </c>
      <c r="C3431" s="895" t="s">
        <v>2451</v>
      </c>
      <c r="D3431" s="895">
        <v>100</v>
      </c>
    </row>
    <row r="3432" spans="1:4" x14ac:dyDescent="0.2">
      <c r="A3432" s="895">
        <v>200124</v>
      </c>
      <c r="B3432" s="895" t="s">
        <v>21532</v>
      </c>
      <c r="C3432" s="895" t="s">
        <v>2451</v>
      </c>
      <c r="D3432" s="895">
        <v>30</v>
      </c>
    </row>
    <row r="3433" spans="1:4" x14ac:dyDescent="0.2">
      <c r="A3433" s="895">
        <v>200131</v>
      </c>
      <c r="B3433" s="895" t="s">
        <v>21533</v>
      </c>
      <c r="C3433" s="895" t="s">
        <v>2451</v>
      </c>
      <c r="D3433" s="895">
        <v>10</v>
      </c>
    </row>
    <row r="3434" spans="1:4" x14ac:dyDescent="0.2">
      <c r="A3434" s="895">
        <v>200132</v>
      </c>
      <c r="B3434" s="895" t="s">
        <v>21534</v>
      </c>
      <c r="C3434" s="895" t="s">
        <v>2451</v>
      </c>
      <c r="D3434" s="895">
        <v>50</v>
      </c>
    </row>
    <row r="3435" spans="1:4" x14ac:dyDescent="0.2">
      <c r="A3435" s="895">
        <v>200133</v>
      </c>
      <c r="B3435" s="895" t="s">
        <v>21535</v>
      </c>
      <c r="C3435" s="895" t="s">
        <v>2451</v>
      </c>
      <c r="D3435" s="895">
        <v>10</v>
      </c>
    </row>
    <row r="3436" spans="1:4" x14ac:dyDescent="0.2">
      <c r="A3436" s="895">
        <v>200200</v>
      </c>
      <c r="B3436" s="895" t="s">
        <v>21536</v>
      </c>
      <c r="C3436" s="895" t="s">
        <v>18269</v>
      </c>
      <c r="D3436" s="895" t="s">
        <v>18269</v>
      </c>
    </row>
    <row r="3437" spans="1:4" x14ac:dyDescent="0.2">
      <c r="A3437" s="895">
        <v>200201</v>
      </c>
      <c r="B3437" s="895" t="s">
        <v>21537</v>
      </c>
      <c r="C3437" s="895" t="s">
        <v>158</v>
      </c>
      <c r="D3437" s="895">
        <v>90.37</v>
      </c>
    </row>
    <row r="3438" spans="1:4" x14ac:dyDescent="0.2">
      <c r="A3438" s="895">
        <v>200202</v>
      </c>
      <c r="B3438" s="895" t="s">
        <v>21538</v>
      </c>
      <c r="C3438" s="895" t="s">
        <v>226</v>
      </c>
      <c r="D3438" s="895">
        <v>698.62</v>
      </c>
    </row>
    <row r="3439" spans="1:4" x14ac:dyDescent="0.2">
      <c r="A3439" s="895">
        <v>200203</v>
      </c>
      <c r="B3439" s="895" t="s">
        <v>21539</v>
      </c>
      <c r="C3439" s="895" t="s">
        <v>226</v>
      </c>
      <c r="D3439" s="895">
        <v>90.26</v>
      </c>
    </row>
    <row r="3440" spans="1:4" x14ac:dyDescent="0.2">
      <c r="A3440" s="895">
        <v>200204</v>
      </c>
      <c r="B3440" s="895" t="s">
        <v>21540</v>
      </c>
      <c r="C3440" s="895" t="s">
        <v>226</v>
      </c>
      <c r="D3440" s="895">
        <v>180.53</v>
      </c>
    </row>
    <row r="3441" spans="1:4" x14ac:dyDescent="0.2">
      <c r="A3441" s="895">
        <v>200205</v>
      </c>
      <c r="B3441" s="895" t="s">
        <v>21541</v>
      </c>
      <c r="C3441" s="895" t="s">
        <v>226</v>
      </c>
      <c r="D3441" s="895">
        <v>270.79000000000002</v>
      </c>
    </row>
    <row r="3442" spans="1:4" x14ac:dyDescent="0.2">
      <c r="A3442" s="895">
        <v>200206</v>
      </c>
      <c r="B3442" s="895" t="s">
        <v>21542</v>
      </c>
      <c r="C3442" s="895" t="s">
        <v>226</v>
      </c>
      <c r="D3442" s="895">
        <v>90.26</v>
      </c>
    </row>
    <row r="3443" spans="1:4" x14ac:dyDescent="0.2">
      <c r="A3443" s="895">
        <v>200207</v>
      </c>
      <c r="B3443" s="895" t="s">
        <v>21543</v>
      </c>
      <c r="C3443" s="895" t="s">
        <v>226</v>
      </c>
      <c r="D3443" s="895">
        <v>158.08000000000001</v>
      </c>
    </row>
    <row r="3444" spans="1:4" x14ac:dyDescent="0.2">
      <c r="A3444" s="895">
        <v>200208</v>
      </c>
      <c r="B3444" s="895" t="s">
        <v>21544</v>
      </c>
      <c r="C3444" s="895" t="s">
        <v>226</v>
      </c>
      <c r="D3444" s="895">
        <v>212.32</v>
      </c>
    </row>
    <row r="3445" spans="1:4" x14ac:dyDescent="0.2">
      <c r="A3445" s="895">
        <v>200209</v>
      </c>
      <c r="B3445" s="895" t="s">
        <v>21545</v>
      </c>
      <c r="C3445" s="895" t="s">
        <v>158</v>
      </c>
      <c r="D3445" s="895">
        <v>134.97999999999999</v>
      </c>
    </row>
    <row r="3446" spans="1:4" x14ac:dyDescent="0.2">
      <c r="A3446" s="895">
        <v>200300</v>
      </c>
      <c r="B3446" s="895" t="s">
        <v>21546</v>
      </c>
      <c r="C3446" s="895" t="s">
        <v>18269</v>
      </c>
      <c r="D3446" s="895" t="s">
        <v>18269</v>
      </c>
    </row>
    <row r="3447" spans="1:4" x14ac:dyDescent="0.2">
      <c r="A3447" s="895">
        <v>200301</v>
      </c>
      <c r="B3447" s="895" t="s">
        <v>18370</v>
      </c>
      <c r="C3447" s="895" t="s">
        <v>4341</v>
      </c>
      <c r="D3447" s="895">
        <v>449.8</v>
      </c>
    </row>
    <row r="3448" spans="1:4" x14ac:dyDescent="0.2">
      <c r="A3448" s="895">
        <v>200302</v>
      </c>
      <c r="B3448" s="895" t="s">
        <v>18372</v>
      </c>
      <c r="C3448" s="895" t="s">
        <v>4341</v>
      </c>
      <c r="D3448" s="895">
        <v>276.39999999999998</v>
      </c>
    </row>
    <row r="3449" spans="1:4" x14ac:dyDescent="0.2">
      <c r="A3449" s="895">
        <v>200303</v>
      </c>
      <c r="B3449" s="895" t="s">
        <v>18374</v>
      </c>
      <c r="C3449" s="895" t="s">
        <v>4341</v>
      </c>
      <c r="D3449" s="895">
        <v>123.15</v>
      </c>
    </row>
    <row r="3450" spans="1:4" x14ac:dyDescent="0.2">
      <c r="A3450" s="895">
        <v>200304</v>
      </c>
      <c r="B3450" s="895" t="s">
        <v>21547</v>
      </c>
      <c r="C3450" s="895" t="s">
        <v>4341</v>
      </c>
      <c r="D3450" s="895">
        <v>161</v>
      </c>
    </row>
    <row r="3451" spans="1:4" x14ac:dyDescent="0.2">
      <c r="A3451" s="895">
        <v>200305</v>
      </c>
      <c r="B3451" s="895" t="s">
        <v>18381</v>
      </c>
      <c r="C3451" s="895" t="s">
        <v>4341</v>
      </c>
      <c r="D3451" s="895">
        <v>92.72</v>
      </c>
    </row>
    <row r="3452" spans="1:4" x14ac:dyDescent="0.2">
      <c r="A3452" s="895">
        <v>200306</v>
      </c>
      <c r="B3452" s="895" t="s">
        <v>18379</v>
      </c>
      <c r="C3452" s="895" t="s">
        <v>4341</v>
      </c>
      <c r="D3452" s="895">
        <v>68.739999999999995</v>
      </c>
    </row>
    <row r="3453" spans="1:4" x14ac:dyDescent="0.2">
      <c r="A3453" s="895">
        <v>200307</v>
      </c>
      <c r="B3453" s="895" t="s">
        <v>18371</v>
      </c>
      <c r="C3453" s="895" t="s">
        <v>4341</v>
      </c>
      <c r="D3453" s="895">
        <v>449.8</v>
      </c>
    </row>
    <row r="3454" spans="1:4" x14ac:dyDescent="0.2">
      <c r="A3454" s="895">
        <v>200308</v>
      </c>
      <c r="B3454" s="895" t="s">
        <v>18369</v>
      </c>
      <c r="C3454" s="895" t="s">
        <v>4341</v>
      </c>
      <c r="D3454" s="895">
        <v>449.8</v>
      </c>
    </row>
    <row r="3455" spans="1:4" x14ac:dyDescent="0.2">
      <c r="A3455" s="895">
        <v>200309</v>
      </c>
      <c r="B3455" s="895" t="s">
        <v>21548</v>
      </c>
      <c r="C3455" s="895" t="s">
        <v>4341</v>
      </c>
      <c r="D3455" s="895">
        <v>68.739999999999995</v>
      </c>
    </row>
    <row r="3456" spans="1:4" x14ac:dyDescent="0.2">
      <c r="A3456" s="895">
        <v>200321</v>
      </c>
      <c r="B3456" s="895" t="s">
        <v>21549</v>
      </c>
      <c r="C3456" s="895" t="s">
        <v>226</v>
      </c>
      <c r="D3456" s="895">
        <v>1469.53</v>
      </c>
    </row>
    <row r="3457" spans="1:4" x14ac:dyDescent="0.2">
      <c r="A3457" s="895">
        <v>200324</v>
      </c>
      <c r="B3457" s="895" t="s">
        <v>21550</v>
      </c>
      <c r="C3457" s="895" t="s">
        <v>4341</v>
      </c>
      <c r="D3457" s="895">
        <v>47.35</v>
      </c>
    </row>
    <row r="3458" spans="1:4" x14ac:dyDescent="0.2">
      <c r="A3458" s="895">
        <v>200350</v>
      </c>
      <c r="B3458" s="895" t="s">
        <v>18390</v>
      </c>
      <c r="C3458" s="895" t="s">
        <v>226</v>
      </c>
      <c r="D3458" s="895">
        <v>9.52</v>
      </c>
    </row>
    <row r="3459" spans="1:4" x14ac:dyDescent="0.2">
      <c r="A3459" s="895">
        <v>200351</v>
      </c>
      <c r="B3459" s="895" t="s">
        <v>21551</v>
      </c>
      <c r="C3459" s="895" t="s">
        <v>226</v>
      </c>
      <c r="D3459" s="895">
        <v>12.99</v>
      </c>
    </row>
    <row r="3460" spans="1:4" x14ac:dyDescent="0.2">
      <c r="A3460" s="895">
        <v>200352</v>
      </c>
      <c r="B3460" s="895" t="s">
        <v>21552</v>
      </c>
      <c r="C3460" s="895" t="s">
        <v>226</v>
      </c>
      <c r="D3460" s="895">
        <v>13.66</v>
      </c>
    </row>
    <row r="3461" spans="1:4" x14ac:dyDescent="0.2">
      <c r="A3461" s="895">
        <v>200353</v>
      </c>
      <c r="B3461" s="895" t="s">
        <v>21553</v>
      </c>
      <c r="C3461" s="895" t="s">
        <v>226</v>
      </c>
      <c r="D3461" s="895">
        <v>18.239999999999998</v>
      </c>
    </row>
    <row r="3462" spans="1:4" x14ac:dyDescent="0.2">
      <c r="A3462" s="895">
        <v>200354</v>
      </c>
      <c r="B3462" s="895" t="s">
        <v>18362</v>
      </c>
      <c r="C3462" s="895" t="s">
        <v>226</v>
      </c>
      <c r="D3462" s="895">
        <v>0.57999999999999996</v>
      </c>
    </row>
    <row r="3463" spans="1:4" x14ac:dyDescent="0.2">
      <c r="A3463" s="895">
        <v>200355</v>
      </c>
      <c r="B3463" s="895" t="s">
        <v>21554</v>
      </c>
      <c r="C3463" s="895" t="s">
        <v>226</v>
      </c>
      <c r="D3463" s="895">
        <v>2.48</v>
      </c>
    </row>
    <row r="3464" spans="1:4" x14ac:dyDescent="0.2">
      <c r="A3464" s="895">
        <v>200356</v>
      </c>
      <c r="B3464" s="895" t="s">
        <v>21555</v>
      </c>
      <c r="C3464" s="895" t="s">
        <v>226</v>
      </c>
      <c r="D3464" s="895">
        <v>1.05</v>
      </c>
    </row>
    <row r="3465" spans="1:4" x14ac:dyDescent="0.2">
      <c r="A3465" s="895">
        <v>200357</v>
      </c>
      <c r="B3465" s="895" t="s">
        <v>21556</v>
      </c>
      <c r="C3465" s="895" t="s">
        <v>226</v>
      </c>
      <c r="D3465" s="895">
        <v>5.26</v>
      </c>
    </row>
    <row r="3466" spans="1:4" x14ac:dyDescent="0.2">
      <c r="A3466" s="895">
        <v>200358</v>
      </c>
      <c r="B3466" s="895" t="s">
        <v>21557</v>
      </c>
      <c r="C3466" s="895" t="s">
        <v>227</v>
      </c>
      <c r="D3466" s="895">
        <v>14.37</v>
      </c>
    </row>
    <row r="3467" spans="1:4" x14ac:dyDescent="0.2">
      <c r="A3467" s="895">
        <v>200359</v>
      </c>
      <c r="B3467" s="895" t="s">
        <v>18883</v>
      </c>
      <c r="C3467" s="895" t="s">
        <v>4341</v>
      </c>
      <c r="D3467" s="895">
        <v>161.07</v>
      </c>
    </row>
    <row r="3468" spans="1:4" x14ac:dyDescent="0.2">
      <c r="A3468" s="895">
        <v>200360</v>
      </c>
      <c r="B3468" s="895" t="s">
        <v>18394</v>
      </c>
      <c r="C3468" s="895" t="s">
        <v>226</v>
      </c>
      <c r="D3468" s="895">
        <v>4319.47</v>
      </c>
    </row>
    <row r="3469" spans="1:4" x14ac:dyDescent="0.2">
      <c r="A3469" s="895">
        <v>200361</v>
      </c>
      <c r="B3469" s="895" t="s">
        <v>18395</v>
      </c>
      <c r="C3469" s="895" t="s">
        <v>226</v>
      </c>
      <c r="D3469" s="895">
        <v>3269.39</v>
      </c>
    </row>
    <row r="3470" spans="1:4" x14ac:dyDescent="0.2">
      <c r="A3470" s="895">
        <v>200370</v>
      </c>
      <c r="B3470" s="895" t="s">
        <v>21558</v>
      </c>
      <c r="C3470" s="895" t="s">
        <v>226</v>
      </c>
      <c r="D3470" s="895">
        <v>3531.65</v>
      </c>
    </row>
    <row r="3471" spans="1:4" x14ac:dyDescent="0.2">
      <c r="A3471" s="895">
        <v>200371</v>
      </c>
      <c r="B3471" s="895" t="s">
        <v>21559</v>
      </c>
      <c r="C3471" s="895" t="s">
        <v>227</v>
      </c>
      <c r="D3471" s="895">
        <v>6</v>
      </c>
    </row>
    <row r="3472" spans="1:4" x14ac:dyDescent="0.2">
      <c r="A3472" s="895">
        <v>200372</v>
      </c>
      <c r="B3472" s="895" t="s">
        <v>21560</v>
      </c>
      <c r="C3472" s="895" t="s">
        <v>227</v>
      </c>
      <c r="D3472" s="895">
        <v>5.3</v>
      </c>
    </row>
    <row r="3473" spans="1:4" x14ac:dyDescent="0.2">
      <c r="A3473" s="895">
        <v>200373</v>
      </c>
      <c r="B3473" s="895" t="s">
        <v>21561</v>
      </c>
      <c r="C3473" s="895" t="s">
        <v>227</v>
      </c>
      <c r="D3473" s="895">
        <v>3.18</v>
      </c>
    </row>
    <row r="3474" spans="1:4" x14ac:dyDescent="0.2">
      <c r="A3474" s="895">
        <v>200374</v>
      </c>
      <c r="B3474" s="895" t="s">
        <v>21562</v>
      </c>
      <c r="C3474" s="895" t="s">
        <v>20551</v>
      </c>
      <c r="D3474" s="895">
        <v>2046.05</v>
      </c>
    </row>
    <row r="3475" spans="1:4" x14ac:dyDescent="0.2">
      <c r="A3475" s="895">
        <v>200375</v>
      </c>
      <c r="B3475" s="895" t="s">
        <v>21563</v>
      </c>
      <c r="C3475" s="895" t="s">
        <v>227</v>
      </c>
      <c r="D3475" s="895">
        <v>3.48</v>
      </c>
    </row>
    <row r="3476" spans="1:4" x14ac:dyDescent="0.2">
      <c r="A3476" s="895">
        <v>200376</v>
      </c>
      <c r="B3476" s="895" t="s">
        <v>21564</v>
      </c>
      <c r="C3476" s="895" t="s">
        <v>227</v>
      </c>
      <c r="D3476" s="895">
        <v>3.07</v>
      </c>
    </row>
    <row r="3477" spans="1:4" x14ac:dyDescent="0.2">
      <c r="A3477" s="895">
        <v>200377</v>
      </c>
      <c r="B3477" s="895" t="s">
        <v>21565</v>
      </c>
      <c r="C3477" s="895" t="s">
        <v>227</v>
      </c>
      <c r="D3477" s="895">
        <v>1.84</v>
      </c>
    </row>
    <row r="3478" spans="1:4" x14ac:dyDescent="0.2">
      <c r="A3478" s="895">
        <v>200378</v>
      </c>
      <c r="B3478" s="895" t="s">
        <v>21566</v>
      </c>
      <c r="C3478" s="895" t="s">
        <v>226</v>
      </c>
      <c r="D3478" s="895">
        <v>1553.43</v>
      </c>
    </row>
    <row r="3479" spans="1:4" x14ac:dyDescent="0.2">
      <c r="A3479" s="895">
        <v>200379</v>
      </c>
      <c r="B3479" s="895" t="s">
        <v>21567</v>
      </c>
      <c r="C3479" s="895" t="s">
        <v>227</v>
      </c>
      <c r="D3479" s="895">
        <v>2.64</v>
      </c>
    </row>
    <row r="3480" spans="1:4" x14ac:dyDescent="0.2">
      <c r="A3480" s="895">
        <v>200380</v>
      </c>
      <c r="B3480" s="895" t="s">
        <v>21568</v>
      </c>
      <c r="C3480" s="895" t="s">
        <v>227</v>
      </c>
      <c r="D3480" s="895">
        <v>2.33</v>
      </c>
    </row>
    <row r="3481" spans="1:4" x14ac:dyDescent="0.2">
      <c r="A3481" s="895">
        <v>200381</v>
      </c>
      <c r="B3481" s="895" t="s">
        <v>21569</v>
      </c>
      <c r="C3481" s="895" t="s">
        <v>227</v>
      </c>
      <c r="D3481" s="895">
        <v>1.4</v>
      </c>
    </row>
    <row r="3482" spans="1:4" x14ac:dyDescent="0.2">
      <c r="A3482" s="895">
        <v>200441</v>
      </c>
      <c r="B3482" s="895" t="s">
        <v>21570</v>
      </c>
      <c r="C3482" s="895" t="s">
        <v>20551</v>
      </c>
      <c r="D3482" s="895">
        <v>3956.44</v>
      </c>
    </row>
    <row r="3483" spans="1:4" x14ac:dyDescent="0.2">
      <c r="A3483" s="895">
        <v>200442</v>
      </c>
      <c r="B3483" s="895" t="s">
        <v>21571</v>
      </c>
      <c r="C3483" s="895" t="s">
        <v>226</v>
      </c>
      <c r="D3483" s="895">
        <v>108.05</v>
      </c>
    </row>
    <row r="3484" spans="1:4" x14ac:dyDescent="0.2">
      <c r="A3484" s="895">
        <v>200530</v>
      </c>
      <c r="B3484" s="895" t="s">
        <v>21572</v>
      </c>
      <c r="C3484" s="895" t="s">
        <v>20551</v>
      </c>
      <c r="D3484" s="895">
        <v>4498.04</v>
      </c>
    </row>
    <row r="3485" spans="1:4" x14ac:dyDescent="0.2">
      <c r="A3485" s="895">
        <v>200531</v>
      </c>
      <c r="B3485" s="895" t="s">
        <v>21573</v>
      </c>
      <c r="C3485" s="895" t="s">
        <v>20551</v>
      </c>
      <c r="D3485" s="895">
        <v>7196.87</v>
      </c>
    </row>
    <row r="3486" spans="1:4" x14ac:dyDescent="0.2">
      <c r="A3486" s="895">
        <v>200532</v>
      </c>
      <c r="B3486" s="895" t="s">
        <v>21574</v>
      </c>
      <c r="C3486" s="895" t="s">
        <v>20551</v>
      </c>
      <c r="D3486" s="895">
        <v>12594.52</v>
      </c>
    </row>
    <row r="3487" spans="1:4" x14ac:dyDescent="0.2">
      <c r="A3487" s="895">
        <v>200533</v>
      </c>
      <c r="B3487" s="895" t="s">
        <v>21575</v>
      </c>
      <c r="C3487" s="895" t="s">
        <v>20551</v>
      </c>
      <c r="D3487" s="895">
        <v>6849.27</v>
      </c>
    </row>
    <row r="3488" spans="1:4" x14ac:dyDescent="0.2">
      <c r="A3488" s="895">
        <v>200534</v>
      </c>
      <c r="B3488" s="895" t="s">
        <v>21576</v>
      </c>
      <c r="C3488" s="895" t="s">
        <v>20551</v>
      </c>
      <c r="D3488" s="895">
        <v>8924.49</v>
      </c>
    </row>
    <row r="3489" spans="1:4" x14ac:dyDescent="0.2">
      <c r="A3489" s="895">
        <v>200535</v>
      </c>
      <c r="B3489" s="895" t="s">
        <v>21577</v>
      </c>
      <c r="C3489" s="895" t="s">
        <v>20551</v>
      </c>
      <c r="D3489" s="895">
        <v>12149.78</v>
      </c>
    </row>
    <row r="3490" spans="1:4" x14ac:dyDescent="0.2">
      <c r="A3490" s="895">
        <v>200536</v>
      </c>
      <c r="B3490" s="895" t="s">
        <v>21578</v>
      </c>
      <c r="C3490" s="895" t="s">
        <v>20551</v>
      </c>
      <c r="D3490" s="895">
        <v>3437.76</v>
      </c>
    </row>
    <row r="3491" spans="1:4" x14ac:dyDescent="0.2">
      <c r="A3491" s="895">
        <v>200537</v>
      </c>
      <c r="B3491" s="895" t="s">
        <v>21579</v>
      </c>
      <c r="C3491" s="895" t="s">
        <v>20551</v>
      </c>
      <c r="D3491" s="895">
        <v>5156.63</v>
      </c>
    </row>
    <row r="3492" spans="1:4" x14ac:dyDescent="0.2">
      <c r="A3492" s="895">
        <v>200538</v>
      </c>
      <c r="B3492" s="895" t="s">
        <v>21580</v>
      </c>
      <c r="C3492" s="895" t="s">
        <v>20551</v>
      </c>
      <c r="D3492" s="895">
        <v>7734.95</v>
      </c>
    </row>
    <row r="3493" spans="1:4" x14ac:dyDescent="0.2">
      <c r="A3493" s="895">
        <v>200600</v>
      </c>
      <c r="B3493" s="895" t="s">
        <v>21581</v>
      </c>
      <c r="C3493" s="895" t="s">
        <v>18269</v>
      </c>
      <c r="D3493" s="895" t="s">
        <v>18269</v>
      </c>
    </row>
    <row r="3494" spans="1:4" x14ac:dyDescent="0.2">
      <c r="A3494" s="895">
        <v>200601</v>
      </c>
      <c r="B3494" s="895" t="s">
        <v>21582</v>
      </c>
      <c r="C3494" s="895" t="s">
        <v>226</v>
      </c>
      <c r="D3494" s="895">
        <v>2355.7800000000002</v>
      </c>
    </row>
    <row r="3495" spans="1:4" x14ac:dyDescent="0.2">
      <c r="A3495" s="895">
        <v>200602</v>
      </c>
      <c r="B3495" s="895" t="s">
        <v>21583</v>
      </c>
      <c r="C3495" s="895" t="s">
        <v>226</v>
      </c>
      <c r="D3495" s="895">
        <v>17.559999999999999</v>
      </c>
    </row>
    <row r="3496" spans="1:4" x14ac:dyDescent="0.2">
      <c r="A3496" s="895">
        <v>200603</v>
      </c>
      <c r="B3496" s="895" t="s">
        <v>21584</v>
      </c>
      <c r="C3496" s="895" t="s">
        <v>21585</v>
      </c>
      <c r="D3496" s="895">
        <v>340.68</v>
      </c>
    </row>
    <row r="3497" spans="1:4" x14ac:dyDescent="0.2">
      <c r="A3497" s="895">
        <v>200604</v>
      </c>
      <c r="B3497" s="895" t="s">
        <v>21586</v>
      </c>
      <c r="C3497" s="895" t="s">
        <v>21587</v>
      </c>
      <c r="D3497" s="895">
        <v>246.82</v>
      </c>
    </row>
    <row r="3498" spans="1:4" x14ac:dyDescent="0.2">
      <c r="A3498" s="895">
        <v>200605</v>
      </c>
      <c r="B3498" s="895" t="s">
        <v>18320</v>
      </c>
      <c r="C3498" s="895" t="s">
        <v>18302</v>
      </c>
      <c r="D3498" s="895">
        <v>1795.98</v>
      </c>
    </row>
    <row r="3499" spans="1:4" x14ac:dyDescent="0.2">
      <c r="A3499" s="895">
        <v>200611</v>
      </c>
      <c r="B3499" s="895" t="s">
        <v>21588</v>
      </c>
      <c r="C3499" s="895" t="s">
        <v>226</v>
      </c>
      <c r="D3499" s="895">
        <v>55.2</v>
      </c>
    </row>
    <row r="3500" spans="1:4" x14ac:dyDescent="0.2">
      <c r="A3500" s="895">
        <v>200612</v>
      </c>
      <c r="B3500" s="895" t="s">
        <v>21589</v>
      </c>
      <c r="C3500" s="895" t="s">
        <v>226</v>
      </c>
      <c r="D3500" s="895">
        <v>16.16</v>
      </c>
    </row>
    <row r="3501" spans="1:4" x14ac:dyDescent="0.2">
      <c r="A3501" s="895">
        <v>200613</v>
      </c>
      <c r="B3501" s="895" t="s">
        <v>21590</v>
      </c>
      <c r="C3501" s="895" t="s">
        <v>226</v>
      </c>
      <c r="D3501" s="895">
        <v>19.079999999999998</v>
      </c>
    </row>
    <row r="3502" spans="1:4" x14ac:dyDescent="0.2">
      <c r="A3502" s="895">
        <v>200614</v>
      </c>
      <c r="B3502" s="895" t="s">
        <v>21591</v>
      </c>
      <c r="C3502" s="895" t="s">
        <v>21592</v>
      </c>
      <c r="D3502" s="895">
        <v>2808.49</v>
      </c>
    </row>
    <row r="3503" spans="1:4" x14ac:dyDescent="0.2">
      <c r="A3503" s="895">
        <v>200615</v>
      </c>
      <c r="B3503" s="895" t="s">
        <v>21593</v>
      </c>
      <c r="C3503" s="895" t="s">
        <v>21592</v>
      </c>
      <c r="D3503" s="895">
        <v>3311.61</v>
      </c>
    </row>
    <row r="3504" spans="1:4" x14ac:dyDescent="0.2">
      <c r="A3504" s="895">
        <v>200616</v>
      </c>
      <c r="B3504" s="895" t="s">
        <v>21594</v>
      </c>
      <c r="C3504" s="895" t="s">
        <v>21592</v>
      </c>
      <c r="D3504" s="895">
        <v>3005.33</v>
      </c>
    </row>
    <row r="3505" spans="1:4" x14ac:dyDescent="0.2">
      <c r="A3505" s="895">
        <v>200617</v>
      </c>
      <c r="B3505" s="895" t="s">
        <v>21595</v>
      </c>
      <c r="C3505" s="895" t="s">
        <v>21592</v>
      </c>
      <c r="D3505" s="895">
        <v>2801.93</v>
      </c>
    </row>
    <row r="3506" spans="1:4" x14ac:dyDescent="0.2">
      <c r="A3506" s="895">
        <v>200618</v>
      </c>
      <c r="B3506" s="895" t="s">
        <v>21596</v>
      </c>
      <c r="C3506" s="895" t="s">
        <v>21592</v>
      </c>
      <c r="D3506" s="895">
        <v>2115.65</v>
      </c>
    </row>
  </sheetData>
  <autoFilter ref="A2:D3506" xr:uid="{E9710442-8B69-425F-AFBE-C0A62C4B634A}"/>
  <pageMargins left="0.78740157480314965" right="0.39370078740157483" top="1.5354330708661419" bottom="0.98425196850393704" header="0" footer="0.51181102362204722"/>
  <pageSetup paperSize="9" orientation="portrait" verticalDpi="0" r:id="rId1"/>
  <headerFooter>
    <oddHeader>&amp;L&amp;G
CUSTOS UNITÁRIOS DE INFRAESTRUTURA  - SEM DESONERAÇÃO&amp;C
SECRETARIA DE INFRAESTRUTURA URBANA E OBRAS&amp;R
DATA-BASE: JANEIRO/ 2022</oddHeader>
    <oddFooter>&amp;LASSESSORIA DE CUSTOS&amp;RPágina &amp;P de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E00FA-3551-4C9E-BBFE-2FEEBF0A6216}">
  <sheetPr codeName="Planilha13"/>
  <dimension ref="A1:F19"/>
  <sheetViews>
    <sheetView workbookViewId="0">
      <selection activeCell="D10" sqref="D10"/>
    </sheetView>
  </sheetViews>
  <sheetFormatPr defaultRowHeight="15" x14ac:dyDescent="0.25"/>
  <cols>
    <col min="1" max="1" width="70.7109375" customWidth="1"/>
  </cols>
  <sheetData>
    <row r="1" spans="1:6" x14ac:dyDescent="0.25">
      <c r="A1" s="1277" t="s">
        <v>2455</v>
      </c>
      <c r="B1" s="1278"/>
    </row>
    <row r="2" spans="1:6" x14ac:dyDescent="0.25">
      <c r="A2" s="495" t="s">
        <v>2460</v>
      </c>
      <c r="B2" s="496">
        <v>2.9950000000000001E-2</v>
      </c>
    </row>
    <row r="3" spans="1:6" x14ac:dyDescent="0.25">
      <c r="A3" s="495" t="s">
        <v>2461</v>
      </c>
      <c r="B3" s="496">
        <v>8.0000000000000002E-3</v>
      </c>
    </row>
    <row r="4" spans="1:6" x14ac:dyDescent="0.25">
      <c r="A4" s="495" t="s">
        <v>2462</v>
      </c>
      <c r="B4" s="496">
        <v>0.01</v>
      </c>
      <c r="D4" s="494">
        <f>1+(SUM(B2:B4))</f>
        <v>1.0479499999999999</v>
      </c>
    </row>
    <row r="5" spans="1:6" x14ac:dyDescent="0.25">
      <c r="A5" s="495" t="s">
        <v>2459</v>
      </c>
      <c r="B5" s="496">
        <v>0.01</v>
      </c>
      <c r="D5" s="494">
        <f>1+B5</f>
        <v>1.01</v>
      </c>
    </row>
    <row r="6" spans="1:6" x14ac:dyDescent="0.25">
      <c r="A6" s="495" t="s">
        <v>2463</v>
      </c>
      <c r="B6" s="496">
        <v>5.5E-2</v>
      </c>
      <c r="D6" s="494">
        <f>1+B6</f>
        <v>1.0549999999999999</v>
      </c>
    </row>
    <row r="7" spans="1:6" x14ac:dyDescent="0.25">
      <c r="A7" s="495" t="s">
        <v>2456</v>
      </c>
      <c r="B7" s="496">
        <v>3.6499999999999998E-2</v>
      </c>
      <c r="D7" s="494">
        <f>D4*D5*D6</f>
        <v>1.1166431224999998</v>
      </c>
    </row>
    <row r="8" spans="1:6" x14ac:dyDescent="0.25">
      <c r="A8" s="495" t="s">
        <v>2457</v>
      </c>
      <c r="B8" s="496">
        <v>0.03</v>
      </c>
      <c r="D8" s="494">
        <f>1-B7-B8-B9</f>
        <v>0.88854999999999995</v>
      </c>
    </row>
    <row r="9" spans="1:6" x14ac:dyDescent="0.25">
      <c r="A9" s="495" t="s">
        <v>2458</v>
      </c>
      <c r="B9" s="496">
        <v>4.4949999999999997E-2</v>
      </c>
      <c r="D9" s="494">
        <f>D7/D8</f>
        <v>1.2567026306904505</v>
      </c>
    </row>
    <row r="10" spans="1:6" x14ac:dyDescent="0.25">
      <c r="A10" s="497" t="s">
        <v>28013</v>
      </c>
      <c r="B10" s="498">
        <f>((1+B2)*(1+B3)*(1+B5)*(1+B4)*(1+B6))/((1-(B7+B8+B9)))-1</f>
        <v>0.2574479292811882</v>
      </c>
      <c r="C10" s="494"/>
      <c r="D10" s="494">
        <f>D9-1</f>
        <v>0.25670263069045052</v>
      </c>
    </row>
    <row r="11" spans="1:6" x14ac:dyDescent="0.25">
      <c r="B11" s="494"/>
      <c r="C11" s="494"/>
    </row>
    <row r="12" spans="1:6" x14ac:dyDescent="0.25">
      <c r="B12" s="494"/>
      <c r="C12" s="494"/>
      <c r="F12" s="494"/>
    </row>
    <row r="13" spans="1:6" x14ac:dyDescent="0.25">
      <c r="B13" s="494"/>
      <c r="F13" s="494"/>
    </row>
    <row r="14" spans="1:6" x14ac:dyDescent="0.25">
      <c r="B14" s="494"/>
      <c r="F14" s="494"/>
    </row>
    <row r="15" spans="1:6" x14ac:dyDescent="0.25">
      <c r="B15" s="494"/>
      <c r="F15" s="494"/>
    </row>
    <row r="16" spans="1:6" x14ac:dyDescent="0.25">
      <c r="F16" s="494"/>
    </row>
    <row r="17" spans="6:6" x14ac:dyDescent="0.25">
      <c r="F17" s="494"/>
    </row>
    <row r="18" spans="6:6" x14ac:dyDescent="0.25">
      <c r="F18" s="494"/>
    </row>
    <row r="19" spans="6:6" x14ac:dyDescent="0.25">
      <c r="F19" s="494"/>
    </row>
  </sheetData>
  <mergeCells count="1">
    <mergeCell ref="A1:B1"/>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10</vt:i4>
      </vt:variant>
    </vt:vector>
  </HeadingPairs>
  <TitlesOfParts>
    <vt:vector size="29" baseType="lpstr">
      <vt:lpstr>CRONOGRAMA</vt:lpstr>
      <vt:lpstr>RESUMO</vt:lpstr>
      <vt:lpstr>Orçamento</vt:lpstr>
      <vt:lpstr>SINAPI</vt:lpstr>
      <vt:lpstr>CDHU</vt:lpstr>
      <vt:lpstr>DERSP</vt:lpstr>
      <vt:lpstr>SICRO</vt:lpstr>
      <vt:lpstr>SIURB</vt:lpstr>
      <vt:lpstr>BDI</vt:lpstr>
      <vt:lpstr>MC_TERR</vt:lpstr>
      <vt:lpstr>MC_DRE</vt:lpstr>
      <vt:lpstr>MC_PAV</vt:lpstr>
      <vt:lpstr>MC_SIN_VERT</vt:lpstr>
      <vt:lpstr>MC_SIN_HOR</vt:lpstr>
      <vt:lpstr>MC_DISP_SEG</vt:lpstr>
      <vt:lpstr>OBRAS</vt:lpstr>
      <vt:lpstr>MC_PAISAG</vt:lpstr>
      <vt:lpstr>ILU</vt:lpstr>
      <vt:lpstr>MC_CONT</vt:lpstr>
      <vt:lpstr>CRONOGRAMA!Area_de_impressao</vt:lpstr>
      <vt:lpstr>MC_PAISAG!Area_de_impressao</vt:lpstr>
      <vt:lpstr>MC_PAV!Area_de_impressao</vt:lpstr>
      <vt:lpstr>MC_SIN_VERT!Area_de_impressao</vt:lpstr>
      <vt:lpstr>MC_TERR!Area_de_impressao</vt:lpstr>
      <vt:lpstr>Orçamento!Area_de_impressao</vt:lpstr>
      <vt:lpstr>RESUMO!Area_de_impressao</vt:lpstr>
      <vt:lpstr>DERSP!Arial</vt:lpstr>
      <vt:lpstr>Orçamento!Titulos_de_impressao</vt:lpstr>
      <vt:lpstr>SIURB!Titulos_de_impressao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System</dc:creator>
  <cp:lastModifiedBy>Angelo Figueiredo</cp:lastModifiedBy>
  <cp:lastPrinted>2022-06-28T13:52:33Z</cp:lastPrinted>
  <dcterms:created xsi:type="dcterms:W3CDTF">2019-08-07T17:41:16Z</dcterms:created>
  <dcterms:modified xsi:type="dcterms:W3CDTF">2023-05-29T17:39:45Z</dcterms:modified>
</cp:coreProperties>
</file>